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comments1.xml" ContentType="application/vnd.openxmlformats-officedocument.spreadsheetml.comments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comments2.xml" ContentType="application/vnd.openxmlformats-officedocument.spreadsheetml.comments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11.xml" ContentType="application/vnd.openxmlformats-officedocument.drawing+xml"/>
  <Override PartName="/xl/tables/table11.xml" ContentType="application/vnd.openxmlformats-officedocument.spreadsheetml.table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drawings/drawing12.xml" ContentType="application/vnd.openxmlformats-officedocument.drawing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drawings/drawing13.xml" ContentType="application/vnd.openxmlformats-officedocument.drawing+xml"/>
  <Override PartName="/xl/tables/table12.xml" ContentType="application/vnd.openxmlformats-officedocument.spreadsheetml.table+xml"/>
  <Override PartName="/xl/comments3.xml" ContentType="application/vnd.openxmlformats-officedocument.spreadsheetml.comments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drawings/drawing14.xml" ContentType="application/vnd.openxmlformats-officedocument.drawing+xml"/>
  <Override PartName="/xl/tables/table13.xml" ContentType="application/vnd.openxmlformats-officedocument.spreadsheetml.table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drawings/drawing15.xml" ContentType="application/vnd.openxmlformats-officedocument.drawing+xml"/>
  <Override PartName="/xl/tables/table14.xml" ContentType="application/vnd.openxmlformats-officedocument.spreadsheetml.table+xml"/>
  <Override PartName="/xl/comments4.xml" ContentType="application/vnd.openxmlformats-officedocument.spreadsheetml.comments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16.xml" ContentType="application/vnd.openxmlformats-officedocument.drawing+xml"/>
  <Override PartName="/xl/tables/table15.xml" ContentType="application/vnd.openxmlformats-officedocument.spreadsheetml.table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7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240" windowWidth="19440" windowHeight="12120" firstSheet="2" activeTab="9"/>
  </bookViews>
  <sheets>
    <sheet name="raw_Island" sheetId="2" r:id="rId1"/>
    <sheet name="all" sheetId="1" r:id="rId2"/>
    <sheet name="all_ex_postcap" sheetId="4" r:id="rId3"/>
    <sheet name="shearstrength_DS5" sheetId="23" r:id="rId4"/>
    <sheet name="D4" sheetId="24" r:id="rId5"/>
    <sheet name="all_ex_postcap_2" sheetId="20" r:id="rId6"/>
    <sheet name="Purdu" sheetId="5" r:id="rId7"/>
    <sheet name="Purdu_ex_deep" sheetId="7" r:id="rId8"/>
    <sheet name="PCA" sheetId="8" r:id="rId9"/>
    <sheet name="Toronto" sheetId="12" r:id="rId10"/>
    <sheet name="deep" sheetId="18" r:id="rId11"/>
    <sheet name="deep_2" sheetId="22" r:id="rId12"/>
    <sheet name="Purdu_2" sheetId="13" r:id="rId13"/>
    <sheet name="PCA_ex_postcap" sheetId="9" r:id="rId14"/>
    <sheet name="table_paper" sheetId="10" r:id="rId15"/>
    <sheet name="4mdeep" sheetId="15" r:id="rId16"/>
    <sheet name="Uniform" sheetId="17" r:id="rId17"/>
    <sheet name="Haunched" sheetId="16" r:id="rId18"/>
    <sheet name="Uniform_0" sheetId="14" r:id="rId19"/>
    <sheet name="simpletable" sheetId="19" r:id="rId20"/>
    <sheet name="shearstrength" sheetId="21" r:id="rId21"/>
  </sheets>
  <calcPr calcId="145621"/>
</workbook>
</file>

<file path=xl/calcChain.xml><?xml version="1.0" encoding="utf-8"?>
<calcChain xmlns="http://schemas.openxmlformats.org/spreadsheetml/2006/main">
  <c r="C105" i="24" l="1"/>
  <c r="C104" i="24"/>
  <c r="C103" i="24"/>
  <c r="C102" i="24"/>
  <c r="C101" i="24"/>
  <c r="C100" i="24"/>
  <c r="D74" i="24"/>
  <c r="D73" i="24"/>
  <c r="D72" i="24"/>
  <c r="D71" i="24"/>
  <c r="D70" i="24"/>
  <c r="D69" i="24"/>
  <c r="D68" i="24"/>
  <c r="D67" i="24"/>
  <c r="C66" i="24"/>
  <c r="C65" i="24"/>
  <c r="C64" i="24"/>
  <c r="C63" i="24"/>
  <c r="C62" i="24"/>
  <c r="I36" i="17" l="1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Z3" i="17"/>
  <c r="Z4" i="17"/>
  <c r="Z5" i="17"/>
  <c r="Z6" i="17"/>
  <c r="Z7" i="17"/>
  <c r="Z8" i="17"/>
  <c r="Z9" i="17"/>
  <c r="Z10" i="17"/>
  <c r="Z11" i="17"/>
  <c r="Z12" i="17"/>
  <c r="Z13" i="17"/>
  <c r="Z14" i="17"/>
  <c r="Z15" i="17"/>
  <c r="Z16" i="17"/>
  <c r="Z17" i="17"/>
  <c r="Z18" i="17"/>
  <c r="Z19" i="17"/>
  <c r="Z20" i="17"/>
  <c r="Z21" i="17"/>
  <c r="Z22" i="17"/>
  <c r="Z23" i="17"/>
  <c r="Z24" i="17"/>
  <c r="Z25" i="17"/>
  <c r="Z26" i="17"/>
  <c r="Z27" i="17"/>
  <c r="Z28" i="17"/>
  <c r="Z29" i="17"/>
  <c r="Z30" i="17"/>
  <c r="Z31" i="17"/>
  <c r="Z32" i="17"/>
  <c r="Z33" i="17"/>
  <c r="Z34" i="17"/>
  <c r="Z35" i="17"/>
  <c r="Z36" i="17"/>
  <c r="Z2" i="17"/>
  <c r="AC2" i="17"/>
  <c r="AC3" i="17"/>
  <c r="AC4" i="17"/>
  <c r="AC5" i="17"/>
  <c r="AC6" i="17"/>
  <c r="AC7" i="17"/>
  <c r="AC8" i="17"/>
  <c r="AC9" i="17"/>
  <c r="AC10" i="17"/>
  <c r="AC11" i="17"/>
  <c r="AC12" i="17"/>
  <c r="AC13" i="17"/>
  <c r="AC14" i="17"/>
  <c r="AC15" i="17"/>
  <c r="AC16" i="17"/>
  <c r="AC17" i="17"/>
  <c r="AC18" i="17"/>
  <c r="AC19" i="17"/>
  <c r="AC20" i="17"/>
  <c r="AC21" i="17"/>
  <c r="AC22" i="17"/>
  <c r="AC23" i="17"/>
  <c r="AC24" i="17"/>
  <c r="AC25" i="17"/>
  <c r="AC26" i="17"/>
  <c r="AC27" i="17"/>
  <c r="AC28" i="17"/>
  <c r="AC29" i="17"/>
  <c r="AC30" i="17"/>
  <c r="AC31" i="17"/>
  <c r="AC32" i="17"/>
  <c r="AC33" i="17"/>
  <c r="AC34" i="17"/>
  <c r="AC35" i="17"/>
  <c r="AC36" i="17"/>
  <c r="AB2" i="17"/>
  <c r="AB3" i="17"/>
  <c r="AB4" i="17"/>
  <c r="AB5" i="17"/>
  <c r="AB6" i="17"/>
  <c r="AB7" i="17"/>
  <c r="AB8" i="17"/>
  <c r="AB9" i="17"/>
  <c r="AB10" i="17"/>
  <c r="AB11" i="17"/>
  <c r="AB12" i="17"/>
  <c r="AB13" i="17"/>
  <c r="AB14" i="17"/>
  <c r="AB15" i="17"/>
  <c r="AB16" i="17"/>
  <c r="AB17" i="17"/>
  <c r="AB18" i="17"/>
  <c r="AB19" i="17"/>
  <c r="AB20" i="17"/>
  <c r="AB21" i="17"/>
  <c r="AB22" i="17"/>
  <c r="AB23" i="17"/>
  <c r="AB24" i="17"/>
  <c r="AB25" i="17"/>
  <c r="AB26" i="17"/>
  <c r="AB27" i="17"/>
  <c r="AB28" i="17"/>
  <c r="AB29" i="17"/>
  <c r="AB30" i="17"/>
  <c r="AB31" i="17"/>
  <c r="AB32" i="17"/>
  <c r="AB33" i="17"/>
  <c r="AB34" i="17"/>
  <c r="AB35" i="17"/>
  <c r="AB36" i="17"/>
  <c r="I2" i="16"/>
  <c r="I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Z3" i="16"/>
  <c r="Z4" i="16"/>
  <c r="Z5" i="16"/>
  <c r="Z6" i="16"/>
  <c r="Z7" i="16"/>
  <c r="Z8" i="16"/>
  <c r="Z9" i="16"/>
  <c r="Z10" i="16"/>
  <c r="Z11" i="16"/>
  <c r="Z12" i="16"/>
  <c r="Z13" i="16"/>
  <c r="Z14" i="16"/>
  <c r="Z15" i="16"/>
  <c r="Z16" i="16"/>
  <c r="Z17" i="16"/>
  <c r="Z18" i="16"/>
  <c r="Z19" i="16"/>
  <c r="Z20" i="16"/>
  <c r="Z21" i="16"/>
  <c r="Z22" i="16"/>
  <c r="Z23" i="16"/>
  <c r="Z24" i="16"/>
  <c r="Z25" i="16"/>
  <c r="Z26" i="16"/>
  <c r="Z27" i="16"/>
  <c r="Z28" i="16"/>
  <c r="Z29" i="16"/>
  <c r="Z2" i="16"/>
  <c r="AC2" i="16"/>
  <c r="AC3" i="16"/>
  <c r="AC4" i="16"/>
  <c r="AC5" i="16"/>
  <c r="AC6" i="16"/>
  <c r="AC7" i="16"/>
  <c r="AC8" i="16"/>
  <c r="AC9" i="16"/>
  <c r="AC10" i="16"/>
  <c r="AC11" i="16"/>
  <c r="AC12" i="16"/>
  <c r="AC13" i="16"/>
  <c r="AC14" i="16"/>
  <c r="AC15" i="16"/>
  <c r="AC16" i="16"/>
  <c r="AC17" i="16"/>
  <c r="AC18" i="16"/>
  <c r="AC19" i="16"/>
  <c r="AC20" i="16"/>
  <c r="AC21" i="16"/>
  <c r="AC22" i="16"/>
  <c r="AC23" i="16"/>
  <c r="AC24" i="16"/>
  <c r="AC25" i="16"/>
  <c r="AC26" i="16"/>
  <c r="AC27" i="16"/>
  <c r="AC28" i="16"/>
  <c r="AC29" i="16"/>
  <c r="AB2" i="16"/>
  <c r="AB3" i="16"/>
  <c r="AB4" i="16"/>
  <c r="AB5" i="16"/>
  <c r="AB6" i="16"/>
  <c r="AB7" i="16"/>
  <c r="AB8" i="16"/>
  <c r="AB9" i="16"/>
  <c r="AB10" i="16"/>
  <c r="AB11" i="16"/>
  <c r="AB12" i="16"/>
  <c r="AB13" i="16"/>
  <c r="AB14" i="16"/>
  <c r="AB15" i="16"/>
  <c r="AB16" i="16"/>
  <c r="AB17" i="16"/>
  <c r="AB18" i="16"/>
  <c r="AB19" i="16"/>
  <c r="AB20" i="16"/>
  <c r="AB21" i="16"/>
  <c r="AB22" i="16"/>
  <c r="AB23" i="16"/>
  <c r="AB24" i="16"/>
  <c r="AB25" i="16"/>
  <c r="AB26" i="16"/>
  <c r="AB27" i="16"/>
  <c r="AB28" i="16"/>
  <c r="AB29" i="16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2" i="13"/>
  <c r="Z3" i="13"/>
  <c r="Z4" i="13"/>
  <c r="Z5" i="13"/>
  <c r="Z6" i="13"/>
  <c r="Z7" i="13"/>
  <c r="Z8" i="13"/>
  <c r="Z9" i="13"/>
  <c r="Z10" i="13"/>
  <c r="Z11" i="13"/>
  <c r="Z12" i="13"/>
  <c r="Z13" i="13"/>
  <c r="Z14" i="13"/>
  <c r="Z15" i="13"/>
  <c r="Z16" i="13"/>
  <c r="Z17" i="13"/>
  <c r="Z18" i="13"/>
  <c r="Z19" i="13"/>
  <c r="Z20" i="13"/>
  <c r="Z21" i="13"/>
  <c r="Z22" i="13"/>
  <c r="Z23" i="13"/>
  <c r="Z24" i="13"/>
  <c r="Z25" i="13"/>
  <c r="Z26" i="13"/>
  <c r="Z27" i="13"/>
  <c r="Z28" i="13"/>
  <c r="Z29" i="13"/>
  <c r="Z30" i="13"/>
  <c r="Z31" i="13"/>
  <c r="Z32" i="13"/>
  <c r="Z33" i="13"/>
  <c r="Z34" i="13"/>
  <c r="Z35" i="13"/>
  <c r="Z36" i="13"/>
  <c r="Z37" i="13"/>
  <c r="Z38" i="13"/>
  <c r="Z39" i="13"/>
  <c r="Z40" i="13"/>
  <c r="Z41" i="13"/>
  <c r="Z42" i="13"/>
  <c r="Z43" i="13"/>
  <c r="Z44" i="13"/>
  <c r="Z45" i="13"/>
  <c r="Z46" i="13"/>
  <c r="Z47" i="13"/>
  <c r="Z48" i="13"/>
  <c r="Z49" i="13"/>
  <c r="Z50" i="13"/>
  <c r="Z51" i="13"/>
  <c r="Z52" i="13"/>
  <c r="Z53" i="13"/>
  <c r="Z54" i="13"/>
  <c r="Z55" i="13"/>
  <c r="Z56" i="13"/>
  <c r="Z57" i="13"/>
  <c r="Z58" i="13"/>
  <c r="Z59" i="13"/>
  <c r="Z60" i="13"/>
  <c r="Z61" i="13"/>
  <c r="Z62" i="13"/>
  <c r="Z63" i="13"/>
  <c r="Z64" i="13"/>
  <c r="Z65" i="13"/>
  <c r="Z66" i="13"/>
  <c r="Z67" i="13"/>
  <c r="Z68" i="13"/>
  <c r="Z69" i="13"/>
  <c r="Z70" i="13"/>
  <c r="Z71" i="13"/>
  <c r="Z72" i="13"/>
  <c r="Z73" i="13"/>
  <c r="Z74" i="13"/>
  <c r="Z75" i="13"/>
  <c r="Z76" i="13"/>
  <c r="Z77" i="13"/>
  <c r="Z78" i="13"/>
  <c r="Z79" i="13"/>
  <c r="Z80" i="13"/>
  <c r="Z81" i="13"/>
  <c r="Z82" i="13"/>
  <c r="Z83" i="13"/>
  <c r="Z2" i="13"/>
  <c r="AC2" i="13"/>
  <c r="AC3" i="13"/>
  <c r="AC4" i="13"/>
  <c r="AC5" i="13"/>
  <c r="AC6" i="13"/>
  <c r="AC7" i="13"/>
  <c r="AC8" i="13"/>
  <c r="AC9" i="13"/>
  <c r="AC10" i="13"/>
  <c r="AC11" i="13"/>
  <c r="AC12" i="13"/>
  <c r="AC13" i="13"/>
  <c r="AC14" i="13"/>
  <c r="AC15" i="13"/>
  <c r="AC16" i="13"/>
  <c r="AC17" i="13"/>
  <c r="AC18" i="13"/>
  <c r="AC19" i="13"/>
  <c r="AC20" i="13"/>
  <c r="AC21" i="13"/>
  <c r="AC22" i="13"/>
  <c r="AC23" i="13"/>
  <c r="AC24" i="13"/>
  <c r="AC25" i="13"/>
  <c r="AC26" i="13"/>
  <c r="AC27" i="13"/>
  <c r="AC28" i="13"/>
  <c r="AC29" i="13"/>
  <c r="AC30" i="13"/>
  <c r="AC31" i="13"/>
  <c r="AC32" i="13"/>
  <c r="AC33" i="13"/>
  <c r="AC34" i="13"/>
  <c r="AC35" i="13"/>
  <c r="AC36" i="13"/>
  <c r="AC37" i="13"/>
  <c r="AC38" i="13"/>
  <c r="AC39" i="13"/>
  <c r="AC40" i="13"/>
  <c r="AC41" i="13"/>
  <c r="AC42" i="13"/>
  <c r="AC43" i="13"/>
  <c r="AC44" i="13"/>
  <c r="AC45" i="13"/>
  <c r="AC46" i="13"/>
  <c r="AC47" i="13"/>
  <c r="AC48" i="13"/>
  <c r="AC49" i="13"/>
  <c r="AC50" i="13"/>
  <c r="AC51" i="13"/>
  <c r="AC52" i="13"/>
  <c r="AC53" i="13"/>
  <c r="AC54" i="13"/>
  <c r="AC55" i="13"/>
  <c r="AC56" i="13"/>
  <c r="AC57" i="13"/>
  <c r="AC58" i="13"/>
  <c r="AC59" i="13"/>
  <c r="AC60" i="13"/>
  <c r="AC61" i="13"/>
  <c r="AC62" i="13"/>
  <c r="AC63" i="13"/>
  <c r="AC64" i="13"/>
  <c r="AC65" i="13"/>
  <c r="AC66" i="13"/>
  <c r="AC67" i="13"/>
  <c r="AC68" i="13"/>
  <c r="AC69" i="13"/>
  <c r="AC70" i="13"/>
  <c r="AC71" i="13"/>
  <c r="AC72" i="13"/>
  <c r="AC73" i="13"/>
  <c r="AC74" i="13"/>
  <c r="AC75" i="13"/>
  <c r="AC76" i="13"/>
  <c r="AC77" i="13"/>
  <c r="AC78" i="13"/>
  <c r="AC79" i="13"/>
  <c r="AC80" i="13"/>
  <c r="AC81" i="13"/>
  <c r="AC82" i="13"/>
  <c r="AC83" i="13"/>
  <c r="AB2" i="13"/>
  <c r="AB3" i="13"/>
  <c r="AB4" i="13"/>
  <c r="AB5" i="13"/>
  <c r="AB6" i="13"/>
  <c r="AB7" i="13"/>
  <c r="AB8" i="13"/>
  <c r="AB9" i="13"/>
  <c r="AB10" i="13"/>
  <c r="AB11" i="13"/>
  <c r="AB12" i="13"/>
  <c r="AB13" i="13"/>
  <c r="AB14" i="13"/>
  <c r="AB15" i="13"/>
  <c r="AB16" i="13"/>
  <c r="AB17" i="13"/>
  <c r="AB18" i="13"/>
  <c r="AB19" i="13"/>
  <c r="AB20" i="13"/>
  <c r="AB21" i="13"/>
  <c r="AB22" i="13"/>
  <c r="AB23" i="13"/>
  <c r="AB24" i="13"/>
  <c r="AB25" i="13"/>
  <c r="AB26" i="13"/>
  <c r="AB27" i="13"/>
  <c r="AB28" i="13"/>
  <c r="AB29" i="13"/>
  <c r="AB30" i="13"/>
  <c r="AB31" i="13"/>
  <c r="AB32" i="13"/>
  <c r="AB33" i="13"/>
  <c r="AB34" i="13"/>
  <c r="AB35" i="13"/>
  <c r="AB36" i="13"/>
  <c r="AB37" i="13"/>
  <c r="AB38" i="13"/>
  <c r="AB39" i="13"/>
  <c r="AB40" i="13"/>
  <c r="AB41" i="13"/>
  <c r="AB42" i="13"/>
  <c r="AB43" i="13"/>
  <c r="AB44" i="13"/>
  <c r="AB45" i="13"/>
  <c r="AB46" i="13"/>
  <c r="AB47" i="13"/>
  <c r="AB48" i="13"/>
  <c r="AB49" i="13"/>
  <c r="AB50" i="13"/>
  <c r="AB51" i="13"/>
  <c r="AB52" i="13"/>
  <c r="AB53" i="13"/>
  <c r="AB54" i="13"/>
  <c r="AB55" i="13"/>
  <c r="AB56" i="13"/>
  <c r="AB57" i="13"/>
  <c r="AB58" i="13"/>
  <c r="AB59" i="13"/>
  <c r="AB60" i="13"/>
  <c r="AB61" i="13"/>
  <c r="AB62" i="13"/>
  <c r="AB63" i="13"/>
  <c r="AB64" i="13"/>
  <c r="AB65" i="13"/>
  <c r="AB66" i="13"/>
  <c r="AB67" i="13"/>
  <c r="AB68" i="13"/>
  <c r="AB69" i="13"/>
  <c r="AB70" i="13"/>
  <c r="AB71" i="13"/>
  <c r="AB72" i="13"/>
  <c r="AB73" i="13"/>
  <c r="AB74" i="13"/>
  <c r="AB75" i="13"/>
  <c r="AB76" i="13"/>
  <c r="AB77" i="13"/>
  <c r="AB78" i="13"/>
  <c r="AB79" i="13"/>
  <c r="AB80" i="13"/>
  <c r="AB81" i="13"/>
  <c r="AB82" i="13"/>
  <c r="AB83" i="13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" i="18"/>
  <c r="Z3" i="18"/>
  <c r="Z4" i="18"/>
  <c r="Z5" i="18"/>
  <c r="Z6" i="18"/>
  <c r="Z7" i="18"/>
  <c r="Z8" i="18"/>
  <c r="Z9" i="18"/>
  <c r="Z10" i="18"/>
  <c r="Z11" i="18"/>
  <c r="Z12" i="18"/>
  <c r="Z13" i="18"/>
  <c r="Z14" i="18"/>
  <c r="Z15" i="18"/>
  <c r="Z16" i="18"/>
  <c r="Z17" i="18"/>
  <c r="Z18" i="18"/>
  <c r="Z19" i="18"/>
  <c r="Z20" i="18"/>
  <c r="Z21" i="18"/>
  <c r="Z22" i="18"/>
  <c r="Z23" i="18"/>
  <c r="Z24" i="18"/>
  <c r="Z25" i="18"/>
  <c r="Z26" i="18"/>
  <c r="Z27" i="18"/>
  <c r="Z2" i="18"/>
  <c r="AB2" i="18"/>
  <c r="AC2" i="18"/>
  <c r="AC3" i="18"/>
  <c r="AC4" i="18"/>
  <c r="AC5" i="18"/>
  <c r="AC6" i="18"/>
  <c r="AC7" i="18"/>
  <c r="AC8" i="18"/>
  <c r="AC9" i="18"/>
  <c r="AC10" i="18"/>
  <c r="AC11" i="18"/>
  <c r="AC12" i="18"/>
  <c r="AC13" i="18"/>
  <c r="AC14" i="18"/>
  <c r="AC15" i="18"/>
  <c r="AC16" i="18"/>
  <c r="AC17" i="18"/>
  <c r="AC18" i="18"/>
  <c r="AC19" i="18"/>
  <c r="AC20" i="18"/>
  <c r="AC21" i="18"/>
  <c r="AC22" i="18"/>
  <c r="AC23" i="18"/>
  <c r="AC24" i="18"/>
  <c r="AC25" i="18"/>
  <c r="AC26" i="18"/>
  <c r="AC27" i="18"/>
  <c r="AB3" i="18"/>
  <c r="AB4" i="18"/>
  <c r="AB5" i="18"/>
  <c r="AB6" i="18"/>
  <c r="AB7" i="18"/>
  <c r="AB8" i="18"/>
  <c r="AB9" i="18"/>
  <c r="AB10" i="18"/>
  <c r="AB11" i="18"/>
  <c r="AB12" i="18"/>
  <c r="AB13" i="18"/>
  <c r="AB14" i="18"/>
  <c r="AB15" i="18"/>
  <c r="AB16" i="18"/>
  <c r="AB17" i="18"/>
  <c r="AB18" i="18"/>
  <c r="AB19" i="18"/>
  <c r="AB20" i="18"/>
  <c r="AB21" i="18"/>
  <c r="AB22" i="18"/>
  <c r="AB23" i="18"/>
  <c r="AB24" i="18"/>
  <c r="AB25" i="18"/>
  <c r="AB26" i="18"/>
  <c r="AB27" i="18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2" i="12"/>
  <c r="Z3" i="12"/>
  <c r="Z4" i="12"/>
  <c r="Z5" i="12"/>
  <c r="Z6" i="12"/>
  <c r="Z7" i="12"/>
  <c r="Z8" i="12"/>
  <c r="Z9" i="12"/>
  <c r="Z10" i="12"/>
  <c r="Z11" i="12"/>
  <c r="Z12" i="12"/>
  <c r="Z13" i="12"/>
  <c r="Z14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7" i="12"/>
  <c r="Z48" i="12"/>
  <c r="Z49" i="12"/>
  <c r="Z50" i="12"/>
  <c r="Z51" i="12"/>
  <c r="Z52" i="12"/>
  <c r="Z53" i="12"/>
  <c r="Z54" i="12"/>
  <c r="Z55" i="12"/>
  <c r="Z56" i="12"/>
  <c r="Z57" i="12"/>
  <c r="Z58" i="12"/>
  <c r="Z59" i="12"/>
  <c r="Z60" i="12"/>
  <c r="Z61" i="12"/>
  <c r="Z62" i="12"/>
  <c r="Z63" i="12"/>
  <c r="Z64" i="12"/>
  <c r="Z65" i="12"/>
  <c r="Z66" i="12"/>
  <c r="Z67" i="12"/>
  <c r="Z68" i="12"/>
  <c r="Z69" i="12"/>
  <c r="Z70" i="12"/>
  <c r="Z71" i="12"/>
  <c r="Z72" i="12"/>
  <c r="Z73" i="12"/>
  <c r="Z74" i="12"/>
  <c r="Z75" i="12"/>
  <c r="Z76" i="12"/>
  <c r="Z77" i="12"/>
  <c r="Z78" i="12"/>
  <c r="Z79" i="12"/>
  <c r="Z80" i="12"/>
  <c r="Z81" i="12"/>
  <c r="Z82" i="12"/>
  <c r="Z83" i="12"/>
  <c r="Z84" i="12"/>
  <c r="Z85" i="12"/>
  <c r="Z86" i="12"/>
  <c r="Z87" i="12"/>
  <c r="Z88" i="12"/>
  <c r="Z89" i="12"/>
  <c r="Z90" i="12"/>
  <c r="Z91" i="12"/>
  <c r="Z92" i="12"/>
  <c r="Z93" i="12"/>
  <c r="Z94" i="12"/>
  <c r="Z95" i="12"/>
  <c r="Z96" i="12"/>
  <c r="Z97" i="12"/>
  <c r="Z98" i="12"/>
  <c r="Z99" i="12"/>
  <c r="Z100" i="12"/>
  <c r="Z101" i="12"/>
  <c r="Z102" i="12"/>
  <c r="Z103" i="12"/>
  <c r="Z104" i="12"/>
  <c r="Z105" i="12"/>
  <c r="Z106" i="12"/>
  <c r="Z107" i="12"/>
  <c r="Z108" i="12"/>
  <c r="Z109" i="12"/>
  <c r="Z110" i="12"/>
  <c r="Z111" i="12"/>
  <c r="Z112" i="12"/>
  <c r="Z113" i="12"/>
  <c r="Z114" i="12"/>
  <c r="Z115" i="12"/>
  <c r="Z116" i="12"/>
  <c r="Z117" i="12"/>
  <c r="Z118" i="12"/>
  <c r="Z119" i="12"/>
  <c r="Z120" i="12"/>
  <c r="Z121" i="12"/>
  <c r="Z122" i="12"/>
  <c r="Z123" i="12"/>
  <c r="Z124" i="12"/>
  <c r="Z125" i="12"/>
  <c r="Z126" i="12"/>
  <c r="Z127" i="12"/>
  <c r="Z128" i="12"/>
  <c r="Z129" i="12"/>
  <c r="Z130" i="12"/>
  <c r="Z131" i="12"/>
  <c r="Z132" i="12"/>
  <c r="Z133" i="12"/>
  <c r="Z134" i="12"/>
  <c r="Z135" i="12"/>
  <c r="Z136" i="12"/>
  <c r="Z137" i="12"/>
  <c r="Z138" i="12"/>
  <c r="Z139" i="12"/>
  <c r="Z140" i="12"/>
  <c r="Z141" i="12"/>
  <c r="Z142" i="12"/>
  <c r="Z143" i="12"/>
  <c r="Z144" i="12"/>
  <c r="Z145" i="12"/>
  <c r="Z146" i="12"/>
  <c r="Z147" i="12"/>
  <c r="Z148" i="12"/>
  <c r="Z149" i="12"/>
  <c r="Z150" i="12"/>
  <c r="Z151" i="12"/>
  <c r="Z152" i="12"/>
  <c r="Z153" i="12"/>
  <c r="Z154" i="12"/>
  <c r="Z155" i="12"/>
  <c r="Z156" i="12"/>
  <c r="Z157" i="12"/>
  <c r="Z158" i="12"/>
  <c r="Z159" i="12"/>
  <c r="Z160" i="12"/>
  <c r="Z161" i="12"/>
  <c r="Z162" i="12"/>
  <c r="Z163" i="12"/>
  <c r="Z164" i="12"/>
  <c r="Z165" i="12"/>
  <c r="Z166" i="12"/>
  <c r="Z167" i="12"/>
  <c r="Z168" i="12"/>
  <c r="Z169" i="12"/>
  <c r="Z170" i="12"/>
  <c r="Z171" i="12"/>
  <c r="Z172" i="12"/>
  <c r="Z173" i="12"/>
  <c r="Z174" i="12"/>
  <c r="Z175" i="12"/>
  <c r="Z176" i="12"/>
  <c r="Z177" i="12"/>
  <c r="Z178" i="12"/>
  <c r="Z179" i="12"/>
  <c r="Z180" i="12"/>
  <c r="Z181" i="12"/>
  <c r="Z182" i="12"/>
  <c r="Z183" i="12"/>
  <c r="Z184" i="12"/>
  <c r="Z185" i="12"/>
  <c r="Z186" i="12"/>
  <c r="Z187" i="12"/>
  <c r="Z188" i="12"/>
  <c r="Z189" i="12"/>
  <c r="Z190" i="12"/>
  <c r="Z191" i="12"/>
  <c r="Z192" i="12"/>
  <c r="Z193" i="12"/>
  <c r="Z194" i="12"/>
  <c r="Z195" i="12"/>
  <c r="Z196" i="12"/>
  <c r="Z197" i="12"/>
  <c r="Z198" i="12"/>
  <c r="Z2" i="12"/>
  <c r="AC2" i="12"/>
  <c r="AC3" i="12"/>
  <c r="AC4" i="12"/>
  <c r="AC5" i="12"/>
  <c r="AC6" i="12"/>
  <c r="AC7" i="12"/>
  <c r="AC8" i="12"/>
  <c r="AC9" i="12"/>
  <c r="AC10" i="12"/>
  <c r="AC11" i="12"/>
  <c r="AC12" i="12"/>
  <c r="AC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28" i="12"/>
  <c r="AC29" i="12"/>
  <c r="AC30" i="12"/>
  <c r="AC31" i="12"/>
  <c r="AC32" i="12"/>
  <c r="AC33" i="12"/>
  <c r="AC34" i="12"/>
  <c r="AC35" i="12"/>
  <c r="AC36" i="12"/>
  <c r="AC37" i="12"/>
  <c r="AC38" i="12"/>
  <c r="AC39" i="12"/>
  <c r="AC40" i="12"/>
  <c r="AC41" i="12"/>
  <c r="AC42" i="12"/>
  <c r="AC43" i="12"/>
  <c r="AC44" i="12"/>
  <c r="AC45" i="12"/>
  <c r="AC46" i="12"/>
  <c r="AC47" i="12"/>
  <c r="AC48" i="12"/>
  <c r="AC49" i="12"/>
  <c r="AC50" i="12"/>
  <c r="AC51" i="12"/>
  <c r="AC52" i="12"/>
  <c r="AC53" i="12"/>
  <c r="AC54" i="12"/>
  <c r="AC55" i="12"/>
  <c r="AC56" i="12"/>
  <c r="AC57" i="12"/>
  <c r="AC58" i="12"/>
  <c r="AC59" i="12"/>
  <c r="AC60" i="12"/>
  <c r="AC61" i="12"/>
  <c r="AC62" i="12"/>
  <c r="AC63" i="12"/>
  <c r="AC64" i="12"/>
  <c r="AC65" i="12"/>
  <c r="AC66" i="12"/>
  <c r="AC67" i="12"/>
  <c r="AC68" i="12"/>
  <c r="AC69" i="12"/>
  <c r="AC70" i="12"/>
  <c r="AC71" i="12"/>
  <c r="AC72" i="12"/>
  <c r="AC73" i="12"/>
  <c r="AC74" i="12"/>
  <c r="AC75" i="12"/>
  <c r="AC76" i="12"/>
  <c r="AC77" i="12"/>
  <c r="AC78" i="12"/>
  <c r="AC79" i="12"/>
  <c r="AC80" i="12"/>
  <c r="AC81" i="12"/>
  <c r="AC82" i="12"/>
  <c r="AC83" i="12"/>
  <c r="AC84" i="12"/>
  <c r="AC85" i="12"/>
  <c r="AC86" i="12"/>
  <c r="AC87" i="12"/>
  <c r="AC88" i="12"/>
  <c r="AC89" i="12"/>
  <c r="AC90" i="12"/>
  <c r="AC91" i="12"/>
  <c r="AC92" i="12"/>
  <c r="AC93" i="12"/>
  <c r="AC94" i="12"/>
  <c r="AC95" i="12"/>
  <c r="AC96" i="12"/>
  <c r="AC97" i="12"/>
  <c r="AC98" i="12"/>
  <c r="AC99" i="12"/>
  <c r="AC100" i="12"/>
  <c r="AC101" i="12"/>
  <c r="AC102" i="12"/>
  <c r="AC103" i="12"/>
  <c r="AC104" i="12"/>
  <c r="AC105" i="12"/>
  <c r="AC106" i="12"/>
  <c r="AC107" i="12"/>
  <c r="AC108" i="12"/>
  <c r="AC109" i="12"/>
  <c r="AC110" i="12"/>
  <c r="AC111" i="12"/>
  <c r="AC112" i="12"/>
  <c r="AC113" i="12"/>
  <c r="AC114" i="12"/>
  <c r="AC115" i="12"/>
  <c r="AC116" i="12"/>
  <c r="AC117" i="12"/>
  <c r="AC118" i="12"/>
  <c r="AC119" i="12"/>
  <c r="AC120" i="12"/>
  <c r="AC121" i="12"/>
  <c r="AC122" i="12"/>
  <c r="AC123" i="12"/>
  <c r="AC124" i="12"/>
  <c r="AC125" i="12"/>
  <c r="AC126" i="12"/>
  <c r="AC127" i="12"/>
  <c r="AC128" i="12"/>
  <c r="AC129" i="12"/>
  <c r="AC130" i="12"/>
  <c r="AC131" i="12"/>
  <c r="AC132" i="12"/>
  <c r="AC133" i="12"/>
  <c r="AC134" i="12"/>
  <c r="AC135" i="12"/>
  <c r="AC136" i="12"/>
  <c r="AC137" i="12"/>
  <c r="AC138" i="12"/>
  <c r="AC139" i="12"/>
  <c r="AC140" i="12"/>
  <c r="AC141" i="12"/>
  <c r="AC142" i="12"/>
  <c r="AC143" i="12"/>
  <c r="AC144" i="12"/>
  <c r="AC145" i="12"/>
  <c r="AC146" i="12"/>
  <c r="AC147" i="12"/>
  <c r="AC148" i="12"/>
  <c r="AC149" i="12"/>
  <c r="AC150" i="12"/>
  <c r="AC151" i="12"/>
  <c r="AC152" i="12"/>
  <c r="AC153" i="12"/>
  <c r="AC154" i="12"/>
  <c r="AC155" i="12"/>
  <c r="AC156" i="12"/>
  <c r="AC157" i="12"/>
  <c r="AC158" i="12"/>
  <c r="AC159" i="12"/>
  <c r="AC160" i="12"/>
  <c r="AC161" i="12"/>
  <c r="AC162" i="12"/>
  <c r="AC163" i="12"/>
  <c r="AC164" i="12"/>
  <c r="AC165" i="12"/>
  <c r="AC166" i="12"/>
  <c r="AC167" i="12"/>
  <c r="AC168" i="12"/>
  <c r="AC169" i="12"/>
  <c r="AC170" i="12"/>
  <c r="AC171" i="12"/>
  <c r="AC172" i="12"/>
  <c r="AC173" i="12"/>
  <c r="AC174" i="12"/>
  <c r="AC175" i="12"/>
  <c r="AC176" i="12"/>
  <c r="AC177" i="12"/>
  <c r="AC178" i="12"/>
  <c r="AC179" i="12"/>
  <c r="AC180" i="12"/>
  <c r="AC181" i="12"/>
  <c r="AC182" i="12"/>
  <c r="AC183" i="12"/>
  <c r="AC184" i="12"/>
  <c r="AC185" i="12"/>
  <c r="AC186" i="12"/>
  <c r="AC187" i="12"/>
  <c r="AC188" i="12"/>
  <c r="AC189" i="12"/>
  <c r="AC190" i="12"/>
  <c r="AC191" i="12"/>
  <c r="AC192" i="12"/>
  <c r="AC193" i="12"/>
  <c r="AC194" i="12"/>
  <c r="AC195" i="12"/>
  <c r="AC196" i="12"/>
  <c r="AC197" i="12"/>
  <c r="AC198" i="12"/>
  <c r="AB2" i="12"/>
  <c r="AB3" i="12"/>
  <c r="AB4" i="12"/>
  <c r="AB5" i="12"/>
  <c r="AB6" i="12"/>
  <c r="AB7" i="12"/>
  <c r="AB8" i="12"/>
  <c r="AB9" i="12"/>
  <c r="AB10" i="12"/>
  <c r="AB11" i="12"/>
  <c r="AB12" i="12"/>
  <c r="AB13" i="12"/>
  <c r="AB14" i="12"/>
  <c r="AB15" i="12"/>
  <c r="AB16" i="12"/>
  <c r="AB17" i="12"/>
  <c r="AB18" i="12"/>
  <c r="AB19" i="12"/>
  <c r="AB20" i="12"/>
  <c r="AB21" i="12"/>
  <c r="AB22" i="12"/>
  <c r="AB23" i="12"/>
  <c r="AB24" i="12"/>
  <c r="AB25" i="12"/>
  <c r="AB26" i="12"/>
  <c r="AB27" i="12"/>
  <c r="AB28" i="12"/>
  <c r="AB29" i="12"/>
  <c r="AB30" i="12"/>
  <c r="AB31" i="12"/>
  <c r="AB32" i="12"/>
  <c r="AB33" i="12"/>
  <c r="AB34" i="12"/>
  <c r="AB35" i="12"/>
  <c r="AB36" i="12"/>
  <c r="AB37" i="12"/>
  <c r="AB38" i="12"/>
  <c r="AB39" i="12"/>
  <c r="AB40" i="12"/>
  <c r="AB41" i="12"/>
  <c r="AB42" i="12"/>
  <c r="AB43" i="12"/>
  <c r="AB44" i="12"/>
  <c r="AB45" i="12"/>
  <c r="AB46" i="12"/>
  <c r="AB47" i="12"/>
  <c r="AB48" i="12"/>
  <c r="AB49" i="12"/>
  <c r="AB50" i="12"/>
  <c r="AB51" i="12"/>
  <c r="AB52" i="12"/>
  <c r="AB53" i="12"/>
  <c r="AB54" i="12"/>
  <c r="AB55" i="12"/>
  <c r="AB56" i="12"/>
  <c r="AB57" i="12"/>
  <c r="AB58" i="12"/>
  <c r="AB59" i="12"/>
  <c r="AB60" i="12"/>
  <c r="AB61" i="12"/>
  <c r="AB62" i="12"/>
  <c r="AB63" i="12"/>
  <c r="AB64" i="12"/>
  <c r="AB65" i="12"/>
  <c r="AB66" i="12"/>
  <c r="AB67" i="12"/>
  <c r="AB68" i="12"/>
  <c r="AB69" i="12"/>
  <c r="AB70" i="12"/>
  <c r="AB71" i="12"/>
  <c r="AB72" i="12"/>
  <c r="AB73" i="12"/>
  <c r="AB74" i="12"/>
  <c r="AB75" i="12"/>
  <c r="AB76" i="12"/>
  <c r="AB77" i="12"/>
  <c r="AB78" i="12"/>
  <c r="AB79" i="12"/>
  <c r="AB80" i="12"/>
  <c r="AB81" i="12"/>
  <c r="AB82" i="12"/>
  <c r="AB83" i="12"/>
  <c r="AB84" i="12"/>
  <c r="AB85" i="12"/>
  <c r="AB86" i="12"/>
  <c r="AB87" i="12"/>
  <c r="AB88" i="12"/>
  <c r="AB89" i="12"/>
  <c r="AB90" i="12"/>
  <c r="AB91" i="12"/>
  <c r="AB92" i="12"/>
  <c r="AB93" i="12"/>
  <c r="AB94" i="12"/>
  <c r="AB95" i="12"/>
  <c r="AB96" i="12"/>
  <c r="AB97" i="12"/>
  <c r="AB98" i="12"/>
  <c r="AB99" i="12"/>
  <c r="AB100" i="12"/>
  <c r="AB101" i="12"/>
  <c r="AB102" i="12"/>
  <c r="AB103" i="12"/>
  <c r="AB104" i="12"/>
  <c r="AB105" i="12"/>
  <c r="AB106" i="12"/>
  <c r="AB107" i="12"/>
  <c r="AB108" i="12"/>
  <c r="AB109" i="12"/>
  <c r="AB110" i="12"/>
  <c r="AB111" i="12"/>
  <c r="AB112" i="12"/>
  <c r="AB113" i="12"/>
  <c r="AB114" i="12"/>
  <c r="AB115" i="12"/>
  <c r="AB116" i="12"/>
  <c r="AB117" i="12"/>
  <c r="AB118" i="12"/>
  <c r="AB119" i="12"/>
  <c r="AB120" i="12"/>
  <c r="AB121" i="12"/>
  <c r="AB122" i="12"/>
  <c r="AB123" i="12"/>
  <c r="AB124" i="12"/>
  <c r="AB125" i="12"/>
  <c r="AB126" i="12"/>
  <c r="AB127" i="12"/>
  <c r="AB128" i="12"/>
  <c r="AB129" i="12"/>
  <c r="AB130" i="12"/>
  <c r="AB131" i="12"/>
  <c r="AB132" i="12"/>
  <c r="AB133" i="12"/>
  <c r="AB134" i="12"/>
  <c r="AB135" i="12"/>
  <c r="AB136" i="12"/>
  <c r="AB137" i="12"/>
  <c r="AB138" i="12"/>
  <c r="AB139" i="12"/>
  <c r="AB140" i="12"/>
  <c r="AB141" i="12"/>
  <c r="AB142" i="12"/>
  <c r="AB143" i="12"/>
  <c r="AB144" i="12"/>
  <c r="AB145" i="12"/>
  <c r="AB146" i="12"/>
  <c r="AB147" i="12"/>
  <c r="AB148" i="12"/>
  <c r="AB149" i="12"/>
  <c r="AB150" i="12"/>
  <c r="AB151" i="12"/>
  <c r="AB152" i="12"/>
  <c r="AB153" i="12"/>
  <c r="AB154" i="12"/>
  <c r="AB155" i="12"/>
  <c r="AB156" i="12"/>
  <c r="AB157" i="12"/>
  <c r="AB158" i="12"/>
  <c r="AB159" i="12"/>
  <c r="AB160" i="12"/>
  <c r="AB161" i="12"/>
  <c r="AB162" i="12"/>
  <c r="AB163" i="12"/>
  <c r="AB164" i="12"/>
  <c r="AB165" i="12"/>
  <c r="AB166" i="12"/>
  <c r="AB167" i="12"/>
  <c r="AB168" i="12"/>
  <c r="AB169" i="12"/>
  <c r="AB170" i="12"/>
  <c r="AB171" i="12"/>
  <c r="AB172" i="12"/>
  <c r="AB173" i="12"/>
  <c r="AB174" i="12"/>
  <c r="AB175" i="12"/>
  <c r="AB176" i="12"/>
  <c r="AB177" i="12"/>
  <c r="AB178" i="12"/>
  <c r="AB179" i="12"/>
  <c r="AB180" i="12"/>
  <c r="AB181" i="12"/>
  <c r="AB182" i="12"/>
  <c r="AB183" i="12"/>
  <c r="AB184" i="12"/>
  <c r="AB185" i="12"/>
  <c r="AB186" i="12"/>
  <c r="AB187" i="12"/>
  <c r="AB188" i="12"/>
  <c r="AB189" i="12"/>
  <c r="AB190" i="12"/>
  <c r="AB191" i="12"/>
  <c r="AB192" i="12"/>
  <c r="AB193" i="12"/>
  <c r="AB194" i="12"/>
  <c r="AB195" i="12"/>
  <c r="AB196" i="12"/>
  <c r="AB197" i="12"/>
  <c r="AB198" i="12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2" i="8"/>
  <c r="AC3" i="8"/>
  <c r="AC4" i="8"/>
  <c r="AC5" i="8"/>
  <c r="Z5" i="8" s="1"/>
  <c r="AC6" i="8"/>
  <c r="Z6" i="8" s="1"/>
  <c r="AC7" i="8"/>
  <c r="AC8" i="8"/>
  <c r="AC9" i="8"/>
  <c r="Z9" i="8" s="1"/>
  <c r="AC10" i="8"/>
  <c r="Z10" i="8" s="1"/>
  <c r="AC11" i="8"/>
  <c r="AC12" i="8"/>
  <c r="AC13" i="8"/>
  <c r="Z13" i="8" s="1"/>
  <c r="AC14" i="8"/>
  <c r="Z14" i="8" s="1"/>
  <c r="AC15" i="8"/>
  <c r="AC16" i="8"/>
  <c r="AC17" i="8"/>
  <c r="Z17" i="8" s="1"/>
  <c r="AC18" i="8"/>
  <c r="Z18" i="8" s="1"/>
  <c r="AC19" i="8"/>
  <c r="AC20" i="8"/>
  <c r="AC21" i="8"/>
  <c r="Z21" i="8" s="1"/>
  <c r="AC22" i="8"/>
  <c r="Z22" i="8" s="1"/>
  <c r="AC23" i="8"/>
  <c r="AC24" i="8"/>
  <c r="AC25" i="8"/>
  <c r="Z25" i="8" s="1"/>
  <c r="AC26" i="8"/>
  <c r="Z26" i="8" s="1"/>
  <c r="AC27" i="8"/>
  <c r="AC28" i="8"/>
  <c r="AC29" i="8"/>
  <c r="Z29" i="8" s="1"/>
  <c r="AC30" i="8"/>
  <c r="Z30" i="8" s="1"/>
  <c r="AC31" i="8"/>
  <c r="AC32" i="8"/>
  <c r="AC33" i="8"/>
  <c r="Z33" i="8" s="1"/>
  <c r="AC34" i="8"/>
  <c r="Z34" i="8" s="1"/>
  <c r="AC35" i="8"/>
  <c r="AC36" i="8"/>
  <c r="AC37" i="8"/>
  <c r="Z37" i="8" s="1"/>
  <c r="AC38" i="8"/>
  <c r="Z38" i="8" s="1"/>
  <c r="AC39" i="8"/>
  <c r="AC40" i="8"/>
  <c r="AC41" i="8"/>
  <c r="Z41" i="8" s="1"/>
  <c r="AC42" i="8"/>
  <c r="Z42" i="8" s="1"/>
  <c r="AC43" i="8"/>
  <c r="AC44" i="8"/>
  <c r="AC45" i="8"/>
  <c r="Z45" i="8" s="1"/>
  <c r="AC46" i="8"/>
  <c r="Z46" i="8" s="1"/>
  <c r="AC47" i="8"/>
  <c r="AC48" i="8"/>
  <c r="AC49" i="8"/>
  <c r="Z49" i="8" s="1"/>
  <c r="AC50" i="8"/>
  <c r="Z50" i="8" s="1"/>
  <c r="AC51" i="8"/>
  <c r="AC52" i="8"/>
  <c r="AC53" i="8"/>
  <c r="Z53" i="8" s="1"/>
  <c r="AC54" i="8"/>
  <c r="Z54" i="8" s="1"/>
  <c r="AC55" i="8"/>
  <c r="AC56" i="8"/>
  <c r="AC57" i="8"/>
  <c r="Z57" i="8" s="1"/>
  <c r="AC58" i="8"/>
  <c r="Z58" i="8" s="1"/>
  <c r="AC59" i="8"/>
  <c r="AC60" i="8"/>
  <c r="AC61" i="8"/>
  <c r="Z61" i="8" s="1"/>
  <c r="AC62" i="8"/>
  <c r="Z62" i="8" s="1"/>
  <c r="AC63" i="8"/>
  <c r="AC64" i="8"/>
  <c r="AC65" i="8"/>
  <c r="Z65" i="8" s="1"/>
  <c r="AC66" i="8"/>
  <c r="Z66" i="8" s="1"/>
  <c r="AC67" i="8"/>
  <c r="AC68" i="8"/>
  <c r="AC69" i="8"/>
  <c r="Z69" i="8" s="1"/>
  <c r="AC70" i="8"/>
  <c r="Z70" i="8" s="1"/>
  <c r="AC71" i="8"/>
  <c r="AC72" i="8"/>
  <c r="AC73" i="8"/>
  <c r="Z73" i="8" s="1"/>
  <c r="AC74" i="8"/>
  <c r="Z74" i="8" s="1"/>
  <c r="AC75" i="8"/>
  <c r="AC76" i="8"/>
  <c r="AC77" i="8"/>
  <c r="Z77" i="8" s="1"/>
  <c r="AC78" i="8"/>
  <c r="Z78" i="8" s="1"/>
  <c r="AC79" i="8"/>
  <c r="AC80" i="8"/>
  <c r="AC81" i="8"/>
  <c r="Z81" i="8" s="1"/>
  <c r="AC82" i="8"/>
  <c r="Z82" i="8" s="1"/>
  <c r="AC83" i="8"/>
  <c r="AC84" i="8"/>
  <c r="AC85" i="8"/>
  <c r="Z85" i="8" s="1"/>
  <c r="AC86" i="8"/>
  <c r="Z86" i="8" s="1"/>
  <c r="AC87" i="8"/>
  <c r="AC88" i="8"/>
  <c r="AC89" i="8"/>
  <c r="Z89" i="8" s="1"/>
  <c r="AB3" i="8"/>
  <c r="AB4" i="8"/>
  <c r="AB5" i="8"/>
  <c r="AB6" i="8"/>
  <c r="AB7" i="8"/>
  <c r="AB8" i="8"/>
  <c r="AB9" i="8"/>
  <c r="AB10" i="8"/>
  <c r="AB11" i="8"/>
  <c r="AB12" i="8"/>
  <c r="AB13" i="8"/>
  <c r="AB14" i="8"/>
  <c r="AB15" i="8"/>
  <c r="AB16" i="8"/>
  <c r="AB17" i="8"/>
  <c r="AB18" i="8"/>
  <c r="AB19" i="8"/>
  <c r="AB20" i="8"/>
  <c r="AB21" i="8"/>
  <c r="AB22" i="8"/>
  <c r="AB23" i="8"/>
  <c r="AB24" i="8"/>
  <c r="AB25" i="8"/>
  <c r="AB26" i="8"/>
  <c r="AB27" i="8"/>
  <c r="AB28" i="8"/>
  <c r="AB29" i="8"/>
  <c r="AB30" i="8"/>
  <c r="AB31" i="8"/>
  <c r="AB32" i="8"/>
  <c r="AB33" i="8"/>
  <c r="AB34" i="8"/>
  <c r="AB35" i="8"/>
  <c r="AB36" i="8"/>
  <c r="AB37" i="8"/>
  <c r="AB38" i="8"/>
  <c r="AB39" i="8"/>
  <c r="AB40" i="8"/>
  <c r="AB41" i="8"/>
  <c r="AB42" i="8"/>
  <c r="AB43" i="8"/>
  <c r="AB44" i="8"/>
  <c r="AB45" i="8"/>
  <c r="AB46" i="8"/>
  <c r="AB47" i="8"/>
  <c r="AB48" i="8"/>
  <c r="AB49" i="8"/>
  <c r="AB50" i="8"/>
  <c r="AB51" i="8"/>
  <c r="AB52" i="8"/>
  <c r="AB53" i="8"/>
  <c r="AB54" i="8"/>
  <c r="AB55" i="8"/>
  <c r="AB56" i="8"/>
  <c r="AB57" i="8"/>
  <c r="AB58" i="8"/>
  <c r="AB59" i="8"/>
  <c r="AB60" i="8"/>
  <c r="AB61" i="8"/>
  <c r="AB62" i="8"/>
  <c r="AB63" i="8"/>
  <c r="AB64" i="8"/>
  <c r="AB65" i="8"/>
  <c r="AB66" i="8"/>
  <c r="AB67" i="8"/>
  <c r="AB68" i="8"/>
  <c r="AB69" i="8"/>
  <c r="AB70" i="8"/>
  <c r="AB71" i="8"/>
  <c r="AB72" i="8"/>
  <c r="AB73" i="8"/>
  <c r="AB74" i="8"/>
  <c r="AB75" i="8"/>
  <c r="AB76" i="8"/>
  <c r="AB77" i="8"/>
  <c r="AB78" i="8"/>
  <c r="AB79" i="8"/>
  <c r="AB80" i="8"/>
  <c r="AB81" i="8"/>
  <c r="AB82" i="8"/>
  <c r="AB83" i="8"/>
  <c r="AB84" i="8"/>
  <c r="AB85" i="8"/>
  <c r="AB86" i="8"/>
  <c r="AB87" i="8"/>
  <c r="AB88" i="8"/>
  <c r="AB89" i="8"/>
  <c r="Z3" i="8"/>
  <c r="Z4" i="8"/>
  <c r="Z7" i="8"/>
  <c r="Z8" i="8"/>
  <c r="Z11" i="8"/>
  <c r="Z12" i="8"/>
  <c r="Z15" i="8"/>
  <c r="Z16" i="8"/>
  <c r="Z19" i="8"/>
  <c r="Z20" i="8"/>
  <c r="Z23" i="8"/>
  <c r="Z24" i="8"/>
  <c r="Z27" i="8"/>
  <c r="Z28" i="8"/>
  <c r="Z31" i="8"/>
  <c r="Z32" i="8"/>
  <c r="Z35" i="8"/>
  <c r="Z36" i="8"/>
  <c r="Z39" i="8"/>
  <c r="Z40" i="8"/>
  <c r="Z43" i="8"/>
  <c r="Z44" i="8"/>
  <c r="Z47" i="8"/>
  <c r="Z48" i="8"/>
  <c r="Z51" i="8"/>
  <c r="Z52" i="8"/>
  <c r="Z55" i="8"/>
  <c r="Z56" i="8"/>
  <c r="Z59" i="8"/>
  <c r="Z60" i="8"/>
  <c r="Z63" i="8"/>
  <c r="Z64" i="8"/>
  <c r="Z67" i="8"/>
  <c r="Z68" i="8"/>
  <c r="Z71" i="8"/>
  <c r="Z72" i="8"/>
  <c r="Z75" i="8"/>
  <c r="Z76" i="8"/>
  <c r="Z79" i="8"/>
  <c r="Z80" i="8"/>
  <c r="Z83" i="8"/>
  <c r="Z84" i="8"/>
  <c r="Z87" i="8"/>
  <c r="Z88" i="8"/>
  <c r="Z2" i="8"/>
  <c r="AC2" i="8"/>
  <c r="AB2" i="8"/>
  <c r="I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Z3" i="7"/>
  <c r="Z4" i="7"/>
  <c r="Z5" i="7"/>
  <c r="Z6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2" i="7"/>
  <c r="AC2" i="7"/>
  <c r="AC3" i="7"/>
  <c r="AC4" i="7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B2" i="7"/>
  <c r="AB3" i="7"/>
  <c r="AB4" i="7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2" i="20"/>
  <c r="Z2" i="20"/>
  <c r="Z3" i="20"/>
  <c r="Z4" i="20"/>
  <c r="Z5" i="20"/>
  <c r="Z6" i="20"/>
  <c r="Z7" i="20"/>
  <c r="Z8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1" i="20"/>
  <c r="Z22" i="20"/>
  <c r="Z23" i="20"/>
  <c r="Z24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3" i="20"/>
  <c r="AC2" i="20"/>
  <c r="AC3" i="20"/>
  <c r="AC4" i="20"/>
  <c r="AC5" i="20"/>
  <c r="AC6" i="20"/>
  <c r="AC7" i="20"/>
  <c r="AC8" i="20"/>
  <c r="AC9" i="20"/>
  <c r="AC10" i="20"/>
  <c r="AC11" i="20"/>
  <c r="AC12" i="20"/>
  <c r="AC13" i="20"/>
  <c r="AC14" i="20"/>
  <c r="AC15" i="20"/>
  <c r="AC16" i="20"/>
  <c r="AC17" i="20"/>
  <c r="AC18" i="20"/>
  <c r="AC19" i="20"/>
  <c r="AC20" i="20"/>
  <c r="AC21" i="20"/>
  <c r="AC22" i="20"/>
  <c r="AC23" i="20"/>
  <c r="AC24" i="20"/>
  <c r="AC25" i="20"/>
  <c r="AC26" i="20"/>
  <c r="AC27" i="20"/>
  <c r="AC28" i="20"/>
  <c r="AC29" i="20"/>
  <c r="AC30" i="20"/>
  <c r="AC31" i="20"/>
  <c r="AC32" i="20"/>
  <c r="AC33" i="20"/>
  <c r="AC34" i="20"/>
  <c r="AC35" i="20"/>
  <c r="AC36" i="20"/>
  <c r="AC37" i="20"/>
  <c r="AC38" i="20"/>
  <c r="AC39" i="20"/>
  <c r="AC40" i="20"/>
  <c r="AC41" i="20"/>
  <c r="AC42" i="20"/>
  <c r="AC43" i="20"/>
  <c r="AB2" i="20"/>
  <c r="AB3" i="20"/>
  <c r="AB4" i="20"/>
  <c r="AB5" i="20"/>
  <c r="AB6" i="20"/>
  <c r="AB7" i="20"/>
  <c r="AB8" i="20"/>
  <c r="AB9" i="20"/>
  <c r="AB10" i="20"/>
  <c r="AB11" i="20"/>
  <c r="AB12" i="20"/>
  <c r="AB13" i="20"/>
  <c r="AB14" i="20"/>
  <c r="AB15" i="20"/>
  <c r="AB16" i="20"/>
  <c r="AB17" i="20"/>
  <c r="AB18" i="20"/>
  <c r="AB19" i="20"/>
  <c r="AB20" i="20"/>
  <c r="AB21" i="20"/>
  <c r="AB22" i="20"/>
  <c r="AB23" i="20"/>
  <c r="AB24" i="20"/>
  <c r="AB25" i="20"/>
  <c r="AB26" i="20"/>
  <c r="AB27" i="20"/>
  <c r="AB28" i="20"/>
  <c r="AB29" i="20"/>
  <c r="AB30" i="20"/>
  <c r="AB31" i="20"/>
  <c r="AB32" i="20"/>
  <c r="AB33" i="20"/>
  <c r="AB34" i="20"/>
  <c r="AB35" i="20"/>
  <c r="AB36" i="20"/>
  <c r="AB37" i="20"/>
  <c r="AB38" i="20"/>
  <c r="AB39" i="20"/>
  <c r="AB40" i="20"/>
  <c r="AB41" i="20"/>
  <c r="AB42" i="20"/>
  <c r="AB43" i="20"/>
  <c r="AL17" i="22" l="1"/>
  <c r="O17" i="22" s="1"/>
  <c r="AK17" i="22"/>
  <c r="AJ17" i="22"/>
  <c r="AG17" i="22"/>
  <c r="AC17" i="22"/>
  <c r="V17" i="22" s="1"/>
  <c r="X17" i="22" s="1"/>
  <c r="AA17" i="22"/>
  <c r="Y17" i="22"/>
  <c r="W17" i="22"/>
  <c r="N17" i="22"/>
  <c r="M17" i="22"/>
  <c r="L17" i="22"/>
  <c r="K17" i="22"/>
  <c r="G17" i="22"/>
  <c r="T17" i="22" s="1"/>
  <c r="AL16" i="22"/>
  <c r="AK16" i="22"/>
  <c r="H16" i="22" s="1"/>
  <c r="AJ16" i="22"/>
  <c r="K16" i="22" s="1"/>
  <c r="AG16" i="22"/>
  <c r="AC16" i="22"/>
  <c r="M16" i="22" s="1"/>
  <c r="AA16" i="22"/>
  <c r="Y16" i="22"/>
  <c r="N16" i="22"/>
  <c r="L16" i="22"/>
  <c r="J16" i="22"/>
  <c r="G16" i="22"/>
  <c r="O16" i="22" s="1"/>
  <c r="AL15" i="22"/>
  <c r="S15" i="22" s="1"/>
  <c r="AK15" i="22"/>
  <c r="H15" i="22" s="1"/>
  <c r="AJ15" i="22"/>
  <c r="AG15" i="22"/>
  <c r="AC15" i="22"/>
  <c r="P15" i="22" s="1"/>
  <c r="AA15" i="22"/>
  <c r="Y15" i="22"/>
  <c r="T15" i="22"/>
  <c r="N15" i="22"/>
  <c r="K15" i="22"/>
  <c r="G15" i="22"/>
  <c r="U15" i="22" s="1"/>
  <c r="AL14" i="22"/>
  <c r="AK14" i="22"/>
  <c r="AJ14" i="22"/>
  <c r="K14" i="22" s="1"/>
  <c r="AG14" i="22"/>
  <c r="AC14" i="22"/>
  <c r="V14" i="22" s="1"/>
  <c r="X14" i="22" s="1"/>
  <c r="AA14" i="22"/>
  <c r="Y14" i="22"/>
  <c r="T14" i="22"/>
  <c r="O14" i="22"/>
  <c r="L14" i="22"/>
  <c r="G14" i="22"/>
  <c r="N14" i="22" s="1"/>
  <c r="AL13" i="22"/>
  <c r="AK13" i="22"/>
  <c r="AJ13" i="22"/>
  <c r="K13" i="22" s="1"/>
  <c r="AG13" i="22"/>
  <c r="AC13" i="22"/>
  <c r="L13" i="22" s="1"/>
  <c r="AA13" i="22"/>
  <c r="Y13" i="22"/>
  <c r="Q13" i="22"/>
  <c r="N13" i="22"/>
  <c r="G13" i="22"/>
  <c r="W13" i="22" s="1"/>
  <c r="AL12" i="22"/>
  <c r="AK12" i="22"/>
  <c r="AJ12" i="22"/>
  <c r="K12" i="22" s="1"/>
  <c r="AG12" i="22"/>
  <c r="AC12" i="22"/>
  <c r="L12" i="22" s="1"/>
  <c r="AA12" i="22"/>
  <c r="Y12" i="22"/>
  <c r="T12" i="22"/>
  <c r="S12" i="22"/>
  <c r="G12" i="22"/>
  <c r="AL11" i="22"/>
  <c r="AK11" i="22"/>
  <c r="AJ11" i="22"/>
  <c r="K11" i="22" s="1"/>
  <c r="AG11" i="22"/>
  <c r="AC11" i="22"/>
  <c r="L11" i="22" s="1"/>
  <c r="AA11" i="22"/>
  <c r="Y11" i="22"/>
  <c r="V11" i="22"/>
  <c r="X11" i="22" s="1"/>
  <c r="U11" i="22"/>
  <c r="P11" i="22"/>
  <c r="N11" i="22"/>
  <c r="I11" i="22"/>
  <c r="G11" i="22"/>
  <c r="O11" i="22" s="1"/>
  <c r="F11" i="22"/>
  <c r="Z11" i="22" s="1"/>
  <c r="AL10" i="22"/>
  <c r="S10" i="22" s="1"/>
  <c r="AK10" i="22"/>
  <c r="H10" i="22" s="1"/>
  <c r="AJ10" i="22"/>
  <c r="AG10" i="22"/>
  <c r="AC10" i="22"/>
  <c r="AA10" i="22"/>
  <c r="Y10" i="22"/>
  <c r="W10" i="22"/>
  <c r="T10" i="22"/>
  <c r="L10" i="22"/>
  <c r="K10" i="22"/>
  <c r="G10" i="22"/>
  <c r="AL9" i="22"/>
  <c r="AK9" i="22"/>
  <c r="AJ9" i="22"/>
  <c r="K9" i="22" s="1"/>
  <c r="AG9" i="22"/>
  <c r="AC9" i="22"/>
  <c r="M9" i="22" s="1"/>
  <c r="AA9" i="22"/>
  <c r="Y9" i="22"/>
  <c r="T9" i="22"/>
  <c r="R9" i="22"/>
  <c r="O9" i="22"/>
  <c r="G9" i="22"/>
  <c r="N9" i="22" s="1"/>
  <c r="AL8" i="22"/>
  <c r="AK8" i="22"/>
  <c r="AJ8" i="22"/>
  <c r="K8" i="22" s="1"/>
  <c r="AG8" i="22"/>
  <c r="AC8" i="22"/>
  <c r="AA8" i="22"/>
  <c r="Y8" i="22"/>
  <c r="X8" i="22"/>
  <c r="V8" i="22"/>
  <c r="R8" i="22"/>
  <c r="Q8" i="22"/>
  <c r="L8" i="22"/>
  <c r="G8" i="22"/>
  <c r="M8" i="22" s="1"/>
  <c r="F8" i="22"/>
  <c r="Z8" i="22" s="1"/>
  <c r="AL7" i="22"/>
  <c r="AK7" i="22"/>
  <c r="AJ7" i="22"/>
  <c r="AG7" i="22"/>
  <c r="AC7" i="22"/>
  <c r="AA7" i="22"/>
  <c r="Y7" i="22"/>
  <c r="S7" i="22"/>
  <c r="K7" i="22"/>
  <c r="G7" i="22"/>
  <c r="R7" i="22" s="1"/>
  <c r="AL6" i="22"/>
  <c r="O6" i="22" s="1"/>
  <c r="AK6" i="22"/>
  <c r="AJ6" i="22"/>
  <c r="AG6" i="22"/>
  <c r="AC6" i="22"/>
  <c r="L6" i="22" s="1"/>
  <c r="AA6" i="22"/>
  <c r="Y6" i="22"/>
  <c r="K6" i="22"/>
  <c r="G6" i="22"/>
  <c r="T6" i="22" s="1"/>
  <c r="AK5" i="22"/>
  <c r="AJ5" i="22"/>
  <c r="K5" i="22" s="1"/>
  <c r="AG5" i="22"/>
  <c r="AB5" i="22"/>
  <c r="AL5" i="22" s="1"/>
  <c r="AA5" i="22"/>
  <c r="Z5" i="22"/>
  <c r="V5" i="22"/>
  <c r="X5" i="22" s="1"/>
  <c r="L5" i="22"/>
  <c r="F5" i="22"/>
  <c r="AK4" i="22"/>
  <c r="AJ4" i="22"/>
  <c r="K4" i="22" s="1"/>
  <c r="AG4" i="22"/>
  <c r="AB4" i="22"/>
  <c r="AL4" i="22" s="1"/>
  <c r="AA4" i="22"/>
  <c r="V4" i="22"/>
  <c r="X4" i="22" s="1"/>
  <c r="L4" i="22"/>
  <c r="G4" i="22"/>
  <c r="S4" i="22" s="1"/>
  <c r="F4" i="22"/>
  <c r="AK3" i="22"/>
  <c r="AJ3" i="22"/>
  <c r="K3" i="22" s="1"/>
  <c r="AG3" i="22"/>
  <c r="AB3" i="22"/>
  <c r="AL3" i="22" s="1"/>
  <c r="AA3" i="22"/>
  <c r="Z3" i="22"/>
  <c r="Y3" i="22"/>
  <c r="V3" i="22"/>
  <c r="X3" i="22" s="1"/>
  <c r="L3" i="22"/>
  <c r="F3" i="22"/>
  <c r="AK2" i="22"/>
  <c r="AJ2" i="22"/>
  <c r="K2" i="22" s="1"/>
  <c r="AG2" i="22"/>
  <c r="AB2" i="22"/>
  <c r="Y2" i="22" s="1"/>
  <c r="AA2" i="22"/>
  <c r="V2" i="22"/>
  <c r="X2" i="22" s="1"/>
  <c r="L2" i="22"/>
  <c r="F2" i="22"/>
  <c r="Z2" i="22" s="1"/>
  <c r="R13" i="22" l="1"/>
  <c r="Q4" i="22"/>
  <c r="I7" i="22"/>
  <c r="H8" i="22"/>
  <c r="O8" i="22"/>
  <c r="U9" i="22"/>
  <c r="F12" i="22"/>
  <c r="Z12" i="22"/>
  <c r="H13" i="22"/>
  <c r="S13" i="22"/>
  <c r="J9" i="22"/>
  <c r="P14" i="22"/>
  <c r="V9" i="22"/>
  <c r="X9" i="22" s="1"/>
  <c r="P12" i="22"/>
  <c r="V13" i="22"/>
  <c r="X13" i="22" s="1"/>
  <c r="O13" i="22"/>
  <c r="U14" i="22"/>
  <c r="U16" i="22"/>
  <c r="G3" i="22"/>
  <c r="U3" i="22" s="1"/>
  <c r="Y4" i="22"/>
  <c r="N7" i="22"/>
  <c r="J8" i="22"/>
  <c r="W9" i="22"/>
  <c r="P10" i="22"/>
  <c r="N12" i="22"/>
  <c r="J12" i="22"/>
  <c r="J13" i="22"/>
  <c r="F14" i="22"/>
  <c r="F16" i="22"/>
  <c r="Z16" i="22" s="1"/>
  <c r="V16" i="22"/>
  <c r="X16" i="22" s="1"/>
  <c r="R16" i="22"/>
  <c r="J17" i="22"/>
  <c r="F13" i="22"/>
  <c r="O4" i="22"/>
  <c r="Q7" i="22"/>
  <c r="L9" i="22"/>
  <c r="Q12" i="22"/>
  <c r="W16" i="22"/>
  <c r="F17" i="22"/>
  <c r="Z17" i="22" s="1"/>
  <c r="U17" i="22"/>
  <c r="T7" i="22"/>
  <c r="L15" i="22"/>
  <c r="H7" i="22"/>
  <c r="U8" i="22"/>
  <c r="M15" i="22"/>
  <c r="G5" i="22"/>
  <c r="J5" i="22" s="1"/>
  <c r="I8" i="22"/>
  <c r="F9" i="22"/>
  <c r="Z9" i="22" s="1"/>
  <c r="I13" i="22"/>
  <c r="F6" i="22"/>
  <c r="Z6" i="22" s="1"/>
  <c r="Z4" i="22"/>
  <c r="Y5" i="22"/>
  <c r="N8" i="22"/>
  <c r="R12" i="22"/>
  <c r="Z13" i="22"/>
  <c r="H14" i="22"/>
  <c r="I15" i="22"/>
  <c r="I16" i="22"/>
  <c r="R17" i="22"/>
  <c r="Z7" i="22"/>
  <c r="Q3" i="22"/>
  <c r="H5" i="22"/>
  <c r="I3" i="22"/>
  <c r="I4" i="22"/>
  <c r="H6" i="22"/>
  <c r="O10" i="22"/>
  <c r="I12" i="22"/>
  <c r="J3" i="22"/>
  <c r="T3" i="22"/>
  <c r="J4" i="22"/>
  <c r="I6" i="22"/>
  <c r="S11" i="22"/>
  <c r="W7" i="22"/>
  <c r="R11" i="22"/>
  <c r="J11" i="22"/>
  <c r="Q11" i="22"/>
  <c r="M14" i="22"/>
  <c r="W14" i="22"/>
  <c r="P3" i="22"/>
  <c r="M5" i="22"/>
  <c r="P4" i="22"/>
  <c r="H4" i="22"/>
  <c r="Q5" i="22"/>
  <c r="R6" i="22"/>
  <c r="J6" i="22"/>
  <c r="Q6" i="22"/>
  <c r="P6" i="22"/>
  <c r="V7" i="22"/>
  <c r="X7" i="22" s="1"/>
  <c r="F7" i="22"/>
  <c r="R3" i="22"/>
  <c r="R4" i="22"/>
  <c r="R5" i="22"/>
  <c r="S6" i="22"/>
  <c r="J7" i="22"/>
  <c r="T4" i="22"/>
  <c r="T5" i="22"/>
  <c r="U6" i="22"/>
  <c r="L7" i="22"/>
  <c r="U7" i="22"/>
  <c r="W8" i="22"/>
  <c r="N10" i="22"/>
  <c r="U10" i="22"/>
  <c r="M10" i="22"/>
  <c r="Q10" i="22"/>
  <c r="H11" i="22"/>
  <c r="T11" i="22"/>
  <c r="U12" i="22"/>
  <c r="O15" i="22"/>
  <c r="T16" i="22"/>
  <c r="S16" i="22"/>
  <c r="P16" i="22"/>
  <c r="Q17" i="22"/>
  <c r="I17" i="22"/>
  <c r="W15" i="22"/>
  <c r="P17" i="22"/>
  <c r="H17" i="22"/>
  <c r="W12" i="22"/>
  <c r="S17" i="22"/>
  <c r="S3" i="22"/>
  <c r="P5" i="22"/>
  <c r="H3" i="22"/>
  <c r="M3" i="22"/>
  <c r="V6" i="22"/>
  <c r="X6" i="22" s="1"/>
  <c r="M7" i="22"/>
  <c r="R10" i="22"/>
  <c r="V10" i="22"/>
  <c r="X10" i="22" s="1"/>
  <c r="F10" i="22"/>
  <c r="Z10" i="22" s="1"/>
  <c r="V12" i="22"/>
  <c r="X12" i="22" s="1"/>
  <c r="Q16" i="22"/>
  <c r="G2" i="22"/>
  <c r="AL2" i="22"/>
  <c r="N3" i="22"/>
  <c r="W3" i="22"/>
  <c r="M4" i="22"/>
  <c r="W5" i="22"/>
  <c r="M6" i="22"/>
  <c r="W6" i="22"/>
  <c r="I10" i="22"/>
  <c r="M12" i="22"/>
  <c r="Z14" i="22"/>
  <c r="R15" i="22"/>
  <c r="V15" i="22"/>
  <c r="X15" i="22" s="1"/>
  <c r="F15" i="22"/>
  <c r="Z15" i="22" s="1"/>
  <c r="W2" i="22"/>
  <c r="U4" i="22"/>
  <c r="Q15" i="22"/>
  <c r="O3" i="22"/>
  <c r="N4" i="22"/>
  <c r="O5" i="22"/>
  <c r="N6" i="22"/>
  <c r="O7" i="22"/>
  <c r="P7" i="22"/>
  <c r="T8" i="22"/>
  <c r="S8" i="22"/>
  <c r="P8" i="22"/>
  <c r="Q9" i="22"/>
  <c r="I9" i="22"/>
  <c r="P9" i="22"/>
  <c r="H9" i="22"/>
  <c r="S9" i="22"/>
  <c r="J10" i="22"/>
  <c r="M11" i="22"/>
  <c r="W11" i="22"/>
  <c r="U13" i="22"/>
  <c r="M13" i="22"/>
  <c r="T13" i="22"/>
  <c r="P13" i="22"/>
  <c r="R14" i="22"/>
  <c r="J14" i="22"/>
  <c r="Q14" i="22"/>
  <c r="I14" i="22"/>
  <c r="S14" i="22"/>
  <c r="J15" i="22"/>
  <c r="O12" i="22"/>
  <c r="H12" i="22"/>
  <c r="S5" i="22" l="1"/>
  <c r="W4" i="22"/>
  <c r="N5" i="22"/>
  <c r="U5" i="22"/>
  <c r="I5" i="22"/>
  <c r="N2" i="22"/>
  <c r="Q2" i="22"/>
  <c r="H2" i="22"/>
  <c r="J2" i="22"/>
  <c r="P2" i="22"/>
  <c r="O2" i="22"/>
  <c r="S2" i="22"/>
  <c r="M2" i="22"/>
  <c r="I2" i="22"/>
  <c r="U2" i="22"/>
  <c r="T2" i="22"/>
  <c r="R2" i="22"/>
  <c r="Y3" i="17"/>
  <c r="AA3" i="17"/>
  <c r="Y4" i="17"/>
  <c r="AA4" i="17"/>
  <c r="Y5" i="17"/>
  <c r="AA5" i="17"/>
  <c r="Y6" i="17"/>
  <c r="AA6" i="17"/>
  <c r="Y7" i="17"/>
  <c r="AA7" i="17"/>
  <c r="Y8" i="17"/>
  <c r="AA8" i="17"/>
  <c r="Y9" i="17"/>
  <c r="AA9" i="17"/>
  <c r="Y10" i="17"/>
  <c r="AA10" i="17"/>
  <c r="Y11" i="17"/>
  <c r="AA11" i="17"/>
  <c r="Y12" i="17"/>
  <c r="AA12" i="17"/>
  <c r="Y13" i="17"/>
  <c r="AA13" i="17"/>
  <c r="Y14" i="17"/>
  <c r="AA14" i="17"/>
  <c r="Y15" i="17"/>
  <c r="AA15" i="17"/>
  <c r="Y16" i="17"/>
  <c r="AA16" i="17"/>
  <c r="Y17" i="17"/>
  <c r="AA17" i="17"/>
  <c r="Y18" i="17"/>
  <c r="AA18" i="17"/>
  <c r="Y19" i="17"/>
  <c r="AA19" i="17"/>
  <c r="Y20" i="17"/>
  <c r="AA20" i="17"/>
  <c r="Y21" i="17"/>
  <c r="AA21" i="17"/>
  <c r="Y22" i="17"/>
  <c r="AA22" i="17"/>
  <c r="Y23" i="17"/>
  <c r="AA23" i="17"/>
  <c r="Y24" i="17"/>
  <c r="AA24" i="17"/>
  <c r="Y25" i="17"/>
  <c r="AA25" i="17"/>
  <c r="Y26" i="17"/>
  <c r="AA26" i="17"/>
  <c r="Y27" i="17"/>
  <c r="AA27" i="17"/>
  <c r="Y28" i="17"/>
  <c r="AA28" i="17"/>
  <c r="Y29" i="17"/>
  <c r="AA29" i="17"/>
  <c r="Y30" i="17"/>
  <c r="AA30" i="17"/>
  <c r="Y31" i="17"/>
  <c r="AA31" i="17"/>
  <c r="Y32" i="17"/>
  <c r="AA32" i="17"/>
  <c r="Y33" i="17"/>
  <c r="AA33" i="17"/>
  <c r="Y34" i="17"/>
  <c r="AA34" i="17"/>
  <c r="Y35" i="17"/>
  <c r="AA35" i="17"/>
  <c r="Y36" i="17"/>
  <c r="AA36" i="17"/>
  <c r="AA2" i="17"/>
  <c r="Y2" i="17"/>
  <c r="Y3" i="16"/>
  <c r="AA3" i="16"/>
  <c r="Y4" i="16"/>
  <c r="AA4" i="16"/>
  <c r="Y5" i="16"/>
  <c r="AA5" i="16"/>
  <c r="Y6" i="16"/>
  <c r="AA6" i="16"/>
  <c r="Y7" i="16"/>
  <c r="AA7" i="16"/>
  <c r="Y8" i="16"/>
  <c r="AA8" i="16"/>
  <c r="Y9" i="16"/>
  <c r="AA9" i="16"/>
  <c r="Y10" i="16"/>
  <c r="AA10" i="16"/>
  <c r="Y11" i="16"/>
  <c r="AA11" i="16"/>
  <c r="Y12" i="16"/>
  <c r="AA12" i="16"/>
  <c r="Y13" i="16"/>
  <c r="AA13" i="16"/>
  <c r="Y14" i="16"/>
  <c r="AA14" i="16"/>
  <c r="Y15" i="16"/>
  <c r="AA15" i="16"/>
  <c r="Y16" i="16"/>
  <c r="AA16" i="16"/>
  <c r="Y17" i="16"/>
  <c r="AA17" i="16"/>
  <c r="Y18" i="16"/>
  <c r="AA18" i="16"/>
  <c r="Y19" i="16"/>
  <c r="AA19" i="16"/>
  <c r="Y20" i="16"/>
  <c r="AA20" i="16"/>
  <c r="Y21" i="16"/>
  <c r="AA21" i="16"/>
  <c r="Y22" i="16"/>
  <c r="AA22" i="16"/>
  <c r="AA23" i="16"/>
  <c r="AA24" i="16"/>
  <c r="AA25" i="16"/>
  <c r="AA26" i="16"/>
  <c r="AA27" i="16"/>
  <c r="AA28" i="16"/>
  <c r="AA29" i="16"/>
  <c r="AA2" i="16"/>
  <c r="Y2" i="16"/>
  <c r="Y3" i="13"/>
  <c r="AA3" i="13"/>
  <c r="Y4" i="13"/>
  <c r="AA4" i="13"/>
  <c r="Y5" i="13"/>
  <c r="AA5" i="13"/>
  <c r="Y6" i="13"/>
  <c r="AA6" i="13"/>
  <c r="Y7" i="13"/>
  <c r="AA7" i="13"/>
  <c r="Y8" i="13"/>
  <c r="AA8" i="13"/>
  <c r="Y9" i="13"/>
  <c r="AA9" i="13"/>
  <c r="Y10" i="13"/>
  <c r="AA10" i="13"/>
  <c r="Y11" i="13"/>
  <c r="AA11" i="13"/>
  <c r="Y12" i="13"/>
  <c r="AA12" i="13"/>
  <c r="Y13" i="13"/>
  <c r="AA13" i="13"/>
  <c r="Y14" i="13"/>
  <c r="AA14" i="13"/>
  <c r="Y15" i="13"/>
  <c r="AA15" i="13"/>
  <c r="Y16" i="13"/>
  <c r="AA16" i="13"/>
  <c r="Y17" i="13"/>
  <c r="AA17" i="13"/>
  <c r="Y18" i="13"/>
  <c r="AA18" i="13"/>
  <c r="Y19" i="13"/>
  <c r="AA19" i="13"/>
  <c r="Y20" i="13"/>
  <c r="AA20" i="13"/>
  <c r="Y21" i="13"/>
  <c r="AA21" i="13"/>
  <c r="Y22" i="13"/>
  <c r="AA22" i="13"/>
  <c r="Y23" i="13"/>
  <c r="AA23" i="13"/>
  <c r="Y24" i="13"/>
  <c r="AA24" i="13"/>
  <c r="Y25" i="13"/>
  <c r="AA25" i="13"/>
  <c r="Y26" i="13"/>
  <c r="AA26" i="13"/>
  <c r="Y27" i="13"/>
  <c r="AA27" i="13"/>
  <c r="Y28" i="13"/>
  <c r="AA28" i="13"/>
  <c r="Y29" i="13"/>
  <c r="AA29" i="13"/>
  <c r="Y30" i="13"/>
  <c r="AA30" i="13"/>
  <c r="Y31" i="13"/>
  <c r="AA31" i="13"/>
  <c r="Y32" i="13"/>
  <c r="AA32" i="13"/>
  <c r="Y33" i="13"/>
  <c r="AA33" i="13"/>
  <c r="Y34" i="13"/>
  <c r="AA34" i="13"/>
  <c r="Y35" i="13"/>
  <c r="AA35" i="13"/>
  <c r="Y36" i="13"/>
  <c r="AA36" i="13"/>
  <c r="Y37" i="13"/>
  <c r="AA37" i="13"/>
  <c r="Y38" i="13"/>
  <c r="AA38" i="13"/>
  <c r="Y39" i="13"/>
  <c r="AA39" i="13"/>
  <c r="Y40" i="13"/>
  <c r="AA40" i="13"/>
  <c r="Y41" i="13"/>
  <c r="AA41" i="13"/>
  <c r="Y42" i="13"/>
  <c r="AA42" i="13"/>
  <c r="Y43" i="13"/>
  <c r="AA43" i="13"/>
  <c r="Y44" i="13"/>
  <c r="AA44" i="13"/>
  <c r="Y45" i="13"/>
  <c r="AA45" i="13"/>
  <c r="Y46" i="13"/>
  <c r="AA46" i="13"/>
  <c r="Y47" i="13"/>
  <c r="AA47" i="13"/>
  <c r="Y48" i="13"/>
  <c r="AA48" i="13"/>
  <c r="Y49" i="13"/>
  <c r="AA49" i="13"/>
  <c r="Y50" i="13"/>
  <c r="AA50" i="13"/>
  <c r="Y51" i="13"/>
  <c r="AA51" i="13"/>
  <c r="Y52" i="13"/>
  <c r="AA52" i="13"/>
  <c r="Y53" i="13"/>
  <c r="AA53" i="13"/>
  <c r="Y54" i="13"/>
  <c r="AA54" i="13"/>
  <c r="Y55" i="13"/>
  <c r="AA55" i="13"/>
  <c r="Y56" i="13"/>
  <c r="AA56" i="13"/>
  <c r="Y57" i="13"/>
  <c r="AA57" i="13"/>
  <c r="Y58" i="13"/>
  <c r="AA58" i="13"/>
  <c r="Y59" i="13"/>
  <c r="AA59" i="13"/>
  <c r="Y60" i="13"/>
  <c r="AA60" i="13"/>
  <c r="Y61" i="13"/>
  <c r="AA61" i="13"/>
  <c r="Y62" i="13"/>
  <c r="AA62" i="13"/>
  <c r="Y63" i="13"/>
  <c r="AA63" i="13"/>
  <c r="Y64" i="13"/>
  <c r="AA64" i="13"/>
  <c r="Y65" i="13"/>
  <c r="AA65" i="13"/>
  <c r="Y66" i="13"/>
  <c r="AA66" i="13"/>
  <c r="Y67" i="13"/>
  <c r="AA67" i="13"/>
  <c r="Y68" i="13"/>
  <c r="AA68" i="13"/>
  <c r="Y69" i="13"/>
  <c r="AA69" i="13"/>
  <c r="Y70" i="13"/>
  <c r="AA70" i="13"/>
  <c r="Y71" i="13"/>
  <c r="AA71" i="13"/>
  <c r="Y72" i="13"/>
  <c r="AA72" i="13"/>
  <c r="Y73" i="13"/>
  <c r="AA73" i="13"/>
  <c r="Y74" i="13"/>
  <c r="AA74" i="13"/>
  <c r="Y75" i="13"/>
  <c r="AA75" i="13"/>
  <c r="Y76" i="13"/>
  <c r="AA76" i="13"/>
  <c r="Y77" i="13"/>
  <c r="AA77" i="13"/>
  <c r="Y78" i="13"/>
  <c r="AA78" i="13"/>
  <c r="Y79" i="13"/>
  <c r="AA79" i="13"/>
  <c r="Y80" i="13"/>
  <c r="AA80" i="13"/>
  <c r="Y81" i="13"/>
  <c r="AA81" i="13"/>
  <c r="Y82" i="13"/>
  <c r="AA82" i="13"/>
  <c r="Y83" i="13"/>
  <c r="AA83" i="13"/>
  <c r="AA2" i="13"/>
  <c r="Y2" i="13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Y16" i="18"/>
  <c r="AA16" i="18"/>
  <c r="Y17" i="18"/>
  <c r="AA17" i="18"/>
  <c r="Y18" i="18"/>
  <c r="AA18" i="18"/>
  <c r="Y19" i="18"/>
  <c r="AA19" i="18"/>
  <c r="Y20" i="18"/>
  <c r="AA20" i="18"/>
  <c r="Y21" i="18"/>
  <c r="AA21" i="18"/>
  <c r="Y22" i="18"/>
  <c r="AA22" i="18"/>
  <c r="Y23" i="18"/>
  <c r="AA23" i="18"/>
  <c r="Y24" i="18"/>
  <c r="AA24" i="18"/>
  <c r="Y25" i="18"/>
  <c r="AA25" i="18"/>
  <c r="Y26" i="18"/>
  <c r="AA26" i="18"/>
  <c r="Y27" i="18"/>
  <c r="AA27" i="18"/>
  <c r="AA2" i="18"/>
  <c r="AA2" i="12"/>
  <c r="AA3" i="12"/>
  <c r="AA4" i="12"/>
  <c r="AA5" i="12"/>
  <c r="AA6" i="12"/>
  <c r="AA7" i="12"/>
  <c r="AA8" i="12"/>
  <c r="AA9" i="12"/>
  <c r="AA10" i="12"/>
  <c r="AA11" i="12"/>
  <c r="AA12" i="12"/>
  <c r="AA13" i="12"/>
  <c r="AA14" i="12"/>
  <c r="AA15" i="12"/>
  <c r="AA16" i="12"/>
  <c r="AA17" i="12"/>
  <c r="AA18" i="12"/>
  <c r="AA19" i="12"/>
  <c r="AA20" i="12"/>
  <c r="AA21" i="12"/>
  <c r="AA22" i="12"/>
  <c r="AA23" i="12"/>
  <c r="AA24" i="12"/>
  <c r="AA25" i="12"/>
  <c r="AA26" i="12"/>
  <c r="AA27" i="12"/>
  <c r="AA28" i="12"/>
  <c r="AA29" i="12"/>
  <c r="AA30" i="12"/>
  <c r="AA31" i="12"/>
  <c r="AA32" i="12"/>
  <c r="AA33" i="12"/>
  <c r="AA34" i="12"/>
  <c r="AA35" i="12"/>
  <c r="AA36" i="12"/>
  <c r="AA37" i="12"/>
  <c r="AA38" i="12"/>
  <c r="AA39" i="12"/>
  <c r="AA40" i="12"/>
  <c r="AA41" i="12"/>
  <c r="Y42" i="12"/>
  <c r="AA42" i="12"/>
  <c r="Y43" i="12"/>
  <c r="AA43" i="12"/>
  <c r="Y44" i="12"/>
  <c r="AA44" i="12"/>
  <c r="Y45" i="12"/>
  <c r="AA45" i="12"/>
  <c r="Y46" i="12"/>
  <c r="AA46" i="12"/>
  <c r="Y47" i="12"/>
  <c r="AA47" i="12"/>
  <c r="Y48" i="12"/>
  <c r="AA48" i="12"/>
  <c r="Y49" i="12"/>
  <c r="AA49" i="12"/>
  <c r="Y50" i="12"/>
  <c r="AA50" i="12"/>
  <c r="Y51" i="12"/>
  <c r="AA51" i="12"/>
  <c r="Y52" i="12"/>
  <c r="AA52" i="12"/>
  <c r="Y53" i="12"/>
  <c r="AA53" i="12"/>
  <c r="Y54" i="12"/>
  <c r="AA54" i="12"/>
  <c r="Y55" i="12"/>
  <c r="AA55" i="12"/>
  <c r="Y56" i="12"/>
  <c r="AA56" i="12"/>
  <c r="Y57" i="12"/>
  <c r="AA57" i="12"/>
  <c r="Y58" i="12"/>
  <c r="AA58" i="12"/>
  <c r="Y59" i="12"/>
  <c r="AA59" i="12"/>
  <c r="Y60" i="12"/>
  <c r="AA60" i="12"/>
  <c r="Y61" i="12"/>
  <c r="AA61" i="12"/>
  <c r="Y62" i="12"/>
  <c r="AA62" i="12"/>
  <c r="Y63" i="12"/>
  <c r="AA63" i="12"/>
  <c r="Y64" i="12"/>
  <c r="AA64" i="12"/>
  <c r="Y65" i="12"/>
  <c r="AA65" i="12"/>
  <c r="Y66" i="12"/>
  <c r="AA66" i="12"/>
  <c r="Y67" i="12"/>
  <c r="AA67" i="12"/>
  <c r="Y68" i="12"/>
  <c r="AA68" i="12"/>
  <c r="Y69" i="12"/>
  <c r="AA69" i="12"/>
  <c r="Y70" i="12"/>
  <c r="AA70" i="12"/>
  <c r="Y71" i="12"/>
  <c r="AA71" i="12"/>
  <c r="Y72" i="12"/>
  <c r="AA72" i="12"/>
  <c r="Y73" i="12"/>
  <c r="AA73" i="12"/>
  <c r="Y74" i="12"/>
  <c r="AA74" i="12"/>
  <c r="Y75" i="12"/>
  <c r="AA75" i="12"/>
  <c r="Y76" i="12"/>
  <c r="AA76" i="12"/>
  <c r="Y77" i="12"/>
  <c r="AA77" i="12"/>
  <c r="Y78" i="12"/>
  <c r="AA78" i="12"/>
  <c r="Y79" i="12"/>
  <c r="AA79" i="12"/>
  <c r="Y80" i="12"/>
  <c r="AA80" i="12"/>
  <c r="Y81" i="12"/>
  <c r="AA81" i="12"/>
  <c r="Y82" i="12"/>
  <c r="AA82" i="12"/>
  <c r="Y83" i="12"/>
  <c r="AA83" i="12"/>
  <c r="Y84" i="12"/>
  <c r="AA84" i="12"/>
  <c r="Y85" i="12"/>
  <c r="AA85" i="12"/>
  <c r="Y86" i="12"/>
  <c r="AA86" i="12"/>
  <c r="Y87" i="12"/>
  <c r="AA87" i="12"/>
  <c r="Y88" i="12"/>
  <c r="AA88" i="12"/>
  <c r="Y89" i="12"/>
  <c r="AA89" i="12"/>
  <c r="Y90" i="12"/>
  <c r="AA90" i="12"/>
  <c r="Y91" i="12"/>
  <c r="AA91" i="12"/>
  <c r="Y92" i="12"/>
  <c r="AA92" i="12"/>
  <c r="Y93" i="12"/>
  <c r="AA93" i="12"/>
  <c r="Y94" i="12"/>
  <c r="AA94" i="12"/>
  <c r="Y95" i="12"/>
  <c r="AA95" i="12"/>
  <c r="Y96" i="12"/>
  <c r="AA96" i="12"/>
  <c r="Y97" i="12"/>
  <c r="AA97" i="12"/>
  <c r="Y98" i="12"/>
  <c r="AA98" i="12"/>
  <c r="Y99" i="12"/>
  <c r="AA99" i="12"/>
  <c r="Y100" i="12"/>
  <c r="AA100" i="12"/>
  <c r="Y101" i="12"/>
  <c r="AA101" i="12"/>
  <c r="Y102" i="12"/>
  <c r="AA102" i="12"/>
  <c r="Y103" i="12"/>
  <c r="AA103" i="12"/>
  <c r="Y104" i="12"/>
  <c r="AA104" i="12"/>
  <c r="Y105" i="12"/>
  <c r="AA105" i="12"/>
  <c r="Y106" i="12"/>
  <c r="AA106" i="12"/>
  <c r="Y107" i="12"/>
  <c r="AA107" i="12"/>
  <c r="Y108" i="12"/>
  <c r="AA108" i="12"/>
  <c r="Y109" i="12"/>
  <c r="AA109" i="12"/>
  <c r="Y110" i="12"/>
  <c r="AA110" i="12"/>
  <c r="Y111" i="12"/>
  <c r="AA111" i="12"/>
  <c r="Y112" i="12"/>
  <c r="AA112" i="12"/>
  <c r="Y113" i="12"/>
  <c r="AA113" i="12"/>
  <c r="Y114" i="12"/>
  <c r="AA114" i="12"/>
  <c r="Y115" i="12"/>
  <c r="AA115" i="12"/>
  <c r="Y116" i="12"/>
  <c r="AA116" i="12"/>
  <c r="Y117" i="12"/>
  <c r="AA117" i="12"/>
  <c r="Y118" i="12"/>
  <c r="AA118" i="12"/>
  <c r="Y119" i="12"/>
  <c r="AA119" i="12"/>
  <c r="Y120" i="12"/>
  <c r="AA120" i="12"/>
  <c r="Y121" i="12"/>
  <c r="AA121" i="12"/>
  <c r="Y122" i="12"/>
  <c r="AA122" i="12"/>
  <c r="Y123" i="12"/>
  <c r="AA123" i="12"/>
  <c r="Y124" i="12"/>
  <c r="AA124" i="12"/>
  <c r="Y125" i="12"/>
  <c r="AA125" i="12"/>
  <c r="Y126" i="12"/>
  <c r="AA126" i="12"/>
  <c r="Y127" i="12"/>
  <c r="AA127" i="12"/>
  <c r="Y128" i="12"/>
  <c r="AA128" i="12"/>
  <c r="Y129" i="12"/>
  <c r="AA129" i="12"/>
  <c r="Y130" i="12"/>
  <c r="AA130" i="12"/>
  <c r="Y131" i="12"/>
  <c r="AA131" i="12"/>
  <c r="Y132" i="12"/>
  <c r="AA132" i="12"/>
  <c r="Y133" i="12"/>
  <c r="AA133" i="12"/>
  <c r="Y134" i="12"/>
  <c r="AA134" i="12"/>
  <c r="Y135" i="12"/>
  <c r="AA135" i="12"/>
  <c r="Y136" i="12"/>
  <c r="AA136" i="12"/>
  <c r="Y137" i="12"/>
  <c r="AA137" i="12"/>
  <c r="Y138" i="12"/>
  <c r="AA138" i="12"/>
  <c r="Y139" i="12"/>
  <c r="AA139" i="12"/>
  <c r="Y140" i="12"/>
  <c r="AA140" i="12"/>
  <c r="Y141" i="12"/>
  <c r="AA141" i="12"/>
  <c r="Y142" i="12"/>
  <c r="AA142" i="12"/>
  <c r="Y143" i="12"/>
  <c r="AA143" i="12"/>
  <c r="Y144" i="12"/>
  <c r="AA144" i="12"/>
  <c r="Y145" i="12"/>
  <c r="AA145" i="12"/>
  <c r="Y146" i="12"/>
  <c r="AA146" i="12"/>
  <c r="Y147" i="12"/>
  <c r="AA147" i="12"/>
  <c r="Y148" i="12"/>
  <c r="AA148" i="12"/>
  <c r="Y149" i="12"/>
  <c r="AA149" i="12"/>
  <c r="Y150" i="12"/>
  <c r="AA150" i="12"/>
  <c r="Y151" i="12"/>
  <c r="AA151" i="12"/>
  <c r="Y152" i="12"/>
  <c r="AA152" i="12"/>
  <c r="Y153" i="12"/>
  <c r="AA153" i="12"/>
  <c r="Y154" i="12"/>
  <c r="AA154" i="12"/>
  <c r="Y155" i="12"/>
  <c r="AA155" i="12"/>
  <c r="Y156" i="12"/>
  <c r="AA156" i="12"/>
  <c r="Y157" i="12"/>
  <c r="AA157" i="12"/>
  <c r="Y158" i="12"/>
  <c r="AA158" i="12"/>
  <c r="Y159" i="12"/>
  <c r="AA159" i="12"/>
  <c r="Y160" i="12"/>
  <c r="AA160" i="12"/>
  <c r="Y161" i="12"/>
  <c r="AA161" i="12"/>
  <c r="Y162" i="12"/>
  <c r="AA162" i="12"/>
  <c r="Y163" i="12"/>
  <c r="AA163" i="12"/>
  <c r="Y164" i="12"/>
  <c r="AA164" i="12"/>
  <c r="Y165" i="12"/>
  <c r="AA165" i="12"/>
  <c r="Y166" i="12"/>
  <c r="AA166" i="12"/>
  <c r="Y167" i="12"/>
  <c r="AA167" i="12"/>
  <c r="Y168" i="12"/>
  <c r="AA168" i="12"/>
  <c r="Y169" i="12"/>
  <c r="AA169" i="12"/>
  <c r="Y170" i="12"/>
  <c r="AA170" i="12"/>
  <c r="Y171" i="12"/>
  <c r="AA171" i="12"/>
  <c r="AA172" i="12"/>
  <c r="AA173" i="12"/>
  <c r="AA174" i="12"/>
  <c r="AA175" i="12"/>
  <c r="AA176" i="12"/>
  <c r="Y177" i="12"/>
  <c r="AA177" i="12"/>
  <c r="Y178" i="12"/>
  <c r="AA178" i="12"/>
  <c r="Y179" i="12"/>
  <c r="AA179" i="12"/>
  <c r="Y180" i="12"/>
  <c r="AA180" i="12"/>
  <c r="Y181" i="12"/>
  <c r="AA181" i="12"/>
  <c r="Y182" i="12"/>
  <c r="AA182" i="12"/>
  <c r="Y183" i="12"/>
  <c r="AA183" i="12"/>
  <c r="Y184" i="12"/>
  <c r="AA184" i="12"/>
  <c r="Y185" i="12"/>
  <c r="AA185" i="12"/>
  <c r="Y186" i="12"/>
  <c r="AA186" i="12"/>
  <c r="Y187" i="12"/>
  <c r="AA187" i="12"/>
  <c r="Y188" i="12"/>
  <c r="AA188" i="12"/>
  <c r="Y189" i="12"/>
  <c r="AA189" i="12"/>
  <c r="Y190" i="12"/>
  <c r="AA190" i="12"/>
  <c r="Y191" i="12"/>
  <c r="AA191" i="12"/>
  <c r="Y192" i="12"/>
  <c r="AA192" i="12"/>
  <c r="Y193" i="12"/>
  <c r="AA193" i="12"/>
  <c r="Y194" i="12"/>
  <c r="AA194" i="12"/>
  <c r="AA195" i="12"/>
  <c r="AA196" i="12"/>
  <c r="AA197" i="12"/>
  <c r="AA198" i="12"/>
  <c r="AA3" i="8"/>
  <c r="AA4" i="8"/>
  <c r="AA5" i="8"/>
  <c r="AA6" i="8"/>
  <c r="AA7" i="8"/>
  <c r="AA8" i="8"/>
  <c r="AA9" i="8"/>
  <c r="AA10" i="8"/>
  <c r="AA11" i="8"/>
  <c r="AA12" i="8"/>
  <c r="AA13" i="8"/>
  <c r="AA14" i="8"/>
  <c r="AA15" i="8"/>
  <c r="AA16" i="8"/>
  <c r="AA17" i="8"/>
  <c r="AA18" i="8"/>
  <c r="AA19" i="8"/>
  <c r="AA20" i="8"/>
  <c r="AA21" i="8"/>
  <c r="AA22" i="8"/>
  <c r="AA23" i="8"/>
  <c r="AA24" i="8"/>
  <c r="AA25" i="8"/>
  <c r="AA26" i="8"/>
  <c r="AA27" i="8"/>
  <c r="AA28" i="8"/>
  <c r="AA29" i="8"/>
  <c r="AA30" i="8"/>
  <c r="AA31" i="8"/>
  <c r="AA32" i="8"/>
  <c r="AA33" i="8"/>
  <c r="AA34" i="8"/>
  <c r="AA35" i="8"/>
  <c r="AA36" i="8"/>
  <c r="AA37" i="8"/>
  <c r="AA38" i="8"/>
  <c r="AA39" i="8"/>
  <c r="AA40" i="8"/>
  <c r="AA41" i="8"/>
  <c r="AA42" i="8"/>
  <c r="AA43" i="8"/>
  <c r="AA44" i="8"/>
  <c r="AA45" i="8"/>
  <c r="AA46" i="8"/>
  <c r="AA47" i="8"/>
  <c r="AA48" i="8"/>
  <c r="AA49" i="8"/>
  <c r="AA50" i="8"/>
  <c r="AA51" i="8"/>
  <c r="AA52" i="8"/>
  <c r="AA53" i="8"/>
  <c r="AA54" i="8"/>
  <c r="AA55" i="8"/>
  <c r="AA56" i="8"/>
  <c r="AA57" i="8"/>
  <c r="AA58" i="8"/>
  <c r="AA59" i="8"/>
  <c r="AA60" i="8"/>
  <c r="AA61" i="8"/>
  <c r="AA62" i="8"/>
  <c r="AA63" i="8"/>
  <c r="AA64" i="8"/>
  <c r="AA65" i="8"/>
  <c r="AA66" i="8"/>
  <c r="AA67" i="8"/>
  <c r="AA68" i="8"/>
  <c r="AA69" i="8"/>
  <c r="AA70" i="8"/>
  <c r="AA71" i="8"/>
  <c r="AA72" i="8"/>
  <c r="AA73" i="8"/>
  <c r="AA74" i="8"/>
  <c r="AA75" i="8"/>
  <c r="AA76" i="8"/>
  <c r="AA77" i="8"/>
  <c r="AA78" i="8"/>
  <c r="AA79" i="8"/>
  <c r="AA80" i="8"/>
  <c r="AA81" i="8"/>
  <c r="AA82" i="8"/>
  <c r="AA83" i="8"/>
  <c r="AA84" i="8"/>
  <c r="AA85" i="8"/>
  <c r="AA86" i="8"/>
  <c r="AA87" i="8"/>
  <c r="AA88" i="8"/>
  <c r="AA89" i="8"/>
  <c r="AA2" i="8"/>
  <c r="AA3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2" i="7"/>
  <c r="Y3" i="7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2" i="7"/>
  <c r="AA2" i="20"/>
  <c r="AA3" i="20"/>
  <c r="AA4" i="20"/>
  <c r="AA5" i="20"/>
  <c r="AA6" i="20"/>
  <c r="AA7" i="20"/>
  <c r="AA8" i="20"/>
  <c r="AA9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Y3" i="20"/>
  <c r="Y4" i="20"/>
  <c r="Y5" i="20"/>
  <c r="Y6" i="20"/>
  <c r="Y7" i="20"/>
  <c r="Y8" i="20"/>
  <c r="Y9" i="20"/>
  <c r="Y10" i="20"/>
  <c r="Y11" i="20"/>
  <c r="Y12" i="20"/>
  <c r="Y13" i="20"/>
  <c r="Y14" i="20"/>
  <c r="Y15" i="20"/>
  <c r="Y16" i="20"/>
  <c r="Y17" i="20"/>
  <c r="Y18" i="20"/>
  <c r="Y19" i="20"/>
  <c r="Y20" i="20"/>
  <c r="Y21" i="20"/>
  <c r="Y22" i="20"/>
  <c r="Y23" i="20"/>
  <c r="Y24" i="20"/>
  <c r="Y25" i="20"/>
  <c r="Y26" i="20"/>
  <c r="Y27" i="20"/>
  <c r="Y28" i="20"/>
  <c r="Y29" i="20"/>
  <c r="Y30" i="20"/>
  <c r="Y31" i="20"/>
  <c r="Y32" i="20"/>
  <c r="Y33" i="20"/>
  <c r="Y34" i="20"/>
  <c r="Y35" i="20"/>
  <c r="Y36" i="20"/>
  <c r="Y37" i="20"/>
  <c r="Y38" i="20"/>
  <c r="Y39" i="20"/>
  <c r="Y40" i="20"/>
  <c r="Y41" i="20"/>
  <c r="Y42" i="20"/>
  <c r="Y43" i="20"/>
  <c r="Y2" i="20"/>
  <c r="X2" i="14" l="1"/>
  <c r="X3" i="14"/>
  <c r="X4" i="14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2" i="15"/>
  <c r="X3" i="15"/>
  <c r="X4" i="15"/>
  <c r="X5" i="15"/>
  <c r="X6" i="15"/>
  <c r="X7" i="15"/>
  <c r="X8" i="15"/>
  <c r="X9" i="15"/>
  <c r="X10" i="15"/>
  <c r="X11" i="15"/>
  <c r="X2" i="5"/>
  <c r="X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AD2" i="7" l="1"/>
  <c r="AD3" i="7"/>
  <c r="AD4" i="7"/>
  <c r="AD5" i="7"/>
  <c r="AD6" i="7"/>
  <c r="AD7" i="7"/>
  <c r="AD8" i="7"/>
  <c r="AD9" i="7"/>
  <c r="AD10" i="7"/>
  <c r="AD11" i="7"/>
  <c r="AD12" i="7"/>
  <c r="AD13" i="7"/>
  <c r="AD14" i="7"/>
  <c r="AD15" i="7"/>
  <c r="AD16" i="7"/>
  <c r="AD17" i="7"/>
  <c r="AD18" i="7"/>
  <c r="AD19" i="7"/>
  <c r="AD20" i="7"/>
  <c r="AD21" i="7"/>
  <c r="AD22" i="7"/>
  <c r="AD23" i="7"/>
  <c r="AD24" i="7"/>
  <c r="AD25" i="7"/>
  <c r="AD26" i="7"/>
  <c r="AD27" i="7"/>
  <c r="AD28" i="7"/>
  <c r="AD29" i="7"/>
  <c r="AD30" i="7"/>
  <c r="AD31" i="7"/>
  <c r="AD32" i="7"/>
  <c r="AD33" i="7"/>
  <c r="AD34" i="7"/>
  <c r="AD35" i="7"/>
  <c r="AD36" i="7"/>
  <c r="AD37" i="7"/>
  <c r="Q2" i="10"/>
  <c r="R3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2" i="10"/>
  <c r="Q3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AV3" i="12" l="1"/>
  <c r="AV4" i="12"/>
  <c r="AV5" i="12"/>
  <c r="AV6" i="12"/>
  <c r="AV7" i="12"/>
  <c r="AV8" i="12"/>
  <c r="AV9" i="12"/>
  <c r="AV10" i="12"/>
  <c r="AV11" i="12"/>
  <c r="AV12" i="12"/>
  <c r="AV13" i="12"/>
  <c r="AV14" i="12"/>
  <c r="AV15" i="12"/>
  <c r="AV16" i="12"/>
  <c r="AV17" i="12"/>
  <c r="AV18" i="12"/>
  <c r="AV19" i="12"/>
  <c r="AV20" i="12"/>
  <c r="AV21" i="12"/>
  <c r="AV22" i="12"/>
  <c r="AV23" i="12"/>
  <c r="AV24" i="12"/>
  <c r="AV25" i="12"/>
  <c r="AV26" i="12"/>
  <c r="AV27" i="12"/>
  <c r="AV28" i="12"/>
  <c r="AV29" i="12"/>
  <c r="AV30" i="12"/>
  <c r="AV31" i="12"/>
  <c r="AV32" i="12"/>
  <c r="AV33" i="12"/>
  <c r="AV34" i="12"/>
  <c r="AV35" i="12"/>
  <c r="AV36" i="12"/>
  <c r="AV37" i="12"/>
  <c r="AV38" i="12"/>
  <c r="AV39" i="12"/>
  <c r="AV40" i="12"/>
  <c r="AV41" i="12"/>
  <c r="AV42" i="12"/>
  <c r="AV43" i="12"/>
  <c r="AV44" i="12"/>
  <c r="AV45" i="12"/>
  <c r="AV46" i="12"/>
  <c r="AV47" i="12"/>
  <c r="AV48" i="12"/>
  <c r="AV49" i="12"/>
  <c r="AV50" i="12"/>
  <c r="AV51" i="12"/>
  <c r="AV52" i="12"/>
  <c r="AV53" i="12"/>
  <c r="AV54" i="12"/>
  <c r="AV55" i="12"/>
  <c r="AV56" i="12"/>
  <c r="AV57" i="12"/>
  <c r="AV58" i="12"/>
  <c r="AV59" i="12"/>
  <c r="AV60" i="12"/>
  <c r="AV61" i="12"/>
  <c r="AV62" i="12"/>
  <c r="AV63" i="12"/>
  <c r="AV64" i="12"/>
  <c r="AV65" i="12"/>
  <c r="AV66" i="12"/>
  <c r="AV67" i="12"/>
  <c r="AV68" i="12"/>
  <c r="AV69" i="12"/>
  <c r="AV70" i="12"/>
  <c r="AV71" i="12"/>
  <c r="AV72" i="12"/>
  <c r="AV73" i="12"/>
  <c r="AV74" i="12"/>
  <c r="AV75" i="12"/>
  <c r="AV76" i="12"/>
  <c r="AV77" i="12"/>
  <c r="AV78" i="12"/>
  <c r="AV79" i="12"/>
  <c r="AV80" i="12"/>
  <c r="AV81" i="12"/>
  <c r="AV82" i="12"/>
  <c r="AV83" i="12"/>
  <c r="AV84" i="12"/>
  <c r="AV85" i="12"/>
  <c r="AV86" i="12"/>
  <c r="AV87" i="12"/>
  <c r="AV88" i="12"/>
  <c r="AV89" i="12"/>
  <c r="AV90" i="12"/>
  <c r="AV91" i="12"/>
  <c r="AV92" i="12"/>
  <c r="AV93" i="12"/>
  <c r="AV94" i="12"/>
  <c r="AV95" i="12"/>
  <c r="AV96" i="12"/>
  <c r="AV97" i="12"/>
  <c r="AV98" i="12"/>
  <c r="AV99" i="12"/>
  <c r="AV100" i="12"/>
  <c r="AV101" i="12"/>
  <c r="AV102" i="12"/>
  <c r="AV103" i="12"/>
  <c r="AV104" i="12"/>
  <c r="AV105" i="12"/>
  <c r="AV106" i="12"/>
  <c r="AV107" i="12"/>
  <c r="AV108" i="12"/>
  <c r="AV109" i="12"/>
  <c r="AV110" i="12"/>
  <c r="AV111" i="12"/>
  <c r="AV112" i="12"/>
  <c r="AV113" i="12"/>
  <c r="AV114" i="12"/>
  <c r="AV115" i="12"/>
  <c r="AV116" i="12"/>
  <c r="AV117" i="12"/>
  <c r="AV118" i="12"/>
  <c r="AV119" i="12"/>
  <c r="AV120" i="12"/>
  <c r="AV121" i="12"/>
  <c r="AV122" i="12"/>
  <c r="AV123" i="12"/>
  <c r="AV124" i="12"/>
  <c r="AV125" i="12"/>
  <c r="AV126" i="12"/>
  <c r="AV127" i="12"/>
  <c r="AV128" i="12"/>
  <c r="AV129" i="12"/>
  <c r="AV130" i="12"/>
  <c r="AV131" i="12"/>
  <c r="AV132" i="12"/>
  <c r="AV133" i="12"/>
  <c r="AV134" i="12"/>
  <c r="AV135" i="12"/>
  <c r="AV136" i="12"/>
  <c r="AV137" i="12"/>
  <c r="AV138" i="12"/>
  <c r="AV139" i="12"/>
  <c r="AV140" i="12"/>
  <c r="AV141" i="12"/>
  <c r="AV142" i="12"/>
  <c r="AV143" i="12"/>
  <c r="AV144" i="12"/>
  <c r="AV145" i="12"/>
  <c r="AV146" i="12"/>
  <c r="AV147" i="12"/>
  <c r="AV148" i="12"/>
  <c r="AV149" i="12"/>
  <c r="AV150" i="12"/>
  <c r="AV151" i="12"/>
  <c r="AV152" i="12"/>
  <c r="AV153" i="12"/>
  <c r="AV154" i="12"/>
  <c r="AV155" i="12"/>
  <c r="AV156" i="12"/>
  <c r="AV157" i="12"/>
  <c r="AV158" i="12"/>
  <c r="AV159" i="12"/>
  <c r="AV160" i="12"/>
  <c r="AV161" i="12"/>
  <c r="AV162" i="12"/>
  <c r="AV163" i="12"/>
  <c r="AV164" i="12"/>
  <c r="AV165" i="12"/>
  <c r="AV166" i="12"/>
  <c r="AV167" i="12"/>
  <c r="AV168" i="12"/>
  <c r="AV169" i="12"/>
  <c r="AV170" i="12"/>
  <c r="AV171" i="12"/>
  <c r="AV172" i="12"/>
  <c r="AV173" i="12"/>
  <c r="AV174" i="12"/>
  <c r="AV175" i="12"/>
  <c r="AV176" i="12"/>
  <c r="AV177" i="12"/>
  <c r="AV178" i="12"/>
  <c r="AV179" i="12"/>
  <c r="AV180" i="12"/>
  <c r="AV181" i="12"/>
  <c r="AV182" i="12"/>
  <c r="AV183" i="12"/>
  <c r="AV184" i="12"/>
  <c r="AV185" i="12"/>
  <c r="AV186" i="12"/>
  <c r="AV187" i="12"/>
  <c r="AV188" i="12"/>
  <c r="AV189" i="12"/>
  <c r="AV190" i="12"/>
  <c r="AV191" i="12"/>
  <c r="AV192" i="12"/>
  <c r="AV193" i="12"/>
  <c r="AV194" i="12"/>
  <c r="AV195" i="12"/>
  <c r="AV196" i="12"/>
  <c r="AV197" i="12"/>
  <c r="AV198" i="12"/>
  <c r="AV2" i="12"/>
  <c r="V2" i="13" l="1"/>
  <c r="X2" i="13" s="1"/>
  <c r="L5" i="13"/>
  <c r="P19" i="10"/>
  <c r="P20" i="10"/>
  <c r="P21" i="10"/>
  <c r="P22" i="10"/>
  <c r="P23" i="10"/>
  <c r="P24" i="10"/>
  <c r="P25" i="10"/>
  <c r="P26" i="10"/>
  <c r="AP3" i="20" l="1"/>
  <c r="D16" i="20"/>
  <c r="F16" i="20"/>
  <c r="G16" i="20"/>
  <c r="M16" i="20" s="1"/>
  <c r="J16" i="20"/>
  <c r="L16" i="20"/>
  <c r="T16" i="20"/>
  <c r="V16" i="20"/>
  <c r="X16" i="20" s="1"/>
  <c r="AH16" i="20"/>
  <c r="AJ16" i="20"/>
  <c r="K16" i="20" s="1"/>
  <c r="AK16" i="20"/>
  <c r="D17" i="20"/>
  <c r="E17" i="20"/>
  <c r="V17" i="20" s="1"/>
  <c r="X17" i="20" s="1"/>
  <c r="F17" i="20"/>
  <c r="AH17" i="20"/>
  <c r="AJ17" i="20"/>
  <c r="AK17" i="20"/>
  <c r="D18" i="20"/>
  <c r="E18" i="20"/>
  <c r="V18" i="20" s="1"/>
  <c r="X18" i="20" s="1"/>
  <c r="F18" i="20"/>
  <c r="AH18" i="20"/>
  <c r="AJ18" i="20"/>
  <c r="AK18" i="20"/>
  <c r="D19" i="20"/>
  <c r="F19" i="20"/>
  <c r="G19" i="20"/>
  <c r="N19" i="20" s="1"/>
  <c r="L19" i="20"/>
  <c r="V19" i="20"/>
  <c r="X19" i="20" s="1"/>
  <c r="AH19" i="20"/>
  <c r="AJ19" i="20"/>
  <c r="K19" i="20" s="1"/>
  <c r="AK19" i="20"/>
  <c r="D20" i="20"/>
  <c r="F20" i="20"/>
  <c r="G20" i="20"/>
  <c r="L20" i="20"/>
  <c r="V20" i="20"/>
  <c r="X20" i="20" s="1"/>
  <c r="AH20" i="20"/>
  <c r="AJ20" i="20"/>
  <c r="K20" i="20" s="1"/>
  <c r="AK20" i="20"/>
  <c r="D21" i="20"/>
  <c r="F21" i="20"/>
  <c r="G21" i="20"/>
  <c r="L21" i="20"/>
  <c r="V21" i="20"/>
  <c r="X21" i="20" s="1"/>
  <c r="AH21" i="20"/>
  <c r="AJ21" i="20"/>
  <c r="K21" i="20" s="1"/>
  <c r="AK21" i="20"/>
  <c r="D22" i="20"/>
  <c r="F22" i="20"/>
  <c r="G22" i="20"/>
  <c r="M22" i="20" s="1"/>
  <c r="L22" i="20"/>
  <c r="V22" i="20"/>
  <c r="X22" i="20" s="1"/>
  <c r="AH22" i="20"/>
  <c r="AJ22" i="20"/>
  <c r="K22" i="20" s="1"/>
  <c r="AK22" i="20"/>
  <c r="D23" i="20"/>
  <c r="E23" i="20"/>
  <c r="V23" i="20" s="1"/>
  <c r="X23" i="20" s="1"/>
  <c r="F23" i="20"/>
  <c r="AH23" i="20"/>
  <c r="AJ23" i="20"/>
  <c r="AK23" i="20"/>
  <c r="D24" i="20"/>
  <c r="E24" i="20"/>
  <c r="V24" i="20" s="1"/>
  <c r="X24" i="20" s="1"/>
  <c r="F24" i="20"/>
  <c r="AH24" i="20"/>
  <c r="AJ24" i="20"/>
  <c r="AK24" i="20"/>
  <c r="D25" i="20"/>
  <c r="E25" i="20"/>
  <c r="V25" i="20" s="1"/>
  <c r="X25" i="20" s="1"/>
  <c r="F25" i="20"/>
  <c r="AH25" i="20"/>
  <c r="AJ25" i="20"/>
  <c r="AK25" i="20"/>
  <c r="D26" i="20"/>
  <c r="E26" i="20"/>
  <c r="V26" i="20" s="1"/>
  <c r="X26" i="20" s="1"/>
  <c r="F26" i="20"/>
  <c r="AH26" i="20"/>
  <c r="AJ26" i="20"/>
  <c r="AK26" i="20"/>
  <c r="D27" i="20"/>
  <c r="E27" i="20"/>
  <c r="V27" i="20" s="1"/>
  <c r="X27" i="20" s="1"/>
  <c r="F27" i="20"/>
  <c r="AH27" i="20"/>
  <c r="AJ27" i="20"/>
  <c r="AK27" i="20"/>
  <c r="D28" i="20"/>
  <c r="E28" i="20"/>
  <c r="L28" i="20" s="1"/>
  <c r="F28" i="20"/>
  <c r="AH28" i="20"/>
  <c r="AJ28" i="20"/>
  <c r="AK28" i="20"/>
  <c r="D29" i="20"/>
  <c r="E29" i="20"/>
  <c r="L29" i="20" s="1"/>
  <c r="F29" i="20"/>
  <c r="AH29" i="20"/>
  <c r="AJ29" i="20"/>
  <c r="AK29" i="20"/>
  <c r="D30" i="20"/>
  <c r="E30" i="20"/>
  <c r="L30" i="20" s="1"/>
  <c r="F30" i="20"/>
  <c r="AH30" i="20"/>
  <c r="AJ30" i="20"/>
  <c r="AK30" i="20"/>
  <c r="D31" i="20"/>
  <c r="E31" i="20"/>
  <c r="L31" i="20" s="1"/>
  <c r="F31" i="20"/>
  <c r="AH31" i="20"/>
  <c r="AJ31" i="20"/>
  <c r="AK31" i="20"/>
  <c r="D32" i="20"/>
  <c r="F32" i="20"/>
  <c r="G32" i="20"/>
  <c r="M32" i="20" s="1"/>
  <c r="L32" i="20"/>
  <c r="V32" i="20"/>
  <c r="X32" i="20" s="1"/>
  <c r="AH32" i="20"/>
  <c r="AJ32" i="20"/>
  <c r="K32" i="20" s="1"/>
  <c r="AK32" i="20"/>
  <c r="D33" i="20"/>
  <c r="E33" i="20"/>
  <c r="V33" i="20" s="1"/>
  <c r="X33" i="20" s="1"/>
  <c r="F33" i="20"/>
  <c r="AH33" i="20"/>
  <c r="AJ33" i="20"/>
  <c r="AK33" i="20"/>
  <c r="D34" i="20"/>
  <c r="E34" i="20"/>
  <c r="L34" i="20" s="1"/>
  <c r="F34" i="20"/>
  <c r="AH34" i="20"/>
  <c r="AJ34" i="20"/>
  <c r="AK34" i="20"/>
  <c r="D35" i="20"/>
  <c r="E35" i="20"/>
  <c r="L35" i="20" s="1"/>
  <c r="F35" i="20"/>
  <c r="V35" i="20"/>
  <c r="X35" i="20" s="1"/>
  <c r="AH35" i="20"/>
  <c r="AJ35" i="20"/>
  <c r="AK35" i="20"/>
  <c r="D36" i="20"/>
  <c r="E36" i="20"/>
  <c r="L36" i="20" s="1"/>
  <c r="F36" i="20"/>
  <c r="AH36" i="20"/>
  <c r="AJ36" i="20"/>
  <c r="AK36" i="20"/>
  <c r="D37" i="20"/>
  <c r="E37" i="20"/>
  <c r="L37" i="20" s="1"/>
  <c r="F37" i="20"/>
  <c r="AH37" i="20"/>
  <c r="AJ37" i="20"/>
  <c r="AK37" i="20"/>
  <c r="D38" i="20"/>
  <c r="E38" i="20"/>
  <c r="L38" i="20" s="1"/>
  <c r="F38" i="20"/>
  <c r="AH38" i="20"/>
  <c r="AJ38" i="20"/>
  <c r="AK38" i="20"/>
  <c r="D39" i="20"/>
  <c r="E39" i="20"/>
  <c r="L39" i="20" s="1"/>
  <c r="F39" i="20"/>
  <c r="AH39" i="20"/>
  <c r="AJ39" i="20"/>
  <c r="AK39" i="20"/>
  <c r="D40" i="20"/>
  <c r="F40" i="20"/>
  <c r="G40" i="20"/>
  <c r="M40" i="20" s="1"/>
  <c r="L40" i="20"/>
  <c r="V40" i="20"/>
  <c r="X40" i="20" s="1"/>
  <c r="AH40" i="20"/>
  <c r="AJ40" i="20"/>
  <c r="K40" i="20" s="1"/>
  <c r="AK40" i="20"/>
  <c r="D41" i="20"/>
  <c r="F41" i="20"/>
  <c r="AH41" i="20"/>
  <c r="AJ41" i="20"/>
  <c r="AK41" i="20"/>
  <c r="D42" i="20"/>
  <c r="E42" i="20"/>
  <c r="E41" i="20" s="1"/>
  <c r="F42" i="20"/>
  <c r="AH42" i="20"/>
  <c r="AJ42" i="20"/>
  <c r="AK42" i="20"/>
  <c r="D43" i="20"/>
  <c r="E43" i="20"/>
  <c r="L43" i="20" s="1"/>
  <c r="F43" i="20"/>
  <c r="AH43" i="20"/>
  <c r="AJ43" i="20"/>
  <c r="AK43" i="20"/>
  <c r="AK15" i="20"/>
  <c r="AJ15" i="20"/>
  <c r="K15" i="20" s="1"/>
  <c r="AH15" i="20"/>
  <c r="V15" i="20"/>
  <c r="X15" i="20" s="1"/>
  <c r="L15" i="20"/>
  <c r="G15" i="20"/>
  <c r="W15" i="20" s="1"/>
  <c r="F15" i="20"/>
  <c r="D15" i="20"/>
  <c r="AK14" i="20"/>
  <c r="AJ14" i="20"/>
  <c r="AH14" i="20"/>
  <c r="F14" i="20"/>
  <c r="E14" i="20"/>
  <c r="L14" i="20" s="1"/>
  <c r="D14" i="20"/>
  <c r="AK13" i="20"/>
  <c r="AJ13" i="20"/>
  <c r="AH13" i="20"/>
  <c r="F13" i="20"/>
  <c r="E13" i="20"/>
  <c r="L13" i="20" s="1"/>
  <c r="D13" i="20"/>
  <c r="AK12" i="20"/>
  <c r="AJ12" i="20"/>
  <c r="AH12" i="20"/>
  <c r="F12" i="20"/>
  <c r="E12" i="20"/>
  <c r="L12" i="20" s="1"/>
  <c r="D12" i="20"/>
  <c r="AK11" i="20"/>
  <c r="AJ11" i="20"/>
  <c r="K11" i="20" s="1"/>
  <c r="AH11" i="20"/>
  <c r="V11" i="20"/>
  <c r="X11" i="20" s="1"/>
  <c r="L11" i="20"/>
  <c r="G11" i="20"/>
  <c r="T11" i="20" s="1"/>
  <c r="F11" i="20"/>
  <c r="D11" i="20"/>
  <c r="AK10" i="20"/>
  <c r="AJ10" i="20"/>
  <c r="K10" i="20" s="1"/>
  <c r="AH10" i="20"/>
  <c r="V10" i="20"/>
  <c r="X10" i="20" s="1"/>
  <c r="L10" i="20"/>
  <c r="G10" i="20"/>
  <c r="S10" i="20" s="1"/>
  <c r="F10" i="20"/>
  <c r="D10" i="20"/>
  <c r="AK9" i="20"/>
  <c r="AJ9" i="20"/>
  <c r="K9" i="20" s="1"/>
  <c r="AH9" i="20"/>
  <c r="V9" i="20"/>
  <c r="X9" i="20" s="1"/>
  <c r="L9" i="20"/>
  <c r="G9" i="20"/>
  <c r="T9" i="20" s="1"/>
  <c r="F9" i="20"/>
  <c r="D9" i="20"/>
  <c r="AK8" i="20"/>
  <c r="AJ8" i="20"/>
  <c r="K8" i="20" s="1"/>
  <c r="AH8" i="20"/>
  <c r="V8" i="20"/>
  <c r="X8" i="20" s="1"/>
  <c r="L8" i="20"/>
  <c r="G8" i="20"/>
  <c r="T8" i="20" s="1"/>
  <c r="F8" i="20"/>
  <c r="D8" i="20"/>
  <c r="AK7" i="20"/>
  <c r="AJ7" i="20"/>
  <c r="K7" i="20" s="1"/>
  <c r="AH7" i="20"/>
  <c r="V7" i="20"/>
  <c r="X7" i="20" s="1"/>
  <c r="L7" i="20"/>
  <c r="G7" i="20"/>
  <c r="S7" i="20" s="1"/>
  <c r="F7" i="20"/>
  <c r="D7" i="20"/>
  <c r="AK6" i="20"/>
  <c r="AJ6" i="20"/>
  <c r="AH6" i="20"/>
  <c r="F6" i="20"/>
  <c r="E6" i="20"/>
  <c r="G6" i="20" s="1"/>
  <c r="O6" i="20" s="1"/>
  <c r="D6" i="20"/>
  <c r="AK5" i="20"/>
  <c r="AJ5" i="20"/>
  <c r="K5" i="20" s="1"/>
  <c r="AH5" i="20"/>
  <c r="V5" i="20"/>
  <c r="X5" i="20" s="1"/>
  <c r="L5" i="20"/>
  <c r="G5" i="20"/>
  <c r="R5" i="20" s="1"/>
  <c r="F5" i="20"/>
  <c r="D5" i="20"/>
  <c r="AK4" i="20"/>
  <c r="AJ4" i="20"/>
  <c r="K4" i="20" s="1"/>
  <c r="AH4" i="20"/>
  <c r="V4" i="20"/>
  <c r="X4" i="20" s="1"/>
  <c r="L4" i="20"/>
  <c r="G4" i="20"/>
  <c r="P4" i="20" s="1"/>
  <c r="F4" i="20"/>
  <c r="D4" i="20"/>
  <c r="AN5" i="20"/>
  <c r="AK3" i="20"/>
  <c r="AJ3" i="20"/>
  <c r="K3" i="20" s="1"/>
  <c r="AH3" i="20"/>
  <c r="V3" i="20"/>
  <c r="X3" i="20" s="1"/>
  <c r="L3" i="20"/>
  <c r="G3" i="20"/>
  <c r="W3" i="20" s="1"/>
  <c r="F3" i="20"/>
  <c r="D3" i="20"/>
  <c r="AK2" i="20"/>
  <c r="AJ2" i="20"/>
  <c r="K2" i="20" s="1"/>
  <c r="AH2" i="20"/>
  <c r="V2" i="20"/>
  <c r="X2" i="20" s="1"/>
  <c r="L2" i="20"/>
  <c r="G2" i="20"/>
  <c r="N2" i="20" s="1"/>
  <c r="F2" i="20"/>
  <c r="D2" i="20"/>
  <c r="K24" i="20" l="1"/>
  <c r="H2" i="20"/>
  <c r="K25" i="20"/>
  <c r="V37" i="20"/>
  <c r="X37" i="20" s="1"/>
  <c r="W20" i="20"/>
  <c r="L17" i="20"/>
  <c r="Q16" i="20"/>
  <c r="K36" i="20"/>
  <c r="U20" i="20"/>
  <c r="G38" i="20"/>
  <c r="O38" i="20" s="1"/>
  <c r="M20" i="20"/>
  <c r="V28" i="20"/>
  <c r="X28" i="20" s="1"/>
  <c r="K23" i="20"/>
  <c r="T22" i="20"/>
  <c r="W19" i="20"/>
  <c r="G18" i="20"/>
  <c r="H18" i="20" s="1"/>
  <c r="O16" i="20"/>
  <c r="H16" i="20"/>
  <c r="H21" i="20"/>
  <c r="T20" i="20"/>
  <c r="Q19" i="20"/>
  <c r="S19" i="20"/>
  <c r="R19" i="20"/>
  <c r="P20" i="20"/>
  <c r="O19" i="20"/>
  <c r="G17" i="20"/>
  <c r="P17" i="20" s="1"/>
  <c r="N20" i="20"/>
  <c r="M19" i="20"/>
  <c r="R16" i="20"/>
  <c r="T32" i="20"/>
  <c r="M21" i="20"/>
  <c r="O20" i="20"/>
  <c r="J17" i="20"/>
  <c r="N16" i="20"/>
  <c r="H32" i="20"/>
  <c r="U21" i="20"/>
  <c r="K26" i="20"/>
  <c r="T21" i="20"/>
  <c r="S20" i="20"/>
  <c r="K18" i="20"/>
  <c r="S21" i="20"/>
  <c r="R20" i="20"/>
  <c r="J20" i="20"/>
  <c r="L18" i="20"/>
  <c r="G37" i="20"/>
  <c r="H37" i="20" s="1"/>
  <c r="O21" i="20"/>
  <c r="Q20" i="20"/>
  <c r="J19" i="20"/>
  <c r="K17" i="20"/>
  <c r="P16" i="20"/>
  <c r="G42" i="20"/>
  <c r="Q42" i="20" s="1"/>
  <c r="G31" i="20"/>
  <c r="T31" i="20" s="1"/>
  <c r="G30" i="20"/>
  <c r="T30" i="20" s="1"/>
  <c r="J22" i="20"/>
  <c r="U19" i="20"/>
  <c r="N21" i="20"/>
  <c r="T19" i="20"/>
  <c r="S16" i="20"/>
  <c r="K42" i="20"/>
  <c r="P22" i="20"/>
  <c r="R21" i="20"/>
  <c r="J21" i="20"/>
  <c r="P19" i="20"/>
  <c r="H19" i="20"/>
  <c r="W16" i="20"/>
  <c r="H22" i="20"/>
  <c r="K27" i="20"/>
  <c r="O22" i="20"/>
  <c r="Q21" i="20"/>
  <c r="H20" i="20"/>
  <c r="R22" i="20"/>
  <c r="Q22" i="20"/>
  <c r="K43" i="20"/>
  <c r="V31" i="20"/>
  <c r="X31" i="20" s="1"/>
  <c r="V30" i="20"/>
  <c r="X30" i="20" s="1"/>
  <c r="V29" i="20"/>
  <c r="X29" i="20" s="1"/>
  <c r="K28" i="20"/>
  <c r="P21" i="20"/>
  <c r="U16" i="20"/>
  <c r="R32" i="20"/>
  <c r="G43" i="20"/>
  <c r="T43" i="20" s="1"/>
  <c r="R40" i="20"/>
  <c r="Q38" i="20"/>
  <c r="G34" i="20"/>
  <c r="R34" i="20" s="1"/>
  <c r="W32" i="20"/>
  <c r="J32" i="20"/>
  <c r="Q40" i="20"/>
  <c r="K38" i="20"/>
  <c r="G33" i="20"/>
  <c r="S33" i="20" s="1"/>
  <c r="G29" i="20"/>
  <c r="M29" i="20" s="1"/>
  <c r="L27" i="20"/>
  <c r="L26" i="20"/>
  <c r="L25" i="20"/>
  <c r="L24" i="20"/>
  <c r="L23" i="20"/>
  <c r="S22" i="20"/>
  <c r="V36" i="20"/>
  <c r="X36" i="20" s="1"/>
  <c r="K33" i="20"/>
  <c r="L33" i="20"/>
  <c r="P32" i="20"/>
  <c r="V43" i="20"/>
  <c r="X43" i="20" s="1"/>
  <c r="Q32" i="20"/>
  <c r="G36" i="20"/>
  <c r="U36" i="20" s="1"/>
  <c r="K34" i="20"/>
  <c r="O32" i="20"/>
  <c r="K29" i="20"/>
  <c r="G28" i="20"/>
  <c r="U28" i="20" s="1"/>
  <c r="G27" i="20"/>
  <c r="G26" i="20"/>
  <c r="G25" i="20"/>
  <c r="G24" i="20"/>
  <c r="G23" i="20"/>
  <c r="N22" i="20"/>
  <c r="V34" i="20"/>
  <c r="X34" i="20" s="1"/>
  <c r="V42" i="20"/>
  <c r="X42" i="20" s="1"/>
  <c r="V38" i="20"/>
  <c r="X38" i="20" s="1"/>
  <c r="K31" i="20"/>
  <c r="K30" i="20"/>
  <c r="U22" i="20"/>
  <c r="G35" i="20"/>
  <c r="J35" i="20" s="1"/>
  <c r="L42" i="20"/>
  <c r="T40" i="20"/>
  <c r="K37" i="20"/>
  <c r="S32" i="20"/>
  <c r="N40" i="20"/>
  <c r="K39" i="20"/>
  <c r="J40" i="20"/>
  <c r="G39" i="20"/>
  <c r="M39" i="20" s="1"/>
  <c r="K35" i="20"/>
  <c r="N32" i="20"/>
  <c r="V39" i="20"/>
  <c r="X39" i="20" s="1"/>
  <c r="U32" i="20"/>
  <c r="W40" i="20"/>
  <c r="H40" i="20"/>
  <c r="P40" i="20"/>
  <c r="U37" i="20"/>
  <c r="O40" i="20"/>
  <c r="V41" i="20"/>
  <c r="X41" i="20" s="1"/>
  <c r="G41" i="20"/>
  <c r="K41" i="20"/>
  <c r="L41" i="20"/>
  <c r="S40" i="20"/>
  <c r="U40" i="20"/>
  <c r="O7" i="20"/>
  <c r="R7" i="20"/>
  <c r="K12" i="20"/>
  <c r="N10" i="20"/>
  <c r="O10" i="20"/>
  <c r="M10" i="20"/>
  <c r="Q10" i="20"/>
  <c r="M7" i="20"/>
  <c r="K13" i="20"/>
  <c r="J10" i="20"/>
  <c r="J4" i="20"/>
  <c r="O8" i="20"/>
  <c r="N3" i="20"/>
  <c r="R4" i="20"/>
  <c r="R8" i="20"/>
  <c r="M11" i="20"/>
  <c r="V13" i="20"/>
  <c r="X13" i="20" s="1"/>
  <c r="V14" i="20"/>
  <c r="X14" i="20" s="1"/>
  <c r="M4" i="20"/>
  <c r="H3" i="20"/>
  <c r="N4" i="20"/>
  <c r="P3" i="20"/>
  <c r="S4" i="20"/>
  <c r="N11" i="20"/>
  <c r="Q15" i="20"/>
  <c r="M3" i="20"/>
  <c r="H4" i="20"/>
  <c r="R3" i="20"/>
  <c r="U4" i="20"/>
  <c r="S11" i="20"/>
  <c r="J3" i="20"/>
  <c r="U3" i="20"/>
  <c r="U8" i="20"/>
  <c r="T5" i="20"/>
  <c r="U5" i="20"/>
  <c r="J2" i="20"/>
  <c r="M6" i="20"/>
  <c r="S3" i="20"/>
  <c r="V6" i="20"/>
  <c r="X6" i="20" s="1"/>
  <c r="T7" i="20"/>
  <c r="W8" i="20"/>
  <c r="T10" i="20"/>
  <c r="W11" i="20"/>
  <c r="G12" i="20"/>
  <c r="H12" i="20" s="1"/>
  <c r="H5" i="20"/>
  <c r="Q2" i="20"/>
  <c r="T3" i="20"/>
  <c r="M5" i="20"/>
  <c r="J7" i="20"/>
  <c r="H10" i="20"/>
  <c r="U10" i="20"/>
  <c r="J5" i="20"/>
  <c r="N5" i="20"/>
  <c r="M8" i="20"/>
  <c r="V12" i="20"/>
  <c r="X12" i="20" s="1"/>
  <c r="S5" i="20"/>
  <c r="R2" i="20"/>
  <c r="W4" i="20"/>
  <c r="T4" i="20"/>
  <c r="Q5" i="20"/>
  <c r="N8" i="20"/>
  <c r="K14" i="20"/>
  <c r="O2" i="20"/>
  <c r="W2" i="20"/>
  <c r="K6" i="20"/>
  <c r="T6" i="20"/>
  <c r="N9" i="20"/>
  <c r="W9" i="20"/>
  <c r="O15" i="20"/>
  <c r="P2" i="20"/>
  <c r="Q3" i="20"/>
  <c r="Q4" i="20"/>
  <c r="L6" i="20"/>
  <c r="U6" i="20"/>
  <c r="P7" i="20"/>
  <c r="H7" i="20"/>
  <c r="Q7" i="20"/>
  <c r="O9" i="20"/>
  <c r="R10" i="20"/>
  <c r="U11" i="20"/>
  <c r="G13" i="20"/>
  <c r="P15" i="20"/>
  <c r="Q9" i="20"/>
  <c r="H15" i="20"/>
  <c r="S2" i="20"/>
  <c r="T2" i="20"/>
  <c r="H6" i="20"/>
  <c r="Q6" i="20"/>
  <c r="U7" i="20"/>
  <c r="Q8" i="20"/>
  <c r="P8" i="20"/>
  <c r="W10" i="20"/>
  <c r="H11" i="20"/>
  <c r="P11" i="20"/>
  <c r="J15" i="20"/>
  <c r="R9" i="20"/>
  <c r="J9" i="20"/>
  <c r="R15" i="20"/>
  <c r="AN6" i="20"/>
  <c r="O11" i="20"/>
  <c r="U2" i="20"/>
  <c r="U9" i="20"/>
  <c r="Q11" i="20"/>
  <c r="P9" i="20"/>
  <c r="U15" i="20"/>
  <c r="M15" i="20"/>
  <c r="S15" i="20"/>
  <c r="N6" i="20"/>
  <c r="H9" i="20"/>
  <c r="P6" i="20"/>
  <c r="S9" i="20"/>
  <c r="T15" i="20"/>
  <c r="M2" i="20"/>
  <c r="R6" i="20"/>
  <c r="H8" i="20"/>
  <c r="O3" i="20"/>
  <c r="O4" i="20"/>
  <c r="W6" i="20"/>
  <c r="W5" i="20"/>
  <c r="O5" i="20"/>
  <c r="P5" i="20"/>
  <c r="J6" i="20"/>
  <c r="S6" i="20"/>
  <c r="N7" i="20"/>
  <c r="W7" i="20"/>
  <c r="J8" i="20"/>
  <c r="S8" i="20"/>
  <c r="M9" i="20"/>
  <c r="P10" i="20"/>
  <c r="J11" i="20"/>
  <c r="R11" i="20"/>
  <c r="G14" i="20"/>
  <c r="N15" i="20"/>
  <c r="V2" i="8"/>
  <c r="X2" i="8" s="1"/>
  <c r="Q37" i="20" l="1"/>
  <c r="O17" i="20"/>
  <c r="M37" i="20"/>
  <c r="S31" i="20"/>
  <c r="U17" i="20"/>
  <c r="W17" i="20"/>
  <c r="S17" i="20"/>
  <c r="J37" i="20"/>
  <c r="S37" i="20"/>
  <c r="R37" i="20"/>
  <c r="P37" i="20"/>
  <c r="N37" i="20"/>
  <c r="O37" i="20"/>
  <c r="W30" i="20"/>
  <c r="N17" i="20"/>
  <c r="U29" i="20"/>
  <c r="N28" i="20"/>
  <c r="W31" i="20"/>
  <c r="P42" i="20"/>
  <c r="R42" i="20"/>
  <c r="M35" i="20"/>
  <c r="U42" i="20"/>
  <c r="N29" i="20"/>
  <c r="M38" i="20"/>
  <c r="W38" i="20"/>
  <c r="W18" i="20"/>
  <c r="R18" i="20"/>
  <c r="U38" i="20"/>
  <c r="S38" i="20"/>
  <c r="J30" i="20"/>
  <c r="R38" i="20"/>
  <c r="P18" i="20"/>
  <c r="T18" i="20"/>
  <c r="J38" i="20"/>
  <c r="J42" i="20"/>
  <c r="N18" i="20"/>
  <c r="H38" i="20"/>
  <c r="P38" i="20"/>
  <c r="S42" i="20"/>
  <c r="N38" i="20"/>
  <c r="S43" i="20"/>
  <c r="P43" i="20"/>
  <c r="M18" i="20"/>
  <c r="Q18" i="20"/>
  <c r="M34" i="20"/>
  <c r="H39" i="20"/>
  <c r="J43" i="20"/>
  <c r="M31" i="20"/>
  <c r="S18" i="20"/>
  <c r="O43" i="20"/>
  <c r="J18" i="20"/>
  <c r="J39" i="20"/>
  <c r="J28" i="20"/>
  <c r="M17" i="20"/>
  <c r="H17" i="20"/>
  <c r="Q17" i="20"/>
  <c r="R17" i="20"/>
  <c r="T17" i="20"/>
  <c r="W42" i="20"/>
  <c r="H34" i="20"/>
  <c r="H35" i="20"/>
  <c r="R28" i="20"/>
  <c r="U18" i="20"/>
  <c r="O18" i="20"/>
  <c r="T38" i="20"/>
  <c r="W43" i="20"/>
  <c r="U31" i="20"/>
  <c r="T42" i="20"/>
  <c r="Q34" i="20"/>
  <c r="P36" i="20"/>
  <c r="N30" i="20"/>
  <c r="R30" i="20"/>
  <c r="M30" i="20"/>
  <c r="N31" i="20"/>
  <c r="J31" i="20"/>
  <c r="S28" i="20"/>
  <c r="P31" i="20"/>
  <c r="N39" i="20"/>
  <c r="U33" i="20"/>
  <c r="U30" i="20"/>
  <c r="R31" i="20"/>
  <c r="O31" i="20"/>
  <c r="N42" i="20"/>
  <c r="T37" i="20"/>
  <c r="W37" i="20"/>
  <c r="S34" i="20"/>
  <c r="O42" i="20"/>
  <c r="N34" i="20"/>
  <c r="H42" i="20"/>
  <c r="S35" i="20"/>
  <c r="N33" i="20"/>
  <c r="O28" i="20"/>
  <c r="O30" i="20"/>
  <c r="P30" i="20"/>
  <c r="H31" i="20"/>
  <c r="S30" i="20"/>
  <c r="U34" i="20"/>
  <c r="J34" i="20"/>
  <c r="O34" i="20"/>
  <c r="U43" i="20"/>
  <c r="U35" i="20"/>
  <c r="N43" i="20"/>
  <c r="R35" i="20"/>
  <c r="Q30" i="20"/>
  <c r="Q31" i="20"/>
  <c r="H30" i="20"/>
  <c r="M42" i="20"/>
  <c r="T36" i="20"/>
  <c r="W36" i="20"/>
  <c r="U39" i="20"/>
  <c r="N24" i="20"/>
  <c r="O24" i="20"/>
  <c r="W24" i="20"/>
  <c r="J24" i="20"/>
  <c r="R24" i="20"/>
  <c r="H24" i="20"/>
  <c r="P24" i="20"/>
  <c r="Q24" i="20"/>
  <c r="T24" i="20"/>
  <c r="M24" i="20"/>
  <c r="U24" i="20"/>
  <c r="S24" i="20"/>
  <c r="M36" i="20"/>
  <c r="N25" i="20"/>
  <c r="S25" i="20"/>
  <c r="O25" i="20"/>
  <c r="W25" i="20"/>
  <c r="Q25" i="20"/>
  <c r="J25" i="20"/>
  <c r="R25" i="20"/>
  <c r="H25" i="20"/>
  <c r="P25" i="20"/>
  <c r="T25" i="20"/>
  <c r="M25" i="20"/>
  <c r="U25" i="20"/>
  <c r="M33" i="20"/>
  <c r="O33" i="20"/>
  <c r="J33" i="20"/>
  <c r="P33" i="20"/>
  <c r="R33" i="20"/>
  <c r="H33" i="20"/>
  <c r="T33" i="20"/>
  <c r="Q33" i="20"/>
  <c r="T34" i="20"/>
  <c r="P34" i="20"/>
  <c r="N27" i="20"/>
  <c r="Q27" i="20"/>
  <c r="S27" i="20"/>
  <c r="O27" i="20"/>
  <c r="W27" i="20"/>
  <c r="J27" i="20"/>
  <c r="R27" i="20"/>
  <c r="H27" i="20"/>
  <c r="P27" i="20"/>
  <c r="T27" i="20"/>
  <c r="M27" i="20"/>
  <c r="U27" i="20"/>
  <c r="T29" i="20"/>
  <c r="P29" i="20"/>
  <c r="Q29" i="20"/>
  <c r="O29" i="20"/>
  <c r="W29" i="20"/>
  <c r="H29" i="20"/>
  <c r="H36" i="20"/>
  <c r="S29" i="20"/>
  <c r="T28" i="20"/>
  <c r="H28" i="20"/>
  <c r="P28" i="20"/>
  <c r="Q28" i="20"/>
  <c r="J29" i="20"/>
  <c r="M43" i="20"/>
  <c r="H43" i="20"/>
  <c r="Q43" i="20"/>
  <c r="R43" i="20"/>
  <c r="N26" i="20"/>
  <c r="Q26" i="20"/>
  <c r="O26" i="20"/>
  <c r="W26" i="20"/>
  <c r="J26" i="20"/>
  <c r="R26" i="20"/>
  <c r="H26" i="20"/>
  <c r="P26" i="20"/>
  <c r="T26" i="20"/>
  <c r="M26" i="20"/>
  <c r="U26" i="20"/>
  <c r="S26" i="20"/>
  <c r="R39" i="20"/>
  <c r="N35" i="20"/>
  <c r="J36" i="20"/>
  <c r="W34" i="20"/>
  <c r="S36" i="20"/>
  <c r="Q36" i="20"/>
  <c r="R29" i="20"/>
  <c r="N36" i="20"/>
  <c r="R36" i="20"/>
  <c r="O36" i="20"/>
  <c r="M28" i="20"/>
  <c r="W28" i="20"/>
  <c r="N23" i="20"/>
  <c r="R23" i="20"/>
  <c r="O23" i="20"/>
  <c r="W23" i="20"/>
  <c r="Q23" i="20"/>
  <c r="H23" i="20"/>
  <c r="P23" i="20"/>
  <c r="J23" i="20"/>
  <c r="T23" i="20"/>
  <c r="M23" i="20"/>
  <c r="U23" i="20"/>
  <c r="S23" i="20"/>
  <c r="T39" i="20"/>
  <c r="W39" i="20"/>
  <c r="O39" i="20"/>
  <c r="P39" i="20"/>
  <c r="Q39" i="20"/>
  <c r="S39" i="20"/>
  <c r="T35" i="20"/>
  <c r="P35" i="20"/>
  <c r="W33" i="20"/>
  <c r="O35" i="20"/>
  <c r="Q35" i="20"/>
  <c r="W35" i="20"/>
  <c r="M41" i="20"/>
  <c r="U41" i="20"/>
  <c r="Q41" i="20"/>
  <c r="J41" i="20"/>
  <c r="N41" i="20"/>
  <c r="O41" i="20"/>
  <c r="W41" i="20"/>
  <c r="S41" i="20"/>
  <c r="T41" i="20"/>
  <c r="H41" i="20"/>
  <c r="P41" i="20"/>
  <c r="R41" i="20"/>
  <c r="M12" i="20"/>
  <c r="N12" i="20"/>
  <c r="R12" i="20"/>
  <c r="S12" i="20"/>
  <c r="J12" i="20"/>
  <c r="P12" i="20"/>
  <c r="U12" i="20"/>
  <c r="T12" i="20"/>
  <c r="O12" i="20"/>
  <c r="Q12" i="20"/>
  <c r="T14" i="20"/>
  <c r="R14" i="20"/>
  <c r="J14" i="20"/>
  <c r="Q14" i="20"/>
  <c r="W13" i="20"/>
  <c r="W14" i="20"/>
  <c r="P14" i="20"/>
  <c r="N14" i="20"/>
  <c r="M14" i="20"/>
  <c r="O14" i="20"/>
  <c r="U14" i="20"/>
  <c r="W12" i="20"/>
  <c r="S14" i="20"/>
  <c r="H14" i="20"/>
  <c r="T13" i="20"/>
  <c r="N13" i="20"/>
  <c r="J13" i="20"/>
  <c r="R13" i="20"/>
  <c r="M13" i="20"/>
  <c r="S13" i="20"/>
  <c r="Q13" i="20"/>
  <c r="U13" i="20"/>
  <c r="H13" i="20"/>
  <c r="P13" i="20"/>
  <c r="O13" i="20"/>
  <c r="D12" i="19"/>
  <c r="C12" i="19"/>
  <c r="J78" i="10" l="1"/>
  <c r="M78" i="10" s="1"/>
  <c r="H78" i="10" s="1"/>
  <c r="J77" i="10"/>
  <c r="M77" i="10" s="1"/>
  <c r="H77" i="10" s="1"/>
  <c r="G77" i="10"/>
  <c r="G78" i="10"/>
  <c r="G76" i="10"/>
  <c r="J76" i="10"/>
  <c r="M76" i="10" s="1"/>
  <c r="H76" i="10" s="1"/>
  <c r="AE21" i="18"/>
  <c r="AE22" i="18"/>
  <c r="AE23" i="18"/>
  <c r="AE24" i="18"/>
  <c r="AE25" i="18"/>
  <c r="AE26" i="18"/>
  <c r="AE27" i="18"/>
  <c r="E88" i="10"/>
  <c r="D91" i="10" s="1"/>
  <c r="F26" i="18" l="1"/>
  <c r="F25" i="18"/>
  <c r="F24" i="18"/>
  <c r="F27" i="18"/>
  <c r="P77" i="10"/>
  <c r="O77" i="10" s="1"/>
  <c r="P78" i="10"/>
  <c r="O78" i="10" s="1"/>
  <c r="P76" i="10"/>
  <c r="O76" i="10" s="1"/>
  <c r="V2" i="4"/>
  <c r="V3" i="18" l="1"/>
  <c r="X3" i="18" s="1"/>
  <c r="V12" i="18"/>
  <c r="X12" i="18" s="1"/>
  <c r="V13" i="18"/>
  <c r="X13" i="18" s="1"/>
  <c r="V14" i="18"/>
  <c r="X14" i="18" s="1"/>
  <c r="V15" i="18"/>
  <c r="X15" i="18" s="1"/>
  <c r="AL22" i="18"/>
  <c r="K22" i="18" s="1"/>
  <c r="AM22" i="18"/>
  <c r="AN22" i="18"/>
  <c r="AL23" i="18"/>
  <c r="K23" i="18" s="1"/>
  <c r="AM23" i="18"/>
  <c r="AN23" i="18"/>
  <c r="AL24" i="18"/>
  <c r="K24" i="18" s="1"/>
  <c r="AM24" i="18"/>
  <c r="AN24" i="18"/>
  <c r="AL25" i="18"/>
  <c r="K25" i="18" s="1"/>
  <c r="AM25" i="18"/>
  <c r="AN25" i="18"/>
  <c r="AL26" i="18"/>
  <c r="K26" i="18" s="1"/>
  <c r="AM26" i="18"/>
  <c r="AN26" i="18"/>
  <c r="AL27" i="18"/>
  <c r="K27" i="18" s="1"/>
  <c r="AM27" i="18"/>
  <c r="AN27" i="18"/>
  <c r="AI22" i="18"/>
  <c r="AI23" i="18"/>
  <c r="AI24" i="18"/>
  <c r="AI25" i="18"/>
  <c r="AI26" i="18"/>
  <c r="AI27" i="18"/>
  <c r="G27" i="18"/>
  <c r="T27" i="18" s="1"/>
  <c r="G22" i="18"/>
  <c r="V22" i="18"/>
  <c r="X22" i="18" s="1"/>
  <c r="G23" i="18"/>
  <c r="L23" i="18"/>
  <c r="G24" i="18"/>
  <c r="N24" i="18" s="1"/>
  <c r="V24" i="18"/>
  <c r="X24" i="18" s="1"/>
  <c r="G25" i="18"/>
  <c r="G26" i="18"/>
  <c r="V26" i="18"/>
  <c r="X26" i="18" s="1"/>
  <c r="AI16" i="18"/>
  <c r="AI17" i="18"/>
  <c r="AI18" i="18"/>
  <c r="AI19" i="18"/>
  <c r="AI20" i="18"/>
  <c r="AI21" i="18"/>
  <c r="F12" i="18"/>
  <c r="L12" i="18"/>
  <c r="F13" i="18"/>
  <c r="L13" i="18"/>
  <c r="F14" i="18"/>
  <c r="L14" i="18"/>
  <c r="F15" i="18"/>
  <c r="L15" i="18"/>
  <c r="G16" i="18"/>
  <c r="G17" i="18"/>
  <c r="N17" i="18" s="1"/>
  <c r="G18" i="18"/>
  <c r="T18" i="18" s="1"/>
  <c r="G19" i="18"/>
  <c r="G20" i="18"/>
  <c r="G21" i="18"/>
  <c r="AL12" i="18"/>
  <c r="K12" i="18" s="1"/>
  <c r="AM12" i="18"/>
  <c r="AL13" i="18"/>
  <c r="K13" i="18" s="1"/>
  <c r="AM13" i="18"/>
  <c r="AL14" i="18"/>
  <c r="K14" i="18" s="1"/>
  <c r="AM14" i="18"/>
  <c r="AL15" i="18"/>
  <c r="K15" i="18" s="1"/>
  <c r="AM15" i="18"/>
  <c r="AL16" i="18"/>
  <c r="K16" i="18" s="1"/>
  <c r="AM16" i="18"/>
  <c r="AN16" i="18"/>
  <c r="AL17" i="18"/>
  <c r="K17" i="18" s="1"/>
  <c r="AM17" i="18"/>
  <c r="AN17" i="18"/>
  <c r="AL18" i="18"/>
  <c r="K18" i="18" s="1"/>
  <c r="AM18" i="18"/>
  <c r="AN18" i="18"/>
  <c r="AL19" i="18"/>
  <c r="K19" i="18" s="1"/>
  <c r="AM19" i="18"/>
  <c r="AN19" i="18"/>
  <c r="AL20" i="18"/>
  <c r="K20" i="18" s="1"/>
  <c r="AM20" i="18"/>
  <c r="AN20" i="18"/>
  <c r="AL21" i="18"/>
  <c r="K21" i="18" s="1"/>
  <c r="AM21" i="18"/>
  <c r="AN21" i="18"/>
  <c r="AI12" i="18"/>
  <c r="AI13" i="18"/>
  <c r="AI14" i="18"/>
  <c r="AI15" i="18"/>
  <c r="AD13" i="18"/>
  <c r="Y13" i="18" s="1"/>
  <c r="AD14" i="18"/>
  <c r="Y14" i="18" s="1"/>
  <c r="AD15" i="18"/>
  <c r="Y15" i="18" s="1"/>
  <c r="AD12" i="18"/>
  <c r="Y12" i="18" s="1"/>
  <c r="AE18" i="18"/>
  <c r="AE19" i="18"/>
  <c r="AE20" i="18"/>
  <c r="AE17" i="18"/>
  <c r="AE16" i="18"/>
  <c r="AM11" i="18"/>
  <c r="AL11" i="18"/>
  <c r="AI11" i="18"/>
  <c r="AD11" i="18"/>
  <c r="Y11" i="18" s="1"/>
  <c r="F11" i="18"/>
  <c r="E11" i="18"/>
  <c r="L11" i="18" s="1"/>
  <c r="AM10" i="18"/>
  <c r="AL10" i="18"/>
  <c r="AI10" i="18"/>
  <c r="AD10" i="18"/>
  <c r="Y10" i="18" s="1"/>
  <c r="F10" i="18"/>
  <c r="E10" i="18"/>
  <c r="V10" i="18" s="1"/>
  <c r="X10" i="18" s="1"/>
  <c r="AM9" i="18"/>
  <c r="AL9" i="18"/>
  <c r="AI9" i="18"/>
  <c r="AD9" i="18"/>
  <c r="Y9" i="18" s="1"/>
  <c r="F9" i="18"/>
  <c r="E9" i="18"/>
  <c r="AM8" i="18"/>
  <c r="AL8" i="18"/>
  <c r="AI8" i="18"/>
  <c r="AD8" i="18"/>
  <c r="Y8" i="18" s="1"/>
  <c r="F8" i="18"/>
  <c r="E8" i="18"/>
  <c r="L8" i="18" s="1"/>
  <c r="AM7" i="18"/>
  <c r="AL7" i="18"/>
  <c r="AI7" i="18"/>
  <c r="AD7" i="18"/>
  <c r="Y7" i="18" s="1"/>
  <c r="F7" i="18"/>
  <c r="E7" i="18"/>
  <c r="AM6" i="18"/>
  <c r="AL6" i="18"/>
  <c r="AI6" i="18"/>
  <c r="AD6" i="18"/>
  <c r="Y6" i="18" s="1"/>
  <c r="F6" i="18"/>
  <c r="E6" i="18"/>
  <c r="AQ5" i="18"/>
  <c r="AQ6" i="18" s="1"/>
  <c r="AM5" i="18"/>
  <c r="AL5" i="18"/>
  <c r="AI5" i="18"/>
  <c r="AD5" i="18"/>
  <c r="Y5" i="18" s="1"/>
  <c r="F5" i="18"/>
  <c r="E5" i="18"/>
  <c r="AM4" i="18"/>
  <c r="AL4" i="18"/>
  <c r="AI4" i="18"/>
  <c r="AD4" i="18"/>
  <c r="Y4" i="18" s="1"/>
  <c r="F4" i="18"/>
  <c r="E4" i="18"/>
  <c r="AM3" i="18"/>
  <c r="AL3" i="18"/>
  <c r="K3" i="18" s="1"/>
  <c r="AI3" i="18"/>
  <c r="AD3" i="18"/>
  <c r="L3" i="18"/>
  <c r="F3" i="18"/>
  <c r="AM2" i="18"/>
  <c r="AL2" i="18"/>
  <c r="AI2" i="18"/>
  <c r="AD2" i="18"/>
  <c r="Y2" i="18" s="1"/>
  <c r="F2" i="18"/>
  <c r="E2" i="18"/>
  <c r="V2" i="18" s="1"/>
  <c r="X2" i="18" s="1"/>
  <c r="D3" i="18" l="1"/>
  <c r="Y3" i="18"/>
  <c r="V20" i="18"/>
  <c r="X20" i="18" s="1"/>
  <c r="V19" i="18"/>
  <c r="X19" i="18" s="1"/>
  <c r="L18" i="18"/>
  <c r="F16" i="18"/>
  <c r="L17" i="18"/>
  <c r="O25" i="18"/>
  <c r="L16" i="18"/>
  <c r="S18" i="18"/>
  <c r="H25" i="18"/>
  <c r="L24" i="18"/>
  <c r="Q21" i="18"/>
  <c r="O27" i="18"/>
  <c r="L26" i="18"/>
  <c r="P23" i="18"/>
  <c r="R21" i="18"/>
  <c r="F23" i="18"/>
  <c r="K4" i="18"/>
  <c r="G13" i="18"/>
  <c r="P13" i="18" s="1"/>
  <c r="F17" i="18"/>
  <c r="L2" i="18"/>
  <c r="AN7" i="18"/>
  <c r="K11" i="18"/>
  <c r="Q16" i="18"/>
  <c r="AN13" i="18"/>
  <c r="H23" i="18"/>
  <c r="L19" i="18"/>
  <c r="H19" i="18"/>
  <c r="K6" i="18"/>
  <c r="J18" i="18"/>
  <c r="N27" i="18"/>
  <c r="Q27" i="18"/>
  <c r="V23" i="18"/>
  <c r="X23" i="18" s="1"/>
  <c r="V8" i="18"/>
  <c r="X8" i="18" s="1"/>
  <c r="U17" i="18"/>
  <c r="K2" i="18"/>
  <c r="D7" i="18"/>
  <c r="D8" i="18"/>
  <c r="T17" i="18"/>
  <c r="T24" i="18"/>
  <c r="W21" i="18"/>
  <c r="V17" i="18"/>
  <c r="X17" i="18" s="1"/>
  <c r="J17" i="18"/>
  <c r="F20" i="18"/>
  <c r="S24" i="18"/>
  <c r="L22" i="18"/>
  <c r="W22" i="18"/>
  <c r="V16" i="18"/>
  <c r="X16" i="18" s="1"/>
  <c r="W25" i="18"/>
  <c r="G14" i="18"/>
  <c r="M14" i="18" s="1"/>
  <c r="Q18" i="18"/>
  <c r="O17" i="18"/>
  <c r="S17" i="18"/>
  <c r="H20" i="18"/>
  <c r="P20" i="18"/>
  <c r="W20" i="18"/>
  <c r="Q20" i="18"/>
  <c r="V21" i="18"/>
  <c r="X21" i="18" s="1"/>
  <c r="L21" i="18"/>
  <c r="F21" i="18"/>
  <c r="P21" i="18"/>
  <c r="G3" i="18"/>
  <c r="J21" i="18"/>
  <c r="H26" i="18"/>
  <c r="T26" i="18"/>
  <c r="W26" i="18"/>
  <c r="D4" i="18"/>
  <c r="AN4" i="18"/>
  <c r="S21" i="18"/>
  <c r="W17" i="18"/>
  <c r="W18" i="18"/>
  <c r="N21" i="18"/>
  <c r="W19" i="18"/>
  <c r="O21" i="18"/>
  <c r="F19" i="18"/>
  <c r="V6" i="18"/>
  <c r="X6" i="18" s="1"/>
  <c r="L6" i="18"/>
  <c r="D9" i="18"/>
  <c r="AN9" i="18"/>
  <c r="AN12" i="18"/>
  <c r="G12" i="18"/>
  <c r="H27" i="18"/>
  <c r="W27" i="18"/>
  <c r="R27" i="18"/>
  <c r="W23" i="18"/>
  <c r="W24" i="18"/>
  <c r="V9" i="18"/>
  <c r="X9" i="18" s="1"/>
  <c r="L9" i="18"/>
  <c r="K9" i="18"/>
  <c r="G9" i="18"/>
  <c r="AN11" i="18"/>
  <c r="D11" i="18"/>
  <c r="K5" i="18"/>
  <c r="V5" i="18"/>
  <c r="X5" i="18" s="1"/>
  <c r="L5" i="18"/>
  <c r="L25" i="18"/>
  <c r="V25" i="18"/>
  <c r="X25" i="18" s="1"/>
  <c r="L7" i="18"/>
  <c r="V7" i="18"/>
  <c r="X7" i="18" s="1"/>
  <c r="K7" i="18"/>
  <c r="V18" i="18"/>
  <c r="X18" i="18" s="1"/>
  <c r="F18" i="18"/>
  <c r="L4" i="18"/>
  <c r="V4" i="18"/>
  <c r="X4" i="18" s="1"/>
  <c r="G4" i="18"/>
  <c r="W16" i="18"/>
  <c r="M17" i="18"/>
  <c r="J27" i="18"/>
  <c r="G7" i="18"/>
  <c r="G11" i="18"/>
  <c r="V11" i="18"/>
  <c r="X11" i="18" s="1"/>
  <c r="AN15" i="18"/>
  <c r="L20" i="18"/>
  <c r="J16" i="18"/>
  <c r="G15" i="18"/>
  <c r="H22" i="18"/>
  <c r="O26" i="18"/>
  <c r="V27" i="18"/>
  <c r="X27" i="18" s="1"/>
  <c r="AN10" i="18"/>
  <c r="AN14" i="18"/>
  <c r="H17" i="18"/>
  <c r="P25" i="18"/>
  <c r="T22" i="18"/>
  <c r="O22" i="18"/>
  <c r="S22" i="18"/>
  <c r="S26" i="18"/>
  <c r="J25" i="18"/>
  <c r="J23" i="18"/>
  <c r="U27" i="18"/>
  <c r="M27" i="18"/>
  <c r="L27" i="18"/>
  <c r="S27" i="18"/>
  <c r="P27" i="18"/>
  <c r="O24" i="18"/>
  <c r="S23" i="18"/>
  <c r="N26" i="18"/>
  <c r="N22" i="18"/>
  <c r="F22" i="18"/>
  <c r="U26" i="18"/>
  <c r="M26" i="18"/>
  <c r="Q25" i="18"/>
  <c r="U24" i="18"/>
  <c r="M24" i="18"/>
  <c r="Q23" i="18"/>
  <c r="U22" i="18"/>
  <c r="M22" i="18"/>
  <c r="O23" i="18"/>
  <c r="R26" i="18"/>
  <c r="J26" i="18"/>
  <c r="N25" i="18"/>
  <c r="R24" i="18"/>
  <c r="J24" i="18"/>
  <c r="N23" i="18"/>
  <c r="R22" i="18"/>
  <c r="J22" i="18"/>
  <c r="Q26" i="18"/>
  <c r="U25" i="18"/>
  <c r="M25" i="18"/>
  <c r="Q24" i="18"/>
  <c r="U23" i="18"/>
  <c r="M23" i="18"/>
  <c r="Q22" i="18"/>
  <c r="P26" i="18"/>
  <c r="T25" i="18"/>
  <c r="P24" i="18"/>
  <c r="H24" i="18"/>
  <c r="T23" i="18"/>
  <c r="P22" i="18"/>
  <c r="S25" i="18"/>
  <c r="R25" i="18"/>
  <c r="R23" i="18"/>
  <c r="J20" i="18"/>
  <c r="H21" i="18"/>
  <c r="N20" i="18"/>
  <c r="U20" i="18"/>
  <c r="M20" i="18"/>
  <c r="T20" i="18"/>
  <c r="O20" i="18"/>
  <c r="S20" i="18"/>
  <c r="R20" i="18"/>
  <c r="P19" i="18"/>
  <c r="O19" i="18"/>
  <c r="R18" i="18"/>
  <c r="O18" i="18"/>
  <c r="R17" i="18"/>
  <c r="H16" i="18"/>
  <c r="P16" i="18"/>
  <c r="O16" i="18"/>
  <c r="U19" i="18"/>
  <c r="M19" i="18"/>
  <c r="P18" i="18"/>
  <c r="H18" i="18"/>
  <c r="N16" i="18"/>
  <c r="M16" i="18"/>
  <c r="U21" i="18"/>
  <c r="M21" i="18"/>
  <c r="S19" i="18"/>
  <c r="N18" i="18"/>
  <c r="Q17" i="18"/>
  <c r="T16" i="18"/>
  <c r="N19" i="18"/>
  <c r="T19" i="18"/>
  <c r="T21" i="18"/>
  <c r="R19" i="18"/>
  <c r="J19" i="18"/>
  <c r="U18" i="18"/>
  <c r="M18" i="18"/>
  <c r="P17" i="18"/>
  <c r="S16" i="18"/>
  <c r="U16" i="18"/>
  <c r="Q19" i="18"/>
  <c r="R16" i="18"/>
  <c r="AN8" i="18"/>
  <c r="D5" i="18"/>
  <c r="AN5" i="18"/>
  <c r="K8" i="18"/>
  <c r="G10" i="18"/>
  <c r="D2" i="18"/>
  <c r="G5" i="18"/>
  <c r="D6" i="18"/>
  <c r="G8" i="18"/>
  <c r="K10" i="18"/>
  <c r="AN2" i="18"/>
  <c r="AN6" i="18"/>
  <c r="D10" i="18"/>
  <c r="L10" i="18"/>
  <c r="G6" i="18"/>
  <c r="AN3" i="18"/>
  <c r="G2" i="18"/>
  <c r="AM36" i="17"/>
  <c r="AL36" i="17"/>
  <c r="AJ36" i="17"/>
  <c r="F36" i="17"/>
  <c r="E36" i="17"/>
  <c r="G36" i="17" s="1"/>
  <c r="S36" i="17" s="1"/>
  <c r="D36" i="17"/>
  <c r="AM35" i="17"/>
  <c r="AL35" i="17"/>
  <c r="AJ35" i="17"/>
  <c r="F35" i="17"/>
  <c r="E35" i="17"/>
  <c r="D35" i="17"/>
  <c r="AM34" i="17"/>
  <c r="AL34" i="17"/>
  <c r="AJ34" i="17"/>
  <c r="F34" i="17"/>
  <c r="E34" i="17"/>
  <c r="D34" i="17"/>
  <c r="AM33" i="17"/>
  <c r="AL33" i="17"/>
  <c r="AJ33" i="17"/>
  <c r="F33" i="17"/>
  <c r="E33" i="17"/>
  <c r="V33" i="17" s="1"/>
  <c r="X33" i="17" s="1"/>
  <c r="D33" i="17"/>
  <c r="AM32" i="17"/>
  <c r="AL32" i="17"/>
  <c r="AJ32" i="17"/>
  <c r="F32" i="17"/>
  <c r="E32" i="17"/>
  <c r="D32" i="17"/>
  <c r="AM31" i="17"/>
  <c r="AL31" i="17"/>
  <c r="AJ31" i="17"/>
  <c r="F31" i="17"/>
  <c r="E31" i="17"/>
  <c r="D31" i="17"/>
  <c r="AM30" i="17"/>
  <c r="AL30" i="17"/>
  <c r="AJ30" i="17"/>
  <c r="AI30" i="17"/>
  <c r="F30" i="17"/>
  <c r="E30" i="17"/>
  <c r="L30" i="17" s="1"/>
  <c r="D30" i="17"/>
  <c r="AM29" i="17"/>
  <c r="AL29" i="17"/>
  <c r="AJ29" i="17"/>
  <c r="F29" i="17"/>
  <c r="E29" i="17"/>
  <c r="V29" i="17" s="1"/>
  <c r="X29" i="17" s="1"/>
  <c r="D29" i="17"/>
  <c r="AM28" i="17"/>
  <c r="AL28" i="17"/>
  <c r="AJ28" i="17"/>
  <c r="F28" i="17"/>
  <c r="E28" i="17"/>
  <c r="G28" i="17" s="1"/>
  <c r="D28" i="17"/>
  <c r="AM27" i="17"/>
  <c r="AL27" i="17"/>
  <c r="AJ27" i="17"/>
  <c r="F27" i="17"/>
  <c r="E27" i="17"/>
  <c r="L27" i="17" s="1"/>
  <c r="D27" i="17"/>
  <c r="AM26" i="17"/>
  <c r="AL26" i="17"/>
  <c r="AJ26" i="17"/>
  <c r="F26" i="17"/>
  <c r="E26" i="17"/>
  <c r="D26" i="17"/>
  <c r="AM25" i="17"/>
  <c r="AL25" i="17"/>
  <c r="AJ25" i="17"/>
  <c r="AI25" i="17"/>
  <c r="F25" i="17"/>
  <c r="E25" i="17"/>
  <c r="L25" i="17" s="1"/>
  <c r="D25" i="17"/>
  <c r="AM24" i="17"/>
  <c r="AL24" i="17"/>
  <c r="AJ24" i="17"/>
  <c r="F24" i="17"/>
  <c r="E24" i="17"/>
  <c r="L24" i="17" s="1"/>
  <c r="D24" i="17"/>
  <c r="AM23" i="17"/>
  <c r="AL23" i="17"/>
  <c r="AJ23" i="17"/>
  <c r="F23" i="17"/>
  <c r="E23" i="17"/>
  <c r="D23" i="17"/>
  <c r="AM22" i="17"/>
  <c r="AL22" i="17"/>
  <c r="AJ22" i="17"/>
  <c r="F22" i="17"/>
  <c r="E22" i="17"/>
  <c r="L22" i="17" s="1"/>
  <c r="D22" i="17"/>
  <c r="AM21" i="17"/>
  <c r="AL21" i="17"/>
  <c r="AJ21" i="17"/>
  <c r="F21" i="17"/>
  <c r="E21" i="17"/>
  <c r="V21" i="17" s="1"/>
  <c r="X21" i="17" s="1"/>
  <c r="D21" i="17"/>
  <c r="AM20" i="17"/>
  <c r="AL20" i="17"/>
  <c r="AJ20" i="17"/>
  <c r="F20" i="17"/>
  <c r="E20" i="17"/>
  <c r="L20" i="17" s="1"/>
  <c r="D20" i="17"/>
  <c r="AM19" i="17"/>
  <c r="AL19" i="17"/>
  <c r="AJ19" i="17"/>
  <c r="F19" i="17"/>
  <c r="E19" i="17"/>
  <c r="L19" i="17" s="1"/>
  <c r="D19" i="17"/>
  <c r="AM18" i="17"/>
  <c r="AL18" i="17"/>
  <c r="AJ18" i="17"/>
  <c r="F18" i="17"/>
  <c r="E18" i="17"/>
  <c r="D18" i="17"/>
  <c r="AM17" i="17"/>
  <c r="AL17" i="17"/>
  <c r="AJ17" i="17"/>
  <c r="F17" i="17"/>
  <c r="E17" i="17"/>
  <c r="V17" i="17" s="1"/>
  <c r="X17" i="17" s="1"/>
  <c r="D17" i="17"/>
  <c r="AM16" i="17"/>
  <c r="AL16" i="17"/>
  <c r="AJ16" i="17"/>
  <c r="F16" i="17"/>
  <c r="E16" i="17"/>
  <c r="G16" i="17" s="1"/>
  <c r="D16" i="17"/>
  <c r="AM15" i="17"/>
  <c r="AL15" i="17"/>
  <c r="AJ15" i="17"/>
  <c r="F15" i="17"/>
  <c r="E15" i="17"/>
  <c r="V15" i="17" s="1"/>
  <c r="X15" i="17" s="1"/>
  <c r="D15" i="17"/>
  <c r="AM14" i="17"/>
  <c r="AL14" i="17"/>
  <c r="AJ14" i="17"/>
  <c r="F14" i="17"/>
  <c r="E14" i="17"/>
  <c r="D14" i="17"/>
  <c r="AM13" i="17"/>
  <c r="AL13" i="17"/>
  <c r="AJ13" i="17"/>
  <c r="F13" i="17"/>
  <c r="E13" i="17"/>
  <c r="V13" i="17" s="1"/>
  <c r="X13" i="17" s="1"/>
  <c r="D13" i="17"/>
  <c r="AM12" i="17"/>
  <c r="AL12" i="17"/>
  <c r="AJ12" i="17"/>
  <c r="F12" i="17"/>
  <c r="E12" i="17"/>
  <c r="G12" i="17" s="1"/>
  <c r="D12" i="17"/>
  <c r="AM11" i="17"/>
  <c r="AL11" i="17"/>
  <c r="AJ11" i="17"/>
  <c r="F11" i="17"/>
  <c r="E11" i="17"/>
  <c r="G11" i="17" s="1"/>
  <c r="D11" i="17"/>
  <c r="AM10" i="17"/>
  <c r="AL10" i="17"/>
  <c r="AJ10" i="17"/>
  <c r="F10" i="17"/>
  <c r="E10" i="17"/>
  <c r="D10" i="17"/>
  <c r="AM9" i="17"/>
  <c r="AL9" i="17"/>
  <c r="AJ9" i="17"/>
  <c r="F9" i="17"/>
  <c r="E9" i="17"/>
  <c r="G9" i="17" s="1"/>
  <c r="D9" i="17"/>
  <c r="AM8" i="17"/>
  <c r="AL8" i="17"/>
  <c r="AJ8" i="17"/>
  <c r="F8" i="17"/>
  <c r="E8" i="17"/>
  <c r="G8" i="17" s="1"/>
  <c r="R8" i="17" s="1"/>
  <c r="D8" i="17"/>
  <c r="AM7" i="17"/>
  <c r="AL7" i="17"/>
  <c r="AJ7" i="17"/>
  <c r="AD7" i="17"/>
  <c r="D7" i="17" s="1"/>
  <c r="F7" i="17"/>
  <c r="E7" i="17"/>
  <c r="V7" i="17" s="1"/>
  <c r="X7" i="17" s="1"/>
  <c r="AM6" i="17"/>
  <c r="AL6" i="17"/>
  <c r="AJ6" i="17"/>
  <c r="AD6" i="17"/>
  <c r="D6" i="17" s="1"/>
  <c r="F6" i="17"/>
  <c r="E6" i="17"/>
  <c r="V6" i="17" s="1"/>
  <c r="X6" i="17" s="1"/>
  <c r="AQ5" i="17"/>
  <c r="AQ6" i="17" s="1"/>
  <c r="AM5" i="17"/>
  <c r="AL5" i="17"/>
  <c r="AJ5" i="17"/>
  <c r="AD5" i="17"/>
  <c r="F5" i="17"/>
  <c r="E5" i="17"/>
  <c r="V5" i="17" s="1"/>
  <c r="X5" i="17" s="1"/>
  <c r="AM4" i="17"/>
  <c r="AL4" i="17"/>
  <c r="AJ4" i="17"/>
  <c r="AD4" i="17"/>
  <c r="F4" i="17"/>
  <c r="E4" i="17"/>
  <c r="AM3" i="17"/>
  <c r="AL3" i="17"/>
  <c r="AJ3" i="17"/>
  <c r="AD3" i="17"/>
  <c r="D3" i="17" s="1"/>
  <c r="F3" i="17"/>
  <c r="E3" i="17"/>
  <c r="L3" i="17" s="1"/>
  <c r="AM2" i="17"/>
  <c r="AL2" i="17"/>
  <c r="AJ2" i="17"/>
  <c r="AD2" i="17"/>
  <c r="F2" i="17"/>
  <c r="E2" i="17"/>
  <c r="U11" i="18" l="1"/>
  <c r="H14" i="18"/>
  <c r="N13" i="18"/>
  <c r="U10" i="18"/>
  <c r="M3" i="18"/>
  <c r="U4" i="18"/>
  <c r="N9" i="18"/>
  <c r="U2" i="18"/>
  <c r="N14" i="18"/>
  <c r="Q13" i="18"/>
  <c r="J7" i="18"/>
  <c r="T13" i="18"/>
  <c r="H13" i="18"/>
  <c r="S13" i="18"/>
  <c r="U13" i="18"/>
  <c r="J13" i="18"/>
  <c r="M13" i="18"/>
  <c r="O13" i="18"/>
  <c r="R13" i="18"/>
  <c r="H11" i="18"/>
  <c r="N11" i="18"/>
  <c r="O14" i="18"/>
  <c r="P11" i="18"/>
  <c r="AI2" i="17"/>
  <c r="G13" i="17"/>
  <c r="Q13" i="17" s="1"/>
  <c r="U14" i="18"/>
  <c r="V20" i="17"/>
  <c r="X20" i="17" s="1"/>
  <c r="R11" i="18"/>
  <c r="G4" i="17"/>
  <c r="S4" i="17" s="1"/>
  <c r="AI6" i="17"/>
  <c r="AI23" i="17"/>
  <c r="AI28" i="17"/>
  <c r="J28" i="17" s="1"/>
  <c r="S11" i="18"/>
  <c r="R14" i="18"/>
  <c r="AI4" i="17"/>
  <c r="H9" i="18"/>
  <c r="U9" i="18"/>
  <c r="T11" i="18"/>
  <c r="Q10" i="18"/>
  <c r="R7" i="18"/>
  <c r="W11" i="18"/>
  <c r="W9" i="18"/>
  <c r="N3" i="18"/>
  <c r="J14" i="18"/>
  <c r="AI31" i="17"/>
  <c r="T7" i="18"/>
  <c r="H7" i="18"/>
  <c r="M11" i="18"/>
  <c r="T14" i="18"/>
  <c r="K26" i="17"/>
  <c r="Q11" i="18"/>
  <c r="H3" i="18"/>
  <c r="M7" i="18"/>
  <c r="M9" i="18"/>
  <c r="R10" i="18"/>
  <c r="J11" i="18"/>
  <c r="J9" i="18"/>
  <c r="P9" i="18"/>
  <c r="W8" i="18"/>
  <c r="O11" i="18"/>
  <c r="U3" i="18"/>
  <c r="AI8" i="17"/>
  <c r="J8" i="17" s="1"/>
  <c r="Q36" i="17"/>
  <c r="W4" i="18"/>
  <c r="K12" i="17"/>
  <c r="O9" i="18"/>
  <c r="P4" i="18"/>
  <c r="W7" i="18"/>
  <c r="J3" i="18"/>
  <c r="U9" i="17"/>
  <c r="AI11" i="17"/>
  <c r="J11" i="17" s="1"/>
  <c r="AI17" i="17"/>
  <c r="AI35" i="17"/>
  <c r="AI36" i="17"/>
  <c r="J36" i="17" s="1"/>
  <c r="O3" i="18"/>
  <c r="S7" i="18"/>
  <c r="J4" i="18"/>
  <c r="H4" i="18"/>
  <c r="M10" i="18"/>
  <c r="R3" i="18"/>
  <c r="P14" i="18"/>
  <c r="M4" i="18"/>
  <c r="AI5" i="17"/>
  <c r="Q7" i="18"/>
  <c r="AI29" i="17"/>
  <c r="R4" i="18"/>
  <c r="U7" i="18"/>
  <c r="L16" i="17"/>
  <c r="V22" i="17"/>
  <c r="X22" i="17" s="1"/>
  <c r="K33" i="17"/>
  <c r="O7" i="18"/>
  <c r="N10" i="18"/>
  <c r="W3" i="18"/>
  <c r="S3" i="18"/>
  <c r="AI9" i="17"/>
  <c r="J9" i="17" s="1"/>
  <c r="AI19" i="17"/>
  <c r="AI13" i="17"/>
  <c r="AI20" i="17"/>
  <c r="AI18" i="17"/>
  <c r="T4" i="18"/>
  <c r="P7" i="18"/>
  <c r="N7" i="18"/>
  <c r="W13" i="18"/>
  <c r="T15" i="18"/>
  <c r="W15" i="18"/>
  <c r="N15" i="18"/>
  <c r="W12" i="18"/>
  <c r="O15" i="18"/>
  <c r="H15" i="18"/>
  <c r="P15" i="18"/>
  <c r="Q15" i="18"/>
  <c r="W14" i="18"/>
  <c r="R15" i="18"/>
  <c r="J15" i="18"/>
  <c r="S15" i="18"/>
  <c r="U15" i="18"/>
  <c r="M15" i="18"/>
  <c r="S9" i="18"/>
  <c r="AI3" i="17"/>
  <c r="L8" i="17"/>
  <c r="AI10" i="17"/>
  <c r="AI15" i="17"/>
  <c r="AI16" i="17"/>
  <c r="J16" i="17" s="1"/>
  <c r="G20" i="17"/>
  <c r="R20" i="17" s="1"/>
  <c r="AI22" i="17"/>
  <c r="AI27" i="17"/>
  <c r="L33" i="17"/>
  <c r="AI34" i="17"/>
  <c r="Q4" i="18"/>
  <c r="O4" i="18"/>
  <c r="O10" i="18"/>
  <c r="W10" i="18"/>
  <c r="T3" i="18"/>
  <c r="Q9" i="18"/>
  <c r="T9" i="18"/>
  <c r="R9" i="18"/>
  <c r="AI7" i="17"/>
  <c r="AI26" i="17"/>
  <c r="AI12" i="17"/>
  <c r="J12" i="17" s="1"/>
  <c r="AI24" i="17"/>
  <c r="S4" i="18"/>
  <c r="T10" i="18"/>
  <c r="Q14" i="18"/>
  <c r="V8" i="17"/>
  <c r="X8" i="17" s="1"/>
  <c r="R9" i="17"/>
  <c r="AI14" i="17"/>
  <c r="AI21" i="17"/>
  <c r="AI32" i="17"/>
  <c r="AI33" i="17"/>
  <c r="H10" i="18"/>
  <c r="N4" i="18"/>
  <c r="S14" i="18"/>
  <c r="W2" i="18"/>
  <c r="H12" i="18"/>
  <c r="M12" i="18"/>
  <c r="U12" i="18"/>
  <c r="O12" i="18"/>
  <c r="P12" i="18"/>
  <c r="Q12" i="18"/>
  <c r="J12" i="18"/>
  <c r="N12" i="18"/>
  <c r="R12" i="18"/>
  <c r="S12" i="18"/>
  <c r="T12" i="18"/>
  <c r="J10" i="18"/>
  <c r="S10" i="18"/>
  <c r="P10" i="18"/>
  <c r="P2" i="18"/>
  <c r="H2" i="18"/>
  <c r="O2" i="18"/>
  <c r="N2" i="18"/>
  <c r="M2" i="18"/>
  <c r="T2" i="18"/>
  <c r="S2" i="18"/>
  <c r="R2" i="18"/>
  <c r="J2" i="18"/>
  <c r="Q2" i="18"/>
  <c r="S8" i="18"/>
  <c r="R8" i="18"/>
  <c r="J8" i="18"/>
  <c r="Q8" i="18"/>
  <c r="P8" i="18"/>
  <c r="H8" i="18"/>
  <c r="O8" i="18"/>
  <c r="N8" i="18"/>
  <c r="U8" i="18"/>
  <c r="M8" i="18"/>
  <c r="T8" i="18"/>
  <c r="P6" i="18"/>
  <c r="H6" i="18"/>
  <c r="N6" i="18"/>
  <c r="O6" i="18"/>
  <c r="U6" i="18"/>
  <c r="M6" i="18"/>
  <c r="T6" i="18"/>
  <c r="S6" i="18"/>
  <c r="R6" i="18"/>
  <c r="J6" i="18"/>
  <c r="Q6" i="18"/>
  <c r="S5" i="18"/>
  <c r="Q5" i="18"/>
  <c r="R5" i="18"/>
  <c r="J5" i="18"/>
  <c r="P5" i="18"/>
  <c r="H5" i="18"/>
  <c r="O5" i="18"/>
  <c r="N5" i="18"/>
  <c r="U5" i="18"/>
  <c r="M5" i="18"/>
  <c r="T5" i="18"/>
  <c r="W6" i="18"/>
  <c r="P3" i="18"/>
  <c r="W5" i="18"/>
  <c r="Q3" i="18"/>
  <c r="O12" i="17"/>
  <c r="W12" i="17"/>
  <c r="M9" i="17"/>
  <c r="K11" i="17"/>
  <c r="D5" i="17"/>
  <c r="T9" i="17"/>
  <c r="L11" i="17"/>
  <c r="K14" i="17"/>
  <c r="U4" i="17"/>
  <c r="L28" i="17"/>
  <c r="V11" i="17"/>
  <c r="X11" i="17" s="1"/>
  <c r="K18" i="17"/>
  <c r="K28" i="17"/>
  <c r="K9" i="17"/>
  <c r="V28" i="17"/>
  <c r="X28" i="17" s="1"/>
  <c r="V30" i="17"/>
  <c r="X30" i="17" s="1"/>
  <c r="G33" i="17"/>
  <c r="T33" i="17" s="1"/>
  <c r="O28" i="17"/>
  <c r="R28" i="17"/>
  <c r="T28" i="17"/>
  <c r="Q28" i="17"/>
  <c r="N28" i="17"/>
  <c r="P28" i="17"/>
  <c r="S28" i="17"/>
  <c r="O11" i="17"/>
  <c r="S11" i="17"/>
  <c r="R11" i="17"/>
  <c r="P11" i="17"/>
  <c r="N11" i="17"/>
  <c r="Q11" i="17"/>
  <c r="T11" i="17"/>
  <c r="O4" i="17"/>
  <c r="G17" i="17"/>
  <c r="Q17" i="17" s="1"/>
  <c r="G29" i="17"/>
  <c r="N29" i="17" s="1"/>
  <c r="Q8" i="17"/>
  <c r="K5" i="17"/>
  <c r="L5" i="17"/>
  <c r="K8" i="17"/>
  <c r="U12" i="17"/>
  <c r="V14" i="17"/>
  <c r="X14" i="17" s="1"/>
  <c r="V18" i="17"/>
  <c r="X18" i="17" s="1"/>
  <c r="V25" i="17"/>
  <c r="X25" i="17" s="1"/>
  <c r="L36" i="17"/>
  <c r="V3" i="17"/>
  <c r="X3" i="17" s="1"/>
  <c r="G21" i="17"/>
  <c r="R21" i="17" s="1"/>
  <c r="K29" i="17"/>
  <c r="S9" i="17"/>
  <c r="H11" i="17"/>
  <c r="M12" i="17"/>
  <c r="L14" i="17"/>
  <c r="L17" i="17"/>
  <c r="K21" i="17"/>
  <c r="K22" i="17"/>
  <c r="U8" i="17"/>
  <c r="G3" i="17"/>
  <c r="H3" i="17" s="1"/>
  <c r="G25" i="17"/>
  <c r="R25" i="17" s="1"/>
  <c r="G7" i="17"/>
  <c r="U7" i="17" s="1"/>
  <c r="G14" i="17"/>
  <c r="S14" i="17" s="1"/>
  <c r="K17" i="17"/>
  <c r="K25" i="17"/>
  <c r="G30" i="17"/>
  <c r="U30" i="17" s="1"/>
  <c r="K36" i="17"/>
  <c r="L6" i="17"/>
  <c r="Q4" i="17"/>
  <c r="K3" i="17"/>
  <c r="G5" i="17"/>
  <c r="K7" i="17"/>
  <c r="P12" i="17"/>
  <c r="H28" i="17"/>
  <c r="H9" i="17"/>
  <c r="S12" i="17"/>
  <c r="K13" i="17"/>
  <c r="K20" i="17"/>
  <c r="G22" i="17"/>
  <c r="Q22" i="17" s="1"/>
  <c r="L4" i="17"/>
  <c r="K4" i="17"/>
  <c r="V32" i="17"/>
  <c r="X32" i="17" s="1"/>
  <c r="K32" i="17"/>
  <c r="L32" i="17"/>
  <c r="G32" i="17"/>
  <c r="W32" i="17" s="1"/>
  <c r="D2" i="17"/>
  <c r="V4" i="17"/>
  <c r="X4" i="17" s="1"/>
  <c r="V10" i="17"/>
  <c r="X10" i="17" s="1"/>
  <c r="L10" i="17"/>
  <c r="K10" i="17"/>
  <c r="G10" i="17"/>
  <c r="N13" i="17"/>
  <c r="S13" i="17"/>
  <c r="H13" i="17"/>
  <c r="P4" i="17"/>
  <c r="H4" i="17"/>
  <c r="K35" i="17"/>
  <c r="G35" i="17"/>
  <c r="V35" i="17"/>
  <c r="X35" i="17" s="1"/>
  <c r="L35" i="17"/>
  <c r="D4" i="17"/>
  <c r="M4" i="17"/>
  <c r="P8" i="17"/>
  <c r="H8" i="17"/>
  <c r="O8" i="17"/>
  <c r="N8" i="17"/>
  <c r="M8" i="17"/>
  <c r="T8" i="17"/>
  <c r="S8" i="17"/>
  <c r="N16" i="17"/>
  <c r="S16" i="17"/>
  <c r="R16" i="17"/>
  <c r="Q16" i="17"/>
  <c r="U16" i="17"/>
  <c r="T16" i="17"/>
  <c r="P16" i="17"/>
  <c r="O16" i="17"/>
  <c r="M16" i="17"/>
  <c r="R36" i="17"/>
  <c r="W36" i="17"/>
  <c r="O36" i="17"/>
  <c r="W28" i="17"/>
  <c r="N36" i="17"/>
  <c r="U36" i="17"/>
  <c r="M36" i="17"/>
  <c r="P36" i="17"/>
  <c r="H36" i="17"/>
  <c r="T36" i="17"/>
  <c r="G31" i="17"/>
  <c r="W31" i="17" s="1"/>
  <c r="L31" i="17"/>
  <c r="K31" i="17"/>
  <c r="V31" i="17"/>
  <c r="X31" i="17" s="1"/>
  <c r="G2" i="17"/>
  <c r="V2" i="17"/>
  <c r="X2" i="17" s="1"/>
  <c r="L2" i="17"/>
  <c r="K2" i="17"/>
  <c r="N4" i="17"/>
  <c r="G6" i="17"/>
  <c r="H16" i="17"/>
  <c r="L34" i="17"/>
  <c r="G34" i="17"/>
  <c r="W34" i="17" s="1"/>
  <c r="K6" i="17"/>
  <c r="L9" i="17"/>
  <c r="V9" i="17"/>
  <c r="X9" i="17" s="1"/>
  <c r="V12" i="17"/>
  <c r="X12" i="17" s="1"/>
  <c r="L12" i="17"/>
  <c r="R33" i="17"/>
  <c r="V34" i="17"/>
  <c r="X34" i="17" s="1"/>
  <c r="G23" i="17"/>
  <c r="L23" i="17"/>
  <c r="K23" i="17"/>
  <c r="V24" i="17"/>
  <c r="X24" i="17" s="1"/>
  <c r="K24" i="17"/>
  <c r="K27" i="17"/>
  <c r="G27" i="17"/>
  <c r="V27" i="17"/>
  <c r="X27" i="17" s="1"/>
  <c r="L7" i="17"/>
  <c r="Q9" i="17"/>
  <c r="O9" i="17"/>
  <c r="N9" i="17"/>
  <c r="N12" i="17"/>
  <c r="W11" i="17"/>
  <c r="T12" i="17"/>
  <c r="W9" i="17"/>
  <c r="Q12" i="17"/>
  <c r="V23" i="17"/>
  <c r="X23" i="17" s="1"/>
  <c r="L26" i="17"/>
  <c r="G26" i="17"/>
  <c r="K34" i="17"/>
  <c r="W8" i="17"/>
  <c r="P9" i="17"/>
  <c r="H12" i="17"/>
  <c r="R12" i="17"/>
  <c r="G15" i="17"/>
  <c r="L15" i="17"/>
  <c r="K15" i="17"/>
  <c r="V16" i="17"/>
  <c r="X16" i="17" s="1"/>
  <c r="K16" i="17"/>
  <c r="K19" i="17"/>
  <c r="G19" i="17"/>
  <c r="V19" i="17"/>
  <c r="X19" i="17" s="1"/>
  <c r="G24" i="17"/>
  <c r="V26" i="17"/>
  <c r="X26" i="17" s="1"/>
  <c r="L18" i="17"/>
  <c r="G18" i="17"/>
  <c r="M11" i="17"/>
  <c r="U11" i="17"/>
  <c r="L13" i="17"/>
  <c r="L21" i="17"/>
  <c r="M28" i="17"/>
  <c r="U28" i="17"/>
  <c r="L29" i="17"/>
  <c r="K30" i="17"/>
  <c r="V36" i="17"/>
  <c r="X36" i="17" s="1"/>
  <c r="F2" i="15"/>
  <c r="F3" i="15"/>
  <c r="F4" i="15"/>
  <c r="F5" i="15"/>
  <c r="F6" i="15"/>
  <c r="F7" i="15"/>
  <c r="F8" i="15"/>
  <c r="F9" i="15"/>
  <c r="F10" i="15"/>
  <c r="F11" i="15"/>
  <c r="F22" i="14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2" i="14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2" i="16"/>
  <c r="F198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2" i="12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2" i="9"/>
  <c r="F88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9" i="8"/>
  <c r="F2" i="8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R13" i="17" l="1"/>
  <c r="J13" i="17"/>
  <c r="J25" i="17"/>
  <c r="P13" i="17"/>
  <c r="O13" i="17"/>
  <c r="T13" i="17"/>
  <c r="M17" i="17"/>
  <c r="M13" i="17"/>
  <c r="U13" i="17"/>
  <c r="Q20" i="17"/>
  <c r="N20" i="17"/>
  <c r="T20" i="17"/>
  <c r="J3" i="17"/>
  <c r="M20" i="17"/>
  <c r="P20" i="17"/>
  <c r="Q33" i="17"/>
  <c r="T4" i="17"/>
  <c r="R4" i="17"/>
  <c r="W33" i="17"/>
  <c r="J4" i="17"/>
  <c r="H21" i="17"/>
  <c r="U5" i="17"/>
  <c r="N33" i="17"/>
  <c r="J5" i="17"/>
  <c r="R5" i="17"/>
  <c r="M30" i="17"/>
  <c r="Q30" i="17"/>
  <c r="H30" i="17"/>
  <c r="W30" i="17"/>
  <c r="R3" i="17"/>
  <c r="P29" i="17"/>
  <c r="J33" i="17"/>
  <c r="P30" i="17"/>
  <c r="T3" i="17"/>
  <c r="O33" i="17"/>
  <c r="M3" i="17"/>
  <c r="O20" i="17"/>
  <c r="S20" i="17"/>
  <c r="U20" i="17"/>
  <c r="M33" i="17"/>
  <c r="U3" i="17"/>
  <c r="H20" i="17"/>
  <c r="J20" i="17"/>
  <c r="N30" i="17"/>
  <c r="H33" i="17"/>
  <c r="S30" i="17"/>
  <c r="O30" i="17"/>
  <c r="U33" i="17"/>
  <c r="P33" i="17"/>
  <c r="T30" i="17"/>
  <c r="O3" i="17"/>
  <c r="S3" i="17"/>
  <c r="S33" i="17"/>
  <c r="M25" i="17"/>
  <c r="H22" i="17"/>
  <c r="M7" i="17"/>
  <c r="W4" i="17"/>
  <c r="S17" i="17"/>
  <c r="W6" i="17"/>
  <c r="U25" i="17"/>
  <c r="P22" i="17"/>
  <c r="N5" i="17"/>
  <c r="T17" i="17"/>
  <c r="W2" i="17"/>
  <c r="U22" i="17"/>
  <c r="T21" i="17"/>
  <c r="P5" i="17"/>
  <c r="O17" i="17"/>
  <c r="U17" i="17"/>
  <c r="U14" i="17"/>
  <c r="Q21" i="17"/>
  <c r="Q5" i="17"/>
  <c r="R17" i="17"/>
  <c r="H17" i="17"/>
  <c r="R22" i="17"/>
  <c r="O22" i="17"/>
  <c r="N22" i="17"/>
  <c r="S25" i="17"/>
  <c r="T25" i="17"/>
  <c r="O25" i="17"/>
  <c r="N25" i="17"/>
  <c r="S21" i="17"/>
  <c r="P21" i="17"/>
  <c r="O21" i="17"/>
  <c r="P25" i="17"/>
  <c r="U21" i="17"/>
  <c r="M14" i="17"/>
  <c r="Q25" i="17"/>
  <c r="M22" i="17"/>
  <c r="Q29" i="17"/>
  <c r="N17" i="17"/>
  <c r="J17" i="17"/>
  <c r="P7" i="17"/>
  <c r="H7" i="17"/>
  <c r="Q7" i="17"/>
  <c r="O7" i="17"/>
  <c r="T7" i="17"/>
  <c r="H14" i="17"/>
  <c r="H29" i="17"/>
  <c r="N7" i="17"/>
  <c r="W5" i="17"/>
  <c r="J14" i="17"/>
  <c r="H25" i="17"/>
  <c r="M21" i="17"/>
  <c r="P14" i="17"/>
  <c r="U29" i="17"/>
  <c r="W7" i="17"/>
  <c r="W29" i="17"/>
  <c r="P17" i="17"/>
  <c r="T5" i="17"/>
  <c r="M5" i="17"/>
  <c r="S5" i="17"/>
  <c r="O5" i="17"/>
  <c r="R14" i="17"/>
  <c r="T29" i="17"/>
  <c r="M29" i="17"/>
  <c r="J22" i="17"/>
  <c r="S22" i="17"/>
  <c r="J7" i="17"/>
  <c r="J30" i="17"/>
  <c r="R30" i="17"/>
  <c r="P3" i="17"/>
  <c r="W3" i="17"/>
  <c r="Q3" i="17"/>
  <c r="Q14" i="17"/>
  <c r="N14" i="17"/>
  <c r="S29" i="17"/>
  <c r="R29" i="17"/>
  <c r="O29" i="17"/>
  <c r="O14" i="17"/>
  <c r="T14" i="17"/>
  <c r="J21" i="17"/>
  <c r="T22" i="17"/>
  <c r="N21" i="17"/>
  <c r="S7" i="17"/>
  <c r="R7" i="17"/>
  <c r="H5" i="17"/>
  <c r="N3" i="17"/>
  <c r="J29" i="17"/>
  <c r="N24" i="17"/>
  <c r="S24" i="17"/>
  <c r="R24" i="17"/>
  <c r="J24" i="17"/>
  <c r="Q24" i="17"/>
  <c r="H24" i="17"/>
  <c r="T24" i="17"/>
  <c r="U24" i="17"/>
  <c r="P24" i="17"/>
  <c r="O24" i="17"/>
  <c r="M24" i="17"/>
  <c r="O31" i="17"/>
  <c r="T31" i="17"/>
  <c r="S31" i="17"/>
  <c r="R31" i="17"/>
  <c r="J31" i="17"/>
  <c r="P31" i="17"/>
  <c r="N31" i="17"/>
  <c r="M31" i="17"/>
  <c r="H31" i="17"/>
  <c r="U31" i="17"/>
  <c r="Q31" i="17"/>
  <c r="O23" i="17"/>
  <c r="T23" i="17"/>
  <c r="S23" i="17"/>
  <c r="R23" i="17"/>
  <c r="J23" i="17"/>
  <c r="H23" i="17"/>
  <c r="U23" i="17"/>
  <c r="Q23" i="17"/>
  <c r="P23" i="17"/>
  <c r="N23" i="17"/>
  <c r="M23" i="17"/>
  <c r="O15" i="17"/>
  <c r="T15" i="17"/>
  <c r="S15" i="17"/>
  <c r="R15" i="17"/>
  <c r="J15" i="17"/>
  <c r="P15" i="17"/>
  <c r="U15" i="17"/>
  <c r="Q15" i="17"/>
  <c r="N15" i="17"/>
  <c r="M15" i="17"/>
  <c r="H15" i="17"/>
  <c r="T34" i="17"/>
  <c r="Q34" i="17"/>
  <c r="P34" i="17"/>
  <c r="H34" i="17"/>
  <c r="O34" i="17"/>
  <c r="N34" i="17"/>
  <c r="M34" i="17"/>
  <c r="J34" i="17"/>
  <c r="U34" i="17"/>
  <c r="S34" i="17"/>
  <c r="R34" i="17"/>
  <c r="T26" i="17"/>
  <c r="Q26" i="17"/>
  <c r="P26" i="17"/>
  <c r="H26" i="17"/>
  <c r="O26" i="17"/>
  <c r="J26" i="17"/>
  <c r="S26" i="17"/>
  <c r="U26" i="17"/>
  <c r="R26" i="17"/>
  <c r="N26" i="17"/>
  <c r="M26" i="17"/>
  <c r="S35" i="17"/>
  <c r="P35" i="17"/>
  <c r="H35" i="17"/>
  <c r="O35" i="17"/>
  <c r="N35" i="17"/>
  <c r="Q35" i="17"/>
  <c r="M35" i="17"/>
  <c r="J35" i="17"/>
  <c r="U35" i="17"/>
  <c r="T35" i="17"/>
  <c r="R35" i="17"/>
  <c r="T18" i="17"/>
  <c r="Q18" i="17"/>
  <c r="P18" i="17"/>
  <c r="H18" i="17"/>
  <c r="O18" i="17"/>
  <c r="U18" i="17"/>
  <c r="S18" i="17"/>
  <c r="R18" i="17"/>
  <c r="N18" i="17"/>
  <c r="M18" i="17"/>
  <c r="J18" i="17"/>
  <c r="S27" i="17"/>
  <c r="W23" i="17"/>
  <c r="P27" i="17"/>
  <c r="H27" i="17"/>
  <c r="W20" i="17"/>
  <c r="W27" i="17"/>
  <c r="O27" i="17"/>
  <c r="N27" i="17"/>
  <c r="W26" i="17"/>
  <c r="J27" i="17"/>
  <c r="W25" i="17"/>
  <c r="W24" i="17"/>
  <c r="T27" i="17"/>
  <c r="U27" i="17"/>
  <c r="W22" i="17"/>
  <c r="W21" i="17"/>
  <c r="R27" i="17"/>
  <c r="Q27" i="17"/>
  <c r="M27" i="17"/>
  <c r="S19" i="17"/>
  <c r="W15" i="17"/>
  <c r="P19" i="17"/>
  <c r="H19" i="17"/>
  <c r="W19" i="17"/>
  <c r="O19" i="17"/>
  <c r="N19" i="17"/>
  <c r="W18" i="17"/>
  <c r="U19" i="17"/>
  <c r="W14" i="17"/>
  <c r="T19" i="17"/>
  <c r="R19" i="17"/>
  <c r="Q19" i="17"/>
  <c r="M19" i="17"/>
  <c r="W13" i="17"/>
  <c r="W17" i="17"/>
  <c r="W16" i="17"/>
  <c r="J19" i="17"/>
  <c r="U6" i="17"/>
  <c r="O6" i="17"/>
  <c r="N6" i="17"/>
  <c r="M6" i="17"/>
  <c r="S6" i="17"/>
  <c r="H6" i="17"/>
  <c r="J6" i="17"/>
  <c r="T6" i="17"/>
  <c r="R6" i="17"/>
  <c r="Q6" i="17"/>
  <c r="P6" i="17"/>
  <c r="P2" i="17"/>
  <c r="H2" i="17"/>
  <c r="O2" i="17"/>
  <c r="N2" i="17"/>
  <c r="T2" i="17"/>
  <c r="Q2" i="17"/>
  <c r="S2" i="17"/>
  <c r="M2" i="17"/>
  <c r="J2" i="17"/>
  <c r="R2" i="17"/>
  <c r="U2" i="17"/>
  <c r="W35" i="17"/>
  <c r="P10" i="17"/>
  <c r="H10" i="17"/>
  <c r="N10" i="17"/>
  <c r="W10" i="17"/>
  <c r="U10" i="17"/>
  <c r="T10" i="17"/>
  <c r="J10" i="17"/>
  <c r="R10" i="17"/>
  <c r="Q10" i="17"/>
  <c r="O10" i="17"/>
  <c r="S10" i="17"/>
  <c r="M10" i="17"/>
  <c r="N32" i="17"/>
  <c r="S32" i="17"/>
  <c r="R32" i="17"/>
  <c r="J32" i="17"/>
  <c r="Q32" i="17"/>
  <c r="O32" i="17"/>
  <c r="M32" i="17"/>
  <c r="H32" i="17"/>
  <c r="U32" i="17"/>
  <c r="P32" i="17"/>
  <c r="T32" i="17"/>
  <c r="AL23" i="16"/>
  <c r="K23" i="16" s="1"/>
  <c r="AM23" i="16"/>
  <c r="AL24" i="16"/>
  <c r="K24" i="16" s="1"/>
  <c r="AM24" i="16"/>
  <c r="AL25" i="16"/>
  <c r="K25" i="16" s="1"/>
  <c r="AM25" i="16"/>
  <c r="AL26" i="16"/>
  <c r="K26" i="16" s="1"/>
  <c r="AM26" i="16"/>
  <c r="AL27" i="16"/>
  <c r="K27" i="16" s="1"/>
  <c r="AM27" i="16"/>
  <c r="AL28" i="16"/>
  <c r="K28" i="16" s="1"/>
  <c r="AM28" i="16"/>
  <c r="AL29" i="16"/>
  <c r="K29" i="16" s="1"/>
  <c r="AM29" i="16"/>
  <c r="AI23" i="16"/>
  <c r="AI24" i="16"/>
  <c r="AI25" i="16"/>
  <c r="AI26" i="16"/>
  <c r="AI27" i="16"/>
  <c r="AI28" i="16"/>
  <c r="AI29" i="16"/>
  <c r="AI9" i="16"/>
  <c r="AI10" i="16"/>
  <c r="AI11" i="16"/>
  <c r="AI12" i="16"/>
  <c r="AI13" i="16"/>
  <c r="AI14" i="16"/>
  <c r="AI15" i="16"/>
  <c r="AI16" i="16"/>
  <c r="AI17" i="16"/>
  <c r="AI18" i="16"/>
  <c r="AI19" i="16"/>
  <c r="AI20" i="16"/>
  <c r="AI21" i="16"/>
  <c r="AI22" i="16"/>
  <c r="AD24" i="16"/>
  <c r="Y24" i="16" s="1"/>
  <c r="AD25" i="16"/>
  <c r="Y25" i="16" s="1"/>
  <c r="AD26" i="16"/>
  <c r="Y26" i="16" s="1"/>
  <c r="AD27" i="16"/>
  <c r="Y27" i="16" s="1"/>
  <c r="AD28" i="16"/>
  <c r="Y28" i="16" s="1"/>
  <c r="AD29" i="16"/>
  <c r="Y29" i="16" s="1"/>
  <c r="AD23" i="16"/>
  <c r="Y23" i="16" s="1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L9" i="16"/>
  <c r="K9" i="16" s="1"/>
  <c r="AM9" i="16"/>
  <c r="AN9" i="16"/>
  <c r="AL10" i="16"/>
  <c r="K10" i="16" s="1"/>
  <c r="AM10" i="16"/>
  <c r="AL11" i="16"/>
  <c r="K11" i="16" s="1"/>
  <c r="AM11" i="16"/>
  <c r="AL12" i="16"/>
  <c r="K12" i="16" s="1"/>
  <c r="AM12" i="16"/>
  <c r="AL13" i="16"/>
  <c r="K13" i="16" s="1"/>
  <c r="AM13" i="16"/>
  <c r="AL14" i="16"/>
  <c r="K14" i="16" s="1"/>
  <c r="AM14" i="16"/>
  <c r="AL15" i="16"/>
  <c r="K15" i="16" s="1"/>
  <c r="AM15" i="16"/>
  <c r="AL16" i="16"/>
  <c r="K16" i="16" s="1"/>
  <c r="AM16" i="16"/>
  <c r="AL17" i="16"/>
  <c r="K17" i="16" s="1"/>
  <c r="AM17" i="16"/>
  <c r="AL18" i="16"/>
  <c r="K18" i="16" s="1"/>
  <c r="AM18" i="16"/>
  <c r="AL19" i="16"/>
  <c r="K19" i="16" s="1"/>
  <c r="AM19" i="16"/>
  <c r="AL20" i="16"/>
  <c r="K20" i="16" s="1"/>
  <c r="AM20" i="16"/>
  <c r="AL21" i="16"/>
  <c r="K21" i="16" s="1"/>
  <c r="AM21" i="16"/>
  <c r="AL22" i="16"/>
  <c r="K22" i="16" s="1"/>
  <c r="AM22" i="16"/>
  <c r="L29" i="16"/>
  <c r="V29" i="16"/>
  <c r="X29" i="16" s="1"/>
  <c r="L9" i="16"/>
  <c r="V9" i="16"/>
  <c r="X9" i="16" s="1"/>
  <c r="L10" i="16"/>
  <c r="V10" i="16"/>
  <c r="X10" i="16" s="1"/>
  <c r="L11" i="16"/>
  <c r="V11" i="16"/>
  <c r="X11" i="16" s="1"/>
  <c r="L12" i="16"/>
  <c r="V12" i="16"/>
  <c r="X12" i="16" s="1"/>
  <c r="L13" i="16"/>
  <c r="V13" i="16"/>
  <c r="X13" i="16" s="1"/>
  <c r="L14" i="16"/>
  <c r="V14" i="16"/>
  <c r="X14" i="16" s="1"/>
  <c r="L15" i="16"/>
  <c r="V15" i="16"/>
  <c r="X15" i="16" s="1"/>
  <c r="L16" i="16"/>
  <c r="V16" i="16"/>
  <c r="X16" i="16" s="1"/>
  <c r="L17" i="16"/>
  <c r="V17" i="16"/>
  <c r="X17" i="16" s="1"/>
  <c r="L18" i="16"/>
  <c r="V18" i="16"/>
  <c r="X18" i="16" s="1"/>
  <c r="L19" i="16"/>
  <c r="V19" i="16"/>
  <c r="X19" i="16" s="1"/>
  <c r="L20" i="16"/>
  <c r="V20" i="16"/>
  <c r="X20" i="16" s="1"/>
  <c r="L21" i="16"/>
  <c r="V21" i="16"/>
  <c r="X21" i="16" s="1"/>
  <c r="L22" i="16"/>
  <c r="V22" i="16"/>
  <c r="X22" i="16" s="1"/>
  <c r="L23" i="16"/>
  <c r="V23" i="16"/>
  <c r="X23" i="16" s="1"/>
  <c r="L24" i="16"/>
  <c r="V24" i="16"/>
  <c r="X24" i="16" s="1"/>
  <c r="L25" i="16"/>
  <c r="V25" i="16"/>
  <c r="X25" i="16" s="1"/>
  <c r="L26" i="16"/>
  <c r="V26" i="16"/>
  <c r="X26" i="16" s="1"/>
  <c r="L27" i="16"/>
  <c r="V27" i="16"/>
  <c r="X27" i="16" s="1"/>
  <c r="L28" i="16"/>
  <c r="V28" i="16"/>
  <c r="X28" i="16" s="1"/>
  <c r="D2" i="16"/>
  <c r="AD3" i="16"/>
  <c r="AD4" i="16"/>
  <c r="AD5" i="16"/>
  <c r="AD6" i="16"/>
  <c r="AD7" i="16"/>
  <c r="AD8" i="16"/>
  <c r="AD2" i="16"/>
  <c r="AM8" i="16"/>
  <c r="AL8" i="16"/>
  <c r="K8" i="16" s="1"/>
  <c r="AI8" i="16"/>
  <c r="V8" i="16"/>
  <c r="X8" i="16" s="1"/>
  <c r="AM7" i="16"/>
  <c r="AL7" i="16"/>
  <c r="K7" i="16" s="1"/>
  <c r="AI7" i="16"/>
  <c r="L7" i="16"/>
  <c r="AM6" i="16"/>
  <c r="AL6" i="16"/>
  <c r="AI6" i="16"/>
  <c r="L6" i="16"/>
  <c r="AQ5" i="16"/>
  <c r="AM5" i="16"/>
  <c r="AL5" i="16"/>
  <c r="K5" i="16" s="1"/>
  <c r="AI5" i="16"/>
  <c r="V5" i="16"/>
  <c r="X5" i="16" s="1"/>
  <c r="AM4" i="16"/>
  <c r="AL4" i="16"/>
  <c r="K4" i="16" s="1"/>
  <c r="AI4" i="16"/>
  <c r="L4" i="16"/>
  <c r="AM3" i="16"/>
  <c r="AL3" i="16"/>
  <c r="K3" i="16" s="1"/>
  <c r="AI3" i="16"/>
  <c r="V3" i="16"/>
  <c r="X3" i="16" s="1"/>
  <c r="L3" i="16"/>
  <c r="AM2" i="16"/>
  <c r="AL2" i="16"/>
  <c r="AI2" i="16"/>
  <c r="L2" i="16"/>
  <c r="M19" i="10"/>
  <c r="M20" i="10"/>
  <c r="M21" i="10"/>
  <c r="M22" i="10"/>
  <c r="M23" i="10"/>
  <c r="M24" i="10"/>
  <c r="M25" i="10"/>
  <c r="M26" i="10"/>
  <c r="J87" i="10"/>
  <c r="H87" i="10" s="1"/>
  <c r="J86" i="10"/>
  <c r="H86" i="10" s="1"/>
  <c r="J85" i="10"/>
  <c r="H85" i="10" s="1"/>
  <c r="G87" i="10"/>
  <c r="G86" i="10"/>
  <c r="P86" i="10" l="1"/>
  <c r="O86" i="10" s="1"/>
  <c r="P87" i="10"/>
  <c r="O87" i="10" s="1"/>
  <c r="D28" i="16"/>
  <c r="D25" i="16"/>
  <c r="D23" i="16"/>
  <c r="AN22" i="16"/>
  <c r="D22" i="16"/>
  <c r="D14" i="16"/>
  <c r="AN2" i="16"/>
  <c r="D24" i="16"/>
  <c r="D13" i="16"/>
  <c r="G11" i="16"/>
  <c r="G25" i="16"/>
  <c r="G20" i="16"/>
  <c r="H20" i="16" s="1"/>
  <c r="G13" i="16"/>
  <c r="N13" i="16" s="1"/>
  <c r="G17" i="16"/>
  <c r="H17" i="16" s="1"/>
  <c r="G9" i="16"/>
  <c r="N9" i="16" s="1"/>
  <c r="AN3" i="16"/>
  <c r="D10" i="16"/>
  <c r="D6" i="16"/>
  <c r="D16" i="16"/>
  <c r="D5" i="16"/>
  <c r="AN15" i="16"/>
  <c r="G29" i="16"/>
  <c r="G8" i="16"/>
  <c r="T8" i="16" s="1"/>
  <c r="AN13" i="16"/>
  <c r="AN24" i="16"/>
  <c r="AN23" i="16"/>
  <c r="AN4" i="16"/>
  <c r="G22" i="16"/>
  <c r="AN14" i="16"/>
  <c r="G28" i="16"/>
  <c r="AN19" i="16"/>
  <c r="D21" i="16"/>
  <c r="G18" i="16"/>
  <c r="AQ6" i="16"/>
  <c r="AN27" i="16"/>
  <c r="G7" i="16"/>
  <c r="G10" i="16"/>
  <c r="AN10" i="16"/>
  <c r="O10" i="16" s="1"/>
  <c r="D12" i="16"/>
  <c r="G12" i="16"/>
  <c r="T12" i="16" s="1"/>
  <c r="AN12" i="16"/>
  <c r="G24" i="16"/>
  <c r="AN18" i="16"/>
  <c r="D3" i="16"/>
  <c r="D20" i="16"/>
  <c r="G5" i="16"/>
  <c r="G19" i="16"/>
  <c r="U19" i="16" s="1"/>
  <c r="D11" i="16"/>
  <c r="D29" i="16"/>
  <c r="D19" i="16"/>
  <c r="AN20" i="16"/>
  <c r="AN11" i="16"/>
  <c r="D18" i="16"/>
  <c r="AN17" i="16"/>
  <c r="D17" i="16"/>
  <c r="G23" i="16"/>
  <c r="AN26" i="16"/>
  <c r="AN25" i="16"/>
  <c r="G21" i="16"/>
  <c r="M21" i="16" s="1"/>
  <c r="G14" i="16"/>
  <c r="U14" i="16" s="1"/>
  <c r="G3" i="16"/>
  <c r="J3" i="16" s="1"/>
  <c r="D8" i="16"/>
  <c r="D27" i="16"/>
  <c r="G26" i="16"/>
  <c r="AN21" i="16"/>
  <c r="D4" i="16"/>
  <c r="M85" i="10"/>
  <c r="AN6" i="16"/>
  <c r="D7" i="16"/>
  <c r="D26" i="16"/>
  <c r="D9" i="16"/>
  <c r="G4" i="16"/>
  <c r="G27" i="16"/>
  <c r="G15" i="16"/>
  <c r="J15" i="16" s="1"/>
  <c r="AN29" i="16"/>
  <c r="D15" i="16"/>
  <c r="AN28" i="16"/>
  <c r="AN16" i="16"/>
  <c r="G16" i="16"/>
  <c r="Q13" i="16"/>
  <c r="N8" i="16"/>
  <c r="G2" i="16"/>
  <c r="AN7" i="16"/>
  <c r="V4" i="16"/>
  <c r="X4" i="16" s="1"/>
  <c r="L5" i="16"/>
  <c r="V7" i="16"/>
  <c r="X7" i="16" s="1"/>
  <c r="L8" i="16"/>
  <c r="G6" i="16"/>
  <c r="AN5" i="16"/>
  <c r="AN8" i="16"/>
  <c r="K2" i="16"/>
  <c r="K6" i="16"/>
  <c r="V2" i="16"/>
  <c r="X2" i="16" s="1"/>
  <c r="V6" i="16"/>
  <c r="X6" i="16" s="1"/>
  <c r="M86" i="10"/>
  <c r="M87" i="10"/>
  <c r="G85" i="10"/>
  <c r="P85" i="10" s="1"/>
  <c r="O85" i="10" s="1"/>
  <c r="H79" i="10"/>
  <c r="H81" i="10"/>
  <c r="H80" i="10"/>
  <c r="H82" i="10"/>
  <c r="H83" i="10"/>
  <c r="H84" i="10"/>
  <c r="G80" i="10"/>
  <c r="G81" i="10"/>
  <c r="G82" i="10"/>
  <c r="G83" i="10"/>
  <c r="G84" i="10"/>
  <c r="G79" i="10"/>
  <c r="J80" i="10"/>
  <c r="J81" i="10"/>
  <c r="J82" i="10"/>
  <c r="J83" i="10"/>
  <c r="J84" i="10"/>
  <c r="J79" i="10"/>
  <c r="H75" i="10"/>
  <c r="J75" i="10"/>
  <c r="M75" i="10" s="1"/>
  <c r="G75" i="10"/>
  <c r="H51" i="10"/>
  <c r="H52" i="10"/>
  <c r="H53" i="10"/>
  <c r="H54" i="10"/>
  <c r="H74" i="10"/>
  <c r="G74" i="10"/>
  <c r="J74" i="10"/>
  <c r="M74" i="10" s="1"/>
  <c r="G45" i="10"/>
  <c r="H64" i="10"/>
  <c r="H65" i="10"/>
  <c r="H66" i="10"/>
  <c r="H67" i="10"/>
  <c r="H68" i="10"/>
  <c r="H69" i="10"/>
  <c r="H70" i="10"/>
  <c r="H71" i="10"/>
  <c r="H72" i="10"/>
  <c r="H73" i="10"/>
  <c r="H63" i="10"/>
  <c r="J64" i="10"/>
  <c r="M64" i="10" s="1"/>
  <c r="J65" i="10"/>
  <c r="M65" i="10" s="1"/>
  <c r="J66" i="10"/>
  <c r="M66" i="10" s="1"/>
  <c r="J67" i="10"/>
  <c r="M67" i="10" s="1"/>
  <c r="J68" i="10"/>
  <c r="M68" i="10" s="1"/>
  <c r="J69" i="10"/>
  <c r="M69" i="10" s="1"/>
  <c r="J70" i="10"/>
  <c r="M70" i="10" s="1"/>
  <c r="J71" i="10"/>
  <c r="M71" i="10" s="1"/>
  <c r="J72" i="10"/>
  <c r="M72" i="10" s="1"/>
  <c r="J73" i="10"/>
  <c r="M73" i="10" s="1"/>
  <c r="J63" i="10"/>
  <c r="M63" i="10" s="1"/>
  <c r="G64" i="10"/>
  <c r="G65" i="10"/>
  <c r="G66" i="10"/>
  <c r="G67" i="10"/>
  <c r="G68" i="10"/>
  <c r="G69" i="10"/>
  <c r="G70" i="10"/>
  <c r="G71" i="10"/>
  <c r="G72" i="10"/>
  <c r="G73" i="10"/>
  <c r="G63" i="10"/>
  <c r="J59" i="10"/>
  <c r="M59" i="10" s="1"/>
  <c r="J60" i="10"/>
  <c r="M60" i="10" s="1"/>
  <c r="J61" i="10"/>
  <c r="M61" i="10" s="1"/>
  <c r="J62" i="10"/>
  <c r="M62" i="10" s="1"/>
  <c r="G59" i="10"/>
  <c r="G60" i="10"/>
  <c r="G61" i="10"/>
  <c r="G62" i="10"/>
  <c r="H59" i="10"/>
  <c r="H60" i="10"/>
  <c r="H61" i="10"/>
  <c r="H62" i="10"/>
  <c r="H56" i="10"/>
  <c r="H57" i="10"/>
  <c r="H58" i="10"/>
  <c r="H55" i="10"/>
  <c r="G58" i="10"/>
  <c r="G57" i="10"/>
  <c r="G56" i="10"/>
  <c r="G55" i="10"/>
  <c r="J57" i="10"/>
  <c r="M57" i="10" s="1"/>
  <c r="J58" i="10"/>
  <c r="M58" i="10" s="1"/>
  <c r="J56" i="10"/>
  <c r="M56" i="10" s="1"/>
  <c r="J55" i="10"/>
  <c r="M55" i="10" s="1"/>
  <c r="J54" i="10"/>
  <c r="M54" i="10" s="1"/>
  <c r="J52" i="10"/>
  <c r="M52" i="10" s="1"/>
  <c r="J53" i="10"/>
  <c r="M53" i="10" s="1"/>
  <c r="J51" i="10"/>
  <c r="M51" i="10" s="1"/>
  <c r="G54" i="10"/>
  <c r="G52" i="10"/>
  <c r="G53" i="10"/>
  <c r="G51" i="10"/>
  <c r="J50" i="10"/>
  <c r="J49" i="10"/>
  <c r="J48" i="10"/>
  <c r="G50" i="10"/>
  <c r="G49" i="10"/>
  <c r="G48" i="10"/>
  <c r="G47" i="10"/>
  <c r="G46" i="10"/>
  <c r="J47" i="10"/>
  <c r="J46" i="10"/>
  <c r="J45" i="10"/>
  <c r="G37" i="10"/>
  <c r="H43" i="10"/>
  <c r="H40" i="10"/>
  <c r="H39" i="10"/>
  <c r="H38" i="10"/>
  <c r="H37" i="10"/>
  <c r="J44" i="10"/>
  <c r="J43" i="10"/>
  <c r="J42" i="10"/>
  <c r="J41" i="10"/>
  <c r="J40" i="10"/>
  <c r="J39" i="10"/>
  <c r="J37" i="10"/>
  <c r="M37" i="10" s="1"/>
  <c r="J38" i="10"/>
  <c r="J36" i="10"/>
  <c r="J35" i="10"/>
  <c r="J34" i="10"/>
  <c r="J33" i="10"/>
  <c r="J32" i="10"/>
  <c r="J31" i="10"/>
  <c r="J30" i="10"/>
  <c r="J29" i="10"/>
  <c r="J28" i="10"/>
  <c r="J27" i="10"/>
  <c r="J18" i="10"/>
  <c r="J17" i="10"/>
  <c r="J15" i="10"/>
  <c r="J16" i="10"/>
  <c r="J14" i="10"/>
  <c r="J12" i="10"/>
  <c r="J13" i="10"/>
  <c r="J11" i="10"/>
  <c r="J6" i="10"/>
  <c r="J7" i="10"/>
  <c r="J9" i="10"/>
  <c r="J10" i="10"/>
  <c r="J8" i="10"/>
  <c r="J3" i="10"/>
  <c r="J4" i="10"/>
  <c r="J2" i="10"/>
  <c r="P2" i="10" s="1"/>
  <c r="J5" i="10"/>
  <c r="D2" i="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U29" i="16" l="1"/>
  <c r="T29" i="16"/>
  <c r="Q29" i="16"/>
  <c r="W29" i="16"/>
  <c r="T28" i="16"/>
  <c r="H27" i="16"/>
  <c r="W28" i="16"/>
  <c r="M25" i="16"/>
  <c r="H24" i="16"/>
  <c r="H26" i="16"/>
  <c r="S28" i="16"/>
  <c r="M29" i="16"/>
  <c r="H28" i="16"/>
  <c r="S4" i="16"/>
  <c r="N29" i="16"/>
  <c r="P83" i="10"/>
  <c r="O83" i="10" s="1"/>
  <c r="P46" i="10"/>
  <c r="O46" i="10" s="1"/>
  <c r="P51" i="10"/>
  <c r="O51" i="10" s="1"/>
  <c r="P62" i="10"/>
  <c r="O62" i="10" s="1"/>
  <c r="P49" i="10"/>
  <c r="O49" i="10" s="1"/>
  <c r="P71" i="10"/>
  <c r="O71" i="10" s="1"/>
  <c r="P58" i="10"/>
  <c r="O58" i="10" s="1"/>
  <c r="P67" i="10"/>
  <c r="O67" i="10" s="1"/>
  <c r="P53" i="10"/>
  <c r="O53" i="10" s="1"/>
  <c r="P61" i="10"/>
  <c r="O61" i="10" s="1"/>
  <c r="P45" i="10"/>
  <c r="O45" i="10" s="1"/>
  <c r="P75" i="10"/>
  <c r="O75" i="10" s="1"/>
  <c r="P74" i="10"/>
  <c r="O74" i="10" s="1"/>
  <c r="P84" i="10"/>
  <c r="O84" i="10" s="1"/>
  <c r="P80" i="10"/>
  <c r="O80" i="10" s="1"/>
  <c r="O11" i="16"/>
  <c r="W13" i="16"/>
  <c r="M8" i="16"/>
  <c r="M3" i="10"/>
  <c r="P3" i="10"/>
  <c r="M8" i="10"/>
  <c r="P8" i="10"/>
  <c r="M14" i="10"/>
  <c r="P14" i="10"/>
  <c r="M30" i="10"/>
  <c r="P30" i="10"/>
  <c r="O30" i="10" s="1"/>
  <c r="P63" i="10"/>
  <c r="O63" i="10" s="1"/>
  <c r="P66" i="10"/>
  <c r="O66" i="10" s="1"/>
  <c r="M10" i="10"/>
  <c r="P10" i="10"/>
  <c r="M16" i="10"/>
  <c r="P16" i="10"/>
  <c r="M31" i="10"/>
  <c r="P31" i="10"/>
  <c r="O31" i="10" s="1"/>
  <c r="M39" i="10"/>
  <c r="P39" i="10"/>
  <c r="O39" i="10" s="1"/>
  <c r="P47" i="10"/>
  <c r="O47" i="10" s="1"/>
  <c r="P73" i="10"/>
  <c r="O73" i="10" s="1"/>
  <c r="P65" i="10"/>
  <c r="O65" i="10" s="1"/>
  <c r="M9" i="10"/>
  <c r="P9" i="10"/>
  <c r="M15" i="10"/>
  <c r="P15" i="10"/>
  <c r="M32" i="10"/>
  <c r="P32" i="10"/>
  <c r="O32" i="10" s="1"/>
  <c r="M40" i="10"/>
  <c r="P40" i="10"/>
  <c r="O40" i="10" s="1"/>
  <c r="P48" i="10"/>
  <c r="O48" i="10" s="1"/>
  <c r="P52" i="10"/>
  <c r="O52" i="10" s="1"/>
  <c r="P60" i="10"/>
  <c r="O60" i="10" s="1"/>
  <c r="P72" i="10"/>
  <c r="O72" i="10" s="1"/>
  <c r="P64" i="10"/>
  <c r="O64" i="10" s="1"/>
  <c r="P79" i="10"/>
  <c r="O79" i="10" s="1"/>
  <c r="M29" i="10"/>
  <c r="P29" i="10"/>
  <c r="O29" i="10" s="1"/>
  <c r="M33" i="10"/>
  <c r="P33" i="10"/>
  <c r="O33" i="10" s="1"/>
  <c r="P50" i="10"/>
  <c r="O50" i="10" s="1"/>
  <c r="M12" i="10"/>
  <c r="P12" i="10"/>
  <c r="M7" i="10"/>
  <c r="P7" i="10"/>
  <c r="M41" i="10"/>
  <c r="P41" i="10"/>
  <c r="O41" i="10" s="1"/>
  <c r="M5" i="10"/>
  <c r="P5" i="10"/>
  <c r="M18" i="10"/>
  <c r="P18" i="10"/>
  <c r="M42" i="10"/>
  <c r="P42" i="10"/>
  <c r="O42" i="10" s="1"/>
  <c r="M11" i="10"/>
  <c r="P11" i="10"/>
  <c r="M27" i="10"/>
  <c r="P27" i="10"/>
  <c r="O27" i="10" s="1"/>
  <c r="M35" i="10"/>
  <c r="P35" i="10"/>
  <c r="O35" i="10" s="1"/>
  <c r="M43" i="10"/>
  <c r="P43" i="10"/>
  <c r="O43" i="10" s="1"/>
  <c r="P56" i="10"/>
  <c r="O56" i="10" s="1"/>
  <c r="P69" i="10"/>
  <c r="O69" i="10" s="1"/>
  <c r="P82" i="10"/>
  <c r="O82" i="10" s="1"/>
  <c r="M38" i="10"/>
  <c r="P38" i="10"/>
  <c r="O38" i="10" s="1"/>
  <c r="M17" i="10"/>
  <c r="P17" i="10"/>
  <c r="P54" i="10"/>
  <c r="O54" i="10" s="1"/>
  <c r="P59" i="10"/>
  <c r="O59" i="10" s="1"/>
  <c r="M6" i="10"/>
  <c r="P6" i="10"/>
  <c r="M34" i="10"/>
  <c r="P34" i="10"/>
  <c r="O34" i="10" s="1"/>
  <c r="P37" i="10"/>
  <c r="O37" i="10" s="1"/>
  <c r="P55" i="10"/>
  <c r="O55" i="10" s="1"/>
  <c r="P70" i="10"/>
  <c r="O70" i="10" s="1"/>
  <c r="M4" i="10"/>
  <c r="P4" i="10"/>
  <c r="M13" i="10"/>
  <c r="P13" i="10"/>
  <c r="M28" i="10"/>
  <c r="P28" i="10"/>
  <c r="O28" i="10" s="1"/>
  <c r="M36" i="10"/>
  <c r="P36" i="10"/>
  <c r="O36" i="10" s="1"/>
  <c r="M44" i="10"/>
  <c r="P44" i="10"/>
  <c r="O44" i="10" s="1"/>
  <c r="P57" i="10"/>
  <c r="O57" i="10" s="1"/>
  <c r="P68" i="10"/>
  <c r="O68" i="10" s="1"/>
  <c r="P81" i="10"/>
  <c r="O81" i="10" s="1"/>
  <c r="N10" i="16"/>
  <c r="J13" i="16"/>
  <c r="O13" i="16"/>
  <c r="M13" i="16"/>
  <c r="J22" i="16"/>
  <c r="N7" i="16"/>
  <c r="H7" i="16"/>
  <c r="U10" i="16"/>
  <c r="N17" i="16"/>
  <c r="H13" i="16"/>
  <c r="M7" i="16"/>
  <c r="T13" i="16"/>
  <c r="J7" i="16"/>
  <c r="W16" i="16"/>
  <c r="J10" i="16"/>
  <c r="U7" i="16"/>
  <c r="T11" i="16"/>
  <c r="M9" i="16"/>
  <c r="O22" i="16"/>
  <c r="S17" i="16"/>
  <c r="S22" i="16"/>
  <c r="J11" i="16"/>
  <c r="M18" i="16"/>
  <c r="N3" i="16"/>
  <c r="H22" i="16"/>
  <c r="U13" i="16"/>
  <c r="S19" i="16"/>
  <c r="N11" i="16"/>
  <c r="P11" i="16"/>
  <c r="U22" i="16"/>
  <c r="H11" i="16"/>
  <c r="U28" i="16"/>
  <c r="Q25" i="16"/>
  <c r="W20" i="16"/>
  <c r="J17" i="16"/>
  <c r="M24" i="16"/>
  <c r="M20" i="16"/>
  <c r="N28" i="16"/>
  <c r="M11" i="16"/>
  <c r="H29" i="16"/>
  <c r="H10" i="16"/>
  <c r="W11" i="16"/>
  <c r="J29" i="16"/>
  <c r="O17" i="16"/>
  <c r="U25" i="16"/>
  <c r="P17" i="16"/>
  <c r="P10" i="16"/>
  <c r="U17" i="16"/>
  <c r="S27" i="16"/>
  <c r="W6" i="16"/>
  <c r="J8" i="16"/>
  <c r="U16" i="16"/>
  <c r="S24" i="16"/>
  <c r="N24" i="16"/>
  <c r="J25" i="16"/>
  <c r="U8" i="16"/>
  <c r="R19" i="16"/>
  <c r="W4" i="16"/>
  <c r="W8" i="16"/>
  <c r="N25" i="16"/>
  <c r="W5" i="16"/>
  <c r="H8" i="16"/>
  <c r="P24" i="16"/>
  <c r="Q24" i="16"/>
  <c r="R13" i="16"/>
  <c r="Q27" i="16"/>
  <c r="W9" i="16"/>
  <c r="J9" i="16"/>
  <c r="W17" i="16"/>
  <c r="O8" i="16"/>
  <c r="W2" i="16"/>
  <c r="M5" i="16"/>
  <c r="R4" i="16"/>
  <c r="T20" i="16"/>
  <c r="U24" i="16"/>
  <c r="O9" i="16"/>
  <c r="P25" i="16"/>
  <c r="R27" i="16"/>
  <c r="N27" i="16"/>
  <c r="O24" i="16"/>
  <c r="Q19" i="16"/>
  <c r="P5" i="16"/>
  <c r="U5" i="16"/>
  <c r="O4" i="16"/>
  <c r="T19" i="16"/>
  <c r="N20" i="16"/>
  <c r="Q20" i="16"/>
  <c r="S13" i="16"/>
  <c r="N5" i="16"/>
  <c r="U4" i="16"/>
  <c r="S15" i="16"/>
  <c r="H9" i="16"/>
  <c r="M28" i="16"/>
  <c r="Q15" i="16"/>
  <c r="P15" i="16"/>
  <c r="Q22" i="16"/>
  <c r="W25" i="16"/>
  <c r="T25" i="16"/>
  <c r="T17" i="16"/>
  <c r="P13" i="16"/>
  <c r="P4" i="16"/>
  <c r="J28" i="16"/>
  <c r="T15" i="16"/>
  <c r="Q9" i="16"/>
  <c r="R9" i="16"/>
  <c r="M17" i="16"/>
  <c r="N22" i="16"/>
  <c r="R26" i="16"/>
  <c r="T9" i="16"/>
  <c r="Q11" i="16"/>
  <c r="J20" i="16"/>
  <c r="U11" i="16"/>
  <c r="M27" i="16"/>
  <c r="S9" i="16"/>
  <c r="T22" i="16"/>
  <c r="M22" i="16"/>
  <c r="W14" i="16"/>
  <c r="H25" i="16"/>
  <c r="S3" i="16"/>
  <c r="U9" i="16"/>
  <c r="P23" i="16"/>
  <c r="W7" i="16"/>
  <c r="R15" i="16"/>
  <c r="U20" i="16"/>
  <c r="O25" i="16"/>
  <c r="T27" i="16"/>
  <c r="U27" i="16"/>
  <c r="P9" i="16"/>
  <c r="R22" i="16"/>
  <c r="P22" i="16"/>
  <c r="W22" i="16"/>
  <c r="W12" i="16"/>
  <c r="R20" i="16"/>
  <c r="Q17" i="16"/>
  <c r="H12" i="16"/>
  <c r="I84" i="10"/>
  <c r="M84" i="10" s="1"/>
  <c r="Q3" i="16"/>
  <c r="P3" i="16"/>
  <c r="P16" i="16"/>
  <c r="T24" i="16"/>
  <c r="J24" i="16"/>
  <c r="R10" i="16"/>
  <c r="S10" i="16"/>
  <c r="R17" i="16"/>
  <c r="W18" i="16"/>
  <c r="W24" i="16"/>
  <c r="P12" i="16"/>
  <c r="H18" i="16"/>
  <c r="S14" i="16"/>
  <c r="N18" i="16"/>
  <c r="H3" i="16"/>
  <c r="T7" i="16"/>
  <c r="R24" i="16"/>
  <c r="S20" i="16"/>
  <c r="T10" i="16"/>
  <c r="J18" i="16"/>
  <c r="T18" i="16"/>
  <c r="Q10" i="16"/>
  <c r="Q23" i="16"/>
  <c r="P19" i="16"/>
  <c r="S18" i="16"/>
  <c r="O20" i="16"/>
  <c r="O3" i="16"/>
  <c r="R3" i="16"/>
  <c r="P20" i="16"/>
  <c r="J12" i="16"/>
  <c r="Q21" i="16"/>
  <c r="P14" i="16"/>
  <c r="O29" i="16"/>
  <c r="U18" i="16"/>
  <c r="W10" i="16"/>
  <c r="Q12" i="16"/>
  <c r="O12" i="16"/>
  <c r="N14" i="16"/>
  <c r="R12" i="16"/>
  <c r="U12" i="16"/>
  <c r="S12" i="16"/>
  <c r="M12" i="16"/>
  <c r="Q14" i="16"/>
  <c r="J14" i="16"/>
  <c r="M10" i="16"/>
  <c r="M14" i="16"/>
  <c r="H23" i="16"/>
  <c r="W26" i="16"/>
  <c r="N23" i="16"/>
  <c r="N26" i="16"/>
  <c r="H19" i="16"/>
  <c r="O5" i="16"/>
  <c r="R23" i="16"/>
  <c r="M23" i="16"/>
  <c r="Q26" i="16"/>
  <c r="J19" i="16"/>
  <c r="W23" i="16"/>
  <c r="J5" i="16"/>
  <c r="N4" i="16"/>
  <c r="T23" i="16"/>
  <c r="N12" i="16"/>
  <c r="U15" i="16"/>
  <c r="U23" i="16"/>
  <c r="T14" i="16"/>
  <c r="R14" i="16"/>
  <c r="J27" i="16"/>
  <c r="T26" i="16"/>
  <c r="J23" i="16"/>
  <c r="I82" i="10"/>
  <c r="M82" i="10" s="1"/>
  <c r="AD46" i="10" a="1"/>
  <c r="T5" i="16"/>
  <c r="R11" i="16"/>
  <c r="S11" i="16"/>
  <c r="S23" i="16"/>
  <c r="N19" i="16"/>
  <c r="O19" i="16"/>
  <c r="U26" i="16"/>
  <c r="O18" i="16"/>
  <c r="P18" i="16"/>
  <c r="M2" i="10"/>
  <c r="AD24" i="10" a="1"/>
  <c r="H5" i="16"/>
  <c r="R29" i="16"/>
  <c r="Q18" i="16"/>
  <c r="P29" i="16"/>
  <c r="W19" i="16"/>
  <c r="R18" i="16"/>
  <c r="O23" i="16"/>
  <c r="M19" i="16"/>
  <c r="S29" i="16"/>
  <c r="J26" i="16"/>
  <c r="S16" i="16"/>
  <c r="T4" i="16"/>
  <c r="R16" i="16"/>
  <c r="R28" i="16"/>
  <c r="P21" i="16"/>
  <c r="R21" i="16"/>
  <c r="S26" i="16"/>
  <c r="O27" i="16"/>
  <c r="W27" i="16"/>
  <c r="M3" i="16"/>
  <c r="U3" i="16"/>
  <c r="T3" i="16"/>
  <c r="W3" i="16"/>
  <c r="H14" i="16"/>
  <c r="O14" i="16"/>
  <c r="W21" i="16"/>
  <c r="M4" i="16"/>
  <c r="Q4" i="16"/>
  <c r="P28" i="16"/>
  <c r="N16" i="16"/>
  <c r="M16" i="16"/>
  <c r="N15" i="16"/>
  <c r="O28" i="16"/>
  <c r="M26" i="16"/>
  <c r="P27" i="16"/>
  <c r="S25" i="16"/>
  <c r="J4" i="16"/>
  <c r="O15" i="16"/>
  <c r="R25" i="16"/>
  <c r="W15" i="16"/>
  <c r="O26" i="16"/>
  <c r="P26" i="16"/>
  <c r="N21" i="16"/>
  <c r="S21" i="16"/>
  <c r="T21" i="16"/>
  <c r="U21" i="16"/>
  <c r="H21" i="16"/>
  <c r="J21" i="16"/>
  <c r="Q28" i="16"/>
  <c r="I83" i="10"/>
  <c r="M83" i="10" s="1"/>
  <c r="H4" i="16"/>
  <c r="M15" i="16"/>
  <c r="H15" i="16"/>
  <c r="O21" i="16"/>
  <c r="H16" i="16"/>
  <c r="O16" i="16"/>
  <c r="Q16" i="16"/>
  <c r="J16" i="16"/>
  <c r="T16" i="16"/>
  <c r="R7" i="16"/>
  <c r="S7" i="16"/>
  <c r="S5" i="16"/>
  <c r="T2" i="16"/>
  <c r="U2" i="16"/>
  <c r="S2" i="16"/>
  <c r="H2" i="16"/>
  <c r="O2" i="16"/>
  <c r="M2" i="16"/>
  <c r="R2" i="16"/>
  <c r="J2" i="16"/>
  <c r="Q2" i="16"/>
  <c r="P2" i="16"/>
  <c r="N2" i="16"/>
  <c r="S8" i="16"/>
  <c r="R8" i="16"/>
  <c r="R5" i="16"/>
  <c r="O7" i="16"/>
  <c r="Q7" i="16"/>
  <c r="Q5" i="16"/>
  <c r="Q8" i="16"/>
  <c r="T6" i="16"/>
  <c r="N6" i="16"/>
  <c r="U6" i="16"/>
  <c r="S6" i="16"/>
  <c r="R6" i="16"/>
  <c r="J6" i="16"/>
  <c r="Q6" i="16"/>
  <c r="P6" i="16"/>
  <c r="H6" i="16"/>
  <c r="O6" i="16"/>
  <c r="M6" i="16"/>
  <c r="P7" i="16"/>
  <c r="P8" i="16"/>
  <c r="I80" i="10"/>
  <c r="M80" i="10" s="1"/>
  <c r="I81" i="10"/>
  <c r="M81" i="10" s="1"/>
  <c r="H45" i="10"/>
  <c r="M45" i="10"/>
  <c r="H48" i="10"/>
  <c r="M48" i="10"/>
  <c r="I79" i="10"/>
  <c r="H46" i="10"/>
  <c r="M46" i="10"/>
  <c r="H49" i="10"/>
  <c r="M49" i="10"/>
  <c r="H47" i="10"/>
  <c r="M47" i="10"/>
  <c r="H50" i="10"/>
  <c r="M50" i="10"/>
  <c r="M79" i="10" l="1"/>
  <c r="AD2" i="10" a="1"/>
  <c r="AD31" i="10"/>
  <c r="AD27" i="10"/>
  <c r="AD34" i="10"/>
  <c r="AD29" i="10"/>
  <c r="AD28" i="10"/>
  <c r="AD24" i="10"/>
  <c r="AD26" i="10"/>
  <c r="AD32" i="10"/>
  <c r="AD35" i="10"/>
  <c r="AD33" i="10"/>
  <c r="AD30" i="10"/>
  <c r="AD25" i="10"/>
  <c r="AD53" i="10"/>
  <c r="AD52" i="10"/>
  <c r="AD48" i="10"/>
  <c r="AD49" i="10"/>
  <c r="AD56" i="10"/>
  <c r="AD59" i="10"/>
  <c r="AD55" i="10"/>
  <c r="AD51" i="10"/>
  <c r="AD47" i="10"/>
  <c r="AD57" i="10"/>
  <c r="AD58" i="10"/>
  <c r="AD54" i="10"/>
  <c r="AD50" i="10"/>
  <c r="AD46" i="10"/>
  <c r="E11" i="15"/>
  <c r="L11" i="15" s="1"/>
  <c r="E10" i="15"/>
  <c r="V10" i="15" s="1"/>
  <c r="E9" i="15"/>
  <c r="V9" i="15" s="1"/>
  <c r="E8" i="15"/>
  <c r="V8" i="15" s="1"/>
  <c r="E7" i="15"/>
  <c r="V7" i="15" s="1"/>
  <c r="E6" i="15"/>
  <c r="L6" i="15" s="1"/>
  <c r="E5" i="15"/>
  <c r="E4" i="15"/>
  <c r="L4" i="15" s="1"/>
  <c r="E2" i="15"/>
  <c r="V2" i="15" s="1"/>
  <c r="L3" i="15"/>
  <c r="V3" i="15"/>
  <c r="Z3" i="15"/>
  <c r="Y3" i="15" s="1"/>
  <c r="AE3" i="15"/>
  <c r="AH3" i="15"/>
  <c r="K3" i="15" s="1"/>
  <c r="AI3" i="15"/>
  <c r="Z4" i="15"/>
  <c r="Y4" i="15" s="1"/>
  <c r="AE4" i="15"/>
  <c r="AH4" i="15"/>
  <c r="AI4" i="15"/>
  <c r="Z5" i="15"/>
  <c r="Y5" i="15" s="1"/>
  <c r="AE5" i="15"/>
  <c r="AH5" i="15"/>
  <c r="AI5" i="15"/>
  <c r="Z6" i="15"/>
  <c r="Y6" i="15" s="1"/>
  <c r="AE6" i="15"/>
  <c r="AH6" i="15"/>
  <c r="AI6" i="15"/>
  <c r="Z7" i="15"/>
  <c r="Y7" i="15" s="1"/>
  <c r="AE7" i="15"/>
  <c r="AH7" i="15"/>
  <c r="K7" i="15" s="1"/>
  <c r="AI7" i="15"/>
  <c r="Z8" i="15"/>
  <c r="Y8" i="15" s="1"/>
  <c r="AE8" i="15"/>
  <c r="AH8" i="15"/>
  <c r="AI8" i="15"/>
  <c r="Z9" i="15"/>
  <c r="Y9" i="15" s="1"/>
  <c r="AE9" i="15"/>
  <c r="AH9" i="15"/>
  <c r="AI9" i="15"/>
  <c r="Z10" i="15"/>
  <c r="Y10" i="15" s="1"/>
  <c r="AE10" i="15"/>
  <c r="AH10" i="15"/>
  <c r="AI10" i="15"/>
  <c r="Z11" i="15"/>
  <c r="Y11" i="15" s="1"/>
  <c r="AE11" i="15"/>
  <c r="AH11" i="15"/>
  <c r="AI11" i="15"/>
  <c r="Z2" i="15"/>
  <c r="Y2" i="15" s="1"/>
  <c r="AM5" i="15"/>
  <c r="AM6" i="15" s="1"/>
  <c r="AI2" i="15"/>
  <c r="AH2" i="15"/>
  <c r="AE2" i="15"/>
  <c r="E43" i="14"/>
  <c r="L43" i="14" s="1"/>
  <c r="E42" i="14"/>
  <c r="L42" i="14" s="1"/>
  <c r="E41" i="14"/>
  <c r="G41" i="14" s="1"/>
  <c r="E40" i="14"/>
  <c r="L40" i="14" s="1"/>
  <c r="E39" i="14"/>
  <c r="G39" i="14" s="1"/>
  <c r="E38" i="14"/>
  <c r="L38" i="14" s="1"/>
  <c r="E37" i="14"/>
  <c r="G37" i="14" s="1"/>
  <c r="E36" i="14"/>
  <c r="E35" i="14"/>
  <c r="V35" i="14" s="1"/>
  <c r="E33" i="14"/>
  <c r="G33" i="14" s="1"/>
  <c r="E34" i="14"/>
  <c r="V34" i="14" s="1"/>
  <c r="E32" i="14"/>
  <c r="G32" i="14" s="1"/>
  <c r="R32" i="14" s="1"/>
  <c r="E31" i="14"/>
  <c r="L31" i="14" s="1"/>
  <c r="E30" i="14"/>
  <c r="L30" i="14" s="1"/>
  <c r="E29" i="14"/>
  <c r="L29" i="14" s="1"/>
  <c r="E28" i="14"/>
  <c r="L28" i="14" s="1"/>
  <c r="E27" i="14"/>
  <c r="V27" i="14" s="1"/>
  <c r="E26" i="14"/>
  <c r="L26" i="14" s="1"/>
  <c r="E25" i="14"/>
  <c r="G25" i="14" s="1"/>
  <c r="E24" i="14"/>
  <c r="G24" i="14" s="1"/>
  <c r="E23" i="14"/>
  <c r="G23" i="14" s="1"/>
  <c r="E22" i="14"/>
  <c r="E21" i="14"/>
  <c r="V21" i="14" s="1"/>
  <c r="E20" i="14"/>
  <c r="G20" i="14" s="1"/>
  <c r="S20" i="14" s="1"/>
  <c r="E19" i="14"/>
  <c r="L19" i="14" s="1"/>
  <c r="E18" i="14"/>
  <c r="G18" i="14" s="1"/>
  <c r="E17" i="14"/>
  <c r="G17" i="14" s="1"/>
  <c r="E16" i="14"/>
  <c r="L16" i="14" s="1"/>
  <c r="E15" i="14"/>
  <c r="G15" i="14" s="1"/>
  <c r="E14" i="14"/>
  <c r="V14" i="14" s="1"/>
  <c r="E13" i="14"/>
  <c r="G13" i="14" s="1"/>
  <c r="T13" i="14" s="1"/>
  <c r="AF2" i="14"/>
  <c r="Y2" i="14" s="1"/>
  <c r="AF3" i="14"/>
  <c r="Y3" i="14" s="1"/>
  <c r="AF4" i="14"/>
  <c r="Y4" i="14" s="1"/>
  <c r="AF5" i="14"/>
  <c r="Y5" i="14" s="1"/>
  <c r="AF6" i="14"/>
  <c r="Y6" i="14" s="1"/>
  <c r="AF7" i="14"/>
  <c r="Y7" i="14" s="1"/>
  <c r="AF8" i="14"/>
  <c r="Y8" i="14" s="1"/>
  <c r="AF9" i="14"/>
  <c r="Y9" i="14" s="1"/>
  <c r="AF10" i="14"/>
  <c r="Y10" i="14" s="1"/>
  <c r="AF11" i="14"/>
  <c r="Y11" i="14" s="1"/>
  <c r="AF12" i="14"/>
  <c r="Y12" i="14" s="1"/>
  <c r="AF13" i="14"/>
  <c r="Y13" i="14" s="1"/>
  <c r="AF14" i="14"/>
  <c r="Y14" i="14" s="1"/>
  <c r="AF15" i="14"/>
  <c r="Y15" i="14" s="1"/>
  <c r="AF16" i="14"/>
  <c r="Y16" i="14" s="1"/>
  <c r="AF17" i="14"/>
  <c r="Y17" i="14" s="1"/>
  <c r="AF18" i="14"/>
  <c r="Y18" i="14" s="1"/>
  <c r="AF19" i="14"/>
  <c r="Y19" i="14" s="1"/>
  <c r="AF20" i="14"/>
  <c r="Y20" i="14" s="1"/>
  <c r="AF21" i="14"/>
  <c r="Y21" i="14" s="1"/>
  <c r="AF22" i="14"/>
  <c r="Y22" i="14" s="1"/>
  <c r="AF23" i="14"/>
  <c r="Y23" i="14" s="1"/>
  <c r="AF24" i="14"/>
  <c r="Y24" i="14" s="1"/>
  <c r="AF25" i="14"/>
  <c r="Y25" i="14" s="1"/>
  <c r="AF26" i="14"/>
  <c r="Y26" i="14" s="1"/>
  <c r="AF27" i="14"/>
  <c r="Y27" i="14" s="1"/>
  <c r="AF28" i="14"/>
  <c r="Y28" i="14" s="1"/>
  <c r="AF29" i="14"/>
  <c r="Y29" i="14" s="1"/>
  <c r="AF30" i="14"/>
  <c r="Y30" i="14" s="1"/>
  <c r="AF31" i="14"/>
  <c r="Y31" i="14" s="1"/>
  <c r="AF32" i="14"/>
  <c r="Y32" i="14" s="1"/>
  <c r="AF33" i="14"/>
  <c r="Y33" i="14" s="1"/>
  <c r="AF34" i="14"/>
  <c r="Y34" i="14" s="1"/>
  <c r="AF35" i="14"/>
  <c r="Y35" i="14" s="1"/>
  <c r="AF36" i="14"/>
  <c r="Y36" i="14" s="1"/>
  <c r="AF37" i="14"/>
  <c r="Y37" i="14" s="1"/>
  <c r="AF38" i="14"/>
  <c r="Y38" i="14" s="1"/>
  <c r="AF39" i="14"/>
  <c r="Y39" i="14" s="1"/>
  <c r="AF40" i="14"/>
  <c r="Y40" i="14" s="1"/>
  <c r="AF41" i="14"/>
  <c r="Y41" i="14" s="1"/>
  <c r="AF42" i="14"/>
  <c r="Y42" i="14" s="1"/>
  <c r="AF43" i="14"/>
  <c r="Y43" i="14" s="1"/>
  <c r="E12" i="14"/>
  <c r="G12" i="14" s="1"/>
  <c r="E11" i="14"/>
  <c r="V11" i="14" s="1"/>
  <c r="E10" i="14"/>
  <c r="G10" i="14" s="1"/>
  <c r="E9" i="14"/>
  <c r="V9" i="14" s="1"/>
  <c r="E8" i="14"/>
  <c r="L8" i="14" s="1"/>
  <c r="Z2" i="14"/>
  <c r="Z3" i="14"/>
  <c r="Z4" i="14"/>
  <c r="Z5" i="14"/>
  <c r="Z6" i="14"/>
  <c r="Z7" i="14"/>
  <c r="E7" i="14"/>
  <c r="V7" i="14" s="1"/>
  <c r="E6" i="14"/>
  <c r="L6" i="14" s="1"/>
  <c r="E5" i="14"/>
  <c r="E3" i="14"/>
  <c r="V3" i="14" s="1"/>
  <c r="E4" i="14"/>
  <c r="E2" i="14"/>
  <c r="V2" i="14" s="1"/>
  <c r="AI43" i="14"/>
  <c r="AH43" i="14"/>
  <c r="AI42" i="14"/>
  <c r="AH42" i="14"/>
  <c r="AI41" i="14"/>
  <c r="AH41" i="14"/>
  <c r="AI40" i="14"/>
  <c r="AH40" i="14"/>
  <c r="AI39" i="14"/>
  <c r="AH39" i="14"/>
  <c r="AI38" i="14"/>
  <c r="AH38" i="14"/>
  <c r="AI37" i="14"/>
  <c r="AH37" i="14"/>
  <c r="AI36" i="14"/>
  <c r="AH36" i="14"/>
  <c r="AI35" i="14"/>
  <c r="AH35" i="14"/>
  <c r="AI34" i="14"/>
  <c r="AH34" i="14"/>
  <c r="AI33" i="14"/>
  <c r="AH33" i="14"/>
  <c r="AI32" i="14"/>
  <c r="AH32" i="14"/>
  <c r="AI31" i="14"/>
  <c r="AH31" i="14"/>
  <c r="AI30" i="14"/>
  <c r="AH30" i="14"/>
  <c r="AI29" i="14"/>
  <c r="AH29" i="14"/>
  <c r="AI28" i="14"/>
  <c r="AH28" i="14"/>
  <c r="AI27" i="14"/>
  <c r="AH27" i="14"/>
  <c r="L27" i="14"/>
  <c r="AI26" i="14"/>
  <c r="AH26" i="14"/>
  <c r="AI25" i="14"/>
  <c r="AH25" i="14"/>
  <c r="AI24" i="14"/>
  <c r="AH24" i="14"/>
  <c r="AI23" i="14"/>
  <c r="AH23" i="14"/>
  <c r="AI22" i="14"/>
  <c r="AH22" i="14"/>
  <c r="AI21" i="14"/>
  <c r="AH21" i="14"/>
  <c r="AI20" i="14"/>
  <c r="AH20" i="14"/>
  <c r="AI19" i="14"/>
  <c r="AH19" i="14"/>
  <c r="AI18" i="14"/>
  <c r="AH18" i="14"/>
  <c r="AI17" i="14"/>
  <c r="AH17" i="14"/>
  <c r="AI16" i="14"/>
  <c r="AH16" i="14"/>
  <c r="AI15" i="14"/>
  <c r="AH15" i="14"/>
  <c r="AI14" i="14"/>
  <c r="AH14" i="14"/>
  <c r="AI13" i="14"/>
  <c r="AH13" i="14"/>
  <c r="AI12" i="14"/>
  <c r="AH12" i="14"/>
  <c r="AI11" i="14"/>
  <c r="AH11" i="14"/>
  <c r="AI10" i="14"/>
  <c r="AH10" i="14"/>
  <c r="AI9" i="14"/>
  <c r="AH9" i="14"/>
  <c r="AI8" i="14"/>
  <c r="AH8" i="14"/>
  <c r="AI7" i="14"/>
  <c r="AH7" i="14"/>
  <c r="AI6" i="14"/>
  <c r="AH6" i="14"/>
  <c r="AM5" i="14"/>
  <c r="AI5" i="14"/>
  <c r="AH5" i="14"/>
  <c r="AI4" i="14"/>
  <c r="AH4" i="14"/>
  <c r="AI3" i="14"/>
  <c r="AH3" i="14"/>
  <c r="AI2" i="14"/>
  <c r="AH2" i="14"/>
  <c r="AN73" i="13"/>
  <c r="AN74" i="13"/>
  <c r="AN75" i="13"/>
  <c r="AN76" i="13"/>
  <c r="AN77" i="13"/>
  <c r="AN78" i="13"/>
  <c r="AN79" i="13"/>
  <c r="AN80" i="13"/>
  <c r="AN81" i="13"/>
  <c r="AN82" i="13"/>
  <c r="AN83" i="13"/>
  <c r="AD77" i="13"/>
  <c r="AE77" i="13"/>
  <c r="AF77" i="13"/>
  <c r="AG77" i="13"/>
  <c r="AD78" i="13"/>
  <c r="AE78" i="13"/>
  <c r="F78" i="13" s="1"/>
  <c r="AF78" i="13"/>
  <c r="AG78" i="13"/>
  <c r="AD79" i="13"/>
  <c r="AE79" i="13"/>
  <c r="AF79" i="13"/>
  <c r="AG79" i="13"/>
  <c r="AD80" i="13"/>
  <c r="AE80" i="13"/>
  <c r="AF80" i="13"/>
  <c r="AG80" i="13"/>
  <c r="AD81" i="13"/>
  <c r="AE81" i="13"/>
  <c r="F81" i="13" s="1"/>
  <c r="AF81" i="13"/>
  <c r="AG81" i="13"/>
  <c r="AD82" i="13"/>
  <c r="AE82" i="13"/>
  <c r="F82" i="13" s="1"/>
  <c r="AF82" i="13"/>
  <c r="AG82" i="13"/>
  <c r="AD83" i="13"/>
  <c r="AE83" i="13"/>
  <c r="F83" i="13" s="1"/>
  <c r="AF83" i="13"/>
  <c r="AG83" i="13"/>
  <c r="AN72" i="13"/>
  <c r="AN71" i="13"/>
  <c r="AF72" i="13"/>
  <c r="AF73" i="13"/>
  <c r="AF74" i="13"/>
  <c r="AF75" i="13"/>
  <c r="AF76" i="13"/>
  <c r="AF71" i="13"/>
  <c r="AG72" i="13"/>
  <c r="AG73" i="13"/>
  <c r="AG74" i="13"/>
  <c r="AG75" i="13"/>
  <c r="AG76" i="13"/>
  <c r="AG71" i="13"/>
  <c r="AE72" i="13"/>
  <c r="AE73" i="13"/>
  <c r="F73" i="13" s="1"/>
  <c r="AE74" i="13"/>
  <c r="F74" i="13" s="1"/>
  <c r="AE75" i="13"/>
  <c r="F75" i="13" s="1"/>
  <c r="AE76" i="13"/>
  <c r="F76" i="13" s="1"/>
  <c r="AE71" i="13"/>
  <c r="AD72" i="13"/>
  <c r="AD73" i="13"/>
  <c r="AD74" i="13"/>
  <c r="AD75" i="13"/>
  <c r="AD76" i="13"/>
  <c r="AD71" i="13"/>
  <c r="AN61" i="13"/>
  <c r="AN62" i="13"/>
  <c r="AN63" i="13"/>
  <c r="AN64" i="13"/>
  <c r="AN65" i="13"/>
  <c r="AN66" i="13"/>
  <c r="AN67" i="13"/>
  <c r="AN68" i="13"/>
  <c r="AN69" i="13"/>
  <c r="AN70" i="13"/>
  <c r="AD61" i="13"/>
  <c r="AE61" i="13"/>
  <c r="AF61" i="13"/>
  <c r="AG61" i="13"/>
  <c r="AD62" i="13"/>
  <c r="AE62" i="13"/>
  <c r="F62" i="13" s="1"/>
  <c r="AF62" i="13"/>
  <c r="AG62" i="13"/>
  <c r="AD63" i="13"/>
  <c r="AE63" i="13"/>
  <c r="F63" i="13" s="1"/>
  <c r="AF63" i="13"/>
  <c r="AG63" i="13"/>
  <c r="AD64" i="13"/>
  <c r="AE64" i="13"/>
  <c r="AF64" i="13"/>
  <c r="AG64" i="13"/>
  <c r="AL64" i="13" s="1"/>
  <c r="K64" i="13" s="1"/>
  <c r="AD65" i="13"/>
  <c r="AE65" i="13"/>
  <c r="F65" i="13" s="1"/>
  <c r="AF65" i="13"/>
  <c r="AG65" i="13"/>
  <c r="AD66" i="13"/>
  <c r="AE66" i="13"/>
  <c r="F66" i="13" s="1"/>
  <c r="AF66" i="13"/>
  <c r="AG66" i="13"/>
  <c r="AD67" i="13"/>
  <c r="AE67" i="13"/>
  <c r="F67" i="13" s="1"/>
  <c r="AF67" i="13"/>
  <c r="AG67" i="13"/>
  <c r="AD68" i="13"/>
  <c r="AE68" i="13"/>
  <c r="F68" i="13" s="1"/>
  <c r="AF68" i="13"/>
  <c r="AG68" i="13"/>
  <c r="AD69" i="13"/>
  <c r="AE69" i="13"/>
  <c r="F69" i="13" s="1"/>
  <c r="AF69" i="13"/>
  <c r="AG69" i="13"/>
  <c r="AD70" i="13"/>
  <c r="AE70" i="13"/>
  <c r="F70" i="13" s="1"/>
  <c r="AF70" i="13"/>
  <c r="AG70" i="13"/>
  <c r="AN52" i="13"/>
  <c r="AN53" i="13"/>
  <c r="AN54" i="13"/>
  <c r="AN55" i="13"/>
  <c r="AN56" i="13"/>
  <c r="AN57" i="13"/>
  <c r="AN58" i="13"/>
  <c r="AN59" i="13"/>
  <c r="AN60" i="13"/>
  <c r="AN51" i="13"/>
  <c r="AG52" i="13"/>
  <c r="AG53" i="13"/>
  <c r="AG54" i="13"/>
  <c r="AG55" i="13"/>
  <c r="AG56" i="13"/>
  <c r="AG57" i="13"/>
  <c r="AG58" i="13"/>
  <c r="AG59" i="13"/>
  <c r="AG60" i="13"/>
  <c r="AG51" i="13"/>
  <c r="AF52" i="13"/>
  <c r="AF53" i="13"/>
  <c r="AF54" i="13"/>
  <c r="AF55" i="13"/>
  <c r="AF56" i="13"/>
  <c r="AF57" i="13"/>
  <c r="AF58" i="13"/>
  <c r="AF59" i="13"/>
  <c r="AF60" i="13"/>
  <c r="AF51" i="13"/>
  <c r="AD52" i="13"/>
  <c r="AD53" i="13"/>
  <c r="AD54" i="13"/>
  <c r="AD55" i="13"/>
  <c r="AD56" i="13"/>
  <c r="AD57" i="13"/>
  <c r="AD58" i="13"/>
  <c r="AD59" i="13"/>
  <c r="AD60" i="13"/>
  <c r="AD51" i="13"/>
  <c r="AE52" i="13"/>
  <c r="F52" i="13" s="1"/>
  <c r="AE53" i="13"/>
  <c r="AE54" i="13"/>
  <c r="AE55" i="13"/>
  <c r="AE56" i="13"/>
  <c r="F56" i="13" s="1"/>
  <c r="AE57" i="13"/>
  <c r="F57" i="13" s="1"/>
  <c r="AE58" i="13"/>
  <c r="F58" i="13" s="1"/>
  <c r="AE59" i="13"/>
  <c r="F59" i="13" s="1"/>
  <c r="AE60" i="13"/>
  <c r="F60" i="13" s="1"/>
  <c r="AE51" i="13"/>
  <c r="F51" i="13" s="1"/>
  <c r="AD44" i="13"/>
  <c r="AD45" i="13"/>
  <c r="AD46" i="13"/>
  <c r="AD47" i="13"/>
  <c r="AD48" i="13"/>
  <c r="AD49" i="13"/>
  <c r="AD50" i="13"/>
  <c r="AE44" i="13"/>
  <c r="F44" i="13" s="1"/>
  <c r="AE45" i="13"/>
  <c r="AE46" i="13"/>
  <c r="F46" i="13" s="1"/>
  <c r="AE47" i="13"/>
  <c r="F47" i="13" s="1"/>
  <c r="AE48" i="13"/>
  <c r="F48" i="13" s="1"/>
  <c r="AE49" i="13"/>
  <c r="F49" i="13" s="1"/>
  <c r="AE50" i="13"/>
  <c r="F50" i="13" s="1"/>
  <c r="AG45" i="13"/>
  <c r="AG46" i="13"/>
  <c r="AG47" i="13"/>
  <c r="AG48" i="13"/>
  <c r="AG49" i="13"/>
  <c r="AG50" i="13"/>
  <c r="AG44" i="13"/>
  <c r="AF44" i="13"/>
  <c r="AF45" i="13"/>
  <c r="AF46" i="13"/>
  <c r="AF47" i="13"/>
  <c r="AF48" i="13"/>
  <c r="AF49" i="13"/>
  <c r="AL49" i="13" s="1"/>
  <c r="K49" i="13" s="1"/>
  <c r="AF50" i="13"/>
  <c r="AM50" i="13" s="1"/>
  <c r="AD42" i="13"/>
  <c r="AE42" i="13"/>
  <c r="F42" i="13" s="1"/>
  <c r="AF42" i="13"/>
  <c r="AG42" i="13"/>
  <c r="AD43" i="13"/>
  <c r="AE43" i="13"/>
  <c r="F43" i="13" s="1"/>
  <c r="AF43" i="13"/>
  <c r="AG43" i="13"/>
  <c r="AD38" i="13"/>
  <c r="AE38" i="13"/>
  <c r="F38" i="13" s="1"/>
  <c r="AF38" i="13"/>
  <c r="AG38" i="13"/>
  <c r="AD39" i="13"/>
  <c r="AE39" i="13"/>
  <c r="F39" i="13" s="1"/>
  <c r="AF39" i="13"/>
  <c r="AG39" i="13"/>
  <c r="AD40" i="13"/>
  <c r="AE40" i="13"/>
  <c r="F40" i="13" s="1"/>
  <c r="AF40" i="13"/>
  <c r="AG40" i="13"/>
  <c r="AD41" i="13"/>
  <c r="AE41" i="13"/>
  <c r="F41" i="13" s="1"/>
  <c r="AF41" i="13"/>
  <c r="AG41" i="13"/>
  <c r="AF37" i="13"/>
  <c r="AG37" i="13"/>
  <c r="AF36" i="13"/>
  <c r="AD37" i="13"/>
  <c r="AE37" i="13"/>
  <c r="F37" i="13" s="1"/>
  <c r="AD31" i="13"/>
  <c r="AE31" i="13"/>
  <c r="F31" i="13" s="1"/>
  <c r="AF31" i="13"/>
  <c r="AG31" i="13"/>
  <c r="AD32" i="13"/>
  <c r="AE32" i="13"/>
  <c r="F32" i="13" s="1"/>
  <c r="AF32" i="13"/>
  <c r="AG32" i="13"/>
  <c r="AD33" i="13"/>
  <c r="AE33" i="13"/>
  <c r="F33" i="13" s="1"/>
  <c r="AF33" i="13"/>
  <c r="AG33" i="13"/>
  <c r="AD34" i="13"/>
  <c r="AE34" i="13"/>
  <c r="F34" i="13" s="1"/>
  <c r="AF34" i="13"/>
  <c r="AG34" i="13"/>
  <c r="AD35" i="13"/>
  <c r="AE35" i="13"/>
  <c r="F35" i="13" s="1"/>
  <c r="AF35" i="13"/>
  <c r="AG35" i="13"/>
  <c r="AD36" i="13"/>
  <c r="AE36" i="13"/>
  <c r="F36" i="13" s="1"/>
  <c r="AG36" i="13"/>
  <c r="AD30" i="13"/>
  <c r="AE30" i="13"/>
  <c r="AF30" i="13"/>
  <c r="AG30" i="13"/>
  <c r="AD25" i="13"/>
  <c r="AE25" i="13"/>
  <c r="F25" i="13" s="1"/>
  <c r="AF25" i="13"/>
  <c r="AG25" i="13"/>
  <c r="AD26" i="13"/>
  <c r="AE26" i="13"/>
  <c r="F26" i="13" s="1"/>
  <c r="AF26" i="13"/>
  <c r="AG26" i="13"/>
  <c r="AD27" i="13"/>
  <c r="AE27" i="13"/>
  <c r="F27" i="13" s="1"/>
  <c r="AF27" i="13"/>
  <c r="AG27" i="13"/>
  <c r="AD28" i="13"/>
  <c r="AE28" i="13"/>
  <c r="AF28" i="13"/>
  <c r="AG28" i="13"/>
  <c r="AD29" i="13"/>
  <c r="AE29" i="13"/>
  <c r="AF29" i="13"/>
  <c r="AG29" i="13"/>
  <c r="AG24" i="13"/>
  <c r="AF24" i="13"/>
  <c r="AM24" i="13" s="1"/>
  <c r="AD24" i="13"/>
  <c r="AE24" i="13"/>
  <c r="AD11" i="13"/>
  <c r="AE11" i="13"/>
  <c r="AD12" i="13"/>
  <c r="AE12" i="13"/>
  <c r="F12" i="13" s="1"/>
  <c r="AD13" i="13"/>
  <c r="AE13" i="13"/>
  <c r="AD14" i="13"/>
  <c r="AE14" i="13"/>
  <c r="F14" i="13" s="1"/>
  <c r="AD15" i="13"/>
  <c r="AE15" i="13"/>
  <c r="AD16" i="13"/>
  <c r="AE16" i="13"/>
  <c r="F16" i="13" s="1"/>
  <c r="AD17" i="13"/>
  <c r="AE17" i="13"/>
  <c r="AD18" i="13"/>
  <c r="AE18" i="13"/>
  <c r="F18" i="13" s="1"/>
  <c r="AD19" i="13"/>
  <c r="AE19" i="13"/>
  <c r="F19" i="13" s="1"/>
  <c r="AD20" i="13"/>
  <c r="AE20" i="13"/>
  <c r="F20" i="13" s="1"/>
  <c r="AD21" i="13"/>
  <c r="AE21" i="13"/>
  <c r="AD22" i="13"/>
  <c r="AE22" i="13"/>
  <c r="F22" i="13" s="1"/>
  <c r="AD23" i="13"/>
  <c r="AE23" i="13"/>
  <c r="AG11" i="13"/>
  <c r="AG12" i="13"/>
  <c r="AG13" i="13"/>
  <c r="AG14" i="13"/>
  <c r="AG15" i="13"/>
  <c r="AG16" i="13"/>
  <c r="AG17" i="13"/>
  <c r="AG18" i="13"/>
  <c r="AG19" i="13"/>
  <c r="AG20" i="13"/>
  <c r="AG21" i="13"/>
  <c r="AG22" i="13"/>
  <c r="AG23" i="13"/>
  <c r="AF11" i="13"/>
  <c r="AF12" i="13"/>
  <c r="AF13" i="13"/>
  <c r="AF14" i="13"/>
  <c r="AF15" i="13"/>
  <c r="AF16" i="13"/>
  <c r="AF17" i="13"/>
  <c r="AF18" i="13"/>
  <c r="AF19" i="13"/>
  <c r="AF20" i="13"/>
  <c r="AF21" i="13"/>
  <c r="AF22" i="13"/>
  <c r="AF23" i="13"/>
  <c r="AE3" i="13"/>
  <c r="F3" i="13" s="1"/>
  <c r="AE4" i="13"/>
  <c r="F4" i="13" s="1"/>
  <c r="AE5" i="13"/>
  <c r="F5" i="13" s="1"/>
  <c r="AE6" i="13"/>
  <c r="F6" i="13" s="1"/>
  <c r="AE7" i="13"/>
  <c r="AE8" i="13"/>
  <c r="AE9" i="13"/>
  <c r="F9" i="13" s="1"/>
  <c r="AE10" i="13"/>
  <c r="F10" i="13" s="1"/>
  <c r="AE2" i="13"/>
  <c r="F2" i="13" s="1"/>
  <c r="AG2" i="13"/>
  <c r="AG3" i="13"/>
  <c r="AG4" i="13"/>
  <c r="AG5" i="13"/>
  <c r="AG6" i="13"/>
  <c r="AG7" i="13"/>
  <c r="AG8" i="13"/>
  <c r="AG9" i="13"/>
  <c r="AG10" i="13"/>
  <c r="AF3" i="13"/>
  <c r="AF4" i="13"/>
  <c r="AL4" i="13" s="1"/>
  <c r="K4" i="13" s="1"/>
  <c r="AF5" i="13"/>
  <c r="AF6" i="13"/>
  <c r="AF7" i="13"/>
  <c r="AF8" i="13"/>
  <c r="AF9" i="13"/>
  <c r="AF10" i="13"/>
  <c r="AF2" i="13"/>
  <c r="AD2" i="13"/>
  <c r="AD3" i="13"/>
  <c r="AD4" i="13"/>
  <c r="AD5" i="13"/>
  <c r="AD6" i="13"/>
  <c r="AD7" i="13"/>
  <c r="AD8" i="13"/>
  <c r="AD9" i="13"/>
  <c r="AD10" i="13"/>
  <c r="AP5" i="13"/>
  <c r="AP6" i="13" s="1"/>
  <c r="AD196" i="12"/>
  <c r="Y196" i="12" s="1"/>
  <c r="AD197" i="12"/>
  <c r="Y197" i="12" s="1"/>
  <c r="AD198" i="12"/>
  <c r="Y198" i="12" s="1"/>
  <c r="AD195" i="12"/>
  <c r="Y195" i="12" s="1"/>
  <c r="AD172" i="12"/>
  <c r="Y172" i="12" s="1"/>
  <c r="AD173" i="12"/>
  <c r="Y173" i="12" s="1"/>
  <c r="AD174" i="12"/>
  <c r="Y174" i="12" s="1"/>
  <c r="AD175" i="12"/>
  <c r="Y175" i="12" s="1"/>
  <c r="AD176" i="12"/>
  <c r="Y176" i="12" s="1"/>
  <c r="AI113" i="12"/>
  <c r="AI114" i="12"/>
  <c r="AI115" i="12"/>
  <c r="AI116" i="12"/>
  <c r="AI117" i="12"/>
  <c r="AI118" i="12"/>
  <c r="AI119" i="12"/>
  <c r="AI120" i="12"/>
  <c r="AI121" i="12"/>
  <c r="AI122" i="12"/>
  <c r="AI123" i="12"/>
  <c r="AI109" i="12"/>
  <c r="AI98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V101" i="12"/>
  <c r="X101" i="12" s="1"/>
  <c r="V102" i="12"/>
  <c r="X102" i="12" s="1"/>
  <c r="V103" i="12"/>
  <c r="X103" i="12" s="1"/>
  <c r="V104" i="12"/>
  <c r="X104" i="12" s="1"/>
  <c r="V105" i="12"/>
  <c r="X105" i="12" s="1"/>
  <c r="V106" i="12"/>
  <c r="X106" i="12" s="1"/>
  <c r="V107" i="12"/>
  <c r="X107" i="12" s="1"/>
  <c r="V108" i="12"/>
  <c r="X108" i="12" s="1"/>
  <c r="V109" i="12"/>
  <c r="X109" i="12" s="1"/>
  <c r="V110" i="12"/>
  <c r="X110" i="12" s="1"/>
  <c r="V111" i="12"/>
  <c r="X111" i="12" s="1"/>
  <c r="V112" i="12"/>
  <c r="X112" i="12" s="1"/>
  <c r="V113" i="12"/>
  <c r="X113" i="12" s="1"/>
  <c r="V114" i="12"/>
  <c r="X114" i="12" s="1"/>
  <c r="V115" i="12"/>
  <c r="X115" i="12" s="1"/>
  <c r="V116" i="12"/>
  <c r="X116" i="12" s="1"/>
  <c r="V117" i="12"/>
  <c r="X117" i="12" s="1"/>
  <c r="V118" i="12"/>
  <c r="X118" i="12" s="1"/>
  <c r="V119" i="12"/>
  <c r="X119" i="12" s="1"/>
  <c r="V120" i="12"/>
  <c r="X120" i="12" s="1"/>
  <c r="V121" i="12"/>
  <c r="X121" i="12" s="1"/>
  <c r="V122" i="12"/>
  <c r="X122" i="12" s="1"/>
  <c r="V123" i="12"/>
  <c r="X123" i="12" s="1"/>
  <c r="V124" i="12"/>
  <c r="X124" i="12" s="1"/>
  <c r="V125" i="12"/>
  <c r="X125" i="12" s="1"/>
  <c r="V126" i="12"/>
  <c r="X126" i="12" s="1"/>
  <c r="V127" i="12"/>
  <c r="X127" i="12" s="1"/>
  <c r="V128" i="12"/>
  <c r="X128" i="12" s="1"/>
  <c r="V129" i="12"/>
  <c r="X129" i="12" s="1"/>
  <c r="V130" i="12"/>
  <c r="X130" i="12" s="1"/>
  <c r="V131" i="12"/>
  <c r="X131" i="12" s="1"/>
  <c r="V132" i="12"/>
  <c r="X132" i="12" s="1"/>
  <c r="V133" i="12"/>
  <c r="X133" i="12" s="1"/>
  <c r="V134" i="12"/>
  <c r="X134" i="12" s="1"/>
  <c r="V135" i="12"/>
  <c r="X135" i="12" s="1"/>
  <c r="V136" i="12"/>
  <c r="X136" i="12" s="1"/>
  <c r="V137" i="12"/>
  <c r="X137" i="12" s="1"/>
  <c r="V138" i="12"/>
  <c r="X138" i="12" s="1"/>
  <c r="V139" i="12"/>
  <c r="X139" i="12" s="1"/>
  <c r="V140" i="12"/>
  <c r="X140" i="12" s="1"/>
  <c r="V141" i="12"/>
  <c r="X141" i="12" s="1"/>
  <c r="V142" i="12"/>
  <c r="X142" i="12" s="1"/>
  <c r="V143" i="12"/>
  <c r="X143" i="12" s="1"/>
  <c r="V144" i="12"/>
  <c r="X144" i="12" s="1"/>
  <c r="V145" i="12"/>
  <c r="X145" i="12" s="1"/>
  <c r="V146" i="12"/>
  <c r="X146" i="12" s="1"/>
  <c r="V147" i="12"/>
  <c r="X147" i="12" s="1"/>
  <c r="V148" i="12"/>
  <c r="X148" i="12" s="1"/>
  <c r="V149" i="12"/>
  <c r="X149" i="12" s="1"/>
  <c r="V150" i="12"/>
  <c r="X150" i="12" s="1"/>
  <c r="V151" i="12"/>
  <c r="X151" i="12" s="1"/>
  <c r="V152" i="12"/>
  <c r="X152" i="12" s="1"/>
  <c r="V153" i="12"/>
  <c r="X153" i="12" s="1"/>
  <c r="V154" i="12"/>
  <c r="X154" i="12" s="1"/>
  <c r="V155" i="12"/>
  <c r="X155" i="12" s="1"/>
  <c r="V156" i="12"/>
  <c r="X156" i="12" s="1"/>
  <c r="V157" i="12"/>
  <c r="X157" i="12" s="1"/>
  <c r="V158" i="12"/>
  <c r="X158" i="12" s="1"/>
  <c r="V159" i="12"/>
  <c r="X159" i="12" s="1"/>
  <c r="V160" i="12"/>
  <c r="X160" i="12" s="1"/>
  <c r="V161" i="12"/>
  <c r="X161" i="12" s="1"/>
  <c r="V162" i="12"/>
  <c r="X162" i="12" s="1"/>
  <c r="V163" i="12"/>
  <c r="X163" i="12" s="1"/>
  <c r="V164" i="12"/>
  <c r="X164" i="12" s="1"/>
  <c r="V165" i="12"/>
  <c r="X165" i="12" s="1"/>
  <c r="V166" i="12"/>
  <c r="X166" i="12" s="1"/>
  <c r="V167" i="12"/>
  <c r="X167" i="12" s="1"/>
  <c r="V168" i="12"/>
  <c r="X168" i="12" s="1"/>
  <c r="V169" i="12"/>
  <c r="X169" i="12" s="1"/>
  <c r="V170" i="12"/>
  <c r="X170" i="12" s="1"/>
  <c r="V171" i="12"/>
  <c r="X171" i="12" s="1"/>
  <c r="V172" i="12"/>
  <c r="X172" i="12" s="1"/>
  <c r="V173" i="12"/>
  <c r="X173" i="12" s="1"/>
  <c r="V174" i="12"/>
  <c r="X174" i="12" s="1"/>
  <c r="V175" i="12"/>
  <c r="X175" i="12" s="1"/>
  <c r="V176" i="12"/>
  <c r="X176" i="12" s="1"/>
  <c r="V177" i="12"/>
  <c r="X177" i="12" s="1"/>
  <c r="V178" i="12"/>
  <c r="X178" i="12" s="1"/>
  <c r="V179" i="12"/>
  <c r="X179" i="12" s="1"/>
  <c r="V180" i="12"/>
  <c r="X180" i="12" s="1"/>
  <c r="V181" i="12"/>
  <c r="X181" i="12" s="1"/>
  <c r="V182" i="12"/>
  <c r="X182" i="12" s="1"/>
  <c r="V183" i="12"/>
  <c r="X183" i="12" s="1"/>
  <c r="V184" i="12"/>
  <c r="X184" i="12" s="1"/>
  <c r="V185" i="12"/>
  <c r="X185" i="12" s="1"/>
  <c r="V186" i="12"/>
  <c r="X186" i="12" s="1"/>
  <c r="V187" i="12"/>
  <c r="X187" i="12" s="1"/>
  <c r="V188" i="12"/>
  <c r="X188" i="12" s="1"/>
  <c r="V189" i="12"/>
  <c r="X189" i="12" s="1"/>
  <c r="V190" i="12"/>
  <c r="X190" i="12" s="1"/>
  <c r="V191" i="12"/>
  <c r="X191" i="12" s="1"/>
  <c r="V192" i="12"/>
  <c r="X192" i="12" s="1"/>
  <c r="V193" i="12"/>
  <c r="X193" i="12" s="1"/>
  <c r="V194" i="12"/>
  <c r="X194" i="12" s="1"/>
  <c r="V195" i="12"/>
  <c r="X195" i="12" s="1"/>
  <c r="V196" i="12"/>
  <c r="X196" i="12" s="1"/>
  <c r="V197" i="12"/>
  <c r="X197" i="12" s="1"/>
  <c r="V198" i="12"/>
  <c r="X198" i="12" s="1"/>
  <c r="G101" i="12"/>
  <c r="T101" i="12" s="1"/>
  <c r="G102" i="12"/>
  <c r="O102" i="12" s="1"/>
  <c r="G103" i="12"/>
  <c r="G104" i="12"/>
  <c r="Q104" i="12" s="1"/>
  <c r="G105" i="12"/>
  <c r="S105" i="12" s="1"/>
  <c r="G106" i="12"/>
  <c r="G107" i="12"/>
  <c r="T107" i="12" s="1"/>
  <c r="G108" i="12"/>
  <c r="M108" i="12" s="1"/>
  <c r="G109" i="12"/>
  <c r="G110" i="12"/>
  <c r="R110" i="12" s="1"/>
  <c r="G111" i="12"/>
  <c r="T111" i="12" s="1"/>
  <c r="G112" i="12"/>
  <c r="O112" i="12" s="1"/>
  <c r="G113" i="12"/>
  <c r="G114" i="12"/>
  <c r="G115" i="12"/>
  <c r="Q115" i="12" s="1"/>
  <c r="G116" i="12"/>
  <c r="G117" i="12"/>
  <c r="G118" i="12"/>
  <c r="G119" i="12"/>
  <c r="T119" i="12" s="1"/>
  <c r="G120" i="12"/>
  <c r="P120" i="12" s="1"/>
  <c r="G121" i="12"/>
  <c r="T121" i="12" s="1"/>
  <c r="G122" i="12"/>
  <c r="G123" i="12"/>
  <c r="T123" i="12" s="1"/>
  <c r="G124" i="12"/>
  <c r="Q124" i="12" s="1"/>
  <c r="G125" i="12"/>
  <c r="G126" i="12"/>
  <c r="G127" i="12"/>
  <c r="T127" i="12" s="1"/>
  <c r="G128" i="12"/>
  <c r="M128" i="12" s="1"/>
  <c r="G129" i="12"/>
  <c r="G130" i="12"/>
  <c r="W130" i="12" s="1"/>
  <c r="G131" i="12"/>
  <c r="T131" i="12" s="1"/>
  <c r="G132" i="12"/>
  <c r="P132" i="12" s="1"/>
  <c r="G133" i="12"/>
  <c r="S133" i="12" s="1"/>
  <c r="G134" i="12"/>
  <c r="G135" i="12"/>
  <c r="P135" i="12" s="1"/>
  <c r="G136" i="12"/>
  <c r="G137" i="12"/>
  <c r="G138" i="12"/>
  <c r="T138" i="12" s="1"/>
  <c r="G139" i="12"/>
  <c r="T139" i="12" s="1"/>
  <c r="G140" i="12"/>
  <c r="N140" i="12" s="1"/>
  <c r="G141" i="12"/>
  <c r="G142" i="12"/>
  <c r="T142" i="12" s="1"/>
  <c r="G143" i="12"/>
  <c r="P143" i="12" s="1"/>
  <c r="G144" i="12"/>
  <c r="M144" i="12" s="1"/>
  <c r="G145" i="12"/>
  <c r="G146" i="12"/>
  <c r="G147" i="12"/>
  <c r="G148" i="12"/>
  <c r="O148" i="12" s="1"/>
  <c r="G149" i="12"/>
  <c r="T149" i="12" s="1"/>
  <c r="G150" i="12"/>
  <c r="T150" i="12" s="1"/>
  <c r="G151" i="12"/>
  <c r="T151" i="12" s="1"/>
  <c r="G152" i="12"/>
  <c r="T152" i="12" s="1"/>
  <c r="G153" i="12"/>
  <c r="S153" i="12" s="1"/>
  <c r="G154" i="12"/>
  <c r="R154" i="12" s="1"/>
  <c r="G155" i="12"/>
  <c r="N155" i="12" s="1"/>
  <c r="G156" i="12"/>
  <c r="S156" i="12" s="1"/>
  <c r="G157" i="12"/>
  <c r="R157" i="12" s="1"/>
  <c r="G158" i="12"/>
  <c r="T158" i="12" s="1"/>
  <c r="G159" i="12"/>
  <c r="T159" i="12" s="1"/>
  <c r="G160" i="12"/>
  <c r="T160" i="12" s="1"/>
  <c r="G161" i="12"/>
  <c r="G162" i="12"/>
  <c r="R162" i="12" s="1"/>
  <c r="G163" i="12"/>
  <c r="T163" i="12" s="1"/>
  <c r="G164" i="12"/>
  <c r="G165" i="12"/>
  <c r="T165" i="12" s="1"/>
  <c r="G166" i="12"/>
  <c r="G167" i="12"/>
  <c r="P167" i="12" s="1"/>
  <c r="G168" i="12"/>
  <c r="G169" i="12"/>
  <c r="G170" i="12"/>
  <c r="T170" i="12" s="1"/>
  <c r="G171" i="12"/>
  <c r="W171" i="12" s="1"/>
  <c r="G177" i="12"/>
  <c r="G178" i="12"/>
  <c r="S178" i="12" s="1"/>
  <c r="G179" i="12"/>
  <c r="P179" i="12" s="1"/>
  <c r="G180" i="12"/>
  <c r="T180" i="12" s="1"/>
  <c r="G181" i="12"/>
  <c r="P181" i="12" s="1"/>
  <c r="G182" i="12"/>
  <c r="S182" i="12" s="1"/>
  <c r="G183" i="12"/>
  <c r="G184" i="12"/>
  <c r="T184" i="12" s="1"/>
  <c r="G185" i="12"/>
  <c r="N185" i="12" s="1"/>
  <c r="G186" i="12"/>
  <c r="Q186" i="12" s="1"/>
  <c r="G187" i="12"/>
  <c r="G188" i="12"/>
  <c r="G189" i="12"/>
  <c r="T189" i="12" s="1"/>
  <c r="G190" i="12"/>
  <c r="T190" i="12" s="1"/>
  <c r="G191" i="12"/>
  <c r="G192" i="12"/>
  <c r="G193" i="12"/>
  <c r="T193" i="12" s="1"/>
  <c r="G194" i="12"/>
  <c r="AL101" i="12"/>
  <c r="K101" i="12" s="1"/>
  <c r="AL102" i="12"/>
  <c r="K102" i="12" s="1"/>
  <c r="AL103" i="12"/>
  <c r="K103" i="12" s="1"/>
  <c r="AL104" i="12"/>
  <c r="K104" i="12" s="1"/>
  <c r="AL105" i="12"/>
  <c r="K105" i="12" s="1"/>
  <c r="AL106" i="12"/>
  <c r="K106" i="12" s="1"/>
  <c r="AL107" i="12"/>
  <c r="K107" i="12" s="1"/>
  <c r="AL108" i="12"/>
  <c r="K108" i="12" s="1"/>
  <c r="AL109" i="12"/>
  <c r="K109" i="12" s="1"/>
  <c r="AL110" i="12"/>
  <c r="K110" i="12" s="1"/>
  <c r="AL111" i="12"/>
  <c r="K111" i="12" s="1"/>
  <c r="AL112" i="12"/>
  <c r="K112" i="12" s="1"/>
  <c r="AL113" i="12"/>
  <c r="K113" i="12" s="1"/>
  <c r="AL114" i="12"/>
  <c r="K114" i="12" s="1"/>
  <c r="AL115" i="12"/>
  <c r="K115" i="12" s="1"/>
  <c r="AL116" i="12"/>
  <c r="K116" i="12" s="1"/>
  <c r="AL117" i="12"/>
  <c r="K117" i="12" s="1"/>
  <c r="AL118" i="12"/>
  <c r="K118" i="12" s="1"/>
  <c r="AL119" i="12"/>
  <c r="K119" i="12" s="1"/>
  <c r="AL120" i="12"/>
  <c r="K120" i="12" s="1"/>
  <c r="AL121" i="12"/>
  <c r="K121" i="12" s="1"/>
  <c r="AL122" i="12"/>
  <c r="K122" i="12" s="1"/>
  <c r="AL123" i="12"/>
  <c r="K123" i="12" s="1"/>
  <c r="AL124" i="12"/>
  <c r="K124" i="12" s="1"/>
  <c r="AL125" i="12"/>
  <c r="K125" i="12" s="1"/>
  <c r="AL126" i="12"/>
  <c r="K126" i="12" s="1"/>
  <c r="AL127" i="12"/>
  <c r="K127" i="12" s="1"/>
  <c r="AL128" i="12"/>
  <c r="K128" i="12" s="1"/>
  <c r="AL129" i="12"/>
  <c r="K129" i="12" s="1"/>
  <c r="AL130" i="12"/>
  <c r="K130" i="12" s="1"/>
  <c r="AL131" i="12"/>
  <c r="K131" i="12" s="1"/>
  <c r="AL132" i="12"/>
  <c r="K132" i="12" s="1"/>
  <c r="AL133" i="12"/>
  <c r="K133" i="12" s="1"/>
  <c r="AL134" i="12"/>
  <c r="K134" i="12" s="1"/>
  <c r="AL135" i="12"/>
  <c r="K135" i="12" s="1"/>
  <c r="AL136" i="12"/>
  <c r="K136" i="12" s="1"/>
  <c r="AL137" i="12"/>
  <c r="K137" i="12" s="1"/>
  <c r="AL138" i="12"/>
  <c r="K138" i="12" s="1"/>
  <c r="AL139" i="12"/>
  <c r="K139" i="12" s="1"/>
  <c r="AL140" i="12"/>
  <c r="K140" i="12" s="1"/>
  <c r="AL141" i="12"/>
  <c r="K141" i="12" s="1"/>
  <c r="AL142" i="12"/>
  <c r="K142" i="12" s="1"/>
  <c r="AL143" i="12"/>
  <c r="K143" i="12" s="1"/>
  <c r="AL144" i="12"/>
  <c r="K144" i="12" s="1"/>
  <c r="AL145" i="12"/>
  <c r="K145" i="12" s="1"/>
  <c r="AL146" i="12"/>
  <c r="K146" i="12" s="1"/>
  <c r="AL147" i="12"/>
  <c r="K147" i="12" s="1"/>
  <c r="AL148" i="12"/>
  <c r="K148" i="12" s="1"/>
  <c r="AL149" i="12"/>
  <c r="K149" i="12" s="1"/>
  <c r="AL150" i="12"/>
  <c r="K150" i="12" s="1"/>
  <c r="AL151" i="12"/>
  <c r="K151" i="12" s="1"/>
  <c r="AL152" i="12"/>
  <c r="K152" i="12" s="1"/>
  <c r="AL153" i="12"/>
  <c r="K153" i="12" s="1"/>
  <c r="AL154" i="12"/>
  <c r="K154" i="12" s="1"/>
  <c r="AL155" i="12"/>
  <c r="K155" i="12" s="1"/>
  <c r="AL156" i="12"/>
  <c r="K156" i="12" s="1"/>
  <c r="AL157" i="12"/>
  <c r="K157" i="12" s="1"/>
  <c r="AL158" i="12"/>
  <c r="K158" i="12" s="1"/>
  <c r="AL159" i="12"/>
  <c r="K159" i="12" s="1"/>
  <c r="AL160" i="12"/>
  <c r="K160" i="12" s="1"/>
  <c r="AL161" i="12"/>
  <c r="K161" i="12" s="1"/>
  <c r="AL162" i="12"/>
  <c r="K162" i="12" s="1"/>
  <c r="AL163" i="12"/>
  <c r="K163" i="12" s="1"/>
  <c r="AL164" i="12"/>
  <c r="K164" i="12" s="1"/>
  <c r="AL165" i="12"/>
  <c r="K165" i="12" s="1"/>
  <c r="AL166" i="12"/>
  <c r="K166" i="12" s="1"/>
  <c r="AL167" i="12"/>
  <c r="K167" i="12" s="1"/>
  <c r="AL168" i="12"/>
  <c r="K168" i="12" s="1"/>
  <c r="AL169" i="12"/>
  <c r="K169" i="12" s="1"/>
  <c r="AL170" i="12"/>
  <c r="K170" i="12" s="1"/>
  <c r="AL171" i="12"/>
  <c r="K171" i="12" s="1"/>
  <c r="AL172" i="12"/>
  <c r="K172" i="12" s="1"/>
  <c r="AL173" i="12"/>
  <c r="K173" i="12" s="1"/>
  <c r="AL174" i="12"/>
  <c r="K174" i="12" s="1"/>
  <c r="AL175" i="12"/>
  <c r="K175" i="12" s="1"/>
  <c r="AL176" i="12"/>
  <c r="K176" i="12" s="1"/>
  <c r="AL177" i="12"/>
  <c r="K177" i="12" s="1"/>
  <c r="AL178" i="12"/>
  <c r="K178" i="12" s="1"/>
  <c r="AL179" i="12"/>
  <c r="K179" i="12" s="1"/>
  <c r="AL180" i="12"/>
  <c r="K180" i="12" s="1"/>
  <c r="AL181" i="12"/>
  <c r="K181" i="12" s="1"/>
  <c r="AL182" i="12"/>
  <c r="K182" i="12" s="1"/>
  <c r="AL183" i="12"/>
  <c r="K183" i="12" s="1"/>
  <c r="AL184" i="12"/>
  <c r="K184" i="12" s="1"/>
  <c r="AL185" i="12"/>
  <c r="K185" i="12" s="1"/>
  <c r="AL186" i="12"/>
  <c r="K186" i="12" s="1"/>
  <c r="AL187" i="12"/>
  <c r="K187" i="12" s="1"/>
  <c r="AL188" i="12"/>
  <c r="K188" i="12" s="1"/>
  <c r="AL189" i="12"/>
  <c r="K189" i="12" s="1"/>
  <c r="AL190" i="12"/>
  <c r="K190" i="12" s="1"/>
  <c r="AL191" i="12"/>
  <c r="K191" i="12" s="1"/>
  <c r="AL192" i="12"/>
  <c r="K192" i="12" s="1"/>
  <c r="AL193" i="12"/>
  <c r="K193" i="12" s="1"/>
  <c r="AL194" i="12"/>
  <c r="K194" i="12" s="1"/>
  <c r="AL195" i="12"/>
  <c r="K195" i="12" s="1"/>
  <c r="AL196" i="12"/>
  <c r="K196" i="12" s="1"/>
  <c r="AL197" i="12"/>
  <c r="K197" i="12" s="1"/>
  <c r="AL198" i="12"/>
  <c r="K198" i="12" s="1"/>
  <c r="AM101" i="12"/>
  <c r="AM102" i="12"/>
  <c r="AM103" i="12"/>
  <c r="AM104" i="12"/>
  <c r="AM105" i="12"/>
  <c r="AM106" i="12"/>
  <c r="AM107" i="12"/>
  <c r="AM108" i="12"/>
  <c r="AM109" i="12"/>
  <c r="AM110" i="12"/>
  <c r="AM111" i="12"/>
  <c r="AM112" i="12"/>
  <c r="AM113" i="12"/>
  <c r="AM114" i="12"/>
  <c r="AM115" i="12"/>
  <c r="AM116" i="12"/>
  <c r="AM117" i="12"/>
  <c r="AM118" i="12"/>
  <c r="AM119" i="12"/>
  <c r="AM120" i="12"/>
  <c r="AM121" i="12"/>
  <c r="AM122" i="12"/>
  <c r="AM123" i="12"/>
  <c r="AM124" i="12"/>
  <c r="AM125" i="12"/>
  <c r="AM126" i="12"/>
  <c r="AM127" i="12"/>
  <c r="AM128" i="12"/>
  <c r="AM129" i="12"/>
  <c r="AM130" i="12"/>
  <c r="AM131" i="12"/>
  <c r="AM132" i="12"/>
  <c r="AM133" i="12"/>
  <c r="AM134" i="12"/>
  <c r="AM135" i="12"/>
  <c r="AM136" i="12"/>
  <c r="AM137" i="12"/>
  <c r="AM138" i="12"/>
  <c r="AM139" i="12"/>
  <c r="AM140" i="12"/>
  <c r="AM141" i="12"/>
  <c r="AM142" i="12"/>
  <c r="AM143" i="12"/>
  <c r="AM144" i="12"/>
  <c r="AM145" i="12"/>
  <c r="AM146" i="12"/>
  <c r="AM147" i="12"/>
  <c r="AM148" i="12"/>
  <c r="AM149" i="12"/>
  <c r="AM150" i="12"/>
  <c r="AM151" i="12"/>
  <c r="AM152" i="12"/>
  <c r="AM153" i="12"/>
  <c r="AM154" i="12"/>
  <c r="AM155" i="12"/>
  <c r="AM156" i="12"/>
  <c r="AM157" i="12"/>
  <c r="AM158" i="12"/>
  <c r="AM159" i="12"/>
  <c r="AM160" i="12"/>
  <c r="AM161" i="12"/>
  <c r="AM162" i="12"/>
  <c r="AM163" i="12"/>
  <c r="AM164" i="12"/>
  <c r="AM165" i="12"/>
  <c r="AM166" i="12"/>
  <c r="AM167" i="12"/>
  <c r="AM168" i="12"/>
  <c r="AM169" i="12"/>
  <c r="AM170" i="12"/>
  <c r="AM171" i="12"/>
  <c r="AM172" i="12"/>
  <c r="AM173" i="12"/>
  <c r="AM174" i="12"/>
  <c r="AM175" i="12"/>
  <c r="AM176" i="12"/>
  <c r="AM177" i="12"/>
  <c r="AM178" i="12"/>
  <c r="AM179" i="12"/>
  <c r="AM180" i="12"/>
  <c r="AM181" i="12"/>
  <c r="AM182" i="12"/>
  <c r="AM183" i="12"/>
  <c r="AM184" i="12"/>
  <c r="AM185" i="12"/>
  <c r="AM186" i="12"/>
  <c r="AM187" i="12"/>
  <c r="AM188" i="12"/>
  <c r="AM189" i="12"/>
  <c r="AM190" i="12"/>
  <c r="AM191" i="12"/>
  <c r="AM192" i="12"/>
  <c r="AM193" i="12"/>
  <c r="AM194" i="12"/>
  <c r="AM195" i="12"/>
  <c r="AM196" i="12"/>
  <c r="AM197" i="12"/>
  <c r="AM198" i="12"/>
  <c r="L91" i="12"/>
  <c r="L92" i="12"/>
  <c r="L93" i="12"/>
  <c r="L94" i="12"/>
  <c r="L95" i="12"/>
  <c r="L96" i="12"/>
  <c r="L97" i="12"/>
  <c r="L98" i="12"/>
  <c r="L99" i="12"/>
  <c r="L100" i="12"/>
  <c r="V91" i="12"/>
  <c r="X91" i="12" s="1"/>
  <c r="V92" i="12"/>
  <c r="X92" i="12" s="1"/>
  <c r="V93" i="12"/>
  <c r="X93" i="12" s="1"/>
  <c r="V94" i="12"/>
  <c r="X94" i="12" s="1"/>
  <c r="V95" i="12"/>
  <c r="X95" i="12" s="1"/>
  <c r="V96" i="12"/>
  <c r="X96" i="12" s="1"/>
  <c r="V97" i="12"/>
  <c r="X97" i="12" s="1"/>
  <c r="V98" i="12"/>
  <c r="X98" i="12" s="1"/>
  <c r="V99" i="12"/>
  <c r="X99" i="12" s="1"/>
  <c r="V100" i="12"/>
  <c r="X100" i="12" s="1"/>
  <c r="G91" i="12"/>
  <c r="G92" i="12"/>
  <c r="G93" i="12"/>
  <c r="G94" i="12"/>
  <c r="G95" i="12"/>
  <c r="W95" i="12" s="1"/>
  <c r="G96" i="12"/>
  <c r="G97" i="12"/>
  <c r="G98" i="12"/>
  <c r="G99" i="12"/>
  <c r="G100" i="12"/>
  <c r="AL91" i="12"/>
  <c r="K91" i="12" s="1"/>
  <c r="AL92" i="12"/>
  <c r="K92" i="12" s="1"/>
  <c r="AL93" i="12"/>
  <c r="K93" i="12" s="1"/>
  <c r="AL94" i="12"/>
  <c r="K94" i="12" s="1"/>
  <c r="AL95" i="12"/>
  <c r="K95" i="12" s="1"/>
  <c r="AL96" i="12"/>
  <c r="K96" i="12" s="1"/>
  <c r="AL97" i="12"/>
  <c r="K97" i="12" s="1"/>
  <c r="AL98" i="12"/>
  <c r="K98" i="12" s="1"/>
  <c r="AL99" i="12"/>
  <c r="K99" i="12" s="1"/>
  <c r="AL100" i="12"/>
  <c r="K100" i="12" s="1"/>
  <c r="AM91" i="12"/>
  <c r="AM92" i="12"/>
  <c r="AM93" i="12"/>
  <c r="AM94" i="12"/>
  <c r="AM95" i="12"/>
  <c r="AM96" i="12"/>
  <c r="AM97" i="12"/>
  <c r="AM98" i="12"/>
  <c r="AM99" i="12"/>
  <c r="AM100" i="12"/>
  <c r="L90" i="12"/>
  <c r="V90" i="12"/>
  <c r="X90" i="12" s="1"/>
  <c r="G90" i="12"/>
  <c r="AL90" i="12"/>
  <c r="K90" i="12" s="1"/>
  <c r="AM90" i="12"/>
  <c r="AI84" i="12"/>
  <c r="AI85" i="12"/>
  <c r="AI86" i="12"/>
  <c r="AI87" i="12"/>
  <c r="AI88" i="12"/>
  <c r="AI89" i="12"/>
  <c r="G84" i="12"/>
  <c r="O84" i="12" s="1"/>
  <c r="G85" i="12"/>
  <c r="G86" i="12"/>
  <c r="R86" i="12" s="1"/>
  <c r="G87" i="12"/>
  <c r="P87" i="12" s="1"/>
  <c r="G88" i="12"/>
  <c r="R88" i="12" s="1"/>
  <c r="G89" i="12"/>
  <c r="W89" i="12" s="1"/>
  <c r="AI78" i="12"/>
  <c r="AI79" i="12"/>
  <c r="AI80" i="12"/>
  <c r="AI81" i="12"/>
  <c r="AI82" i="12"/>
  <c r="AI83" i="12"/>
  <c r="AI72" i="12"/>
  <c r="AI73" i="12"/>
  <c r="AI74" i="12"/>
  <c r="AI75" i="12"/>
  <c r="AI76" i="12"/>
  <c r="AI77" i="12"/>
  <c r="V3" i="12"/>
  <c r="X3" i="12" s="1"/>
  <c r="V4" i="12"/>
  <c r="X4" i="12" s="1"/>
  <c r="V5" i="12"/>
  <c r="X5" i="12" s="1"/>
  <c r="V6" i="12"/>
  <c r="X6" i="12" s="1"/>
  <c r="V7" i="12"/>
  <c r="X7" i="12" s="1"/>
  <c r="V8" i="12"/>
  <c r="X8" i="12" s="1"/>
  <c r="V9" i="12"/>
  <c r="X9" i="12" s="1"/>
  <c r="V10" i="12"/>
  <c r="X10" i="12" s="1"/>
  <c r="V11" i="12"/>
  <c r="X11" i="12" s="1"/>
  <c r="V12" i="12"/>
  <c r="X12" i="12" s="1"/>
  <c r="V13" i="12"/>
  <c r="X13" i="12" s="1"/>
  <c r="V14" i="12"/>
  <c r="X14" i="12" s="1"/>
  <c r="V15" i="12"/>
  <c r="X15" i="12" s="1"/>
  <c r="V16" i="12"/>
  <c r="X16" i="12" s="1"/>
  <c r="V17" i="12"/>
  <c r="X17" i="12" s="1"/>
  <c r="V18" i="12"/>
  <c r="X18" i="12" s="1"/>
  <c r="V19" i="12"/>
  <c r="X19" i="12" s="1"/>
  <c r="V20" i="12"/>
  <c r="X20" i="12" s="1"/>
  <c r="V21" i="12"/>
  <c r="X21" i="12" s="1"/>
  <c r="V22" i="12"/>
  <c r="X22" i="12" s="1"/>
  <c r="V23" i="12"/>
  <c r="X23" i="12" s="1"/>
  <c r="V24" i="12"/>
  <c r="X24" i="12" s="1"/>
  <c r="V25" i="12"/>
  <c r="X25" i="12" s="1"/>
  <c r="V26" i="12"/>
  <c r="X26" i="12" s="1"/>
  <c r="V27" i="12"/>
  <c r="X27" i="12" s="1"/>
  <c r="V28" i="12"/>
  <c r="X28" i="12" s="1"/>
  <c r="V29" i="12"/>
  <c r="X29" i="12" s="1"/>
  <c r="V30" i="12"/>
  <c r="X30" i="12" s="1"/>
  <c r="V31" i="12"/>
  <c r="X31" i="12" s="1"/>
  <c r="V32" i="12"/>
  <c r="X32" i="12" s="1"/>
  <c r="V33" i="12"/>
  <c r="X33" i="12" s="1"/>
  <c r="V34" i="12"/>
  <c r="X34" i="12" s="1"/>
  <c r="V35" i="12"/>
  <c r="X35" i="12" s="1"/>
  <c r="V36" i="12"/>
  <c r="X36" i="12" s="1"/>
  <c r="V37" i="12"/>
  <c r="X37" i="12" s="1"/>
  <c r="V38" i="12"/>
  <c r="X38" i="12" s="1"/>
  <c r="V39" i="12"/>
  <c r="X39" i="12" s="1"/>
  <c r="V40" i="12"/>
  <c r="X40" i="12" s="1"/>
  <c r="V41" i="12"/>
  <c r="X41" i="12" s="1"/>
  <c r="V42" i="12"/>
  <c r="X42" i="12" s="1"/>
  <c r="V43" i="12"/>
  <c r="X43" i="12" s="1"/>
  <c r="V44" i="12"/>
  <c r="X44" i="12" s="1"/>
  <c r="V45" i="12"/>
  <c r="X45" i="12" s="1"/>
  <c r="V46" i="12"/>
  <c r="X46" i="12" s="1"/>
  <c r="V47" i="12"/>
  <c r="X47" i="12" s="1"/>
  <c r="V48" i="12"/>
  <c r="X48" i="12" s="1"/>
  <c r="V49" i="12"/>
  <c r="X49" i="12" s="1"/>
  <c r="V50" i="12"/>
  <c r="X50" i="12" s="1"/>
  <c r="V51" i="12"/>
  <c r="X51" i="12" s="1"/>
  <c r="V52" i="12"/>
  <c r="X52" i="12" s="1"/>
  <c r="V53" i="12"/>
  <c r="X53" i="12" s="1"/>
  <c r="V54" i="12"/>
  <c r="X54" i="12" s="1"/>
  <c r="V55" i="12"/>
  <c r="X55" i="12" s="1"/>
  <c r="V56" i="12"/>
  <c r="X56" i="12" s="1"/>
  <c r="V57" i="12"/>
  <c r="X57" i="12" s="1"/>
  <c r="V58" i="12"/>
  <c r="X58" i="12" s="1"/>
  <c r="V59" i="12"/>
  <c r="X59" i="12" s="1"/>
  <c r="V60" i="12"/>
  <c r="X60" i="12" s="1"/>
  <c r="V61" i="12"/>
  <c r="X61" i="12" s="1"/>
  <c r="V62" i="12"/>
  <c r="X62" i="12" s="1"/>
  <c r="V63" i="12"/>
  <c r="X63" i="12" s="1"/>
  <c r="V64" i="12"/>
  <c r="X64" i="12" s="1"/>
  <c r="V65" i="12"/>
  <c r="X65" i="12" s="1"/>
  <c r="V66" i="12"/>
  <c r="X66" i="12" s="1"/>
  <c r="V67" i="12"/>
  <c r="X67" i="12" s="1"/>
  <c r="V68" i="12"/>
  <c r="X68" i="12" s="1"/>
  <c r="V69" i="12"/>
  <c r="X69" i="12" s="1"/>
  <c r="V70" i="12"/>
  <c r="X70" i="12" s="1"/>
  <c r="V71" i="12"/>
  <c r="X71" i="12" s="1"/>
  <c r="V72" i="12"/>
  <c r="X72" i="12" s="1"/>
  <c r="V73" i="12"/>
  <c r="X73" i="12" s="1"/>
  <c r="V74" i="12"/>
  <c r="X74" i="12" s="1"/>
  <c r="V75" i="12"/>
  <c r="X75" i="12" s="1"/>
  <c r="V76" i="12"/>
  <c r="X76" i="12" s="1"/>
  <c r="V77" i="12"/>
  <c r="X77" i="12" s="1"/>
  <c r="V78" i="12"/>
  <c r="X78" i="12" s="1"/>
  <c r="V79" i="12"/>
  <c r="X79" i="12" s="1"/>
  <c r="V80" i="12"/>
  <c r="X80" i="12" s="1"/>
  <c r="V81" i="12"/>
  <c r="X81" i="12" s="1"/>
  <c r="V82" i="12"/>
  <c r="X82" i="12" s="1"/>
  <c r="V83" i="12"/>
  <c r="X83" i="12" s="1"/>
  <c r="V84" i="12"/>
  <c r="X84" i="12" s="1"/>
  <c r="V85" i="12"/>
  <c r="X85" i="12" s="1"/>
  <c r="V86" i="12"/>
  <c r="X86" i="12" s="1"/>
  <c r="V87" i="12"/>
  <c r="X87" i="12" s="1"/>
  <c r="V88" i="12"/>
  <c r="X88" i="12" s="1"/>
  <c r="V89" i="12"/>
  <c r="X89" i="12" s="1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AI66" i="12"/>
  <c r="AI67" i="12"/>
  <c r="AI68" i="12"/>
  <c r="AI69" i="12"/>
  <c r="AI70" i="12"/>
  <c r="AI71" i="12"/>
  <c r="G66" i="12"/>
  <c r="S66" i="12" s="1"/>
  <c r="G67" i="12"/>
  <c r="U67" i="12" s="1"/>
  <c r="G68" i="12"/>
  <c r="M68" i="12" s="1"/>
  <c r="G69" i="12"/>
  <c r="N69" i="12" s="1"/>
  <c r="G70" i="12"/>
  <c r="Q70" i="12" s="1"/>
  <c r="G71" i="12"/>
  <c r="G72" i="12"/>
  <c r="S72" i="12" s="1"/>
  <c r="G73" i="12"/>
  <c r="Q73" i="12" s="1"/>
  <c r="G74" i="12"/>
  <c r="S74" i="12" s="1"/>
  <c r="G75" i="12"/>
  <c r="M75" i="12" s="1"/>
  <c r="G76" i="12"/>
  <c r="O76" i="12" s="1"/>
  <c r="G77" i="12"/>
  <c r="N77" i="12" s="1"/>
  <c r="G78" i="12"/>
  <c r="Q78" i="12" s="1"/>
  <c r="G79" i="12"/>
  <c r="S79" i="12" s="1"/>
  <c r="G80" i="12"/>
  <c r="S80" i="12" s="1"/>
  <c r="G81" i="12"/>
  <c r="T81" i="12" s="1"/>
  <c r="G82" i="12"/>
  <c r="N82" i="12" s="1"/>
  <c r="G83" i="12"/>
  <c r="O83" i="12" s="1"/>
  <c r="AI61" i="12"/>
  <c r="AI62" i="12"/>
  <c r="AI63" i="12"/>
  <c r="AI64" i="12"/>
  <c r="AI65" i="12"/>
  <c r="AI55" i="12"/>
  <c r="AI56" i="12"/>
  <c r="AI57" i="12"/>
  <c r="AI58" i="12"/>
  <c r="AI59" i="12"/>
  <c r="AI60" i="12"/>
  <c r="AI54" i="12"/>
  <c r="AI49" i="12"/>
  <c r="AI50" i="12"/>
  <c r="AI51" i="12"/>
  <c r="AI52" i="12"/>
  <c r="AI53" i="12"/>
  <c r="AI42" i="12"/>
  <c r="AI43" i="12"/>
  <c r="AI44" i="12"/>
  <c r="AI45" i="12"/>
  <c r="AI46" i="12"/>
  <c r="AI47" i="12"/>
  <c r="AI48" i="12"/>
  <c r="G45" i="12"/>
  <c r="N45" i="12" s="1"/>
  <c r="G46" i="12"/>
  <c r="Q46" i="12" s="1"/>
  <c r="G47" i="12"/>
  <c r="N47" i="12" s="1"/>
  <c r="G48" i="12"/>
  <c r="W48" i="12" s="1"/>
  <c r="G42" i="12"/>
  <c r="Q42" i="12" s="1"/>
  <c r="G43" i="12"/>
  <c r="O43" i="12" s="1"/>
  <c r="G44" i="12"/>
  <c r="P44" i="12" s="1"/>
  <c r="G49" i="12"/>
  <c r="O49" i="12" s="1"/>
  <c r="G50" i="12"/>
  <c r="U50" i="12" s="1"/>
  <c r="G51" i="12"/>
  <c r="U51" i="12" s="1"/>
  <c r="G52" i="12"/>
  <c r="M52" i="12" s="1"/>
  <c r="G53" i="12"/>
  <c r="G54" i="12"/>
  <c r="R54" i="12" s="1"/>
  <c r="G55" i="12"/>
  <c r="S55" i="12" s="1"/>
  <c r="G56" i="12"/>
  <c r="S56" i="12" s="1"/>
  <c r="G57" i="12"/>
  <c r="M57" i="12" s="1"/>
  <c r="G58" i="12"/>
  <c r="U58" i="12" s="1"/>
  <c r="G59" i="12"/>
  <c r="U59" i="12" s="1"/>
  <c r="G60" i="12"/>
  <c r="W60" i="12" s="1"/>
  <c r="G61" i="12"/>
  <c r="P61" i="12" s="1"/>
  <c r="G62" i="12"/>
  <c r="R62" i="12" s="1"/>
  <c r="G63" i="12"/>
  <c r="R63" i="12" s="1"/>
  <c r="G64" i="12"/>
  <c r="Q64" i="12" s="1"/>
  <c r="G65" i="12"/>
  <c r="W65" i="12" s="1"/>
  <c r="AI39" i="12"/>
  <c r="AI35" i="12"/>
  <c r="AI36" i="12"/>
  <c r="AI37" i="12"/>
  <c r="AI38" i="12"/>
  <c r="AI40" i="12"/>
  <c r="AI41" i="12"/>
  <c r="AD35" i="12"/>
  <c r="Y35" i="12" s="1"/>
  <c r="AD36" i="12"/>
  <c r="Y36" i="12" s="1"/>
  <c r="AD37" i="12"/>
  <c r="Y37" i="12" s="1"/>
  <c r="AD38" i="12"/>
  <c r="Y38" i="12" s="1"/>
  <c r="AD39" i="12"/>
  <c r="Y39" i="12" s="1"/>
  <c r="AD40" i="12"/>
  <c r="Y40" i="12" s="1"/>
  <c r="AD41" i="12"/>
  <c r="Y41" i="12" s="1"/>
  <c r="AI29" i="12"/>
  <c r="AI30" i="12"/>
  <c r="AI31" i="12"/>
  <c r="AI32" i="12"/>
  <c r="AI33" i="12"/>
  <c r="AI34" i="12"/>
  <c r="AD29" i="12"/>
  <c r="Y29" i="12" s="1"/>
  <c r="AD30" i="12"/>
  <c r="Y30" i="12" s="1"/>
  <c r="AD31" i="12"/>
  <c r="Y31" i="12" s="1"/>
  <c r="AD32" i="12"/>
  <c r="Y32" i="12" s="1"/>
  <c r="AD33" i="12"/>
  <c r="Y33" i="12" s="1"/>
  <c r="AD34" i="12"/>
  <c r="Y34" i="12" s="1"/>
  <c r="AD22" i="12"/>
  <c r="Y22" i="12" s="1"/>
  <c r="AD23" i="12"/>
  <c r="Y23" i="12" s="1"/>
  <c r="AD24" i="12"/>
  <c r="Y24" i="12" s="1"/>
  <c r="AD25" i="12"/>
  <c r="Y25" i="12" s="1"/>
  <c r="AD26" i="12"/>
  <c r="Y26" i="12" s="1"/>
  <c r="AD27" i="12"/>
  <c r="Y27" i="12" s="1"/>
  <c r="AD28" i="12"/>
  <c r="Y28" i="12" s="1"/>
  <c r="AI22" i="12"/>
  <c r="AI23" i="12"/>
  <c r="AI24" i="12"/>
  <c r="AI25" i="12"/>
  <c r="AI26" i="12"/>
  <c r="AI27" i="12"/>
  <c r="AI28" i="12"/>
  <c r="AI16" i="12"/>
  <c r="AI17" i="12"/>
  <c r="AI18" i="12"/>
  <c r="AI19" i="12"/>
  <c r="AI20" i="12"/>
  <c r="AI21" i="12"/>
  <c r="AD16" i="12"/>
  <c r="Y16" i="12" s="1"/>
  <c r="AD17" i="12"/>
  <c r="Y17" i="12" s="1"/>
  <c r="AD18" i="12"/>
  <c r="Y18" i="12" s="1"/>
  <c r="AD19" i="12"/>
  <c r="Y19" i="12" s="1"/>
  <c r="AD20" i="12"/>
  <c r="Y20" i="12" s="1"/>
  <c r="AD21" i="12"/>
  <c r="Y21" i="12" s="1"/>
  <c r="AD14" i="12"/>
  <c r="Y14" i="12" s="1"/>
  <c r="AD6" i="12"/>
  <c r="Y6" i="12" s="1"/>
  <c r="AD11" i="12"/>
  <c r="Y11" i="12" s="1"/>
  <c r="AD10" i="12"/>
  <c r="Y10" i="12" s="1"/>
  <c r="AD12" i="12"/>
  <c r="Y12" i="12" s="1"/>
  <c r="AD13" i="12"/>
  <c r="Y13" i="12" s="1"/>
  <c r="AD15" i="12"/>
  <c r="Y15" i="12" s="1"/>
  <c r="AD9" i="12"/>
  <c r="Y9" i="12" s="1"/>
  <c r="AI3" i="12"/>
  <c r="AI4" i="12"/>
  <c r="AI5" i="12"/>
  <c r="AI6" i="12"/>
  <c r="AI7" i="12"/>
  <c r="AI8" i="12"/>
  <c r="AI9" i="12"/>
  <c r="AI10" i="12"/>
  <c r="AI11" i="12"/>
  <c r="AI12" i="12"/>
  <c r="AI13" i="12"/>
  <c r="AI14" i="12"/>
  <c r="AI15" i="12"/>
  <c r="AI2" i="12"/>
  <c r="AM2" i="12"/>
  <c r="AD7" i="12"/>
  <c r="Y7" i="12" s="1"/>
  <c r="AD8" i="12"/>
  <c r="Y8" i="12" s="1"/>
  <c r="AD2" i="12"/>
  <c r="Y2" i="12" s="1"/>
  <c r="AD3" i="12"/>
  <c r="Y3" i="12" s="1"/>
  <c r="AD4" i="12"/>
  <c r="Y4" i="12" s="1"/>
  <c r="AD5" i="12"/>
  <c r="Y5" i="12" s="1"/>
  <c r="AM89" i="12"/>
  <c r="AL89" i="12"/>
  <c r="K89" i="12" s="1"/>
  <c r="AM88" i="12"/>
  <c r="AL88" i="12"/>
  <c r="K88" i="12" s="1"/>
  <c r="AM87" i="12"/>
  <c r="AL87" i="12"/>
  <c r="K87" i="12" s="1"/>
  <c r="AM86" i="12"/>
  <c r="AL86" i="12"/>
  <c r="K86" i="12" s="1"/>
  <c r="AM85" i="12"/>
  <c r="AL85" i="12"/>
  <c r="K85" i="12" s="1"/>
  <c r="AM84" i="12"/>
  <c r="AL84" i="12"/>
  <c r="K84" i="12" s="1"/>
  <c r="AM83" i="12"/>
  <c r="AL83" i="12"/>
  <c r="K83" i="12" s="1"/>
  <c r="AM82" i="12"/>
  <c r="AL82" i="12"/>
  <c r="K82" i="12" s="1"/>
  <c r="AM81" i="12"/>
  <c r="AL81" i="12"/>
  <c r="K81" i="12" s="1"/>
  <c r="AM80" i="12"/>
  <c r="AL80" i="12"/>
  <c r="K80" i="12" s="1"/>
  <c r="AM79" i="12"/>
  <c r="AL79" i="12"/>
  <c r="K79" i="12" s="1"/>
  <c r="AM78" i="12"/>
  <c r="AL78" i="12"/>
  <c r="K78" i="12" s="1"/>
  <c r="AM77" i="12"/>
  <c r="AL77" i="12"/>
  <c r="K77" i="12" s="1"/>
  <c r="AM76" i="12"/>
  <c r="AL76" i="12"/>
  <c r="K76" i="12" s="1"/>
  <c r="AM75" i="12"/>
  <c r="AL75" i="12"/>
  <c r="K75" i="12" s="1"/>
  <c r="AM74" i="12"/>
  <c r="AL74" i="12"/>
  <c r="K74" i="12" s="1"/>
  <c r="AM73" i="12"/>
  <c r="AL73" i="12"/>
  <c r="K73" i="12" s="1"/>
  <c r="AM72" i="12"/>
  <c r="AL72" i="12"/>
  <c r="K72" i="12" s="1"/>
  <c r="AM71" i="12"/>
  <c r="AL71" i="12"/>
  <c r="K71" i="12" s="1"/>
  <c r="AM70" i="12"/>
  <c r="AL70" i="12"/>
  <c r="K70" i="12" s="1"/>
  <c r="AM69" i="12"/>
  <c r="AL69" i="12"/>
  <c r="K69" i="12" s="1"/>
  <c r="AM68" i="12"/>
  <c r="AL68" i="12"/>
  <c r="K68" i="12" s="1"/>
  <c r="AM67" i="12"/>
  <c r="AL67" i="12"/>
  <c r="K67" i="12" s="1"/>
  <c r="AM66" i="12"/>
  <c r="AL66" i="12"/>
  <c r="K66" i="12" s="1"/>
  <c r="AM65" i="12"/>
  <c r="AL65" i="12"/>
  <c r="K65" i="12" s="1"/>
  <c r="AM64" i="12"/>
  <c r="AL64" i="12"/>
  <c r="K64" i="12" s="1"/>
  <c r="AM63" i="12"/>
  <c r="AL63" i="12"/>
  <c r="K63" i="12" s="1"/>
  <c r="AM62" i="12"/>
  <c r="AL62" i="12"/>
  <c r="K62" i="12" s="1"/>
  <c r="AM61" i="12"/>
  <c r="AL61" i="12"/>
  <c r="K61" i="12" s="1"/>
  <c r="AM60" i="12"/>
  <c r="AL60" i="12"/>
  <c r="K60" i="12" s="1"/>
  <c r="AM59" i="12"/>
  <c r="AL59" i="12"/>
  <c r="K59" i="12" s="1"/>
  <c r="AM58" i="12"/>
  <c r="AL58" i="12"/>
  <c r="K58" i="12" s="1"/>
  <c r="AM57" i="12"/>
  <c r="AL57" i="12"/>
  <c r="K57" i="12" s="1"/>
  <c r="AM56" i="12"/>
  <c r="AL56" i="12"/>
  <c r="K56" i="12" s="1"/>
  <c r="AM55" i="12"/>
  <c r="AL55" i="12"/>
  <c r="K55" i="12" s="1"/>
  <c r="AM54" i="12"/>
  <c r="AL54" i="12"/>
  <c r="K54" i="12" s="1"/>
  <c r="AM53" i="12"/>
  <c r="AL53" i="12"/>
  <c r="K53" i="12" s="1"/>
  <c r="AM52" i="12"/>
  <c r="AL52" i="12"/>
  <c r="K52" i="12" s="1"/>
  <c r="AM51" i="12"/>
  <c r="AL51" i="12"/>
  <c r="K51" i="12" s="1"/>
  <c r="AM50" i="12"/>
  <c r="AL50" i="12"/>
  <c r="K50" i="12" s="1"/>
  <c r="AM49" i="12"/>
  <c r="AL49" i="12"/>
  <c r="K49" i="12" s="1"/>
  <c r="AM48" i="12"/>
  <c r="AL48" i="12"/>
  <c r="K48" i="12" s="1"/>
  <c r="AM47" i="12"/>
  <c r="AL47" i="12"/>
  <c r="K47" i="12" s="1"/>
  <c r="AM46" i="12"/>
  <c r="AL46" i="12"/>
  <c r="K46" i="12" s="1"/>
  <c r="AM45" i="12"/>
  <c r="AL45" i="12"/>
  <c r="K45" i="12" s="1"/>
  <c r="AM44" i="12"/>
  <c r="AL44" i="12"/>
  <c r="K44" i="12" s="1"/>
  <c r="AM43" i="12"/>
  <c r="AL43" i="12"/>
  <c r="K43" i="12" s="1"/>
  <c r="AM42" i="12"/>
  <c r="AL42" i="12"/>
  <c r="K42" i="12" s="1"/>
  <c r="AM41" i="12"/>
  <c r="AL41" i="12"/>
  <c r="K41" i="12" s="1"/>
  <c r="AM40" i="12"/>
  <c r="AL40" i="12"/>
  <c r="K40" i="12" s="1"/>
  <c r="AM39" i="12"/>
  <c r="AL39" i="12"/>
  <c r="K39" i="12" s="1"/>
  <c r="AM38" i="12"/>
  <c r="AL38" i="12"/>
  <c r="K38" i="12" s="1"/>
  <c r="AM37" i="12"/>
  <c r="AL37" i="12"/>
  <c r="K37" i="12" s="1"/>
  <c r="AM36" i="12"/>
  <c r="AL36" i="12"/>
  <c r="K36" i="12" s="1"/>
  <c r="AM35" i="12"/>
  <c r="AL35" i="12"/>
  <c r="K35" i="12" s="1"/>
  <c r="AM34" i="12"/>
  <c r="AL34" i="12"/>
  <c r="K34" i="12" s="1"/>
  <c r="AM33" i="12"/>
  <c r="AL33" i="12"/>
  <c r="K33" i="12" s="1"/>
  <c r="AM32" i="12"/>
  <c r="AL32" i="12"/>
  <c r="K32" i="12" s="1"/>
  <c r="AM31" i="12"/>
  <c r="AL31" i="12"/>
  <c r="K31" i="12" s="1"/>
  <c r="AM30" i="12"/>
  <c r="AL30" i="12"/>
  <c r="K30" i="12" s="1"/>
  <c r="AM29" i="12"/>
  <c r="AL29" i="12"/>
  <c r="K29" i="12" s="1"/>
  <c r="AM28" i="12"/>
  <c r="AL28" i="12"/>
  <c r="K28" i="12" s="1"/>
  <c r="AM27" i="12"/>
  <c r="AL27" i="12"/>
  <c r="K27" i="12" s="1"/>
  <c r="AM26" i="12"/>
  <c r="AL26" i="12"/>
  <c r="K26" i="12" s="1"/>
  <c r="AM25" i="12"/>
  <c r="AL25" i="12"/>
  <c r="K25" i="12" s="1"/>
  <c r="AM24" i="12"/>
  <c r="AL24" i="12"/>
  <c r="K24" i="12" s="1"/>
  <c r="AM23" i="12"/>
  <c r="AL23" i="12"/>
  <c r="K23" i="12" s="1"/>
  <c r="AM22" i="12"/>
  <c r="AL22" i="12"/>
  <c r="K22" i="12" s="1"/>
  <c r="AM21" i="12"/>
  <c r="AL21" i="12"/>
  <c r="K21" i="12" s="1"/>
  <c r="AM20" i="12"/>
  <c r="AL20" i="12"/>
  <c r="K20" i="12" s="1"/>
  <c r="AM19" i="12"/>
  <c r="AL19" i="12"/>
  <c r="K19" i="12" s="1"/>
  <c r="AM18" i="12"/>
  <c r="AL18" i="12"/>
  <c r="K18" i="12" s="1"/>
  <c r="AM17" i="12"/>
  <c r="AL17" i="12"/>
  <c r="K17" i="12" s="1"/>
  <c r="AM16" i="12"/>
  <c r="AL16" i="12"/>
  <c r="K16" i="12" s="1"/>
  <c r="AM15" i="12"/>
  <c r="AL15" i="12"/>
  <c r="K15" i="12" s="1"/>
  <c r="AM14" i="12"/>
  <c r="AL14" i="12"/>
  <c r="K14" i="12" s="1"/>
  <c r="AM13" i="12"/>
  <c r="AL13" i="12"/>
  <c r="K13" i="12" s="1"/>
  <c r="AM12" i="12"/>
  <c r="AL12" i="12"/>
  <c r="K12" i="12" s="1"/>
  <c r="AM11" i="12"/>
  <c r="AL11" i="12"/>
  <c r="K11" i="12" s="1"/>
  <c r="AM10" i="12"/>
  <c r="AL10" i="12"/>
  <c r="K10" i="12" s="1"/>
  <c r="AM9" i="12"/>
  <c r="AL9" i="12"/>
  <c r="K9" i="12" s="1"/>
  <c r="AM8" i="12"/>
  <c r="AL8" i="12"/>
  <c r="K8" i="12" s="1"/>
  <c r="AM7" i="12"/>
  <c r="AL7" i="12"/>
  <c r="K7" i="12" s="1"/>
  <c r="AM6" i="12"/>
  <c r="AL6" i="12"/>
  <c r="K6" i="12" s="1"/>
  <c r="AQ5" i="12"/>
  <c r="AM5" i="12"/>
  <c r="AL5" i="12"/>
  <c r="K5" i="12" s="1"/>
  <c r="AM4" i="12"/>
  <c r="AL4" i="12"/>
  <c r="K4" i="12" s="1"/>
  <c r="AM3" i="12"/>
  <c r="AL3" i="12"/>
  <c r="K3" i="12" s="1"/>
  <c r="AL2" i="12"/>
  <c r="K2" i="12" s="1"/>
  <c r="V2" i="12"/>
  <c r="X2" i="12" s="1"/>
  <c r="L2" i="12"/>
  <c r="K37" i="14" l="1"/>
  <c r="D6" i="12"/>
  <c r="AI58" i="13"/>
  <c r="V83" i="13"/>
  <c r="X83" i="13" s="1"/>
  <c r="L81" i="13"/>
  <c r="V6" i="14"/>
  <c r="W90" i="12"/>
  <c r="G5" i="15"/>
  <c r="H5" i="15" s="1"/>
  <c r="G9" i="14"/>
  <c r="T9" i="14" s="1"/>
  <c r="K32" i="14"/>
  <c r="L35" i="14"/>
  <c r="K6" i="15"/>
  <c r="AI69" i="13"/>
  <c r="AM76" i="13"/>
  <c r="L33" i="14"/>
  <c r="AI38" i="13"/>
  <c r="V42" i="13"/>
  <c r="X42" i="13" s="1"/>
  <c r="AI46" i="13"/>
  <c r="V33" i="14"/>
  <c r="AJ5" i="15"/>
  <c r="G7" i="13"/>
  <c r="R7" i="13" s="1"/>
  <c r="V12" i="14"/>
  <c r="AE24" i="14"/>
  <c r="J24" i="14" s="1"/>
  <c r="AE8" i="14"/>
  <c r="G66" i="13"/>
  <c r="T66" i="13" s="1"/>
  <c r="D62" i="13"/>
  <c r="G30" i="14"/>
  <c r="Q30" i="14" s="1"/>
  <c r="AE39" i="14"/>
  <c r="J39" i="14" s="1"/>
  <c r="AE31" i="14"/>
  <c r="AE23" i="14"/>
  <c r="J23" i="14" s="1"/>
  <c r="AE15" i="14"/>
  <c r="J15" i="14" s="1"/>
  <c r="AE7" i="14"/>
  <c r="J7" i="14" s="1"/>
  <c r="G21" i="13"/>
  <c r="O21" i="13" s="1"/>
  <c r="AI60" i="13"/>
  <c r="AI52" i="13"/>
  <c r="L83" i="13"/>
  <c r="G80" i="13"/>
  <c r="T80" i="13" s="1"/>
  <c r="G78" i="13"/>
  <c r="T78" i="13" s="1"/>
  <c r="AE38" i="14"/>
  <c r="AE30" i="14"/>
  <c r="AE22" i="14"/>
  <c r="AE14" i="14"/>
  <c r="AE6" i="14"/>
  <c r="G14" i="13"/>
  <c r="AE32" i="14"/>
  <c r="J32" i="14" s="1"/>
  <c r="AE16" i="14"/>
  <c r="AE29" i="14"/>
  <c r="AE36" i="14"/>
  <c r="AE28" i="14"/>
  <c r="AE20" i="14"/>
  <c r="AE12" i="14"/>
  <c r="J12" i="14" s="1"/>
  <c r="AE4" i="14"/>
  <c r="AM21" i="13"/>
  <c r="AM13" i="13"/>
  <c r="G49" i="13"/>
  <c r="R49" i="13" s="1"/>
  <c r="G51" i="13"/>
  <c r="S51" i="13" s="1"/>
  <c r="G62" i="13"/>
  <c r="G72" i="13"/>
  <c r="N72" i="13" s="1"/>
  <c r="L18" i="14"/>
  <c r="AE21" i="14"/>
  <c r="G42" i="14"/>
  <c r="U42" i="14" s="1"/>
  <c r="AE43" i="14"/>
  <c r="AE35" i="14"/>
  <c r="AE27" i="14"/>
  <c r="AE19" i="14"/>
  <c r="AE11" i="14"/>
  <c r="AE3" i="14"/>
  <c r="G196" i="12"/>
  <c r="G54" i="13"/>
  <c r="M54" i="13" s="1"/>
  <c r="G3" i="13"/>
  <c r="S3" i="13" s="1"/>
  <c r="V5" i="13"/>
  <c r="X5" i="13" s="1"/>
  <c r="AM20" i="13"/>
  <c r="G15" i="13"/>
  <c r="N15" i="13" s="1"/>
  <c r="G27" i="13"/>
  <c r="M27" i="13" s="1"/>
  <c r="V31" i="13"/>
  <c r="X31" i="13" s="1"/>
  <c r="AL54" i="13"/>
  <c r="K54" i="13" s="1"/>
  <c r="V56" i="13"/>
  <c r="X56" i="13" s="1"/>
  <c r="V18" i="14"/>
  <c r="V42" i="14"/>
  <c r="AE42" i="14"/>
  <c r="AE34" i="14"/>
  <c r="AE26" i="14"/>
  <c r="AE18" i="14"/>
  <c r="J18" i="14" s="1"/>
  <c r="AE10" i="14"/>
  <c r="J10" i="14" s="1"/>
  <c r="AE2" i="14"/>
  <c r="G24" i="13"/>
  <c r="T24" i="13" s="1"/>
  <c r="AE40" i="14"/>
  <c r="AE37" i="14"/>
  <c r="J37" i="14" s="1"/>
  <c r="AE13" i="14"/>
  <c r="J13" i="14" s="1"/>
  <c r="AE5" i="14"/>
  <c r="G10" i="13"/>
  <c r="W10" i="13" s="1"/>
  <c r="G2" i="13"/>
  <c r="Q2" i="13" s="1"/>
  <c r="AL19" i="13"/>
  <c r="K19" i="13" s="1"/>
  <c r="AI28" i="13"/>
  <c r="AL26" i="13"/>
  <c r="K26" i="13" s="1"/>
  <c r="AE41" i="14"/>
  <c r="J41" i="14" s="1"/>
  <c r="AE33" i="14"/>
  <c r="J33" i="14" s="1"/>
  <c r="AE25" i="14"/>
  <c r="J25" i="14" s="1"/>
  <c r="AE17" i="14"/>
  <c r="J17" i="14" s="1"/>
  <c r="AE9" i="14"/>
  <c r="K18" i="14"/>
  <c r="V25" i="14"/>
  <c r="K42" i="14"/>
  <c r="AL37" i="13"/>
  <c r="K37" i="13" s="1"/>
  <c r="V10" i="13"/>
  <c r="X10" i="13" s="1"/>
  <c r="V50" i="13"/>
  <c r="X50" i="13" s="1"/>
  <c r="V17" i="14"/>
  <c r="G34" i="14"/>
  <c r="W32" i="14" s="1"/>
  <c r="G43" i="14"/>
  <c r="W37" i="14" s="1"/>
  <c r="V11" i="15"/>
  <c r="AI57" i="13"/>
  <c r="D38" i="13"/>
  <c r="K25" i="14"/>
  <c r="K17" i="14"/>
  <c r="G26" i="14"/>
  <c r="W23" i="14" s="1"/>
  <c r="L34" i="14"/>
  <c r="K5" i="15"/>
  <c r="L25" i="14"/>
  <c r="AL38" i="13"/>
  <c r="K38" i="13" s="1"/>
  <c r="AI48" i="13"/>
  <c r="AI80" i="13"/>
  <c r="K11" i="14"/>
  <c r="V26" i="14"/>
  <c r="K41" i="14"/>
  <c r="L7" i="15"/>
  <c r="AM42" i="13"/>
  <c r="D44" i="13"/>
  <c r="AI63" i="13"/>
  <c r="K26" i="14"/>
  <c r="K34" i="14"/>
  <c r="F45" i="13"/>
  <c r="W103" i="12"/>
  <c r="F72" i="13"/>
  <c r="L28" i="13"/>
  <c r="F28" i="13"/>
  <c r="D35" i="13"/>
  <c r="D31" i="13"/>
  <c r="AI45" i="13"/>
  <c r="V60" i="13"/>
  <c r="X60" i="13" s="1"/>
  <c r="D61" i="13"/>
  <c r="V81" i="13"/>
  <c r="X81" i="13" s="1"/>
  <c r="K7" i="14"/>
  <c r="K30" i="14"/>
  <c r="V21" i="13"/>
  <c r="X21" i="13" s="1"/>
  <c r="AM32" i="13"/>
  <c r="L60" i="13"/>
  <c r="AI68" i="13"/>
  <c r="V79" i="13"/>
  <c r="X79" i="13" s="1"/>
  <c r="V63" i="13"/>
  <c r="X63" i="13" s="1"/>
  <c r="L2" i="14"/>
  <c r="K14" i="14"/>
  <c r="K28" i="14"/>
  <c r="K33" i="14"/>
  <c r="K10" i="15"/>
  <c r="F17" i="13"/>
  <c r="D33" i="13"/>
  <c r="L55" i="13"/>
  <c r="F55" i="13"/>
  <c r="F64" i="13"/>
  <c r="V71" i="13"/>
  <c r="X71" i="13" s="1"/>
  <c r="F71" i="13"/>
  <c r="AL75" i="13"/>
  <c r="K75" i="13" s="1"/>
  <c r="K8" i="15"/>
  <c r="F7" i="13"/>
  <c r="L24" i="13"/>
  <c r="F24" i="13"/>
  <c r="D60" i="13"/>
  <c r="F80" i="13"/>
  <c r="V30" i="14"/>
  <c r="F21" i="13"/>
  <c r="F13" i="13"/>
  <c r="L30" i="13"/>
  <c r="F30" i="13"/>
  <c r="Q61" i="12"/>
  <c r="L20" i="13"/>
  <c r="AL45" i="13"/>
  <c r="K45" i="13" s="1"/>
  <c r="L52" i="13"/>
  <c r="F54" i="13"/>
  <c r="L79" i="13"/>
  <c r="F79" i="13"/>
  <c r="V77" i="13"/>
  <c r="X77" i="13" s="1"/>
  <c r="F77" i="13"/>
  <c r="V29" i="14"/>
  <c r="AD2" i="10"/>
  <c r="AD5" i="10"/>
  <c r="AD4" i="10"/>
  <c r="AD7" i="10"/>
  <c r="AD6" i="10"/>
  <c r="AD3" i="10"/>
  <c r="AD9" i="10"/>
  <c r="AD8" i="10"/>
  <c r="V7" i="13"/>
  <c r="X7" i="13" s="1"/>
  <c r="L61" i="13"/>
  <c r="F61" i="13"/>
  <c r="AI6" i="13"/>
  <c r="F8" i="13"/>
  <c r="AM18" i="13"/>
  <c r="F23" i="13"/>
  <c r="F15" i="13"/>
  <c r="F11" i="13"/>
  <c r="F29" i="13"/>
  <c r="D46" i="13"/>
  <c r="L53" i="13"/>
  <c r="F53" i="13"/>
  <c r="V67" i="13"/>
  <c r="X67" i="13" s="1"/>
  <c r="AI65" i="13"/>
  <c r="L32" i="14"/>
  <c r="W12" i="14"/>
  <c r="L10" i="15"/>
  <c r="V5" i="15"/>
  <c r="L8" i="15"/>
  <c r="W166" i="12"/>
  <c r="AM2" i="13"/>
  <c r="K16" i="14"/>
  <c r="L23" i="14"/>
  <c r="W125" i="12"/>
  <c r="AM10" i="13"/>
  <c r="AL42" i="13"/>
  <c r="K42" i="13" s="1"/>
  <c r="AM53" i="13"/>
  <c r="AI56" i="13"/>
  <c r="D68" i="13"/>
  <c r="V80" i="13"/>
  <c r="X80" i="13" s="1"/>
  <c r="V78" i="13"/>
  <c r="X78" i="13" s="1"/>
  <c r="G27" i="14"/>
  <c r="T27" i="14" s="1"/>
  <c r="V39" i="14"/>
  <c r="L41" i="14"/>
  <c r="U37" i="14"/>
  <c r="W10" i="14"/>
  <c r="L9" i="15"/>
  <c r="L5" i="15"/>
  <c r="AI47" i="13"/>
  <c r="G31" i="13"/>
  <c r="P31" i="13" s="1"/>
  <c r="L80" i="13"/>
  <c r="D77" i="13"/>
  <c r="G31" i="14"/>
  <c r="N31" i="14" s="1"/>
  <c r="L21" i="13"/>
  <c r="G35" i="13"/>
  <c r="Q35" i="13" s="1"/>
  <c r="D14" i="13"/>
  <c r="D24" i="13"/>
  <c r="V52" i="13"/>
  <c r="X52" i="13" s="1"/>
  <c r="AL60" i="13"/>
  <c r="K60" i="13" s="1"/>
  <c r="AM54" i="13"/>
  <c r="L69" i="13"/>
  <c r="AI67" i="13"/>
  <c r="L71" i="13"/>
  <c r="V76" i="13"/>
  <c r="X76" i="13" s="1"/>
  <c r="L17" i="14"/>
  <c r="K27" i="14"/>
  <c r="G35" i="14"/>
  <c r="Q35" i="14" s="1"/>
  <c r="V41" i="14"/>
  <c r="K11" i="15"/>
  <c r="V6" i="15"/>
  <c r="V13" i="13"/>
  <c r="X13" i="13" s="1"/>
  <c r="D4" i="13"/>
  <c r="D26" i="13"/>
  <c r="AL68" i="13"/>
  <c r="K68" i="13" s="1"/>
  <c r="W129" i="12"/>
  <c r="G26" i="13"/>
  <c r="Q26" i="13" s="1"/>
  <c r="D3" i="13"/>
  <c r="AM52" i="13"/>
  <c r="L38" i="13"/>
  <c r="AI41" i="13"/>
  <c r="G60" i="13"/>
  <c r="AL57" i="13"/>
  <c r="K57" i="13" s="1"/>
  <c r="V70" i="13"/>
  <c r="X70" i="13" s="1"/>
  <c r="D69" i="13"/>
  <c r="AI61" i="13"/>
  <c r="V73" i="13"/>
  <c r="X73" i="13" s="1"/>
  <c r="K10" i="14"/>
  <c r="L15" i="14"/>
  <c r="V28" i="14"/>
  <c r="K35" i="14"/>
  <c r="V40" i="14"/>
  <c r="V43" i="14"/>
  <c r="K9" i="15"/>
  <c r="K4" i="15"/>
  <c r="G33" i="13"/>
  <c r="M33" i="13" s="1"/>
  <c r="D30" i="13"/>
  <c r="V19" i="14"/>
  <c r="D2" i="13"/>
  <c r="AI25" i="13"/>
  <c r="G38" i="13"/>
  <c r="O38" i="13" s="1"/>
  <c r="V68" i="13"/>
  <c r="X68" i="13" s="1"/>
  <c r="V61" i="13"/>
  <c r="X61" i="13" s="1"/>
  <c r="AL72" i="13"/>
  <c r="K72" i="13" s="1"/>
  <c r="AI77" i="13"/>
  <c r="G15" i="12"/>
  <c r="D15" i="12"/>
  <c r="G20" i="12"/>
  <c r="D20" i="12"/>
  <c r="G22" i="12"/>
  <c r="D22" i="12"/>
  <c r="G38" i="12"/>
  <c r="D38" i="12"/>
  <c r="W134" i="12"/>
  <c r="W118" i="12"/>
  <c r="D195" i="12"/>
  <c r="AM34" i="13"/>
  <c r="AL34" i="13"/>
  <c r="K34" i="13" s="1"/>
  <c r="G44" i="13"/>
  <c r="AI49" i="13"/>
  <c r="G55" i="13"/>
  <c r="D55" i="13"/>
  <c r="V59" i="13"/>
  <c r="X59" i="13" s="1"/>
  <c r="AI59" i="13"/>
  <c r="V66" i="13"/>
  <c r="X66" i="13" s="1"/>
  <c r="AI66" i="13"/>
  <c r="G63" i="13"/>
  <c r="D63" i="13"/>
  <c r="V75" i="13"/>
  <c r="X75" i="13" s="1"/>
  <c r="G13" i="12"/>
  <c r="D13" i="12"/>
  <c r="G19" i="12"/>
  <c r="D19" i="12"/>
  <c r="G34" i="12"/>
  <c r="D34" i="12"/>
  <c r="G37" i="12"/>
  <c r="D37" i="12"/>
  <c r="G4" i="13"/>
  <c r="P4" i="13" s="1"/>
  <c r="AM28" i="13"/>
  <c r="V19" i="13"/>
  <c r="X19" i="13" s="1"/>
  <c r="AM19" i="13"/>
  <c r="V11" i="13"/>
  <c r="X11" i="13" s="1"/>
  <c r="G20" i="13"/>
  <c r="M20" i="13" s="1"/>
  <c r="D20" i="13"/>
  <c r="D16" i="13"/>
  <c r="G16" i="13"/>
  <c r="P16" i="13" s="1"/>
  <c r="G12" i="13"/>
  <c r="S12" i="13" s="1"/>
  <c r="D12" i="13"/>
  <c r="AL27" i="13"/>
  <c r="K27" i="13" s="1"/>
  <c r="AM25" i="13"/>
  <c r="L25" i="13"/>
  <c r="L64" i="13"/>
  <c r="V62" i="13"/>
  <c r="X62" i="13" s="1"/>
  <c r="L62" i="13"/>
  <c r="G77" i="13"/>
  <c r="M77" i="13" s="1"/>
  <c r="L76" i="13"/>
  <c r="V74" i="13"/>
  <c r="X74" i="13" s="1"/>
  <c r="D82" i="13"/>
  <c r="G82" i="13"/>
  <c r="O82" i="13" s="1"/>
  <c r="L78" i="13"/>
  <c r="D197" i="12"/>
  <c r="V27" i="13"/>
  <c r="X27" i="13" s="1"/>
  <c r="L27" i="13"/>
  <c r="G39" i="13"/>
  <c r="D39" i="13"/>
  <c r="L66" i="13"/>
  <c r="G10" i="15"/>
  <c r="N10" i="15" s="1"/>
  <c r="D10" i="15"/>
  <c r="G4" i="12"/>
  <c r="D4" i="12"/>
  <c r="G8" i="13"/>
  <c r="N8" i="13" s="1"/>
  <c r="D8" i="13"/>
  <c r="D15" i="13"/>
  <c r="G29" i="13"/>
  <c r="Q29" i="13" s="1"/>
  <c r="D29" i="13"/>
  <c r="G68" i="13"/>
  <c r="P68" i="13" s="1"/>
  <c r="D76" i="13"/>
  <c r="G76" i="13"/>
  <c r="AJ7" i="15"/>
  <c r="D7" i="15"/>
  <c r="D7" i="13"/>
  <c r="D25" i="13"/>
  <c r="G25" i="13"/>
  <c r="U25" i="13" s="1"/>
  <c r="V35" i="13"/>
  <c r="X35" i="13" s="1"/>
  <c r="AM35" i="13"/>
  <c r="AM33" i="13"/>
  <c r="L33" i="13"/>
  <c r="G59" i="13"/>
  <c r="Q59" i="13" s="1"/>
  <c r="D59" i="13"/>
  <c r="AM55" i="13"/>
  <c r="AI55" i="13"/>
  <c r="AL69" i="13"/>
  <c r="K69" i="13" s="1"/>
  <c r="D3" i="14"/>
  <c r="L36" i="14"/>
  <c r="V36" i="14"/>
  <c r="D6" i="13"/>
  <c r="G6" i="13"/>
  <c r="AL18" i="13"/>
  <c r="K18" i="13" s="1"/>
  <c r="V23" i="13"/>
  <c r="X23" i="13" s="1"/>
  <c r="V15" i="13"/>
  <c r="X15" i="13" s="1"/>
  <c r="G22" i="13"/>
  <c r="P22" i="13" s="1"/>
  <c r="D22" i="13"/>
  <c r="G18" i="13"/>
  <c r="M18" i="13" s="1"/>
  <c r="D18" i="13"/>
  <c r="G46" i="13"/>
  <c r="AI37" i="13"/>
  <c r="V57" i="13"/>
  <c r="X57" i="13" s="1"/>
  <c r="L56" i="13"/>
  <c r="D58" i="13"/>
  <c r="G58" i="13"/>
  <c r="S58" i="13" s="1"/>
  <c r="AI54" i="13"/>
  <c r="J54" i="13" s="1"/>
  <c r="G69" i="13"/>
  <c r="L72" i="13"/>
  <c r="D74" i="13"/>
  <c r="G74" i="13"/>
  <c r="O74" i="13" s="1"/>
  <c r="G83" i="13"/>
  <c r="R83" i="13" s="1"/>
  <c r="D83" i="13"/>
  <c r="G81" i="13"/>
  <c r="P81" i="13" s="1"/>
  <c r="D81" i="13"/>
  <c r="L77" i="13"/>
  <c r="V69" i="13"/>
  <c r="X69" i="13" s="1"/>
  <c r="V4" i="14"/>
  <c r="G4" i="14"/>
  <c r="D2" i="14"/>
  <c r="V13" i="14"/>
  <c r="L13" i="14"/>
  <c r="W115" i="12"/>
  <c r="W116" i="12"/>
  <c r="L34" i="13"/>
  <c r="G41" i="13"/>
  <c r="Q41" i="13" s="1"/>
  <c r="D41" i="13"/>
  <c r="G43" i="13"/>
  <c r="Q43" i="13" s="1"/>
  <c r="D43" i="13"/>
  <c r="G10" i="12"/>
  <c r="D10" i="12"/>
  <c r="G17" i="12"/>
  <c r="D17" i="12"/>
  <c r="G27" i="12"/>
  <c r="D27" i="12"/>
  <c r="G32" i="12"/>
  <c r="D32" i="12"/>
  <c r="G35" i="12"/>
  <c r="D35" i="12"/>
  <c r="D23" i="13"/>
  <c r="G23" i="13"/>
  <c r="D19" i="13"/>
  <c r="G19" i="13"/>
  <c r="S19" i="13" s="1"/>
  <c r="D11" i="13"/>
  <c r="G11" i="13"/>
  <c r="D37" i="13"/>
  <c r="G37" i="13"/>
  <c r="P37" i="13" s="1"/>
  <c r="V72" i="13"/>
  <c r="X72" i="13" s="1"/>
  <c r="G173" i="12"/>
  <c r="D173" i="12"/>
  <c r="D40" i="13"/>
  <c r="G40" i="13"/>
  <c r="O40" i="13" s="1"/>
  <c r="G42" i="13"/>
  <c r="D42" i="13"/>
  <c r="AI44" i="13"/>
  <c r="AM44" i="13"/>
  <c r="V44" i="13"/>
  <c r="X44" i="13" s="1"/>
  <c r="V49" i="13"/>
  <c r="X49" i="13" s="1"/>
  <c r="G48" i="13"/>
  <c r="P48" i="13" s="1"/>
  <c r="D48" i="13"/>
  <c r="V51" i="13"/>
  <c r="X51" i="13" s="1"/>
  <c r="D57" i="13"/>
  <c r="G57" i="13"/>
  <c r="O57" i="13" s="1"/>
  <c r="L51" i="13"/>
  <c r="AI51" i="13"/>
  <c r="V53" i="13"/>
  <c r="X53" i="13" s="1"/>
  <c r="AI53" i="13"/>
  <c r="L82" i="13"/>
  <c r="V82" i="13"/>
  <c r="X82" i="13" s="1"/>
  <c r="D79" i="13"/>
  <c r="G79" i="13"/>
  <c r="O79" i="13" s="1"/>
  <c r="V65" i="13"/>
  <c r="X65" i="13" s="1"/>
  <c r="G14" i="14"/>
  <c r="H14" i="14" s="1"/>
  <c r="L14" i="14"/>
  <c r="G22" i="14"/>
  <c r="I22" i="14" s="1"/>
  <c r="V22" i="14"/>
  <c r="L22" i="14"/>
  <c r="G38" i="14"/>
  <c r="M38" i="14" s="1"/>
  <c r="V38" i="14"/>
  <c r="L19" i="13"/>
  <c r="D71" i="13"/>
  <c r="G71" i="13"/>
  <c r="O71" i="13" s="1"/>
  <c r="L75" i="13"/>
  <c r="G7" i="12"/>
  <c r="D7" i="12"/>
  <c r="G9" i="12"/>
  <c r="D9" i="12"/>
  <c r="G21" i="12"/>
  <c r="D21" i="12"/>
  <c r="G23" i="12"/>
  <c r="D23" i="12"/>
  <c r="G39" i="12"/>
  <c r="D39" i="12"/>
  <c r="P53" i="12"/>
  <c r="T53" i="12"/>
  <c r="G172" i="12"/>
  <c r="D172" i="12"/>
  <c r="G30" i="13"/>
  <c r="R30" i="13" s="1"/>
  <c r="AL41" i="13"/>
  <c r="K41" i="13" s="1"/>
  <c r="V41" i="13"/>
  <c r="X41" i="13" s="1"/>
  <c r="AI43" i="13"/>
  <c r="AL50" i="13"/>
  <c r="K50" i="13" s="1"/>
  <c r="AI50" i="13"/>
  <c r="L50" i="13"/>
  <c r="G47" i="13"/>
  <c r="Q47" i="13" s="1"/>
  <c r="D47" i="13"/>
  <c r="V55" i="13"/>
  <c r="X55" i="13" s="1"/>
  <c r="G61" i="13"/>
  <c r="U61" i="13" s="1"/>
  <c r="V64" i="13"/>
  <c r="X64" i="13" s="1"/>
  <c r="W41" i="14"/>
  <c r="G5" i="14"/>
  <c r="P5" i="14" s="1"/>
  <c r="L5" i="14"/>
  <c r="G7" i="14"/>
  <c r="S7" i="14" s="1"/>
  <c r="D7" i="14"/>
  <c r="G3" i="12"/>
  <c r="D3" i="12"/>
  <c r="G11" i="12"/>
  <c r="D11" i="12"/>
  <c r="G16" i="12"/>
  <c r="D16" i="12"/>
  <c r="G26" i="12"/>
  <c r="D26" i="12"/>
  <c r="G31" i="12"/>
  <c r="D31" i="12"/>
  <c r="G176" i="12"/>
  <c r="D176" i="12"/>
  <c r="D196" i="12"/>
  <c r="AM7" i="13"/>
  <c r="L4" i="13"/>
  <c r="AI26" i="13"/>
  <c r="V40" i="13"/>
  <c r="X40" i="13" s="1"/>
  <c r="L42" i="13"/>
  <c r="D54" i="13"/>
  <c r="AL58" i="13"/>
  <c r="K58" i="13" s="1"/>
  <c r="AI70" i="13"/>
  <c r="L67" i="13"/>
  <c r="L63" i="13"/>
  <c r="G73" i="13"/>
  <c r="T73" i="13" s="1"/>
  <c r="D73" i="13"/>
  <c r="D80" i="13"/>
  <c r="D78" i="13"/>
  <c r="K4" i="14"/>
  <c r="L24" i="14"/>
  <c r="K40" i="14"/>
  <c r="K43" i="14"/>
  <c r="D6" i="14"/>
  <c r="G9" i="15"/>
  <c r="J9" i="15" s="1"/>
  <c r="D9" i="15"/>
  <c r="D5" i="15"/>
  <c r="G4" i="15"/>
  <c r="D4" i="15"/>
  <c r="G2" i="12"/>
  <c r="D2" i="12"/>
  <c r="G6" i="12"/>
  <c r="G25" i="12"/>
  <c r="D25" i="12"/>
  <c r="G30" i="12"/>
  <c r="D30" i="12"/>
  <c r="G41" i="12"/>
  <c r="D41" i="12"/>
  <c r="G175" i="12"/>
  <c r="D175" i="12"/>
  <c r="D10" i="13"/>
  <c r="AM9" i="13"/>
  <c r="L3" i="13"/>
  <c r="D21" i="13"/>
  <c r="G17" i="13"/>
  <c r="D17" i="13"/>
  <c r="G13" i="13"/>
  <c r="T13" i="13" s="1"/>
  <c r="D13" i="13"/>
  <c r="V26" i="13"/>
  <c r="X26" i="13" s="1"/>
  <c r="G50" i="13"/>
  <c r="P50" i="13" s="1"/>
  <c r="D50" i="13"/>
  <c r="D51" i="13"/>
  <c r="G53" i="13"/>
  <c r="U53" i="13" s="1"/>
  <c r="D53" i="13"/>
  <c r="L70" i="13"/>
  <c r="L68" i="13"/>
  <c r="G67" i="13"/>
  <c r="M67" i="13" s="1"/>
  <c r="D67" i="13"/>
  <c r="D72" i="13"/>
  <c r="G16" i="14"/>
  <c r="R16" i="14" s="1"/>
  <c r="K24" i="14"/>
  <c r="K38" i="14"/>
  <c r="D5" i="14"/>
  <c r="AJ2" i="15"/>
  <c r="D2" i="15"/>
  <c r="V4" i="15"/>
  <c r="G8" i="12"/>
  <c r="D8" i="12"/>
  <c r="G14" i="12"/>
  <c r="D14" i="12"/>
  <c r="G24" i="12"/>
  <c r="D24" i="12"/>
  <c r="G29" i="12"/>
  <c r="D29" i="12"/>
  <c r="G40" i="12"/>
  <c r="D40" i="12"/>
  <c r="W161" i="12"/>
  <c r="G174" i="12"/>
  <c r="D174" i="12"/>
  <c r="G9" i="13"/>
  <c r="R9" i="13" s="1"/>
  <c r="D9" i="13"/>
  <c r="L8" i="13"/>
  <c r="L10" i="13"/>
  <c r="AI29" i="13"/>
  <c r="G28" i="13"/>
  <c r="U28" i="13" s="1"/>
  <c r="D28" i="13"/>
  <c r="D49" i="13"/>
  <c r="G52" i="13"/>
  <c r="T52" i="13" s="1"/>
  <c r="D52" i="13"/>
  <c r="G70" i="13"/>
  <c r="D70" i="13"/>
  <c r="G65" i="13"/>
  <c r="N65" i="13" s="1"/>
  <c r="D65" i="13"/>
  <c r="V16" i="14"/>
  <c r="D4" i="14"/>
  <c r="AJ6" i="15"/>
  <c r="D6" i="15"/>
  <c r="G11" i="15"/>
  <c r="N11" i="15" s="1"/>
  <c r="D11" i="15"/>
  <c r="G5" i="12"/>
  <c r="D5" i="12"/>
  <c r="G12" i="12"/>
  <c r="D12" i="12"/>
  <c r="G18" i="12"/>
  <c r="D18" i="12"/>
  <c r="G28" i="12"/>
  <c r="D28" i="12"/>
  <c r="G33" i="12"/>
  <c r="D33" i="12"/>
  <c r="G36" i="12"/>
  <c r="D36" i="12"/>
  <c r="W189" i="12"/>
  <c r="W117" i="12"/>
  <c r="G198" i="12"/>
  <c r="D198" i="12"/>
  <c r="L16" i="13"/>
  <c r="G5" i="13"/>
  <c r="U5" i="13" s="1"/>
  <c r="D5" i="13"/>
  <c r="L14" i="13"/>
  <c r="D27" i="13"/>
  <c r="G36" i="13"/>
  <c r="W36" i="13" s="1"/>
  <c r="D36" i="13"/>
  <c r="G34" i="13"/>
  <c r="D34" i="13"/>
  <c r="G32" i="13"/>
  <c r="S32" i="13" s="1"/>
  <c r="D32" i="13"/>
  <c r="G45" i="13"/>
  <c r="D45" i="13"/>
  <c r="G56" i="13"/>
  <c r="D56" i="13"/>
  <c r="D66" i="13"/>
  <c r="G64" i="13"/>
  <c r="M64" i="13" s="1"/>
  <c r="D64" i="13"/>
  <c r="G75" i="13"/>
  <c r="D75" i="13"/>
  <c r="L73" i="13"/>
  <c r="AI78" i="13"/>
  <c r="AJ8" i="15"/>
  <c r="D8" i="15"/>
  <c r="G3" i="15"/>
  <c r="I3" i="15" s="1"/>
  <c r="D3" i="15"/>
  <c r="AJ4" i="15"/>
  <c r="AJ3" i="15"/>
  <c r="AJ9" i="15"/>
  <c r="AJ11" i="15"/>
  <c r="AJ10" i="15"/>
  <c r="R67" i="12"/>
  <c r="W100" i="12"/>
  <c r="R43" i="12"/>
  <c r="W137" i="12"/>
  <c r="W113" i="12"/>
  <c r="W80" i="12"/>
  <c r="W162" i="12"/>
  <c r="W92" i="12"/>
  <c r="W135" i="12"/>
  <c r="W53" i="12"/>
  <c r="W97" i="12"/>
  <c r="G197" i="12"/>
  <c r="W168" i="12"/>
  <c r="W136" i="12"/>
  <c r="W79" i="12"/>
  <c r="O63" i="12"/>
  <c r="W190" i="12"/>
  <c r="W94" i="12"/>
  <c r="Q66" i="12"/>
  <c r="T89" i="12"/>
  <c r="M43" i="12"/>
  <c r="W85" i="12"/>
  <c r="W96" i="12"/>
  <c r="W187" i="12"/>
  <c r="W194" i="12"/>
  <c r="W93" i="12"/>
  <c r="T43" i="12"/>
  <c r="W99" i="12"/>
  <c r="W91" i="12"/>
  <c r="W122" i="12"/>
  <c r="W114" i="12"/>
  <c r="W156" i="12"/>
  <c r="W106" i="12"/>
  <c r="W177" i="12"/>
  <c r="W188" i="12"/>
  <c r="N64" i="12"/>
  <c r="W192" i="12"/>
  <c r="W160" i="12"/>
  <c r="W110" i="12"/>
  <c r="W141" i="12"/>
  <c r="N48" i="12"/>
  <c r="T69" i="12"/>
  <c r="T64" i="12"/>
  <c r="W191" i="12"/>
  <c r="W183" i="12"/>
  <c r="W75" i="12"/>
  <c r="W121" i="12"/>
  <c r="W167" i="12"/>
  <c r="T85" i="12"/>
  <c r="W109" i="12"/>
  <c r="W74" i="12"/>
  <c r="W120" i="12"/>
  <c r="W112" i="12"/>
  <c r="O52" i="12"/>
  <c r="R56" i="12"/>
  <c r="W169" i="12"/>
  <c r="W78" i="12"/>
  <c r="W105" i="12"/>
  <c r="W127" i="12"/>
  <c r="M46" i="12"/>
  <c r="U73" i="12"/>
  <c r="W146" i="12"/>
  <c r="Q63" i="12"/>
  <c r="Q55" i="12"/>
  <c r="W139" i="12"/>
  <c r="P84" i="12"/>
  <c r="M81" i="12"/>
  <c r="N63" i="12"/>
  <c r="O50" i="12"/>
  <c r="P63" i="12"/>
  <c r="T58" i="12"/>
  <c r="P55" i="12"/>
  <c r="Q50" i="12"/>
  <c r="W83" i="12"/>
  <c r="W87" i="12"/>
  <c r="W104" i="12"/>
  <c r="W108" i="12"/>
  <c r="W138" i="12"/>
  <c r="W150" i="12"/>
  <c r="W142" i="12"/>
  <c r="W158" i="12"/>
  <c r="W193" i="12"/>
  <c r="W147" i="12"/>
  <c r="R73" i="12"/>
  <c r="P73" i="12"/>
  <c r="U46" i="12"/>
  <c r="S50" i="12"/>
  <c r="W124" i="12"/>
  <c r="W152" i="12"/>
  <c r="M73" i="12"/>
  <c r="N55" i="12"/>
  <c r="U70" i="12"/>
  <c r="S58" i="12"/>
  <c r="G195" i="12"/>
  <c r="W72" i="12"/>
  <c r="W82" i="12"/>
  <c r="W86" i="12"/>
  <c r="W107" i="12"/>
  <c r="W123" i="12"/>
  <c r="W149" i="12"/>
  <c r="W151" i="12"/>
  <c r="W164" i="12"/>
  <c r="W170" i="12"/>
  <c r="W182" i="12"/>
  <c r="W180" i="12"/>
  <c r="W179" i="12"/>
  <c r="W88" i="12"/>
  <c r="W143" i="12"/>
  <c r="W165" i="12"/>
  <c r="W184" i="12"/>
  <c r="M59" i="12"/>
  <c r="N53" i="12"/>
  <c r="P81" i="12"/>
  <c r="W76" i="12"/>
  <c r="W81" i="12"/>
  <c r="W101" i="12"/>
  <c r="W102" i="12"/>
  <c r="W128" i="12"/>
  <c r="W148" i="12"/>
  <c r="W157" i="12"/>
  <c r="W163" i="12"/>
  <c r="W181" i="12"/>
  <c r="W126" i="12"/>
  <c r="W155" i="12"/>
  <c r="W73" i="12"/>
  <c r="W84" i="12"/>
  <c r="W98" i="12"/>
  <c r="W111" i="12"/>
  <c r="W119" i="12"/>
  <c r="W131" i="12"/>
  <c r="W133" i="12"/>
  <c r="W145" i="12"/>
  <c r="W154" i="12"/>
  <c r="W178" i="12"/>
  <c r="W44" i="12"/>
  <c r="Q86" i="12"/>
  <c r="N67" i="12"/>
  <c r="O58" i="12"/>
  <c r="T67" i="12"/>
  <c r="S63" i="12"/>
  <c r="P46" i="12"/>
  <c r="W77" i="12"/>
  <c r="W140" i="12"/>
  <c r="W132" i="12"/>
  <c r="W144" i="12"/>
  <c r="W153" i="12"/>
  <c r="W159" i="12"/>
  <c r="W185" i="12"/>
  <c r="W186" i="12"/>
  <c r="G2" i="15"/>
  <c r="U2" i="15" s="1"/>
  <c r="N5" i="15"/>
  <c r="G7" i="15"/>
  <c r="U5" i="15"/>
  <c r="M5" i="15"/>
  <c r="G8" i="15"/>
  <c r="G6" i="15"/>
  <c r="J5" i="15"/>
  <c r="I5" i="15"/>
  <c r="P5" i="15"/>
  <c r="K2" i="15"/>
  <c r="L2" i="15"/>
  <c r="G28" i="14"/>
  <c r="M28" i="14" s="1"/>
  <c r="G36" i="14"/>
  <c r="U36" i="14" s="1"/>
  <c r="U10" i="14"/>
  <c r="L12" i="14"/>
  <c r="V24" i="14"/>
  <c r="K29" i="14"/>
  <c r="V32" i="14"/>
  <c r="K36" i="14"/>
  <c r="L39" i="14"/>
  <c r="V15" i="14"/>
  <c r="V23" i="14"/>
  <c r="G2" i="14"/>
  <c r="I2" i="14" s="1"/>
  <c r="L4" i="14"/>
  <c r="K12" i="14"/>
  <c r="V31" i="14"/>
  <c r="L37" i="14"/>
  <c r="V5" i="14"/>
  <c r="K39" i="14"/>
  <c r="K2" i="14"/>
  <c r="L9" i="14"/>
  <c r="K15" i="14"/>
  <c r="K20" i="14"/>
  <c r="K23" i="14"/>
  <c r="G29" i="14"/>
  <c r="K31" i="14"/>
  <c r="V37" i="14"/>
  <c r="G40" i="14"/>
  <c r="U40" i="14" s="1"/>
  <c r="K9" i="14"/>
  <c r="G21" i="14"/>
  <c r="U21" i="14" s="1"/>
  <c r="G6" i="14"/>
  <c r="O6" i="14" s="1"/>
  <c r="G3" i="14"/>
  <c r="I3" i="14" s="1"/>
  <c r="K5" i="14"/>
  <c r="V8" i="14"/>
  <c r="G11" i="14"/>
  <c r="L21" i="14"/>
  <c r="G8" i="14"/>
  <c r="T8" i="14" s="1"/>
  <c r="K19" i="14"/>
  <c r="K8" i="14"/>
  <c r="L10" i="14"/>
  <c r="L11" i="14"/>
  <c r="K13" i="14"/>
  <c r="L20" i="14"/>
  <c r="K22" i="14"/>
  <c r="L3" i="14"/>
  <c r="K3" i="14"/>
  <c r="L7" i="14"/>
  <c r="V10" i="14"/>
  <c r="G19" i="14"/>
  <c r="N19" i="14" s="1"/>
  <c r="V20" i="14"/>
  <c r="K6" i="14"/>
  <c r="U18" i="14"/>
  <c r="K21" i="14"/>
  <c r="P37" i="14"/>
  <c r="P24" i="14"/>
  <c r="R24" i="14"/>
  <c r="M24" i="14"/>
  <c r="H24" i="14"/>
  <c r="N24" i="14"/>
  <c r="U24" i="14"/>
  <c r="I24" i="14"/>
  <c r="S24" i="14"/>
  <c r="I10" i="14"/>
  <c r="N10" i="14"/>
  <c r="O37" i="14"/>
  <c r="M10" i="14"/>
  <c r="Q10" i="14"/>
  <c r="R21" i="14"/>
  <c r="H10" i="14"/>
  <c r="P32" i="14"/>
  <c r="N32" i="14"/>
  <c r="M32" i="14"/>
  <c r="I32" i="14"/>
  <c r="S13" i="14"/>
  <c r="O13" i="14"/>
  <c r="N13" i="14"/>
  <c r="Q8" i="14"/>
  <c r="J20" i="14"/>
  <c r="I20" i="14"/>
  <c r="H17" i="14"/>
  <c r="M17" i="14"/>
  <c r="R17" i="14"/>
  <c r="Q24" i="14"/>
  <c r="Q18" i="14"/>
  <c r="M33" i="14"/>
  <c r="I18" i="14"/>
  <c r="S39" i="14"/>
  <c r="P39" i="14"/>
  <c r="R18" i="14"/>
  <c r="U32" i="14"/>
  <c r="S32" i="14"/>
  <c r="P33" i="14"/>
  <c r="R42" i="14"/>
  <c r="N9" i="14"/>
  <c r="S18" i="14"/>
  <c r="M18" i="14"/>
  <c r="H18" i="14"/>
  <c r="N15" i="14"/>
  <c r="U15" i="14"/>
  <c r="M15" i="14"/>
  <c r="T15" i="14"/>
  <c r="Q15" i="14"/>
  <c r="I15" i="14"/>
  <c r="O15" i="14"/>
  <c r="H15" i="14"/>
  <c r="P15" i="14"/>
  <c r="S15" i="14"/>
  <c r="R15" i="14"/>
  <c r="P12" i="14"/>
  <c r="H12" i="14"/>
  <c r="O12" i="14"/>
  <c r="N12" i="14"/>
  <c r="S12" i="14"/>
  <c r="U23" i="14"/>
  <c r="M23" i="14"/>
  <c r="R23" i="14"/>
  <c r="S23" i="14"/>
  <c r="H23" i="14"/>
  <c r="Q23" i="14"/>
  <c r="P23" i="14"/>
  <c r="Q41" i="14"/>
  <c r="I41" i="14"/>
  <c r="N41" i="14"/>
  <c r="S41" i="14"/>
  <c r="H41" i="14"/>
  <c r="R41" i="14"/>
  <c r="O41" i="14"/>
  <c r="P41" i="14"/>
  <c r="R9" i="14"/>
  <c r="T10" i="14"/>
  <c r="S10" i="14"/>
  <c r="R10" i="14"/>
  <c r="O10" i="14"/>
  <c r="M12" i="14"/>
  <c r="Q17" i="14"/>
  <c r="I17" i="14"/>
  <c r="U17" i="14"/>
  <c r="T17" i="14"/>
  <c r="S17" i="14"/>
  <c r="O17" i="14"/>
  <c r="O20" i="14"/>
  <c r="T20" i="14"/>
  <c r="Q20" i="14"/>
  <c r="H20" i="14"/>
  <c r="P20" i="14"/>
  <c r="N20" i="14"/>
  <c r="U20" i="14"/>
  <c r="I23" i="14"/>
  <c r="Q33" i="14"/>
  <c r="I33" i="14"/>
  <c r="N33" i="14"/>
  <c r="U33" i="14"/>
  <c r="T33" i="14"/>
  <c r="S33" i="14"/>
  <c r="H33" i="14"/>
  <c r="O33" i="14"/>
  <c r="Q25" i="14"/>
  <c r="I25" i="14"/>
  <c r="N25" i="14"/>
  <c r="M25" i="14"/>
  <c r="U25" i="14"/>
  <c r="R25" i="14"/>
  <c r="U39" i="14"/>
  <c r="M39" i="14"/>
  <c r="R39" i="14"/>
  <c r="N39" i="14"/>
  <c r="I39" i="14"/>
  <c r="T39" i="14"/>
  <c r="Q39" i="14"/>
  <c r="Q37" i="14"/>
  <c r="I37" i="14"/>
  <c r="N37" i="14"/>
  <c r="T37" i="14"/>
  <c r="S37" i="14"/>
  <c r="H37" i="14"/>
  <c r="R37" i="14"/>
  <c r="M37" i="14"/>
  <c r="M41" i="14"/>
  <c r="S8" i="14"/>
  <c r="T12" i="14"/>
  <c r="R13" i="14"/>
  <c r="Q13" i="14"/>
  <c r="I13" i="14"/>
  <c r="P13" i="14"/>
  <c r="H13" i="14"/>
  <c r="U13" i="14"/>
  <c r="M13" i="14"/>
  <c r="N23" i="14"/>
  <c r="S25" i="14"/>
  <c r="T41" i="14"/>
  <c r="Q12" i="14"/>
  <c r="H39" i="14"/>
  <c r="P10" i="14"/>
  <c r="U12" i="14"/>
  <c r="N17" i="14"/>
  <c r="M20" i="14"/>
  <c r="O23" i="14"/>
  <c r="T25" i="14"/>
  <c r="R33" i="14"/>
  <c r="U41" i="14"/>
  <c r="P42" i="14"/>
  <c r="H42" i="14"/>
  <c r="N42" i="14"/>
  <c r="H25" i="14"/>
  <c r="O25" i="14"/>
  <c r="R12" i="14"/>
  <c r="P25" i="14"/>
  <c r="I12" i="14"/>
  <c r="P17" i="14"/>
  <c r="R20" i="14"/>
  <c r="T23" i="14"/>
  <c r="O39" i="14"/>
  <c r="T18" i="14"/>
  <c r="H32" i="14"/>
  <c r="Q32" i="14"/>
  <c r="N18" i="14"/>
  <c r="O24" i="14"/>
  <c r="T24" i="14"/>
  <c r="AM6" i="14"/>
  <c r="O18" i="14"/>
  <c r="P18" i="14"/>
  <c r="O32" i="14"/>
  <c r="T32" i="14"/>
  <c r="U78" i="13"/>
  <c r="O60" i="13"/>
  <c r="AI79" i="13"/>
  <c r="AM83" i="13"/>
  <c r="AL83" i="13"/>
  <c r="K83" i="13" s="1"/>
  <c r="AM82" i="13"/>
  <c r="AL82" i="13"/>
  <c r="K82" i="13" s="1"/>
  <c r="AM81" i="13"/>
  <c r="AL81" i="13"/>
  <c r="K81" i="13" s="1"/>
  <c r="AL74" i="13"/>
  <c r="K74" i="13" s="1"/>
  <c r="L74" i="13"/>
  <c r="AM80" i="13"/>
  <c r="AL80" i="13"/>
  <c r="K80" i="13" s="1"/>
  <c r="AM79" i="13"/>
  <c r="AL79" i="13"/>
  <c r="K79" i="13" s="1"/>
  <c r="AM78" i="13"/>
  <c r="AL78" i="13"/>
  <c r="K78" i="13" s="1"/>
  <c r="AM77" i="13"/>
  <c r="AL77" i="13"/>
  <c r="K77" i="13" s="1"/>
  <c r="AL76" i="13"/>
  <c r="K76" i="13" s="1"/>
  <c r="AM75" i="13"/>
  <c r="AM74" i="13"/>
  <c r="H74" i="13" s="1"/>
  <c r="AM73" i="13"/>
  <c r="AL73" i="13"/>
  <c r="K73" i="13" s="1"/>
  <c r="AM72" i="13"/>
  <c r="AM71" i="13"/>
  <c r="AL71" i="13"/>
  <c r="K71" i="13" s="1"/>
  <c r="AI64" i="13"/>
  <c r="AL70" i="13"/>
  <c r="K70" i="13" s="1"/>
  <c r="L65" i="13"/>
  <c r="AL62" i="13"/>
  <c r="K62" i="13" s="1"/>
  <c r="AI62" i="13"/>
  <c r="AM70" i="13"/>
  <c r="AM69" i="13"/>
  <c r="AM68" i="13"/>
  <c r="AM67" i="13"/>
  <c r="AL67" i="13"/>
  <c r="K67" i="13" s="1"/>
  <c r="P66" i="13"/>
  <c r="AM66" i="13"/>
  <c r="AL66" i="13"/>
  <c r="K66" i="13" s="1"/>
  <c r="AM65" i="13"/>
  <c r="AL65" i="13"/>
  <c r="K65" i="13" s="1"/>
  <c r="AM64" i="13"/>
  <c r="AM63" i="13"/>
  <c r="AL63" i="13"/>
  <c r="K63" i="13" s="1"/>
  <c r="O62" i="13"/>
  <c r="AM62" i="13"/>
  <c r="AM61" i="13"/>
  <c r="AL61" i="13"/>
  <c r="K61" i="13" s="1"/>
  <c r="V54" i="13"/>
  <c r="X54" i="13" s="1"/>
  <c r="V58" i="13"/>
  <c r="X58" i="13" s="1"/>
  <c r="AL55" i="13"/>
  <c r="K55" i="13" s="1"/>
  <c r="L54" i="13"/>
  <c r="O54" i="13"/>
  <c r="U51" i="13"/>
  <c r="L59" i="13"/>
  <c r="L58" i="13"/>
  <c r="L57" i="13"/>
  <c r="R54" i="13"/>
  <c r="S54" i="13"/>
  <c r="AM60" i="13"/>
  <c r="AM59" i="13"/>
  <c r="AL59" i="13"/>
  <c r="K59" i="13" s="1"/>
  <c r="AM58" i="13"/>
  <c r="AM57" i="13"/>
  <c r="AM56" i="13"/>
  <c r="AL56" i="13"/>
  <c r="K56" i="13" s="1"/>
  <c r="V48" i="13"/>
  <c r="X48" i="13" s="1"/>
  <c r="L49" i="13"/>
  <c r="L46" i="13"/>
  <c r="AM48" i="13"/>
  <c r="AL46" i="13"/>
  <c r="K46" i="13" s="1"/>
  <c r="L48" i="13"/>
  <c r="AM49" i="13"/>
  <c r="AI42" i="13"/>
  <c r="L41" i="13"/>
  <c r="L40" i="13"/>
  <c r="AM41" i="13"/>
  <c r="L47" i="13"/>
  <c r="AL47" i="13"/>
  <c r="K47" i="13" s="1"/>
  <c r="V47" i="13"/>
  <c r="X47" i="13" s="1"/>
  <c r="AL52" i="13"/>
  <c r="K52" i="13" s="1"/>
  <c r="AM47" i="13"/>
  <c r="AL43" i="13"/>
  <c r="K43" i="13" s="1"/>
  <c r="V43" i="13"/>
  <c r="X43" i="13" s="1"/>
  <c r="AM43" i="13"/>
  <c r="L43" i="13"/>
  <c r="AI40" i="13"/>
  <c r="AL40" i="13"/>
  <c r="K40" i="13" s="1"/>
  <c r="AL53" i="13"/>
  <c r="K53" i="13" s="1"/>
  <c r="AM45" i="13"/>
  <c r="AL51" i="13"/>
  <c r="K51" i="13" s="1"/>
  <c r="AM51" i="13"/>
  <c r="AL48" i="13"/>
  <c r="K48" i="13" s="1"/>
  <c r="AL44" i="13"/>
  <c r="K44" i="13" s="1"/>
  <c r="AM39" i="13"/>
  <c r="V45" i="13"/>
  <c r="X45" i="13" s="1"/>
  <c r="L45" i="13"/>
  <c r="L39" i="13"/>
  <c r="AI39" i="13"/>
  <c r="AL39" i="13"/>
  <c r="K39" i="13" s="1"/>
  <c r="V39" i="13"/>
  <c r="X39" i="13" s="1"/>
  <c r="AM37" i="13"/>
  <c r="L44" i="13"/>
  <c r="AM40" i="13"/>
  <c r="V37" i="13"/>
  <c r="X37" i="13" s="1"/>
  <c r="L37" i="13"/>
  <c r="AM46" i="13"/>
  <c r="V46" i="13"/>
  <c r="X46" i="13" s="1"/>
  <c r="AM38" i="13"/>
  <c r="V38" i="13"/>
  <c r="X38" i="13" s="1"/>
  <c r="V34" i="13"/>
  <c r="X34" i="13" s="1"/>
  <c r="AI34" i="13"/>
  <c r="L31" i="13"/>
  <c r="AM31" i="13"/>
  <c r="L35" i="13"/>
  <c r="AM26" i="13"/>
  <c r="AI27" i="13"/>
  <c r="AL29" i="13"/>
  <c r="K29" i="13" s="1"/>
  <c r="AM27" i="13"/>
  <c r="L26" i="13"/>
  <c r="V29" i="13"/>
  <c r="X29" i="13" s="1"/>
  <c r="L29" i="13"/>
  <c r="L18" i="13"/>
  <c r="L23" i="13"/>
  <c r="AI23" i="13"/>
  <c r="AL15" i="13"/>
  <c r="K15" i="13" s="1"/>
  <c r="AI22" i="13"/>
  <c r="AM23" i="13"/>
  <c r="AM15" i="13"/>
  <c r="AL23" i="13"/>
  <c r="K23" i="13" s="1"/>
  <c r="AI15" i="13"/>
  <c r="AI18" i="13"/>
  <c r="P3" i="13"/>
  <c r="V14" i="13"/>
  <c r="X14" i="13" s="1"/>
  <c r="L22" i="13"/>
  <c r="V30" i="13"/>
  <c r="X30" i="13" s="1"/>
  <c r="V22" i="13"/>
  <c r="X22" i="13" s="1"/>
  <c r="AM30" i="13"/>
  <c r="AL30" i="13"/>
  <c r="K30" i="13" s="1"/>
  <c r="AM5" i="13"/>
  <c r="AM29" i="13"/>
  <c r="AM4" i="13"/>
  <c r="V25" i="13"/>
  <c r="X25" i="13" s="1"/>
  <c r="AM14" i="13"/>
  <c r="L6" i="13"/>
  <c r="AI10" i="13"/>
  <c r="AL10" i="13"/>
  <c r="K10" i="13" s="1"/>
  <c r="AI5" i="13"/>
  <c r="AI30" i="13"/>
  <c r="AL5" i="13"/>
  <c r="K5" i="13" s="1"/>
  <c r="AI14" i="13"/>
  <c r="AL21" i="13"/>
  <c r="K21" i="13" s="1"/>
  <c r="AL22" i="13"/>
  <c r="K22" i="13" s="1"/>
  <c r="AL25" i="13"/>
  <c r="K25" i="13" s="1"/>
  <c r="AL14" i="13"/>
  <c r="K14" i="13" s="1"/>
  <c r="AM22" i="13"/>
  <c r="AL33" i="13"/>
  <c r="K33" i="13" s="1"/>
  <c r="AM11" i="13"/>
  <c r="AI2" i="13"/>
  <c r="Q3" i="13"/>
  <c r="T10" i="13"/>
  <c r="V12" i="13"/>
  <c r="X12" i="13" s="1"/>
  <c r="L12" i="13"/>
  <c r="AL12" i="13"/>
  <c r="K12" i="13" s="1"/>
  <c r="AI12" i="13"/>
  <c r="V16" i="13"/>
  <c r="X16" i="13" s="1"/>
  <c r="AL16" i="13"/>
  <c r="K16" i="13" s="1"/>
  <c r="AI16" i="13"/>
  <c r="AL2" i="13"/>
  <c r="K2" i="13" s="1"/>
  <c r="L13" i="13"/>
  <c r="V36" i="13"/>
  <c r="X36" i="13" s="1"/>
  <c r="L36" i="13"/>
  <c r="Q21" i="13"/>
  <c r="AL17" i="13"/>
  <c r="K17" i="13" s="1"/>
  <c r="AI17" i="13"/>
  <c r="AM17" i="13"/>
  <c r="M7" i="13"/>
  <c r="U7" i="13"/>
  <c r="AM3" i="13"/>
  <c r="V3" i="13"/>
  <c r="X3" i="13" s="1"/>
  <c r="AI3" i="13"/>
  <c r="AL3" i="13"/>
  <c r="K3" i="13" s="1"/>
  <c r="V4" i="13"/>
  <c r="X4" i="13" s="1"/>
  <c r="V6" i="13"/>
  <c r="X6" i="13" s="1"/>
  <c r="L9" i="13"/>
  <c r="V9" i="13"/>
  <c r="X9" i="13" s="1"/>
  <c r="L2" i="13"/>
  <c r="AL6" i="13"/>
  <c r="K6" i="13" s="1"/>
  <c r="AM6" i="13"/>
  <c r="V8" i="13"/>
  <c r="X8" i="13" s="1"/>
  <c r="AL8" i="13"/>
  <c r="K8" i="13" s="1"/>
  <c r="AI8" i="13"/>
  <c r="V17" i="13"/>
  <c r="X17" i="13" s="1"/>
  <c r="AM36" i="13"/>
  <c r="AL36" i="13"/>
  <c r="K36" i="13" s="1"/>
  <c r="AI36" i="13"/>
  <c r="AM8" i="13"/>
  <c r="AL9" i="13"/>
  <c r="K9" i="13" s="1"/>
  <c r="AI9" i="13"/>
  <c r="L15" i="13"/>
  <c r="AM16" i="13"/>
  <c r="L32" i="13"/>
  <c r="AI7" i="13"/>
  <c r="J7" i="13" s="1"/>
  <c r="AI11" i="13"/>
  <c r="AL13" i="13"/>
  <c r="K13" i="13" s="1"/>
  <c r="AI13" i="13"/>
  <c r="V28" i="13"/>
  <c r="X28" i="13" s="1"/>
  <c r="AL28" i="13"/>
  <c r="K28" i="13" s="1"/>
  <c r="AI35" i="13"/>
  <c r="P2" i="13"/>
  <c r="AI4" i="13"/>
  <c r="L7" i="13"/>
  <c r="AL7" i="13"/>
  <c r="K7" i="13" s="1"/>
  <c r="AL11" i="13"/>
  <c r="K11" i="13" s="1"/>
  <c r="L17" i="13"/>
  <c r="V18" i="13"/>
  <c r="X18" i="13" s="1"/>
  <c r="V24" i="13"/>
  <c r="X24" i="13" s="1"/>
  <c r="AL24" i="13"/>
  <c r="K24" i="13" s="1"/>
  <c r="AI24" i="13"/>
  <c r="AI31" i="13"/>
  <c r="V33" i="13"/>
  <c r="X33" i="13" s="1"/>
  <c r="AL35" i="13"/>
  <c r="K35" i="13" s="1"/>
  <c r="V32" i="13"/>
  <c r="X32" i="13" s="1"/>
  <c r="AL32" i="13"/>
  <c r="K32" i="13" s="1"/>
  <c r="AI32" i="13"/>
  <c r="L11" i="13"/>
  <c r="AM12" i="13"/>
  <c r="AI19" i="13"/>
  <c r="V20" i="13"/>
  <c r="X20" i="13" s="1"/>
  <c r="AL20" i="13"/>
  <c r="K20" i="13" s="1"/>
  <c r="AI20" i="13"/>
  <c r="AL31" i="13"/>
  <c r="K31" i="13" s="1"/>
  <c r="R32" i="13"/>
  <c r="AI21" i="13"/>
  <c r="AI33" i="13"/>
  <c r="N190" i="12"/>
  <c r="N105" i="12"/>
  <c r="M102" i="12"/>
  <c r="M54" i="12"/>
  <c r="R70" i="12"/>
  <c r="R64" i="12"/>
  <c r="Q56" i="12"/>
  <c r="W63" i="12"/>
  <c r="R108" i="12"/>
  <c r="W55" i="12"/>
  <c r="M49" i="12"/>
  <c r="N66" i="12"/>
  <c r="N50" i="12"/>
  <c r="O55" i="12"/>
  <c r="S73" i="12"/>
  <c r="P70" i="12"/>
  <c r="T61" i="12"/>
  <c r="Q58" i="12"/>
  <c r="Q53" i="12"/>
  <c r="R46" i="12"/>
  <c r="U43" i="12"/>
  <c r="T128" i="12"/>
  <c r="S148" i="12"/>
  <c r="N151" i="12"/>
  <c r="U49" i="12"/>
  <c r="T108" i="12"/>
  <c r="M70" i="12"/>
  <c r="N61" i="12"/>
  <c r="O44" i="12"/>
  <c r="U65" i="12"/>
  <c r="P57" i="12"/>
  <c r="H114" i="12"/>
  <c r="T102" i="12"/>
  <c r="M190" i="12"/>
  <c r="P49" i="12"/>
  <c r="M67" i="12"/>
  <c r="N74" i="12"/>
  <c r="N58" i="12"/>
  <c r="O73" i="12"/>
  <c r="O42" i="12"/>
  <c r="P65" i="12"/>
  <c r="R48" i="12"/>
  <c r="U44" i="12"/>
  <c r="T143" i="12"/>
  <c r="O179" i="12"/>
  <c r="M185" i="12"/>
  <c r="M44" i="12"/>
  <c r="U57" i="12"/>
  <c r="H180" i="12"/>
  <c r="W45" i="12"/>
  <c r="M65" i="12"/>
  <c r="N72" i="12"/>
  <c r="N56" i="12"/>
  <c r="O68" i="12"/>
  <c r="T56" i="12"/>
  <c r="T50" i="12"/>
  <c r="S44" i="12"/>
  <c r="H116" i="12"/>
  <c r="R126" i="12"/>
  <c r="M149" i="12"/>
  <c r="M171" i="12"/>
  <c r="T171" i="12"/>
  <c r="T112" i="12"/>
  <c r="S159" i="12"/>
  <c r="Q167" i="12"/>
  <c r="P189" i="12"/>
  <c r="N120" i="12"/>
  <c r="N115" i="12"/>
  <c r="T182" i="12"/>
  <c r="S120" i="12"/>
  <c r="Q138" i="12"/>
  <c r="R96" i="12"/>
  <c r="O96" i="12"/>
  <c r="S96" i="12"/>
  <c r="N125" i="12"/>
  <c r="H125" i="12"/>
  <c r="M125" i="12"/>
  <c r="O125" i="12"/>
  <c r="R125" i="12"/>
  <c r="S125" i="12"/>
  <c r="P125" i="12"/>
  <c r="T125" i="12"/>
  <c r="Q125" i="12"/>
  <c r="H95" i="12"/>
  <c r="O95" i="12"/>
  <c r="S95" i="12"/>
  <c r="P191" i="12"/>
  <c r="H191" i="12"/>
  <c r="O191" i="12"/>
  <c r="T191" i="12"/>
  <c r="M191" i="12"/>
  <c r="N191" i="12"/>
  <c r="Q191" i="12"/>
  <c r="H161" i="12"/>
  <c r="P161" i="12"/>
  <c r="N161" i="12"/>
  <c r="O161" i="12"/>
  <c r="M161" i="12"/>
  <c r="R161" i="12"/>
  <c r="T161" i="12"/>
  <c r="S161" i="12"/>
  <c r="Q161" i="12"/>
  <c r="H137" i="12"/>
  <c r="P137" i="12"/>
  <c r="M137" i="12"/>
  <c r="T137" i="12"/>
  <c r="Q137" i="12"/>
  <c r="R137" i="12"/>
  <c r="S137" i="12"/>
  <c r="H106" i="12"/>
  <c r="P106" i="12"/>
  <c r="M106" i="12"/>
  <c r="O106" i="12"/>
  <c r="R106" i="12"/>
  <c r="T106" i="12"/>
  <c r="Q106" i="12"/>
  <c r="N106" i="12"/>
  <c r="H152" i="12"/>
  <c r="N152" i="12"/>
  <c r="M152" i="12"/>
  <c r="Q152" i="12"/>
  <c r="P152" i="12"/>
  <c r="R152" i="12"/>
  <c r="S152" i="12"/>
  <c r="S144" i="12"/>
  <c r="P136" i="12"/>
  <c r="P113" i="12"/>
  <c r="S179" i="12"/>
  <c r="S128" i="12"/>
  <c r="R191" i="12"/>
  <c r="R121" i="12"/>
  <c r="Q179" i="12"/>
  <c r="S189" i="12"/>
  <c r="Q181" i="12"/>
  <c r="Q135" i="12"/>
  <c r="Q120" i="12"/>
  <c r="R104" i="12"/>
  <c r="S127" i="12"/>
  <c r="S101" i="12"/>
  <c r="R189" i="12"/>
  <c r="R119" i="12"/>
  <c r="Q136" i="12"/>
  <c r="O168" i="12"/>
  <c r="N137" i="12"/>
  <c r="H145" i="12"/>
  <c r="P145" i="12"/>
  <c r="M145" i="12"/>
  <c r="N145" i="12"/>
  <c r="O145" i="12"/>
  <c r="T145" i="12"/>
  <c r="P114" i="12"/>
  <c r="M114" i="12"/>
  <c r="O114" i="12"/>
  <c r="R114" i="12"/>
  <c r="N114" i="12"/>
  <c r="T114" i="12"/>
  <c r="Q114" i="12"/>
  <c r="Q145" i="12"/>
  <c r="O166" i="12"/>
  <c r="S111" i="12"/>
  <c r="O152" i="12"/>
  <c r="H179" i="12"/>
  <c r="N179" i="12"/>
  <c r="M179" i="12"/>
  <c r="N157" i="12"/>
  <c r="H157" i="12"/>
  <c r="M157" i="12"/>
  <c r="P157" i="12"/>
  <c r="O157" i="12"/>
  <c r="T157" i="12"/>
  <c r="S157" i="12"/>
  <c r="N133" i="12"/>
  <c r="O133" i="12"/>
  <c r="P133" i="12"/>
  <c r="H133" i="12"/>
  <c r="R133" i="12"/>
  <c r="Q133" i="12"/>
  <c r="M133" i="12"/>
  <c r="H118" i="12"/>
  <c r="N118" i="12"/>
  <c r="M118" i="12"/>
  <c r="P118" i="12"/>
  <c r="O118" i="12"/>
  <c r="R118" i="12"/>
  <c r="S118" i="12"/>
  <c r="S119" i="12"/>
  <c r="R144" i="12"/>
  <c r="P119" i="12"/>
  <c r="H194" i="12"/>
  <c r="R194" i="12"/>
  <c r="Q194" i="12"/>
  <c r="T194" i="12"/>
  <c r="M194" i="12"/>
  <c r="P194" i="12"/>
  <c r="N194" i="12"/>
  <c r="S194" i="12"/>
  <c r="H186" i="12"/>
  <c r="M186" i="12"/>
  <c r="N186" i="12"/>
  <c r="O186" i="12"/>
  <c r="P186" i="12"/>
  <c r="R186" i="12"/>
  <c r="T186" i="12"/>
  <c r="S186" i="12"/>
  <c r="H178" i="12"/>
  <c r="N178" i="12"/>
  <c r="M178" i="12"/>
  <c r="R178" i="12"/>
  <c r="O178" i="12"/>
  <c r="Q178" i="12"/>
  <c r="T178" i="12"/>
  <c r="P178" i="12"/>
  <c r="H164" i="12"/>
  <c r="O164" i="12"/>
  <c r="R164" i="12"/>
  <c r="N164" i="12"/>
  <c r="P164" i="12"/>
  <c r="Q164" i="12"/>
  <c r="M164" i="12"/>
  <c r="T164" i="12"/>
  <c r="S164" i="12"/>
  <c r="H156" i="12"/>
  <c r="M156" i="12"/>
  <c r="R156" i="12"/>
  <c r="N156" i="12"/>
  <c r="T156" i="12"/>
  <c r="O156" i="12"/>
  <c r="Q156" i="12"/>
  <c r="H148" i="12"/>
  <c r="M148" i="12"/>
  <c r="P148" i="12"/>
  <c r="N148" i="12"/>
  <c r="R148" i="12"/>
  <c r="Q148" i="12"/>
  <c r="T148" i="12"/>
  <c r="H140" i="12"/>
  <c r="O140" i="12"/>
  <c r="R140" i="12"/>
  <c r="M140" i="12"/>
  <c r="P140" i="12"/>
  <c r="T140" i="12"/>
  <c r="S140" i="12"/>
  <c r="Q140" i="12"/>
  <c r="H132" i="12"/>
  <c r="O132" i="12"/>
  <c r="R132" i="12"/>
  <c r="Q132" i="12"/>
  <c r="T132" i="12"/>
  <c r="N132" i="12"/>
  <c r="S132" i="12"/>
  <c r="H124" i="12"/>
  <c r="M124" i="12"/>
  <c r="N124" i="12"/>
  <c r="O124" i="12"/>
  <c r="P124" i="12"/>
  <c r="R124" i="12"/>
  <c r="T124" i="12"/>
  <c r="S124" i="12"/>
  <c r="H117" i="12"/>
  <c r="N117" i="12"/>
  <c r="M117" i="12"/>
  <c r="R117" i="12"/>
  <c r="P117" i="12"/>
  <c r="Q117" i="12"/>
  <c r="S117" i="12"/>
  <c r="T117" i="12"/>
  <c r="H109" i="12"/>
  <c r="N109" i="12"/>
  <c r="R109" i="12"/>
  <c r="O109" i="12"/>
  <c r="M109" i="12"/>
  <c r="T109" i="12"/>
  <c r="S109" i="12"/>
  <c r="Q109" i="12"/>
  <c r="S191" i="12"/>
  <c r="S168" i="12"/>
  <c r="S143" i="12"/>
  <c r="S116" i="12"/>
  <c r="R138" i="12"/>
  <c r="R103" i="12"/>
  <c r="Q160" i="12"/>
  <c r="Q118" i="12"/>
  <c r="P159" i="12"/>
  <c r="P111" i="12"/>
  <c r="O137" i="12"/>
  <c r="M132" i="12"/>
  <c r="H171" i="12"/>
  <c r="O171" i="12"/>
  <c r="N171" i="12"/>
  <c r="Q171" i="12"/>
  <c r="S171" i="12"/>
  <c r="P171" i="12"/>
  <c r="R171" i="12"/>
  <c r="H169" i="12"/>
  <c r="P169" i="12"/>
  <c r="M169" i="12"/>
  <c r="O169" i="12"/>
  <c r="R169" i="12"/>
  <c r="T169" i="12"/>
  <c r="Q169" i="12"/>
  <c r="N169" i="12"/>
  <c r="S169" i="12"/>
  <c r="H129" i="12"/>
  <c r="P129" i="12"/>
  <c r="N129" i="12"/>
  <c r="S129" i="12"/>
  <c r="T129" i="12"/>
  <c r="M129" i="12"/>
  <c r="R129" i="12"/>
  <c r="Q129" i="12"/>
  <c r="O129" i="12"/>
  <c r="R188" i="12"/>
  <c r="O103" i="12"/>
  <c r="Q168" i="12"/>
  <c r="N187" i="12"/>
  <c r="H187" i="12"/>
  <c r="M187" i="12"/>
  <c r="P187" i="12"/>
  <c r="R187" i="12"/>
  <c r="O187" i="12"/>
  <c r="S187" i="12"/>
  <c r="T187" i="12"/>
  <c r="N165" i="12"/>
  <c r="O165" i="12"/>
  <c r="P165" i="12"/>
  <c r="Q165" i="12"/>
  <c r="R165" i="12"/>
  <c r="H165" i="12"/>
  <c r="M165" i="12"/>
  <c r="S165" i="12"/>
  <c r="N141" i="12"/>
  <c r="O141" i="12"/>
  <c r="M141" i="12"/>
  <c r="Q141" i="12"/>
  <c r="R141" i="12"/>
  <c r="H141" i="12"/>
  <c r="P141" i="12"/>
  <c r="T141" i="12"/>
  <c r="H102" i="12"/>
  <c r="N102" i="12"/>
  <c r="P102" i="12"/>
  <c r="Q102" i="12"/>
  <c r="R102" i="12"/>
  <c r="S102" i="12"/>
  <c r="S145" i="12"/>
  <c r="R179" i="12"/>
  <c r="T179" i="12"/>
  <c r="T118" i="12"/>
  <c r="S190" i="12"/>
  <c r="S167" i="12"/>
  <c r="S141" i="12"/>
  <c r="S114" i="12"/>
  <c r="R136" i="12"/>
  <c r="R101" i="12"/>
  <c r="Q157" i="12"/>
  <c r="P156" i="12"/>
  <c r="P109" i="12"/>
  <c r="O194" i="12"/>
  <c r="O134" i="12"/>
  <c r="H183" i="12"/>
  <c r="P183" i="12"/>
  <c r="O183" i="12"/>
  <c r="N183" i="12"/>
  <c r="Q183" i="12"/>
  <c r="M183" i="12"/>
  <c r="T183" i="12"/>
  <c r="R183" i="12"/>
  <c r="H153" i="12"/>
  <c r="P153" i="12"/>
  <c r="N153" i="12"/>
  <c r="Q153" i="12"/>
  <c r="T153" i="12"/>
  <c r="O153" i="12"/>
  <c r="M153" i="12"/>
  <c r="R153" i="12"/>
  <c r="H122" i="12"/>
  <c r="P122" i="12"/>
  <c r="O122" i="12"/>
  <c r="N122" i="12"/>
  <c r="Q122" i="12"/>
  <c r="M122" i="12"/>
  <c r="S122" i="12"/>
  <c r="T122" i="12"/>
  <c r="R122" i="12"/>
  <c r="S126" i="12"/>
  <c r="R180" i="12"/>
  <c r="R145" i="12"/>
  <c r="P168" i="12"/>
  <c r="H149" i="12"/>
  <c r="N149" i="12"/>
  <c r="O149" i="12"/>
  <c r="Q149" i="12"/>
  <c r="S149" i="12"/>
  <c r="P149" i="12"/>
  <c r="R149" i="12"/>
  <c r="N110" i="12"/>
  <c r="M110" i="12"/>
  <c r="O110" i="12"/>
  <c r="Q110" i="12"/>
  <c r="H110" i="12"/>
  <c r="P110" i="12"/>
  <c r="S110" i="12"/>
  <c r="T110" i="12"/>
  <c r="M192" i="12"/>
  <c r="H192" i="12"/>
  <c r="P192" i="12"/>
  <c r="N192" i="12"/>
  <c r="Q192" i="12"/>
  <c r="S192" i="12"/>
  <c r="O192" i="12"/>
  <c r="R192" i="12"/>
  <c r="T192" i="12"/>
  <c r="M184" i="12"/>
  <c r="H184" i="12"/>
  <c r="R184" i="12"/>
  <c r="S184" i="12"/>
  <c r="N184" i="12"/>
  <c r="Q184" i="12"/>
  <c r="O184" i="12"/>
  <c r="P184" i="12"/>
  <c r="H170" i="12"/>
  <c r="M170" i="12"/>
  <c r="N170" i="12"/>
  <c r="P170" i="12"/>
  <c r="S170" i="12"/>
  <c r="R170" i="12"/>
  <c r="O170" i="12"/>
  <c r="Q170" i="12"/>
  <c r="M162" i="12"/>
  <c r="N162" i="12"/>
  <c r="H162" i="12"/>
  <c r="Q162" i="12"/>
  <c r="O162" i="12"/>
  <c r="S162" i="12"/>
  <c r="P162" i="12"/>
  <c r="T162" i="12"/>
  <c r="H154" i="12"/>
  <c r="M154" i="12"/>
  <c r="N154" i="12"/>
  <c r="O154" i="12"/>
  <c r="S154" i="12"/>
  <c r="P154" i="12"/>
  <c r="Q154" i="12"/>
  <c r="M146" i="12"/>
  <c r="N146" i="12"/>
  <c r="S146" i="12"/>
  <c r="H146" i="12"/>
  <c r="O146" i="12"/>
  <c r="P146" i="12"/>
  <c r="R146" i="12"/>
  <c r="T146" i="12"/>
  <c r="H138" i="12"/>
  <c r="M138" i="12"/>
  <c r="P138" i="12"/>
  <c r="S138" i="12"/>
  <c r="N138" i="12"/>
  <c r="O138" i="12"/>
  <c r="H130" i="12"/>
  <c r="M130" i="12"/>
  <c r="O130" i="12"/>
  <c r="P130" i="12"/>
  <c r="N130" i="12"/>
  <c r="S130" i="12"/>
  <c r="Q130" i="12"/>
  <c r="R130" i="12"/>
  <c r="T130" i="12"/>
  <c r="M123" i="12"/>
  <c r="H123" i="12"/>
  <c r="O123" i="12"/>
  <c r="S123" i="12"/>
  <c r="R123" i="12"/>
  <c r="Q123" i="12"/>
  <c r="P123" i="12"/>
  <c r="N123" i="12"/>
  <c r="H115" i="12"/>
  <c r="M115" i="12"/>
  <c r="O115" i="12"/>
  <c r="S115" i="12"/>
  <c r="P115" i="12"/>
  <c r="R115" i="12"/>
  <c r="T115" i="12"/>
  <c r="H107" i="12"/>
  <c r="M107" i="12"/>
  <c r="N107" i="12"/>
  <c r="P107" i="12"/>
  <c r="S107" i="12"/>
  <c r="O107" i="12"/>
  <c r="R107" i="12"/>
  <c r="Q107" i="12"/>
  <c r="T154" i="12"/>
  <c r="T133" i="12"/>
  <c r="S183" i="12"/>
  <c r="S160" i="12"/>
  <c r="S135" i="12"/>
  <c r="S106" i="12"/>
  <c r="R163" i="12"/>
  <c r="R127" i="12"/>
  <c r="Q187" i="12"/>
  <c r="Q146" i="12"/>
  <c r="Q105" i="12"/>
  <c r="P190" i="12"/>
  <c r="P144" i="12"/>
  <c r="O181" i="12"/>
  <c r="O117" i="12"/>
  <c r="O193" i="12"/>
  <c r="H193" i="12"/>
  <c r="Q193" i="12"/>
  <c r="M193" i="12"/>
  <c r="R193" i="12"/>
  <c r="S193" i="12"/>
  <c r="P193" i="12"/>
  <c r="H185" i="12"/>
  <c r="O185" i="12"/>
  <c r="Q185" i="12"/>
  <c r="P185" i="12"/>
  <c r="R185" i="12"/>
  <c r="S185" i="12"/>
  <c r="O177" i="12"/>
  <c r="N177" i="12"/>
  <c r="M177" i="12"/>
  <c r="Q177" i="12"/>
  <c r="P177" i="12"/>
  <c r="R177" i="12"/>
  <c r="S177" i="12"/>
  <c r="H163" i="12"/>
  <c r="O163" i="12"/>
  <c r="N163" i="12"/>
  <c r="Q163" i="12"/>
  <c r="M163" i="12"/>
  <c r="P163" i="12"/>
  <c r="S163" i="12"/>
  <c r="H155" i="12"/>
  <c r="O155" i="12"/>
  <c r="Q155" i="12"/>
  <c r="S155" i="12"/>
  <c r="R155" i="12"/>
  <c r="O147" i="12"/>
  <c r="M147" i="12"/>
  <c r="Q147" i="12"/>
  <c r="N147" i="12"/>
  <c r="S147" i="12"/>
  <c r="H139" i="12"/>
  <c r="O139" i="12"/>
  <c r="P139" i="12"/>
  <c r="Q139" i="12"/>
  <c r="N139" i="12"/>
  <c r="M139" i="12"/>
  <c r="S139" i="12"/>
  <c r="O131" i="12"/>
  <c r="H131" i="12"/>
  <c r="Q131" i="12"/>
  <c r="M131" i="12"/>
  <c r="R131" i="12"/>
  <c r="N131" i="12"/>
  <c r="S131" i="12"/>
  <c r="O116" i="12"/>
  <c r="N116" i="12"/>
  <c r="M116" i="12"/>
  <c r="Q116" i="12"/>
  <c r="P116" i="12"/>
  <c r="R116" i="12"/>
  <c r="H108" i="12"/>
  <c r="O108" i="12"/>
  <c r="N108" i="12"/>
  <c r="Q108" i="12"/>
  <c r="S108" i="12"/>
  <c r="O101" i="12"/>
  <c r="N101" i="12"/>
  <c r="Q101" i="12"/>
  <c r="M101" i="12"/>
  <c r="T181" i="12"/>
  <c r="T120" i="12"/>
  <c r="S181" i="12"/>
  <c r="R158" i="12"/>
  <c r="R139" i="12"/>
  <c r="N142" i="12"/>
  <c r="H101" i="12"/>
  <c r="H190" i="12"/>
  <c r="O190" i="12"/>
  <c r="R190" i="12"/>
  <c r="H182" i="12"/>
  <c r="P182" i="12"/>
  <c r="M182" i="12"/>
  <c r="Q182" i="12"/>
  <c r="N182" i="12"/>
  <c r="O182" i="12"/>
  <c r="H168" i="12"/>
  <c r="M168" i="12"/>
  <c r="R168" i="12"/>
  <c r="N168" i="12"/>
  <c r="H160" i="12"/>
  <c r="O160" i="12"/>
  <c r="P160" i="12"/>
  <c r="M160" i="12"/>
  <c r="R160" i="12"/>
  <c r="N144" i="12"/>
  <c r="H144" i="12"/>
  <c r="O144" i="12"/>
  <c r="Q144" i="12"/>
  <c r="H136" i="12"/>
  <c r="M136" i="12"/>
  <c r="N136" i="12"/>
  <c r="O136" i="12"/>
  <c r="H128" i="12"/>
  <c r="N128" i="12"/>
  <c r="O128" i="12"/>
  <c r="P128" i="12"/>
  <c r="R128" i="12"/>
  <c r="H121" i="12"/>
  <c r="P121" i="12"/>
  <c r="M121" i="12"/>
  <c r="Q121" i="12"/>
  <c r="S121" i="12"/>
  <c r="N121" i="12"/>
  <c r="H113" i="12"/>
  <c r="O113" i="12"/>
  <c r="N113" i="12"/>
  <c r="Q113" i="12"/>
  <c r="S113" i="12"/>
  <c r="H105" i="12"/>
  <c r="M105" i="12"/>
  <c r="O105" i="12"/>
  <c r="R105" i="12"/>
  <c r="P105" i="12"/>
  <c r="T188" i="12"/>
  <c r="T177" i="12"/>
  <c r="T168" i="12"/>
  <c r="T147" i="12"/>
  <c r="T136" i="12"/>
  <c r="T126" i="12"/>
  <c r="T116" i="12"/>
  <c r="T105" i="12"/>
  <c r="R135" i="12"/>
  <c r="P155" i="12"/>
  <c r="P131" i="12"/>
  <c r="P108" i="12"/>
  <c r="H177" i="12"/>
  <c r="H189" i="12"/>
  <c r="M189" i="12"/>
  <c r="N189" i="12"/>
  <c r="O189" i="12"/>
  <c r="Q189" i="12"/>
  <c r="H181" i="12"/>
  <c r="M181" i="12"/>
  <c r="N181" i="12"/>
  <c r="R181" i="12"/>
  <c r="H167" i="12"/>
  <c r="M167" i="12"/>
  <c r="O167" i="12"/>
  <c r="N167" i="12"/>
  <c r="H159" i="12"/>
  <c r="M159" i="12"/>
  <c r="O159" i="12"/>
  <c r="R159" i="12"/>
  <c r="Q159" i="12"/>
  <c r="H151" i="12"/>
  <c r="M151" i="12"/>
  <c r="O151" i="12"/>
  <c r="P151" i="12"/>
  <c r="R151" i="12"/>
  <c r="H143" i="12"/>
  <c r="M143" i="12"/>
  <c r="N143" i="12"/>
  <c r="O143" i="12"/>
  <c r="Q143" i="12"/>
  <c r="R143" i="12"/>
  <c r="H135" i="12"/>
  <c r="M135" i="12"/>
  <c r="N135" i="12"/>
  <c r="O135" i="12"/>
  <c r="H127" i="12"/>
  <c r="M127" i="12"/>
  <c r="N127" i="12"/>
  <c r="O127" i="12"/>
  <c r="P127" i="12"/>
  <c r="Q127" i="12"/>
  <c r="H120" i="12"/>
  <c r="M120" i="12"/>
  <c r="R120" i="12"/>
  <c r="H112" i="12"/>
  <c r="M112" i="12"/>
  <c r="P112" i="12"/>
  <c r="N112" i="12"/>
  <c r="Q112" i="12"/>
  <c r="S112" i="12"/>
  <c r="H104" i="12"/>
  <c r="M104" i="12"/>
  <c r="O104" i="12"/>
  <c r="N104" i="12"/>
  <c r="P104" i="12"/>
  <c r="S104" i="12"/>
  <c r="T167" i="12"/>
  <c r="T135" i="12"/>
  <c r="T104" i="12"/>
  <c r="S151" i="12"/>
  <c r="R167" i="12"/>
  <c r="R113" i="12"/>
  <c r="Q151" i="12"/>
  <c r="O121" i="12"/>
  <c r="N160" i="12"/>
  <c r="M155" i="12"/>
  <c r="M113" i="12"/>
  <c r="H188" i="12"/>
  <c r="N188" i="12"/>
  <c r="M188" i="12"/>
  <c r="Q188" i="12"/>
  <c r="O188" i="12"/>
  <c r="P188" i="12"/>
  <c r="S188" i="12"/>
  <c r="N180" i="12"/>
  <c r="O180" i="12"/>
  <c r="Q180" i="12"/>
  <c r="M180" i="12"/>
  <c r="P180" i="12"/>
  <c r="S180" i="12"/>
  <c r="H166" i="12"/>
  <c r="M166" i="12"/>
  <c r="P166" i="12"/>
  <c r="Q166" i="12"/>
  <c r="N166" i="12"/>
  <c r="S166" i="12"/>
  <c r="O158" i="12"/>
  <c r="H158" i="12"/>
  <c r="M158" i="12"/>
  <c r="N158" i="12"/>
  <c r="Q158" i="12"/>
  <c r="P158" i="12"/>
  <c r="S158" i="12"/>
  <c r="H150" i="12"/>
  <c r="O150" i="12"/>
  <c r="Q150" i="12"/>
  <c r="P150" i="12"/>
  <c r="R150" i="12"/>
  <c r="N150" i="12"/>
  <c r="M150" i="12"/>
  <c r="S150" i="12"/>
  <c r="H142" i="12"/>
  <c r="O142" i="12"/>
  <c r="P142" i="12"/>
  <c r="Q142" i="12"/>
  <c r="R142" i="12"/>
  <c r="M142" i="12"/>
  <c r="S142" i="12"/>
  <c r="H134" i="12"/>
  <c r="M134" i="12"/>
  <c r="N134" i="12"/>
  <c r="Q134" i="12"/>
  <c r="R134" i="12"/>
  <c r="P134" i="12"/>
  <c r="S134" i="12"/>
  <c r="H126" i="12"/>
  <c r="N126" i="12"/>
  <c r="M126" i="12"/>
  <c r="Q126" i="12"/>
  <c r="P126" i="12"/>
  <c r="O126" i="12"/>
  <c r="H119" i="12"/>
  <c r="N119" i="12"/>
  <c r="O119" i="12"/>
  <c r="Q119" i="12"/>
  <c r="M119" i="12"/>
  <c r="H111" i="12"/>
  <c r="Q111" i="12"/>
  <c r="N111" i="12"/>
  <c r="O111" i="12"/>
  <c r="R111" i="12"/>
  <c r="H103" i="12"/>
  <c r="M103" i="12"/>
  <c r="P103" i="12"/>
  <c r="Q103" i="12"/>
  <c r="S103" i="12"/>
  <c r="N103" i="12"/>
  <c r="T185" i="12"/>
  <c r="T166" i="12"/>
  <c r="T155" i="12"/>
  <c r="T144" i="12"/>
  <c r="T134" i="12"/>
  <c r="T113" i="12"/>
  <c r="T103" i="12"/>
  <c r="S136" i="12"/>
  <c r="R182" i="12"/>
  <c r="R166" i="12"/>
  <c r="R147" i="12"/>
  <c r="R112" i="12"/>
  <c r="Q190" i="12"/>
  <c r="Q128" i="12"/>
  <c r="P147" i="12"/>
  <c r="P101" i="12"/>
  <c r="O120" i="12"/>
  <c r="N193" i="12"/>
  <c r="N159" i="12"/>
  <c r="M111" i="12"/>
  <c r="H147" i="12"/>
  <c r="O97" i="12"/>
  <c r="S97" i="12"/>
  <c r="M97" i="12"/>
  <c r="R97" i="12"/>
  <c r="N97" i="12"/>
  <c r="H97" i="12"/>
  <c r="P97" i="12"/>
  <c r="T97" i="12"/>
  <c r="Q97" i="12"/>
  <c r="T94" i="12"/>
  <c r="M94" i="12"/>
  <c r="Q94" i="12"/>
  <c r="O94" i="12"/>
  <c r="P94" i="12"/>
  <c r="S94" i="12"/>
  <c r="H94" i="12"/>
  <c r="N94" i="12"/>
  <c r="R94" i="12"/>
  <c r="M93" i="12"/>
  <c r="Q93" i="12"/>
  <c r="S93" i="12"/>
  <c r="O93" i="12"/>
  <c r="T93" i="12"/>
  <c r="N93" i="12"/>
  <c r="R93" i="12"/>
  <c r="H93" i="12"/>
  <c r="P93" i="12"/>
  <c r="M98" i="12"/>
  <c r="O98" i="12"/>
  <c r="S98" i="12"/>
  <c r="Q98" i="12"/>
  <c r="R98" i="12"/>
  <c r="H98" i="12"/>
  <c r="P98" i="12"/>
  <c r="T98" i="12"/>
  <c r="N98" i="12"/>
  <c r="N100" i="12"/>
  <c r="R100" i="12"/>
  <c r="T100" i="12"/>
  <c r="M100" i="12"/>
  <c r="H100" i="12"/>
  <c r="O100" i="12"/>
  <c r="S100" i="12"/>
  <c r="P100" i="12"/>
  <c r="Q100" i="12"/>
  <c r="H92" i="12"/>
  <c r="P92" i="12"/>
  <c r="Q92" i="12"/>
  <c r="N92" i="12"/>
  <c r="R92" i="12"/>
  <c r="M92" i="12"/>
  <c r="O92" i="12"/>
  <c r="S92" i="12"/>
  <c r="T92" i="12"/>
  <c r="N99" i="12"/>
  <c r="R99" i="12"/>
  <c r="H99" i="12"/>
  <c r="M99" i="12"/>
  <c r="Q99" i="12"/>
  <c r="O99" i="12"/>
  <c r="S99" i="12"/>
  <c r="T99" i="12"/>
  <c r="P99" i="12"/>
  <c r="N91" i="12"/>
  <c r="R91" i="12"/>
  <c r="H91" i="12"/>
  <c r="P91" i="12"/>
  <c r="Q91" i="12"/>
  <c r="T91" i="12"/>
  <c r="O91" i="12"/>
  <c r="S91" i="12"/>
  <c r="M91" i="12"/>
  <c r="N96" i="12"/>
  <c r="R95" i="12"/>
  <c r="Q96" i="12"/>
  <c r="M96" i="12"/>
  <c r="N95" i="12"/>
  <c r="Q95" i="12"/>
  <c r="M95" i="12"/>
  <c r="T96" i="12"/>
  <c r="P96" i="12"/>
  <c r="H96" i="12"/>
  <c r="T95" i="12"/>
  <c r="P95" i="12"/>
  <c r="N90" i="12"/>
  <c r="O90" i="12"/>
  <c r="Q90" i="12"/>
  <c r="T90" i="12"/>
  <c r="H90" i="12"/>
  <c r="P90" i="12"/>
  <c r="M90" i="12"/>
  <c r="R90" i="12"/>
  <c r="S90" i="12"/>
  <c r="Q88" i="12"/>
  <c r="N88" i="12"/>
  <c r="T88" i="12"/>
  <c r="S88" i="12"/>
  <c r="J86" i="12"/>
  <c r="U86" i="12"/>
  <c r="O89" i="12"/>
  <c r="U89" i="12"/>
  <c r="M89" i="12"/>
  <c r="S89" i="12"/>
  <c r="P89" i="12"/>
  <c r="R89" i="12"/>
  <c r="M86" i="12"/>
  <c r="P86" i="12"/>
  <c r="N85" i="12"/>
  <c r="T80" i="12"/>
  <c r="Q82" i="12"/>
  <c r="U81" i="12"/>
  <c r="T83" i="12"/>
  <c r="U83" i="12"/>
  <c r="R83" i="12"/>
  <c r="N83" i="12"/>
  <c r="H83" i="12"/>
  <c r="M83" i="12"/>
  <c r="S81" i="12"/>
  <c r="O81" i="12"/>
  <c r="R81" i="12"/>
  <c r="R80" i="12"/>
  <c r="Q80" i="12"/>
  <c r="N80" i="12"/>
  <c r="U78" i="12"/>
  <c r="R78" i="12"/>
  <c r="J78" i="12"/>
  <c r="P78" i="12"/>
  <c r="M78" i="12"/>
  <c r="T77" i="12"/>
  <c r="T72" i="12"/>
  <c r="U75" i="12"/>
  <c r="N75" i="12"/>
  <c r="R75" i="12"/>
  <c r="T75" i="12"/>
  <c r="Q74" i="12"/>
  <c r="R72" i="12"/>
  <c r="Q72" i="12"/>
  <c r="R71" i="12"/>
  <c r="T71" i="12"/>
  <c r="M71" i="12"/>
  <c r="U71" i="12"/>
  <c r="N79" i="12"/>
  <c r="P79" i="12"/>
  <c r="P71" i="12"/>
  <c r="P47" i="12"/>
  <c r="Q62" i="12"/>
  <c r="S62" i="12"/>
  <c r="T62" i="12"/>
  <c r="O62" i="12"/>
  <c r="N62" i="12"/>
  <c r="W62" i="12"/>
  <c r="Q54" i="12"/>
  <c r="S54" i="12"/>
  <c r="T54" i="12"/>
  <c r="O54" i="12"/>
  <c r="W54" i="12"/>
  <c r="N54" i="12"/>
  <c r="U42" i="12"/>
  <c r="P42" i="12"/>
  <c r="W42" i="12"/>
  <c r="R42" i="12"/>
  <c r="M42" i="12"/>
  <c r="M62" i="12"/>
  <c r="O82" i="12"/>
  <c r="O66" i="12"/>
  <c r="U84" i="12"/>
  <c r="T82" i="12"/>
  <c r="U76" i="12"/>
  <c r="T74" i="12"/>
  <c r="U68" i="12"/>
  <c r="T66" i="12"/>
  <c r="U60" i="12"/>
  <c r="U52" i="12"/>
  <c r="T42" i="12"/>
  <c r="W50" i="12"/>
  <c r="S48" i="12"/>
  <c r="U48" i="12"/>
  <c r="M48" i="12"/>
  <c r="P48" i="12"/>
  <c r="O48" i="12"/>
  <c r="P85" i="12"/>
  <c r="M85" i="12"/>
  <c r="R85" i="12"/>
  <c r="O85" i="12"/>
  <c r="S85" i="12"/>
  <c r="U85" i="12"/>
  <c r="P77" i="12"/>
  <c r="M77" i="12"/>
  <c r="R77" i="12"/>
  <c r="O77" i="12"/>
  <c r="S77" i="12"/>
  <c r="U77" i="12"/>
  <c r="P69" i="12"/>
  <c r="M69" i="12"/>
  <c r="W69" i="12"/>
  <c r="R69" i="12"/>
  <c r="O69" i="12"/>
  <c r="S69" i="12"/>
  <c r="U69" i="12"/>
  <c r="M76" i="12"/>
  <c r="M60" i="12"/>
  <c r="O65" i="12"/>
  <c r="S84" i="12"/>
  <c r="S82" i="12"/>
  <c r="S76" i="12"/>
  <c r="S68" i="12"/>
  <c r="U62" i="12"/>
  <c r="S60" i="12"/>
  <c r="U54" i="12"/>
  <c r="S52" i="12"/>
  <c r="T48" i="12"/>
  <c r="S42" i="12"/>
  <c r="R87" i="12"/>
  <c r="T87" i="12"/>
  <c r="M87" i="12"/>
  <c r="U87" i="12"/>
  <c r="Q60" i="12"/>
  <c r="R60" i="12"/>
  <c r="N60" i="12"/>
  <c r="T60" i="12"/>
  <c r="P76" i="12"/>
  <c r="P68" i="12"/>
  <c r="P60" i="12"/>
  <c r="P52" i="12"/>
  <c r="W57" i="12"/>
  <c r="H82" i="12"/>
  <c r="O59" i="12"/>
  <c r="P59" i="12"/>
  <c r="N59" i="12"/>
  <c r="Q59" i="12"/>
  <c r="S59" i="12"/>
  <c r="W59" i="12"/>
  <c r="O51" i="12"/>
  <c r="W51" i="12"/>
  <c r="P51" i="12"/>
  <c r="N51" i="12"/>
  <c r="Q51" i="12"/>
  <c r="S51" i="12"/>
  <c r="W67" i="12"/>
  <c r="N42" i="12"/>
  <c r="O60" i="12"/>
  <c r="P62" i="12"/>
  <c r="P54" i="12"/>
  <c r="Q48" i="12"/>
  <c r="R47" i="12"/>
  <c r="T47" i="12"/>
  <c r="M47" i="12"/>
  <c r="W47" i="12"/>
  <c r="U47" i="12"/>
  <c r="Q84" i="12"/>
  <c r="R84" i="12"/>
  <c r="N84" i="12"/>
  <c r="T84" i="12"/>
  <c r="H76" i="12"/>
  <c r="Q76" i="12"/>
  <c r="R76" i="12"/>
  <c r="N76" i="12"/>
  <c r="T76" i="12"/>
  <c r="O79" i="12"/>
  <c r="O47" i="12"/>
  <c r="U74" i="12"/>
  <c r="P74" i="12"/>
  <c r="R74" i="12"/>
  <c r="M74" i="12"/>
  <c r="U66" i="12"/>
  <c r="P66" i="12"/>
  <c r="W66" i="12"/>
  <c r="R66" i="12"/>
  <c r="M66" i="12"/>
  <c r="O74" i="12"/>
  <c r="T65" i="12"/>
  <c r="N65" i="12"/>
  <c r="Q65" i="12"/>
  <c r="T57" i="12"/>
  <c r="N57" i="12"/>
  <c r="Q57" i="12"/>
  <c r="T49" i="12"/>
  <c r="N49" i="12"/>
  <c r="Q49" i="12"/>
  <c r="W49" i="12"/>
  <c r="M84" i="12"/>
  <c r="O57" i="12"/>
  <c r="S87" i="12"/>
  <c r="S71" i="12"/>
  <c r="S65" i="12"/>
  <c r="T59" i="12"/>
  <c r="S57" i="12"/>
  <c r="T51" i="12"/>
  <c r="S49" i="12"/>
  <c r="S47" i="12"/>
  <c r="T45" i="12"/>
  <c r="W71" i="12"/>
  <c r="R79" i="12"/>
  <c r="T79" i="12"/>
  <c r="M79" i="12"/>
  <c r="U79" i="12"/>
  <c r="Q52" i="12"/>
  <c r="W52" i="12"/>
  <c r="R52" i="12"/>
  <c r="N52" i="12"/>
  <c r="T52" i="12"/>
  <c r="Q68" i="12"/>
  <c r="R68" i="12"/>
  <c r="N68" i="12"/>
  <c r="T68" i="12"/>
  <c r="N87" i="12"/>
  <c r="P45" i="12"/>
  <c r="M45" i="12"/>
  <c r="R45" i="12"/>
  <c r="O45" i="12"/>
  <c r="S45" i="12"/>
  <c r="U45" i="12"/>
  <c r="U82" i="12"/>
  <c r="P82" i="12"/>
  <c r="R82" i="12"/>
  <c r="M82" i="12"/>
  <c r="N71" i="12"/>
  <c r="W64" i="12"/>
  <c r="M51" i="12"/>
  <c r="O87" i="12"/>
  <c r="O71" i="12"/>
  <c r="Q87" i="12"/>
  <c r="Q85" i="12"/>
  <c r="Q79" i="12"/>
  <c r="Q77" i="12"/>
  <c r="Q71" i="12"/>
  <c r="Q69" i="12"/>
  <c r="R65" i="12"/>
  <c r="R59" i="12"/>
  <c r="R57" i="12"/>
  <c r="R51" i="12"/>
  <c r="R49" i="12"/>
  <c r="Q47" i="12"/>
  <c r="Q45" i="12"/>
  <c r="W43" i="12"/>
  <c r="W68" i="12"/>
  <c r="H86" i="12"/>
  <c r="H75" i="12"/>
  <c r="M58" i="12"/>
  <c r="M50" i="12"/>
  <c r="N86" i="12"/>
  <c r="N78" i="12"/>
  <c r="N70" i="12"/>
  <c r="N46" i="12"/>
  <c r="O88" i="12"/>
  <c r="O80" i="12"/>
  <c r="O72" i="12"/>
  <c r="O64" i="12"/>
  <c r="O56" i="12"/>
  <c r="Q89" i="12"/>
  <c r="P88" i="12"/>
  <c r="S83" i="12"/>
  <c r="Q81" i="12"/>
  <c r="P80" i="12"/>
  <c r="S75" i="12"/>
  <c r="P72" i="12"/>
  <c r="S67" i="12"/>
  <c r="P64" i="12"/>
  <c r="U61" i="12"/>
  <c r="R58" i="12"/>
  <c r="P56" i="12"/>
  <c r="U53" i="12"/>
  <c r="R50" i="12"/>
  <c r="T44" i="12"/>
  <c r="S43" i="12"/>
  <c r="W58" i="12"/>
  <c r="H87" i="12"/>
  <c r="H73" i="12"/>
  <c r="H89" i="12"/>
  <c r="M88" i="12"/>
  <c r="M80" i="12"/>
  <c r="M72" i="12"/>
  <c r="M64" i="12"/>
  <c r="M56" i="12"/>
  <c r="N44" i="12"/>
  <c r="O86" i="12"/>
  <c r="O78" i="12"/>
  <c r="O70" i="12"/>
  <c r="O46" i="12"/>
  <c r="T86" i="12"/>
  <c r="Q83" i="12"/>
  <c r="T78" i="12"/>
  <c r="Q75" i="12"/>
  <c r="T70" i="12"/>
  <c r="Q67" i="12"/>
  <c r="U63" i="12"/>
  <c r="S61" i="12"/>
  <c r="P58" i="12"/>
  <c r="U55" i="12"/>
  <c r="S53" i="12"/>
  <c r="P50" i="12"/>
  <c r="T46" i="12"/>
  <c r="R44" i="12"/>
  <c r="Q43" i="12"/>
  <c r="W56" i="12"/>
  <c r="W70" i="12"/>
  <c r="H84" i="12"/>
  <c r="H88" i="12"/>
  <c r="M63" i="12"/>
  <c r="M55" i="12"/>
  <c r="N43" i="12"/>
  <c r="O61" i="12"/>
  <c r="O53" i="12"/>
  <c r="U88" i="12"/>
  <c r="S86" i="12"/>
  <c r="P83" i="12"/>
  <c r="U80" i="12"/>
  <c r="S78" i="12"/>
  <c r="P75" i="12"/>
  <c r="U72" i="12"/>
  <c r="S70" i="12"/>
  <c r="P67" i="12"/>
  <c r="U64" i="12"/>
  <c r="T63" i="12"/>
  <c r="R61" i="12"/>
  <c r="U56" i="12"/>
  <c r="T55" i="12"/>
  <c r="R53" i="12"/>
  <c r="S46" i="12"/>
  <c r="Q44" i="12"/>
  <c r="P43" i="12"/>
  <c r="W46" i="12"/>
  <c r="W61" i="12"/>
  <c r="H81" i="12"/>
  <c r="H85" i="12"/>
  <c r="M61" i="12"/>
  <c r="M53" i="12"/>
  <c r="N89" i="12"/>
  <c r="N81" i="12"/>
  <c r="N73" i="12"/>
  <c r="O75" i="12"/>
  <c r="O67" i="12"/>
  <c r="T73" i="12"/>
  <c r="S64" i="12"/>
  <c r="R55" i="12"/>
  <c r="H78" i="12"/>
  <c r="P36" i="12"/>
  <c r="H72" i="12"/>
  <c r="H69" i="12"/>
  <c r="W21" i="12"/>
  <c r="H74" i="12"/>
  <c r="H79" i="12"/>
  <c r="H66" i="12"/>
  <c r="H70" i="12"/>
  <c r="H80" i="12"/>
  <c r="H77" i="12"/>
  <c r="H68" i="12"/>
  <c r="H71" i="12"/>
  <c r="H67" i="12"/>
  <c r="J62" i="12"/>
  <c r="J57" i="12"/>
  <c r="H58" i="12"/>
  <c r="J89" i="12"/>
  <c r="J73" i="12"/>
  <c r="J65" i="12"/>
  <c r="H57" i="12"/>
  <c r="H51" i="12"/>
  <c r="J79" i="12"/>
  <c r="J49" i="12"/>
  <c r="J51" i="12"/>
  <c r="AQ6" i="12"/>
  <c r="J42" i="12"/>
  <c r="J52" i="12"/>
  <c r="J80" i="12"/>
  <c r="J87" i="12"/>
  <c r="J46" i="12"/>
  <c r="H49" i="12"/>
  <c r="J60" i="12"/>
  <c r="J68" i="12"/>
  <c r="J76" i="12"/>
  <c r="J84" i="12"/>
  <c r="J45" i="12"/>
  <c r="H45" i="12"/>
  <c r="J70" i="12"/>
  <c r="J56" i="12"/>
  <c r="H56" i="12"/>
  <c r="H44" i="12"/>
  <c r="J44" i="12"/>
  <c r="J47" i="12"/>
  <c r="H47" i="12"/>
  <c r="J83" i="12"/>
  <c r="J69" i="12"/>
  <c r="J43" i="12"/>
  <c r="H43" i="12"/>
  <c r="H54" i="12"/>
  <c r="J54" i="12"/>
  <c r="H36" i="12"/>
  <c r="J75" i="12"/>
  <c r="J50" i="12"/>
  <c r="H50" i="12"/>
  <c r="H55" i="12"/>
  <c r="J66" i="12"/>
  <c r="J81" i="12"/>
  <c r="J88" i="12"/>
  <c r="H48" i="12"/>
  <c r="J48" i="12"/>
  <c r="J55" i="12"/>
  <c r="J61" i="12"/>
  <c r="H61" i="12"/>
  <c r="J67" i="12"/>
  <c r="J72" i="12"/>
  <c r="J53" i="12"/>
  <c r="H53" i="12"/>
  <c r="H59" i="12"/>
  <c r="J58" i="12"/>
  <c r="J64" i="12"/>
  <c r="H64" i="12"/>
  <c r="H65" i="12"/>
  <c r="J74" i="12"/>
  <c r="J77" i="12"/>
  <c r="H63" i="12"/>
  <c r="J82" i="12"/>
  <c r="J85" i="12"/>
  <c r="J63" i="12"/>
  <c r="H42" i="12"/>
  <c r="H46" i="12"/>
  <c r="J59" i="12"/>
  <c r="H62" i="12"/>
  <c r="J71" i="12"/>
  <c r="H52" i="12"/>
  <c r="H60" i="12"/>
  <c r="V3" i="8"/>
  <c r="X3" i="8" s="1"/>
  <c r="V4" i="8"/>
  <c r="X4" i="8" s="1"/>
  <c r="V5" i="8"/>
  <c r="X5" i="8" s="1"/>
  <c r="V6" i="8"/>
  <c r="X6" i="8" s="1"/>
  <c r="V7" i="8"/>
  <c r="X7" i="8" s="1"/>
  <c r="V8" i="8"/>
  <c r="X8" i="8" s="1"/>
  <c r="V9" i="8"/>
  <c r="X9" i="8" s="1"/>
  <c r="V10" i="8"/>
  <c r="X10" i="8" s="1"/>
  <c r="V11" i="8"/>
  <c r="X11" i="8" s="1"/>
  <c r="V12" i="8"/>
  <c r="X12" i="8" s="1"/>
  <c r="V13" i="8"/>
  <c r="X13" i="8" s="1"/>
  <c r="V14" i="8"/>
  <c r="X14" i="8" s="1"/>
  <c r="V15" i="8"/>
  <c r="X15" i="8" s="1"/>
  <c r="V16" i="8"/>
  <c r="X16" i="8" s="1"/>
  <c r="V17" i="8"/>
  <c r="X17" i="8" s="1"/>
  <c r="V18" i="8"/>
  <c r="X18" i="8" s="1"/>
  <c r="V19" i="8"/>
  <c r="X19" i="8" s="1"/>
  <c r="V20" i="8"/>
  <c r="X20" i="8" s="1"/>
  <c r="V21" i="8"/>
  <c r="X21" i="8" s="1"/>
  <c r="V22" i="8"/>
  <c r="X22" i="8" s="1"/>
  <c r="V23" i="8"/>
  <c r="X23" i="8" s="1"/>
  <c r="V24" i="8"/>
  <c r="X24" i="8" s="1"/>
  <c r="V25" i="8"/>
  <c r="X25" i="8" s="1"/>
  <c r="V26" i="8"/>
  <c r="X26" i="8" s="1"/>
  <c r="V27" i="8"/>
  <c r="X27" i="8" s="1"/>
  <c r="V28" i="8"/>
  <c r="X28" i="8" s="1"/>
  <c r="V29" i="8"/>
  <c r="X29" i="8" s="1"/>
  <c r="V30" i="8"/>
  <c r="X30" i="8" s="1"/>
  <c r="V31" i="8"/>
  <c r="X31" i="8" s="1"/>
  <c r="V32" i="8"/>
  <c r="X32" i="8" s="1"/>
  <c r="V33" i="8"/>
  <c r="X33" i="8" s="1"/>
  <c r="V34" i="8"/>
  <c r="X34" i="8" s="1"/>
  <c r="V35" i="8"/>
  <c r="X35" i="8" s="1"/>
  <c r="V36" i="8"/>
  <c r="X36" i="8" s="1"/>
  <c r="V37" i="8"/>
  <c r="X37" i="8" s="1"/>
  <c r="V38" i="8"/>
  <c r="X38" i="8" s="1"/>
  <c r="V39" i="8"/>
  <c r="X39" i="8" s="1"/>
  <c r="V40" i="8"/>
  <c r="X40" i="8" s="1"/>
  <c r="V41" i="8"/>
  <c r="X41" i="8" s="1"/>
  <c r="V42" i="8"/>
  <c r="X42" i="8" s="1"/>
  <c r="V43" i="8"/>
  <c r="X43" i="8" s="1"/>
  <c r="V44" i="8"/>
  <c r="X44" i="8" s="1"/>
  <c r="V45" i="8"/>
  <c r="X45" i="8" s="1"/>
  <c r="V46" i="8"/>
  <c r="X46" i="8" s="1"/>
  <c r="V47" i="8"/>
  <c r="X47" i="8" s="1"/>
  <c r="V48" i="8"/>
  <c r="X48" i="8" s="1"/>
  <c r="V49" i="8"/>
  <c r="X49" i="8" s="1"/>
  <c r="V50" i="8"/>
  <c r="X50" i="8" s="1"/>
  <c r="V51" i="8"/>
  <c r="X51" i="8" s="1"/>
  <c r="V52" i="8"/>
  <c r="X52" i="8" s="1"/>
  <c r="V53" i="8"/>
  <c r="X53" i="8" s="1"/>
  <c r="V54" i="8"/>
  <c r="X54" i="8" s="1"/>
  <c r="V55" i="8"/>
  <c r="X55" i="8" s="1"/>
  <c r="V56" i="8"/>
  <c r="X56" i="8" s="1"/>
  <c r="V57" i="8"/>
  <c r="X57" i="8" s="1"/>
  <c r="V58" i="8"/>
  <c r="X58" i="8" s="1"/>
  <c r="V59" i="8"/>
  <c r="X59" i="8" s="1"/>
  <c r="V60" i="8"/>
  <c r="X60" i="8" s="1"/>
  <c r="V61" i="8"/>
  <c r="X61" i="8" s="1"/>
  <c r="V62" i="8"/>
  <c r="X62" i="8" s="1"/>
  <c r="V63" i="8"/>
  <c r="X63" i="8" s="1"/>
  <c r="V64" i="8"/>
  <c r="X64" i="8" s="1"/>
  <c r="V65" i="8"/>
  <c r="X65" i="8" s="1"/>
  <c r="V66" i="8"/>
  <c r="X66" i="8" s="1"/>
  <c r="V67" i="8"/>
  <c r="X67" i="8" s="1"/>
  <c r="V68" i="8"/>
  <c r="X68" i="8" s="1"/>
  <c r="V69" i="8"/>
  <c r="X69" i="8" s="1"/>
  <c r="V70" i="8"/>
  <c r="X70" i="8" s="1"/>
  <c r="V71" i="8"/>
  <c r="X71" i="8" s="1"/>
  <c r="V72" i="8"/>
  <c r="X72" i="8" s="1"/>
  <c r="V73" i="8"/>
  <c r="X73" i="8" s="1"/>
  <c r="V74" i="8"/>
  <c r="X74" i="8" s="1"/>
  <c r="V75" i="8"/>
  <c r="X75" i="8" s="1"/>
  <c r="V76" i="8"/>
  <c r="X76" i="8" s="1"/>
  <c r="V77" i="8"/>
  <c r="X77" i="8" s="1"/>
  <c r="V78" i="8"/>
  <c r="X78" i="8" s="1"/>
  <c r="V79" i="8"/>
  <c r="X79" i="8" s="1"/>
  <c r="V80" i="8"/>
  <c r="X80" i="8" s="1"/>
  <c r="V81" i="8"/>
  <c r="X81" i="8" s="1"/>
  <c r="V82" i="8"/>
  <c r="X82" i="8" s="1"/>
  <c r="V83" i="8"/>
  <c r="X83" i="8" s="1"/>
  <c r="V84" i="8"/>
  <c r="X84" i="8" s="1"/>
  <c r="V85" i="8"/>
  <c r="X85" i="8" s="1"/>
  <c r="V86" i="8"/>
  <c r="X86" i="8" s="1"/>
  <c r="V87" i="8"/>
  <c r="X87" i="8" s="1"/>
  <c r="V88" i="8"/>
  <c r="X88" i="8" s="1"/>
  <c r="V89" i="8"/>
  <c r="X89" i="8" s="1"/>
  <c r="V6" i="4"/>
  <c r="V3" i="4"/>
  <c r="V4" i="4"/>
  <c r="V5" i="4"/>
  <c r="V7" i="4"/>
  <c r="V9" i="4"/>
  <c r="V10" i="4"/>
  <c r="V11" i="4"/>
  <c r="V12" i="4"/>
  <c r="V13" i="4"/>
  <c r="V17" i="4"/>
  <c r="V20" i="4"/>
  <c r="V21" i="4"/>
  <c r="V24" i="4"/>
  <c r="V25" i="4"/>
  <c r="V26" i="4"/>
  <c r="V27" i="4"/>
  <c r="V37" i="4"/>
  <c r="V45" i="4"/>
  <c r="O198" i="12" l="1"/>
  <c r="R33" i="12"/>
  <c r="O35" i="12"/>
  <c r="U13" i="12"/>
  <c r="O15" i="12"/>
  <c r="T8" i="12"/>
  <c r="S30" i="12"/>
  <c r="O11" i="12"/>
  <c r="N4" i="12"/>
  <c r="T32" i="12"/>
  <c r="T37" i="12"/>
  <c r="R29" i="12"/>
  <c r="R196" i="12"/>
  <c r="N195" i="12"/>
  <c r="R18" i="12"/>
  <c r="S6" i="12"/>
  <c r="R24" i="12"/>
  <c r="H175" i="12"/>
  <c r="J26" i="12"/>
  <c r="T173" i="12"/>
  <c r="P28" i="12"/>
  <c r="O39" i="12"/>
  <c r="P38" i="12"/>
  <c r="U25" i="12"/>
  <c r="J3" i="12"/>
  <c r="P34" i="12"/>
  <c r="S197" i="12"/>
  <c r="Q36" i="12"/>
  <c r="Q12" i="12"/>
  <c r="R174" i="12"/>
  <c r="P2" i="12"/>
  <c r="P172" i="12"/>
  <c r="R21" i="12"/>
  <c r="N17" i="12"/>
  <c r="Q19" i="12"/>
  <c r="H20" i="12"/>
  <c r="O7" i="12"/>
  <c r="H31" i="12"/>
  <c r="S27" i="12"/>
  <c r="T22" i="12"/>
  <c r="U14" i="12"/>
  <c r="H41" i="12"/>
  <c r="R16" i="12"/>
  <c r="N29" i="12"/>
  <c r="Q197" i="12"/>
  <c r="J36" i="12"/>
  <c r="N196" i="12"/>
  <c r="Q174" i="12"/>
  <c r="Q21" i="12"/>
  <c r="Q172" i="12"/>
  <c r="O30" i="12"/>
  <c r="S12" i="12"/>
  <c r="H26" i="12"/>
  <c r="W13" i="12"/>
  <c r="S36" i="12"/>
  <c r="Q34" i="12"/>
  <c r="O36" i="12"/>
  <c r="P21" i="13"/>
  <c r="M3" i="13"/>
  <c r="O24" i="13"/>
  <c r="H66" i="13"/>
  <c r="R21" i="13"/>
  <c r="H60" i="13"/>
  <c r="W38" i="12"/>
  <c r="R27" i="13"/>
  <c r="U27" i="13"/>
  <c r="M32" i="13"/>
  <c r="P7" i="13"/>
  <c r="O9" i="14"/>
  <c r="I9" i="14"/>
  <c r="H19" i="13"/>
  <c r="R173" i="12"/>
  <c r="N14" i="13"/>
  <c r="S14" i="13"/>
  <c r="O7" i="13"/>
  <c r="Q33" i="13"/>
  <c r="N51" i="13"/>
  <c r="Q68" i="13"/>
  <c r="Q78" i="13"/>
  <c r="Q9" i="14"/>
  <c r="H44" i="13"/>
  <c r="T62" i="13"/>
  <c r="H54" i="13"/>
  <c r="W9" i="14"/>
  <c r="R7" i="12"/>
  <c r="H38" i="12"/>
  <c r="H3" i="12"/>
  <c r="H27" i="13"/>
  <c r="J22" i="14"/>
  <c r="M78" i="13"/>
  <c r="S21" i="13"/>
  <c r="T3" i="13"/>
  <c r="T27" i="13"/>
  <c r="U54" i="13"/>
  <c r="M62" i="13"/>
  <c r="M66" i="13"/>
  <c r="O83" i="13"/>
  <c r="S21" i="14"/>
  <c r="M42" i="14"/>
  <c r="H43" i="14"/>
  <c r="J42" i="14"/>
  <c r="Q27" i="13"/>
  <c r="S27" i="13"/>
  <c r="Q66" i="13"/>
  <c r="Q81" i="13"/>
  <c r="U66" i="13"/>
  <c r="O8" i="12"/>
  <c r="R8" i="12"/>
  <c r="J21" i="13"/>
  <c r="M21" i="13"/>
  <c r="J27" i="13"/>
  <c r="M37" i="13"/>
  <c r="N37" i="13"/>
  <c r="P51" i="13"/>
  <c r="N21" i="14"/>
  <c r="M9" i="14"/>
  <c r="M70" i="13"/>
  <c r="R10" i="12"/>
  <c r="O27" i="13"/>
  <c r="U21" i="13"/>
  <c r="Q51" i="13"/>
  <c r="M81" i="13"/>
  <c r="U9" i="14"/>
  <c r="O5" i="15"/>
  <c r="U37" i="13"/>
  <c r="M21" i="14"/>
  <c r="N27" i="13"/>
  <c r="H12" i="13"/>
  <c r="N21" i="13"/>
  <c r="R15" i="13"/>
  <c r="H51" i="13"/>
  <c r="M58" i="13"/>
  <c r="P67" i="13"/>
  <c r="M30" i="14"/>
  <c r="H9" i="14"/>
  <c r="T5" i="15"/>
  <c r="W21" i="13"/>
  <c r="W7" i="13"/>
  <c r="R38" i="14"/>
  <c r="P27" i="13"/>
  <c r="T21" i="13"/>
  <c r="R12" i="13"/>
  <c r="S9" i="14"/>
  <c r="J39" i="13"/>
  <c r="Q62" i="13"/>
  <c r="P9" i="14"/>
  <c r="T2" i="14"/>
  <c r="N26" i="14"/>
  <c r="J9" i="14"/>
  <c r="Q5" i="15"/>
  <c r="Q6" i="12"/>
  <c r="M24" i="12"/>
  <c r="J29" i="14"/>
  <c r="H10" i="12"/>
  <c r="P37" i="12"/>
  <c r="Q24" i="12"/>
  <c r="U10" i="12"/>
  <c r="N36" i="12"/>
  <c r="P174" i="12"/>
  <c r="R18" i="13"/>
  <c r="O2" i="13"/>
  <c r="H8" i="13"/>
  <c r="J3" i="13"/>
  <c r="O10" i="13"/>
  <c r="O8" i="13"/>
  <c r="O37" i="13"/>
  <c r="P58" i="13"/>
  <c r="H78" i="13"/>
  <c r="H81" i="13"/>
  <c r="O78" i="13"/>
  <c r="O21" i="14"/>
  <c r="M8" i="14"/>
  <c r="N78" i="13"/>
  <c r="H21" i="13"/>
  <c r="M2" i="13"/>
  <c r="U2" i="13"/>
  <c r="M38" i="12"/>
  <c r="O12" i="12"/>
  <c r="H197" i="12"/>
  <c r="M14" i="13"/>
  <c r="R2" i="13"/>
  <c r="S23" i="13"/>
  <c r="R37" i="13"/>
  <c r="R78" i="13"/>
  <c r="N13" i="13"/>
  <c r="Q175" i="12"/>
  <c r="H49" i="13"/>
  <c r="T12" i="12"/>
  <c r="P12" i="12"/>
  <c r="O38" i="12"/>
  <c r="N12" i="12"/>
  <c r="R24" i="13"/>
  <c r="P13" i="13"/>
  <c r="U14" i="13"/>
  <c r="H37" i="13"/>
  <c r="R58" i="13"/>
  <c r="R71" i="13"/>
  <c r="R79" i="13"/>
  <c r="S78" i="13"/>
  <c r="R5" i="15"/>
  <c r="J78" i="13"/>
  <c r="S175" i="12"/>
  <c r="U18" i="13"/>
  <c r="H35" i="12"/>
  <c r="H19" i="12"/>
  <c r="J10" i="12"/>
  <c r="N38" i="12"/>
  <c r="P35" i="13"/>
  <c r="R14" i="13"/>
  <c r="M24" i="13"/>
  <c r="N2" i="13"/>
  <c r="P14" i="13"/>
  <c r="H26" i="13"/>
  <c r="N39" i="13"/>
  <c r="P49" i="13"/>
  <c r="Q37" i="13"/>
  <c r="N81" i="13"/>
  <c r="P78" i="13"/>
  <c r="H21" i="14"/>
  <c r="S31" i="14"/>
  <c r="J4" i="14"/>
  <c r="J12" i="13"/>
  <c r="U15" i="13"/>
  <c r="H22" i="14"/>
  <c r="W43" i="14"/>
  <c r="P71" i="13"/>
  <c r="P22" i="14"/>
  <c r="J24" i="12"/>
  <c r="S24" i="12"/>
  <c r="N21" i="12"/>
  <c r="Q196" i="12"/>
  <c r="P23" i="13"/>
  <c r="O14" i="13"/>
  <c r="T14" i="13"/>
  <c r="Q14" i="13"/>
  <c r="O15" i="13"/>
  <c r="S7" i="13"/>
  <c r="Q10" i="13"/>
  <c r="U50" i="13"/>
  <c r="P62" i="13"/>
  <c r="O70" i="13"/>
  <c r="O73" i="13"/>
  <c r="R77" i="13"/>
  <c r="N80" i="13"/>
  <c r="W66" i="13"/>
  <c r="U43" i="14"/>
  <c r="T22" i="14"/>
  <c r="T43" i="14"/>
  <c r="M9" i="15"/>
  <c r="O4" i="15"/>
  <c r="W39" i="14"/>
  <c r="W25" i="14"/>
  <c r="H76" i="13"/>
  <c r="U62" i="13"/>
  <c r="P12" i="13"/>
  <c r="M74" i="13"/>
  <c r="P43" i="14"/>
  <c r="Q77" i="13"/>
  <c r="W42" i="14"/>
  <c r="S10" i="13"/>
  <c r="T15" i="13"/>
  <c r="N50" i="13"/>
  <c r="M43" i="14"/>
  <c r="H10" i="13"/>
  <c r="H27" i="12"/>
  <c r="R3" i="12"/>
  <c r="N11" i="12"/>
  <c r="Q27" i="12"/>
  <c r="N173" i="12"/>
  <c r="P15" i="13"/>
  <c r="M23" i="13"/>
  <c r="O13" i="13"/>
  <c r="J14" i="13"/>
  <c r="H14" i="13"/>
  <c r="H30" i="13"/>
  <c r="J15" i="13"/>
  <c r="M26" i="13"/>
  <c r="S50" i="13"/>
  <c r="H62" i="13"/>
  <c r="S74" i="13"/>
  <c r="H30" i="14"/>
  <c r="S43" i="14"/>
  <c r="O31" i="14"/>
  <c r="U35" i="14"/>
  <c r="S5" i="15"/>
  <c r="S62" i="13"/>
  <c r="W3" i="13"/>
  <c r="J43" i="14"/>
  <c r="O77" i="13"/>
  <c r="R43" i="14"/>
  <c r="O25" i="12"/>
  <c r="R27" i="12"/>
  <c r="H196" i="12"/>
  <c r="R10" i="13"/>
  <c r="J10" i="13"/>
  <c r="M15" i="13"/>
  <c r="N74" i="13"/>
  <c r="S30" i="13"/>
  <c r="N41" i="13"/>
  <c r="J27" i="12"/>
  <c r="H21" i="12"/>
  <c r="H24" i="12"/>
  <c r="U21" i="12"/>
  <c r="T24" i="12"/>
  <c r="Q3" i="12"/>
  <c r="T27" i="12"/>
  <c r="Q173" i="12"/>
  <c r="M13" i="13"/>
  <c r="N7" i="13"/>
  <c r="Q7" i="13"/>
  <c r="M10" i="13"/>
  <c r="R50" i="13"/>
  <c r="H50" i="13"/>
  <c r="R62" i="13"/>
  <c r="R70" i="13"/>
  <c r="N43" i="14"/>
  <c r="Q22" i="14"/>
  <c r="O43" i="14"/>
  <c r="H7" i="13"/>
  <c r="M30" i="13"/>
  <c r="N10" i="13"/>
  <c r="W2" i="13"/>
  <c r="S15" i="13"/>
  <c r="J23" i="13"/>
  <c r="N62" i="13"/>
  <c r="Q43" i="14"/>
  <c r="O37" i="12"/>
  <c r="R6" i="12"/>
  <c r="O24" i="12"/>
  <c r="M3" i="12"/>
  <c r="P6" i="12"/>
  <c r="Q25" i="13"/>
  <c r="Q15" i="13"/>
  <c r="U13" i="13"/>
  <c r="U10" i="13"/>
  <c r="T7" i="13"/>
  <c r="P10" i="13"/>
  <c r="H15" i="13"/>
  <c r="Q50" i="13"/>
  <c r="T50" i="13"/>
  <c r="P70" i="13"/>
  <c r="M80" i="13"/>
  <c r="U77" i="13"/>
  <c r="M22" i="14"/>
  <c r="I43" i="14"/>
  <c r="N30" i="14"/>
  <c r="U80" i="13"/>
  <c r="S4" i="12"/>
  <c r="J24" i="13"/>
  <c r="S29" i="13"/>
  <c r="U24" i="13"/>
  <c r="J2" i="13"/>
  <c r="H38" i="13"/>
  <c r="N49" i="13"/>
  <c r="S72" i="13"/>
  <c r="I30" i="14"/>
  <c r="W34" i="14"/>
  <c r="H2" i="13"/>
  <c r="J34" i="12"/>
  <c r="U3" i="12"/>
  <c r="T17" i="12"/>
  <c r="O4" i="12"/>
  <c r="M196" i="12"/>
  <c r="P196" i="12"/>
  <c r="M25" i="12"/>
  <c r="R3" i="13"/>
  <c r="T29" i="13"/>
  <c r="N24" i="13"/>
  <c r="H24" i="13"/>
  <c r="Q54" i="13"/>
  <c r="N54" i="13"/>
  <c r="O51" i="13"/>
  <c r="O72" i="13"/>
  <c r="H80" i="13"/>
  <c r="S80" i="13"/>
  <c r="U68" i="13"/>
  <c r="R30" i="14"/>
  <c r="S26" i="14"/>
  <c r="O42" i="14"/>
  <c r="U22" i="14"/>
  <c r="I26" i="14"/>
  <c r="T30" i="14"/>
  <c r="T21" i="14"/>
  <c r="W196" i="12"/>
  <c r="J80" i="13"/>
  <c r="J43" i="13"/>
  <c r="H72" i="13"/>
  <c r="J4" i="12"/>
  <c r="S20" i="13"/>
  <c r="T2" i="13"/>
  <c r="P30" i="14"/>
  <c r="H4" i="12"/>
  <c r="H17" i="12"/>
  <c r="H7" i="12"/>
  <c r="H15" i="12"/>
  <c r="W6" i="12"/>
  <c r="P20" i="12"/>
  <c r="S17" i="12"/>
  <c r="Q20" i="12"/>
  <c r="S34" i="12"/>
  <c r="T196" i="12"/>
  <c r="S196" i="12"/>
  <c r="S18" i="13"/>
  <c r="J35" i="13"/>
  <c r="H20" i="13"/>
  <c r="U3" i="13"/>
  <c r="T49" i="13"/>
  <c r="U43" i="13"/>
  <c r="T37" i="13"/>
  <c r="O66" i="13"/>
  <c r="H68" i="13"/>
  <c r="P72" i="13"/>
  <c r="R80" i="13"/>
  <c r="O80" i="13"/>
  <c r="T72" i="13"/>
  <c r="S30" i="14"/>
  <c r="S42" i="14"/>
  <c r="S22" i="14"/>
  <c r="Q34" i="14"/>
  <c r="N22" i="14"/>
  <c r="J30" i="14"/>
  <c r="U30" i="14"/>
  <c r="O30" i="14"/>
  <c r="W26" i="14"/>
  <c r="J49" i="13"/>
  <c r="W54" i="13"/>
  <c r="M72" i="13"/>
  <c r="Q36" i="13"/>
  <c r="Q24" i="13"/>
  <c r="Q72" i="13"/>
  <c r="R72" i="13"/>
  <c r="N34" i="14"/>
  <c r="W8" i="12"/>
  <c r="W12" i="12"/>
  <c r="W33" i="12"/>
  <c r="O196" i="12"/>
  <c r="H3" i="13"/>
  <c r="S2" i="13"/>
  <c r="N3" i="13"/>
  <c r="P24" i="13"/>
  <c r="T43" i="13"/>
  <c r="S49" i="13"/>
  <c r="R43" i="13"/>
  <c r="S37" i="13"/>
  <c r="M49" i="13"/>
  <c r="T54" i="13"/>
  <c r="T51" i="13"/>
  <c r="R51" i="13"/>
  <c r="R66" i="13"/>
  <c r="M68" i="13"/>
  <c r="U72" i="13"/>
  <c r="I42" i="14"/>
  <c r="O22" i="14"/>
  <c r="Q38" i="14"/>
  <c r="R22" i="14"/>
  <c r="R17" i="12"/>
  <c r="W9" i="12"/>
  <c r="Q17" i="12"/>
  <c r="S24" i="13"/>
  <c r="U35" i="13"/>
  <c r="O49" i="13"/>
  <c r="U49" i="13"/>
  <c r="R67" i="13"/>
  <c r="J25" i="12"/>
  <c r="R30" i="12"/>
  <c r="O3" i="12"/>
  <c r="M36" i="13"/>
  <c r="O3" i="13"/>
  <c r="O9" i="13"/>
  <c r="N4" i="13"/>
  <c r="S43" i="13"/>
  <c r="Q49" i="13"/>
  <c r="P54" i="13"/>
  <c r="M51" i="13"/>
  <c r="N66" i="13"/>
  <c r="O68" i="13"/>
  <c r="Q80" i="13"/>
  <c r="P80" i="13"/>
  <c r="S66" i="13"/>
  <c r="T42" i="14"/>
  <c r="P38" i="14"/>
  <c r="Q42" i="14"/>
  <c r="J51" i="13"/>
  <c r="W35" i="14"/>
  <c r="J30" i="13"/>
  <c r="N47" i="13"/>
  <c r="H35" i="14"/>
  <c r="O30" i="13"/>
  <c r="M39" i="13"/>
  <c r="M41" i="13"/>
  <c r="N198" i="12"/>
  <c r="M4" i="13"/>
  <c r="T39" i="13"/>
  <c r="M47" i="13"/>
  <c r="R31" i="14"/>
  <c r="N14" i="14"/>
  <c r="H39" i="12"/>
  <c r="J18" i="12"/>
  <c r="H33" i="12"/>
  <c r="H6" i="12"/>
  <c r="N19" i="12"/>
  <c r="N6" i="12"/>
  <c r="T26" i="12"/>
  <c r="W26" i="12"/>
  <c r="S3" i="12"/>
  <c r="R39" i="12"/>
  <c r="T18" i="12"/>
  <c r="M6" i="12"/>
  <c r="N15" i="12"/>
  <c r="R12" i="12"/>
  <c r="J32" i="13"/>
  <c r="Q32" i="13"/>
  <c r="R13" i="13"/>
  <c r="J13" i="13"/>
  <c r="O18" i="13"/>
  <c r="H32" i="13"/>
  <c r="P30" i="13"/>
  <c r="N29" i="13"/>
  <c r="H29" i="13"/>
  <c r="O41" i="13"/>
  <c r="U40" i="13"/>
  <c r="P47" i="13"/>
  <c r="T47" i="13"/>
  <c r="S39" i="13"/>
  <c r="O67" i="13"/>
  <c r="W60" i="13"/>
  <c r="R34" i="14"/>
  <c r="O34" i="14"/>
  <c r="M31" i="14"/>
  <c r="S5" i="14"/>
  <c r="I35" i="14"/>
  <c r="O35" i="14"/>
  <c r="S14" i="14"/>
  <c r="T35" i="14"/>
  <c r="Q31" i="14"/>
  <c r="M5" i="14"/>
  <c r="M34" i="14"/>
  <c r="Q5" i="14"/>
  <c r="U34" i="14"/>
  <c r="S4" i="15"/>
  <c r="J47" i="13"/>
  <c r="H18" i="13"/>
  <c r="U32" i="13"/>
  <c r="U39" i="13"/>
  <c r="O5" i="14"/>
  <c r="S39" i="12"/>
  <c r="Q15" i="12"/>
  <c r="Q28" i="13"/>
  <c r="P39" i="13"/>
  <c r="T26" i="14"/>
  <c r="P17" i="12"/>
  <c r="U30" i="13"/>
  <c r="P41" i="13"/>
  <c r="P40" i="13"/>
  <c r="S47" i="13"/>
  <c r="N60" i="13"/>
  <c r="R81" i="13"/>
  <c r="U60" i="13"/>
  <c r="R5" i="14"/>
  <c r="J39" i="12"/>
  <c r="J33" i="12"/>
  <c r="J6" i="12"/>
  <c r="M12" i="12"/>
  <c r="M15" i="12"/>
  <c r="N41" i="12"/>
  <c r="N39" i="12"/>
  <c r="S26" i="12"/>
  <c r="N3" i="12"/>
  <c r="P39" i="12"/>
  <c r="O17" i="12"/>
  <c r="T6" i="12"/>
  <c r="S33" i="12"/>
  <c r="R19" i="12"/>
  <c r="S22" i="12"/>
  <c r="U6" i="12"/>
  <c r="J20" i="13"/>
  <c r="H13" i="13"/>
  <c r="T18" i="13"/>
  <c r="Q18" i="13"/>
  <c r="S41" i="13"/>
  <c r="R39" i="13"/>
  <c r="O47" i="13"/>
  <c r="O39" i="13"/>
  <c r="H58" i="13"/>
  <c r="P60" i="13"/>
  <c r="N58" i="13"/>
  <c r="N67" i="13"/>
  <c r="R60" i="13"/>
  <c r="S67" i="13"/>
  <c r="H34" i="14"/>
  <c r="R26" i="14"/>
  <c r="I31" i="14"/>
  <c r="U31" i="14"/>
  <c r="I21" i="14"/>
  <c r="T5" i="14"/>
  <c r="J35" i="14"/>
  <c r="J34" i="14"/>
  <c r="P35" i="14"/>
  <c r="H31" i="14"/>
  <c r="J26" i="14"/>
  <c r="I5" i="14"/>
  <c r="W51" i="13"/>
  <c r="W58" i="13"/>
  <c r="W31" i="14"/>
  <c r="T30" i="13"/>
  <c r="H39" i="13"/>
  <c r="S60" i="13"/>
  <c r="W33" i="14"/>
  <c r="N32" i="13"/>
  <c r="U47" i="13"/>
  <c r="J31" i="14"/>
  <c r="J5" i="14"/>
  <c r="S35" i="14"/>
  <c r="J17" i="12"/>
  <c r="S15" i="12"/>
  <c r="T3" i="12"/>
  <c r="T15" i="12"/>
  <c r="O32" i="13"/>
  <c r="T34" i="13"/>
  <c r="Q60" i="13"/>
  <c r="S81" i="13"/>
  <c r="N36" i="14"/>
  <c r="H12" i="12"/>
  <c r="R26" i="12"/>
  <c r="M39" i="12"/>
  <c r="O6" i="12"/>
  <c r="S13" i="13"/>
  <c r="Q13" i="13"/>
  <c r="Q30" i="13"/>
  <c r="O29" i="13"/>
  <c r="R11" i="13"/>
  <c r="N18" i="13"/>
  <c r="R41" i="13"/>
  <c r="Q39" i="13"/>
  <c r="H47" i="13"/>
  <c r="R47" i="13"/>
  <c r="Q58" i="13"/>
  <c r="Q52" i="13"/>
  <c r="O58" i="13"/>
  <c r="H67" i="13"/>
  <c r="W50" i="13"/>
  <c r="T82" i="13"/>
  <c r="P34" i="14"/>
  <c r="H26" i="14"/>
  <c r="T31" i="14"/>
  <c r="R35" i="14"/>
  <c r="N5" i="14"/>
  <c r="P4" i="14"/>
  <c r="O26" i="14"/>
  <c r="I34" i="14"/>
  <c r="M26" i="14"/>
  <c r="T10" i="15"/>
  <c r="W197" i="12"/>
  <c r="W27" i="14"/>
  <c r="W20" i="14"/>
  <c r="W24" i="14"/>
  <c r="T60" i="13"/>
  <c r="W30" i="14"/>
  <c r="W15" i="12"/>
  <c r="P31" i="14"/>
  <c r="H5" i="14"/>
  <c r="R15" i="12"/>
  <c r="Q39" i="12"/>
  <c r="N30" i="13"/>
  <c r="Q26" i="14"/>
  <c r="J15" i="12"/>
  <c r="M26" i="12"/>
  <c r="U39" i="12"/>
  <c r="Q67" i="13"/>
  <c r="N35" i="14"/>
  <c r="J14" i="14"/>
  <c r="J23" i="12"/>
  <c r="J12" i="12"/>
  <c r="M17" i="12"/>
  <c r="P3" i="12"/>
  <c r="U17" i="12"/>
  <c r="W23" i="12"/>
  <c r="P15" i="12"/>
  <c r="U15" i="12"/>
  <c r="S14" i="12"/>
  <c r="T39" i="12"/>
  <c r="U12" i="12"/>
  <c r="N197" i="12"/>
  <c r="P18" i="13"/>
  <c r="U11" i="13"/>
  <c r="P32" i="13"/>
  <c r="T32" i="13"/>
  <c r="U16" i="13"/>
  <c r="Q9" i="13"/>
  <c r="J18" i="13"/>
  <c r="O50" i="13"/>
  <c r="M60" i="13"/>
  <c r="W74" i="13"/>
  <c r="S34" i="14"/>
  <c r="T28" i="14"/>
  <c r="P26" i="14"/>
  <c r="M35" i="14"/>
  <c r="U5" i="14"/>
  <c r="P21" i="14"/>
  <c r="T34" i="14"/>
  <c r="J21" i="14"/>
  <c r="U26" i="14"/>
  <c r="W22" i="14"/>
  <c r="P7" i="12"/>
  <c r="N36" i="13"/>
  <c r="Q57" i="13"/>
  <c r="U7" i="12"/>
  <c r="N23" i="12"/>
  <c r="O172" i="12"/>
  <c r="O23" i="13"/>
  <c r="P36" i="13"/>
  <c r="H65" i="13"/>
  <c r="Q74" i="13"/>
  <c r="H29" i="12"/>
  <c r="O2" i="12"/>
  <c r="J21" i="12"/>
  <c r="J11" i="12"/>
  <c r="T28" i="12"/>
  <c r="P21" i="12"/>
  <c r="R22" i="12"/>
  <c r="O29" i="12"/>
  <c r="P24" i="12"/>
  <c r="T7" i="12"/>
  <c r="S16" i="12"/>
  <c r="O32" i="12"/>
  <c r="W10" i="12"/>
  <c r="U22" i="12"/>
  <c r="U36" i="12"/>
  <c r="N37" i="12"/>
  <c r="P173" i="12"/>
  <c r="R175" i="12"/>
  <c r="P20" i="13"/>
  <c r="T20" i="13"/>
  <c r="H36" i="13"/>
  <c r="S25" i="13"/>
  <c r="R8" i="13"/>
  <c r="Q20" i="13"/>
  <c r="H23" i="13"/>
  <c r="R53" i="13"/>
  <c r="H61" i="13"/>
  <c r="N70" i="13"/>
  <c r="P76" i="13"/>
  <c r="P27" i="14"/>
  <c r="S4" i="14"/>
  <c r="R6" i="14"/>
  <c r="W44" i="13"/>
  <c r="P19" i="13"/>
  <c r="N79" i="13"/>
  <c r="S29" i="12"/>
  <c r="O22" i="12"/>
  <c r="R36" i="13"/>
  <c r="J36" i="13"/>
  <c r="I7" i="14"/>
  <c r="H7" i="14"/>
  <c r="H8" i="12"/>
  <c r="J22" i="12"/>
  <c r="H30" i="12"/>
  <c r="M2" i="12"/>
  <c r="N30" i="12"/>
  <c r="P29" i="12"/>
  <c r="O175" i="12"/>
  <c r="P8" i="13"/>
  <c r="R20" i="13"/>
  <c r="T38" i="14"/>
  <c r="I9" i="15"/>
  <c r="H2" i="12"/>
  <c r="T36" i="12"/>
  <c r="Q22" i="12"/>
  <c r="S21" i="12"/>
  <c r="U29" i="12"/>
  <c r="U24" i="12"/>
  <c r="T29" i="12"/>
  <c r="Q11" i="12"/>
  <c r="S32" i="12"/>
  <c r="N28" i="12"/>
  <c r="M37" i="12"/>
  <c r="M22" i="12"/>
  <c r="M30" i="12"/>
  <c r="S173" i="12"/>
  <c r="M173" i="12"/>
  <c r="N23" i="13"/>
  <c r="J19" i="13"/>
  <c r="N20" i="13"/>
  <c r="O25" i="13"/>
  <c r="T25" i="13"/>
  <c r="U8" i="13"/>
  <c r="Q23" i="13"/>
  <c r="M61" i="13"/>
  <c r="H70" i="13"/>
  <c r="R74" i="13"/>
  <c r="M27" i="14"/>
  <c r="H28" i="14"/>
  <c r="R11" i="15"/>
  <c r="J30" i="12"/>
  <c r="I4" i="14"/>
  <c r="H22" i="12"/>
  <c r="N22" i="12"/>
  <c r="S8" i="12"/>
  <c r="Q37" i="12"/>
  <c r="S28" i="12"/>
  <c r="S38" i="14"/>
  <c r="O10" i="12"/>
  <c r="P22" i="12"/>
  <c r="R23" i="13"/>
  <c r="O76" i="13"/>
  <c r="U7" i="14"/>
  <c r="O27" i="14"/>
  <c r="H27" i="14"/>
  <c r="J32" i="12"/>
  <c r="M28" i="12"/>
  <c r="Q2" i="12"/>
  <c r="H23" i="12"/>
  <c r="J29" i="12"/>
  <c r="M36" i="12"/>
  <c r="U37" i="12"/>
  <c r="W19" i="12"/>
  <c r="R23" i="12"/>
  <c r="U23" i="12"/>
  <c r="M29" i="12"/>
  <c r="R32" i="12"/>
  <c r="W11" i="12"/>
  <c r="P32" i="12"/>
  <c r="P30" i="12"/>
  <c r="T30" i="12"/>
  <c r="O28" i="12"/>
  <c r="N8" i="12"/>
  <c r="S37" i="12"/>
  <c r="W22" i="12"/>
  <c r="N24" i="12"/>
  <c r="S172" i="12"/>
  <c r="S36" i="13"/>
  <c r="O20" i="13"/>
  <c r="M25" i="13"/>
  <c r="R19" i="13"/>
  <c r="U23" i="13"/>
  <c r="Q70" i="13"/>
  <c r="P74" i="13"/>
  <c r="H79" i="13"/>
  <c r="W57" i="13"/>
  <c r="U27" i="14"/>
  <c r="S40" i="14"/>
  <c r="I38" i="14"/>
  <c r="J38" i="14"/>
  <c r="S27" i="14"/>
  <c r="H4" i="13"/>
  <c r="Q29" i="12"/>
  <c r="H172" i="12"/>
  <c r="U30" i="12"/>
  <c r="U36" i="13"/>
  <c r="U20" i="13"/>
  <c r="H25" i="13"/>
  <c r="M32" i="12"/>
  <c r="O173" i="12"/>
  <c r="O36" i="13"/>
  <c r="R25" i="13"/>
  <c r="H37" i="12"/>
  <c r="S23" i="12"/>
  <c r="J37" i="12"/>
  <c r="W7" i="12"/>
  <c r="O21" i="12"/>
  <c r="Q30" i="12"/>
  <c r="M21" i="12"/>
  <c r="S11" i="12"/>
  <c r="U32" i="12"/>
  <c r="T21" i="12"/>
  <c r="S20" i="12"/>
  <c r="R37" i="12"/>
  <c r="N20" i="12"/>
  <c r="R36" i="12"/>
  <c r="W17" i="12"/>
  <c r="H173" i="12"/>
  <c r="J25" i="13"/>
  <c r="T36" i="13"/>
  <c r="P25" i="13"/>
  <c r="N25" i="13"/>
  <c r="T23" i="13"/>
  <c r="J8" i="13"/>
  <c r="Q73" i="13"/>
  <c r="Q21" i="14"/>
  <c r="O38" i="14"/>
  <c r="H10" i="15"/>
  <c r="W13" i="13"/>
  <c r="W173" i="12"/>
  <c r="W38" i="14"/>
  <c r="W5" i="13"/>
  <c r="S5" i="13"/>
  <c r="R5" i="13"/>
  <c r="T5" i="13"/>
  <c r="P5" i="13"/>
  <c r="U31" i="12"/>
  <c r="N31" i="12"/>
  <c r="J33" i="13"/>
  <c r="Q5" i="13"/>
  <c r="N13" i="12"/>
  <c r="M13" i="12"/>
  <c r="Q13" i="12"/>
  <c r="R13" i="12"/>
  <c r="O13" i="12"/>
  <c r="J13" i="12"/>
  <c r="Q63" i="13"/>
  <c r="O63" i="13"/>
  <c r="N55" i="13"/>
  <c r="J55" i="13"/>
  <c r="P55" i="13"/>
  <c r="U55" i="13"/>
  <c r="H55" i="13"/>
  <c r="W55" i="13"/>
  <c r="Q55" i="13"/>
  <c r="R31" i="12"/>
  <c r="Q38" i="13"/>
  <c r="R63" i="13"/>
  <c r="H82" i="13"/>
  <c r="H18" i="12"/>
  <c r="W18" i="12"/>
  <c r="S18" i="12"/>
  <c r="M18" i="12"/>
  <c r="H4" i="15"/>
  <c r="N4" i="15"/>
  <c r="R4" i="15"/>
  <c r="U4" i="15"/>
  <c r="M4" i="15"/>
  <c r="W38" i="13"/>
  <c r="O56" i="13"/>
  <c r="R56" i="13"/>
  <c r="Q56" i="13"/>
  <c r="P56" i="13"/>
  <c r="W56" i="13"/>
  <c r="M56" i="13"/>
  <c r="J31" i="12"/>
  <c r="P33" i="13"/>
  <c r="J38" i="13"/>
  <c r="J40" i="14"/>
  <c r="W40" i="14"/>
  <c r="Q40" i="14"/>
  <c r="P40" i="14"/>
  <c r="R40" i="14"/>
  <c r="O12" i="13"/>
  <c r="Q12" i="13"/>
  <c r="N12" i="13"/>
  <c r="T12" i="13"/>
  <c r="N56" i="13"/>
  <c r="T19" i="14"/>
  <c r="S19" i="14"/>
  <c r="R19" i="14"/>
  <c r="P29" i="13"/>
  <c r="U29" i="13"/>
  <c r="M29" i="13"/>
  <c r="W27" i="13"/>
  <c r="R29" i="13"/>
  <c r="W26" i="13"/>
  <c r="Q31" i="13"/>
  <c r="M31" i="13"/>
  <c r="R31" i="13"/>
  <c r="N31" i="13"/>
  <c r="W31" i="13"/>
  <c r="U31" i="13"/>
  <c r="S31" i="13"/>
  <c r="O31" i="13"/>
  <c r="J5" i="13"/>
  <c r="R45" i="13"/>
  <c r="O45" i="13"/>
  <c r="J45" i="13"/>
  <c r="N45" i="13"/>
  <c r="U45" i="13"/>
  <c r="Q46" i="13"/>
  <c r="U46" i="13"/>
  <c r="R38" i="13"/>
  <c r="T38" i="13"/>
  <c r="S38" i="13"/>
  <c r="M38" i="13"/>
  <c r="P38" i="13"/>
  <c r="N38" i="13"/>
  <c r="T33" i="13"/>
  <c r="W33" i="13"/>
  <c r="S33" i="13"/>
  <c r="R33" i="13"/>
  <c r="H33" i="13"/>
  <c r="O33" i="13"/>
  <c r="N33" i="13"/>
  <c r="P26" i="13"/>
  <c r="T26" i="13"/>
  <c r="U26" i="13"/>
  <c r="J26" i="13"/>
  <c r="N26" i="13"/>
  <c r="O26" i="13"/>
  <c r="Q45" i="13"/>
  <c r="H13" i="12"/>
  <c r="S13" i="12"/>
  <c r="M12" i="13"/>
  <c r="R26" i="13"/>
  <c r="U33" i="13"/>
  <c r="T31" i="13"/>
  <c r="U38" i="13"/>
  <c r="M79" i="13"/>
  <c r="Q79" i="13"/>
  <c r="P79" i="13"/>
  <c r="T19" i="13"/>
  <c r="O19" i="13"/>
  <c r="Q19" i="13"/>
  <c r="M19" i="13"/>
  <c r="U19" i="13"/>
  <c r="N19" i="13"/>
  <c r="H4" i="14"/>
  <c r="U4" i="14"/>
  <c r="N4" i="14"/>
  <c r="R4" i="14"/>
  <c r="T4" i="14"/>
  <c r="M4" i="14"/>
  <c r="O4" i="14"/>
  <c r="Q4" i="14"/>
  <c r="T3" i="15"/>
  <c r="N3" i="15"/>
  <c r="U3" i="15"/>
  <c r="P3" i="15"/>
  <c r="H3" i="15"/>
  <c r="J3" i="15"/>
  <c r="M3" i="15"/>
  <c r="O31" i="12"/>
  <c r="T31" i="12"/>
  <c r="M31" i="12"/>
  <c r="P31" i="12"/>
  <c r="Q31" i="12"/>
  <c r="S31" i="12"/>
  <c r="O5" i="13"/>
  <c r="O44" i="13"/>
  <c r="P44" i="13"/>
  <c r="M35" i="13"/>
  <c r="T35" i="13"/>
  <c r="W35" i="13"/>
  <c r="R35" i="13"/>
  <c r="N35" i="13"/>
  <c r="S35" i="13"/>
  <c r="H35" i="13"/>
  <c r="T13" i="12"/>
  <c r="P13" i="12"/>
  <c r="O35" i="13"/>
  <c r="S26" i="13"/>
  <c r="N5" i="13"/>
  <c r="U12" i="13"/>
  <c r="M5" i="13"/>
  <c r="S45" i="13"/>
  <c r="Q44" i="13"/>
  <c r="W29" i="14"/>
  <c r="T29" i="14"/>
  <c r="O29" i="14"/>
  <c r="W28" i="12"/>
  <c r="U28" i="12"/>
  <c r="R28" i="12"/>
  <c r="W27" i="12"/>
  <c r="Q28" i="12"/>
  <c r="H28" i="12"/>
  <c r="J28" i="12"/>
  <c r="W24" i="12"/>
  <c r="R65" i="13"/>
  <c r="O65" i="13"/>
  <c r="W65" i="13"/>
  <c r="Q65" i="13"/>
  <c r="P65" i="13"/>
  <c r="M65" i="13"/>
  <c r="M174" i="12"/>
  <c r="H174" i="12"/>
  <c r="O174" i="12"/>
  <c r="N174" i="12"/>
  <c r="T174" i="12"/>
  <c r="S174" i="12"/>
  <c r="Q8" i="12"/>
  <c r="P8" i="12"/>
  <c r="U8" i="12"/>
  <c r="W3" i="12"/>
  <c r="M8" i="12"/>
  <c r="J8" i="12"/>
  <c r="W4" i="12"/>
  <c r="M17" i="13"/>
  <c r="N17" i="13"/>
  <c r="S17" i="13"/>
  <c r="S2" i="12"/>
  <c r="T2" i="12"/>
  <c r="N2" i="12"/>
  <c r="J2" i="12"/>
  <c r="N9" i="15"/>
  <c r="H9" i="15"/>
  <c r="U9" i="15"/>
  <c r="T9" i="15"/>
  <c r="R9" i="15"/>
  <c r="N61" i="13"/>
  <c r="T61" i="13"/>
  <c r="O61" i="13"/>
  <c r="Q61" i="13"/>
  <c r="P61" i="13"/>
  <c r="R61" i="13"/>
  <c r="N7" i="12"/>
  <c r="S7" i="12"/>
  <c r="Q7" i="12"/>
  <c r="J7" i="12"/>
  <c r="M7" i="12"/>
  <c r="T11" i="12"/>
  <c r="S38" i="12"/>
  <c r="Q32" i="12"/>
  <c r="N32" i="12"/>
  <c r="T175" i="12"/>
  <c r="O16" i="13"/>
  <c r="H31" i="13"/>
  <c r="T41" i="13"/>
  <c r="U41" i="13"/>
  <c r="N68" i="13"/>
  <c r="Q76" i="13"/>
  <c r="P77" i="13"/>
  <c r="M83" i="13"/>
  <c r="W78" i="13"/>
  <c r="H38" i="14"/>
  <c r="J50" i="13"/>
  <c r="W21" i="14"/>
  <c r="W30" i="12"/>
  <c r="J79" i="13"/>
  <c r="H36" i="14"/>
  <c r="U11" i="12"/>
  <c r="Q16" i="12"/>
  <c r="P11" i="12"/>
  <c r="R38" i="12"/>
  <c r="S35" i="12"/>
  <c r="U4" i="12"/>
  <c r="M175" i="12"/>
  <c r="J31" i="13"/>
  <c r="J17" i="13"/>
  <c r="J16" i="13"/>
  <c r="H5" i="13"/>
  <c r="J41" i="13"/>
  <c r="P57" i="13"/>
  <c r="R68" i="13"/>
  <c r="N77" i="13"/>
  <c r="T77" i="13"/>
  <c r="S77" i="13"/>
  <c r="Q27" i="14"/>
  <c r="U38" i="14"/>
  <c r="R36" i="14"/>
  <c r="M2" i="15"/>
  <c r="J29" i="13"/>
  <c r="H32" i="12"/>
  <c r="T4" i="12"/>
  <c r="W37" i="12"/>
  <c r="O41" i="12"/>
  <c r="U38" i="12"/>
  <c r="R11" i="12"/>
  <c r="M11" i="12"/>
  <c r="T38" i="12"/>
  <c r="R4" i="12"/>
  <c r="P175" i="12"/>
  <c r="M28" i="13"/>
  <c r="H16" i="13"/>
  <c r="M16" i="13"/>
  <c r="J22" i="13"/>
  <c r="H41" i="13"/>
  <c r="H56" i="13"/>
  <c r="R57" i="13"/>
  <c r="N57" i="13"/>
  <c r="M57" i="13"/>
  <c r="H77" i="13"/>
  <c r="W80" i="13"/>
  <c r="J27" i="14"/>
  <c r="N38" i="14"/>
  <c r="J36" i="14"/>
  <c r="P14" i="14"/>
  <c r="I14" i="14"/>
  <c r="O9" i="15"/>
  <c r="W14" i="13"/>
  <c r="W9" i="15"/>
  <c r="J38" i="12"/>
  <c r="H11" i="12"/>
  <c r="M4" i="12"/>
  <c r="P4" i="12"/>
  <c r="Q38" i="12"/>
  <c r="Q4" i="12"/>
  <c r="N175" i="12"/>
  <c r="J28" i="13"/>
  <c r="J11" i="13"/>
  <c r="H40" i="13"/>
  <c r="H57" i="13"/>
  <c r="O64" i="13"/>
  <c r="T64" i="13"/>
  <c r="R27" i="14"/>
  <c r="N27" i="14"/>
  <c r="I27" i="14"/>
  <c r="J37" i="13"/>
  <c r="S75" i="13"/>
  <c r="U75" i="13"/>
  <c r="T75" i="13"/>
  <c r="R75" i="13"/>
  <c r="M75" i="13"/>
  <c r="P75" i="13"/>
  <c r="R5" i="12"/>
  <c r="N5" i="12"/>
  <c r="M5" i="12"/>
  <c r="T5" i="12"/>
  <c r="U5" i="12"/>
  <c r="P5" i="12"/>
  <c r="H5" i="12"/>
  <c r="T16" i="14"/>
  <c r="M16" i="14"/>
  <c r="U16" i="14"/>
  <c r="H16" i="14"/>
  <c r="P16" i="14"/>
  <c r="I16" i="14"/>
  <c r="O16" i="14"/>
  <c r="W176" i="12"/>
  <c r="W175" i="12"/>
  <c r="S176" i="12"/>
  <c r="W174" i="12"/>
  <c r="P176" i="12"/>
  <c r="T176" i="12"/>
  <c r="Q176" i="12"/>
  <c r="O176" i="12"/>
  <c r="P9" i="12"/>
  <c r="T9" i="12"/>
  <c r="N9" i="12"/>
  <c r="M9" i="12"/>
  <c r="S9" i="12"/>
  <c r="U9" i="12"/>
  <c r="R9" i="12"/>
  <c r="H42" i="13"/>
  <c r="U42" i="13"/>
  <c r="N42" i="13"/>
  <c r="S69" i="13"/>
  <c r="O69" i="13"/>
  <c r="W69" i="13"/>
  <c r="Q69" i="13"/>
  <c r="P69" i="13"/>
  <c r="T69" i="13"/>
  <c r="P46" i="13"/>
  <c r="J46" i="13"/>
  <c r="R46" i="13"/>
  <c r="S46" i="13"/>
  <c r="N46" i="13"/>
  <c r="R6" i="13"/>
  <c r="Q6" i="13"/>
  <c r="N6" i="13"/>
  <c r="O6" i="13"/>
  <c r="W6" i="13"/>
  <c r="W59" i="13"/>
  <c r="T59" i="13"/>
  <c r="M59" i="13"/>
  <c r="P59" i="13"/>
  <c r="H9" i="12"/>
  <c r="Q9" i="12"/>
  <c r="U6" i="13"/>
  <c r="M34" i="13"/>
  <c r="M46" i="13"/>
  <c r="H59" i="13"/>
  <c r="O59" i="13"/>
  <c r="M69" i="13"/>
  <c r="W82" i="13"/>
  <c r="U69" i="13"/>
  <c r="W7" i="15"/>
  <c r="J11" i="15"/>
  <c r="W53" i="13"/>
  <c r="P53" i="13"/>
  <c r="Q53" i="13"/>
  <c r="H53" i="13"/>
  <c r="O53" i="13"/>
  <c r="S53" i="13"/>
  <c r="Q25" i="12"/>
  <c r="P25" i="12"/>
  <c r="W25" i="12"/>
  <c r="R25" i="12"/>
  <c r="T25" i="12"/>
  <c r="S73" i="13"/>
  <c r="M73" i="13"/>
  <c r="R73" i="13"/>
  <c r="N16" i="12"/>
  <c r="T16" i="12"/>
  <c r="U16" i="12"/>
  <c r="O16" i="12"/>
  <c r="M16" i="12"/>
  <c r="U14" i="14"/>
  <c r="Q14" i="14"/>
  <c r="M14" i="14"/>
  <c r="T14" i="14"/>
  <c r="O14" i="14"/>
  <c r="O48" i="13"/>
  <c r="S48" i="13"/>
  <c r="N48" i="13"/>
  <c r="T48" i="13"/>
  <c r="R48" i="13"/>
  <c r="J48" i="13"/>
  <c r="M48" i="13"/>
  <c r="Q48" i="13"/>
  <c r="W40" i="13"/>
  <c r="N40" i="13"/>
  <c r="S40" i="13"/>
  <c r="R40" i="13"/>
  <c r="T40" i="13"/>
  <c r="M40" i="13"/>
  <c r="Q40" i="13"/>
  <c r="M11" i="13"/>
  <c r="N11" i="13"/>
  <c r="S11" i="13"/>
  <c r="W11" i="13"/>
  <c r="Q11" i="13"/>
  <c r="U35" i="12"/>
  <c r="Q35" i="12"/>
  <c r="P35" i="12"/>
  <c r="N35" i="12"/>
  <c r="R35" i="12"/>
  <c r="T35" i="12"/>
  <c r="J9" i="12"/>
  <c r="N25" i="12"/>
  <c r="O33" i="12"/>
  <c r="W31" i="12"/>
  <c r="W16" i="12"/>
  <c r="M41" i="12"/>
  <c r="W41" i="12"/>
  <c r="N176" i="12"/>
  <c r="P11" i="13"/>
  <c r="T11" i="13"/>
  <c r="O42" i="13"/>
  <c r="T46" i="13"/>
  <c r="J53" i="13"/>
  <c r="P64" i="13"/>
  <c r="R69" i="13"/>
  <c r="N73" i="13"/>
  <c r="U59" i="13"/>
  <c r="Q29" i="14"/>
  <c r="R14" i="14"/>
  <c r="J28" i="14"/>
  <c r="O19" i="14"/>
  <c r="W13" i="14"/>
  <c r="W16" i="14"/>
  <c r="W19" i="14"/>
  <c r="W17" i="14"/>
  <c r="W18" i="14"/>
  <c r="W14" i="14"/>
  <c r="W15" i="14"/>
  <c r="Q19" i="14"/>
  <c r="P19" i="14"/>
  <c r="I19" i="14"/>
  <c r="R11" i="14"/>
  <c r="W11" i="14"/>
  <c r="P11" i="14"/>
  <c r="I36" i="14"/>
  <c r="W36" i="14"/>
  <c r="M36" i="14"/>
  <c r="Q36" i="14"/>
  <c r="O36" i="14"/>
  <c r="W6" i="15"/>
  <c r="R10" i="15"/>
  <c r="Q11" i="15"/>
  <c r="W45" i="13"/>
  <c r="T45" i="13"/>
  <c r="M45" i="13"/>
  <c r="P45" i="13"/>
  <c r="O18" i="12"/>
  <c r="Q18" i="12"/>
  <c r="P18" i="12"/>
  <c r="N18" i="12"/>
  <c r="U18" i="12"/>
  <c r="W4" i="15"/>
  <c r="I4" i="15"/>
  <c r="Q4" i="15"/>
  <c r="J4" i="15"/>
  <c r="P4" i="15"/>
  <c r="T4" i="15"/>
  <c r="W5" i="14"/>
  <c r="W4" i="14"/>
  <c r="W3" i="14"/>
  <c r="W6" i="14"/>
  <c r="W7" i="14"/>
  <c r="W2" i="14"/>
  <c r="P7" i="14"/>
  <c r="M7" i="14"/>
  <c r="O7" i="14"/>
  <c r="T7" i="14"/>
  <c r="R7" i="14"/>
  <c r="Q7" i="14"/>
  <c r="N7" i="14"/>
  <c r="N172" i="12"/>
  <c r="T172" i="12"/>
  <c r="M172" i="12"/>
  <c r="R172" i="12"/>
  <c r="T23" i="12"/>
  <c r="O23" i="12"/>
  <c r="Q23" i="12"/>
  <c r="P23" i="12"/>
  <c r="M23" i="12"/>
  <c r="W63" i="13"/>
  <c r="U63" i="13"/>
  <c r="S63" i="13"/>
  <c r="M63" i="13"/>
  <c r="T63" i="13"/>
  <c r="N63" i="13"/>
  <c r="P63" i="13"/>
  <c r="S55" i="13"/>
  <c r="M55" i="13"/>
  <c r="T55" i="13"/>
  <c r="O55" i="13"/>
  <c r="R55" i="13"/>
  <c r="Q5" i="12"/>
  <c r="Q10" i="12"/>
  <c r="M10" i="12"/>
  <c r="T10" i="12"/>
  <c r="N10" i="12"/>
  <c r="P10" i="12"/>
  <c r="S10" i="12"/>
  <c r="W16" i="13"/>
  <c r="R16" i="13"/>
  <c r="T16" i="13"/>
  <c r="Q16" i="13"/>
  <c r="S16" i="13"/>
  <c r="N16" i="13"/>
  <c r="W4" i="13"/>
  <c r="R4" i="13"/>
  <c r="Q4" i="13"/>
  <c r="O4" i="13"/>
  <c r="T4" i="13"/>
  <c r="S4" i="13"/>
  <c r="U4" i="13"/>
  <c r="R44" i="13"/>
  <c r="T44" i="13"/>
  <c r="M44" i="13"/>
  <c r="S44" i="13"/>
  <c r="U44" i="13"/>
  <c r="N44" i="13"/>
  <c r="J44" i="13"/>
  <c r="R176" i="12"/>
  <c r="S6" i="13"/>
  <c r="U40" i="12"/>
  <c r="P40" i="12"/>
  <c r="Q40" i="12"/>
  <c r="O2" i="15"/>
  <c r="P2" i="15"/>
  <c r="T34" i="12"/>
  <c r="O34" i="12"/>
  <c r="N34" i="12"/>
  <c r="R34" i="12"/>
  <c r="W29" i="12"/>
  <c r="W34" i="12"/>
  <c r="W32" i="12"/>
  <c r="M40" i="12"/>
  <c r="M176" i="12"/>
  <c r="R2" i="14"/>
  <c r="U28" i="14"/>
  <c r="Q16" i="14"/>
  <c r="M29" i="14"/>
  <c r="R29" i="14"/>
  <c r="H29" i="14"/>
  <c r="I29" i="14"/>
  <c r="S29" i="14"/>
  <c r="N29" i="14"/>
  <c r="U29" i="14"/>
  <c r="W3" i="15"/>
  <c r="W9" i="13"/>
  <c r="U9" i="13"/>
  <c r="N9" i="13"/>
  <c r="S9" i="13"/>
  <c r="M9" i="13"/>
  <c r="P9" i="13"/>
  <c r="T9" i="13"/>
  <c r="H9" i="13"/>
  <c r="P14" i="12"/>
  <c r="Q14" i="12"/>
  <c r="R14" i="12"/>
  <c r="W14" i="12"/>
  <c r="J14" i="12"/>
  <c r="H14" i="12"/>
  <c r="R20" i="12"/>
  <c r="U20" i="12"/>
  <c r="M20" i="12"/>
  <c r="O20" i="12"/>
  <c r="J20" i="12"/>
  <c r="J35" i="12"/>
  <c r="M34" i="12"/>
  <c r="P16" i="12"/>
  <c r="R40" i="12"/>
  <c r="S41" i="12"/>
  <c r="P34" i="13"/>
  <c r="U34" i="13"/>
  <c r="U48" i="13"/>
  <c r="H52" i="13"/>
  <c r="R52" i="13"/>
  <c r="R28" i="14"/>
  <c r="W5" i="15"/>
  <c r="W172" i="12"/>
  <c r="J41" i="12"/>
  <c r="J16" i="12"/>
  <c r="T20" i="12"/>
  <c r="T33" i="12"/>
  <c r="S40" i="12"/>
  <c r="N14" i="12"/>
  <c r="M35" i="12"/>
  <c r="M14" i="12"/>
  <c r="P6" i="13"/>
  <c r="P42" i="13"/>
  <c r="H48" i="13"/>
  <c r="N53" i="13"/>
  <c r="N59" i="13"/>
  <c r="O75" i="13"/>
  <c r="S59" i="13"/>
  <c r="S16" i="14"/>
  <c r="N26" i="12"/>
  <c r="O26" i="12"/>
  <c r="Q26" i="12"/>
  <c r="P26" i="12"/>
  <c r="U26" i="12"/>
  <c r="T71" i="13"/>
  <c r="S71" i="13"/>
  <c r="U71" i="13"/>
  <c r="N71" i="13"/>
  <c r="M71" i="13"/>
  <c r="Q71" i="13"/>
  <c r="W8" i="13"/>
  <c r="S8" i="13"/>
  <c r="T8" i="13"/>
  <c r="Q8" i="13"/>
  <c r="M8" i="13"/>
  <c r="O19" i="12"/>
  <c r="T19" i="12"/>
  <c r="M19" i="12"/>
  <c r="U19" i="12"/>
  <c r="J19" i="12"/>
  <c r="P19" i="12"/>
  <c r="S19" i="12"/>
  <c r="N2" i="14"/>
  <c r="J2" i="14"/>
  <c r="U2" i="14"/>
  <c r="H2" i="14"/>
  <c r="M2" i="14"/>
  <c r="S2" i="14"/>
  <c r="O2" i="14"/>
  <c r="O5" i="12"/>
  <c r="S42" i="13"/>
  <c r="S28" i="14"/>
  <c r="W28" i="14"/>
  <c r="N28" i="14"/>
  <c r="O28" i="14"/>
  <c r="P28" i="14"/>
  <c r="Q28" i="14"/>
  <c r="I28" i="14"/>
  <c r="Q9" i="15"/>
  <c r="P9" i="15"/>
  <c r="S64" i="13"/>
  <c r="U64" i="13"/>
  <c r="Q64" i="13"/>
  <c r="W64" i="13"/>
  <c r="N64" i="13"/>
  <c r="R64" i="13"/>
  <c r="N34" i="13"/>
  <c r="W34" i="13"/>
  <c r="S34" i="13"/>
  <c r="R34" i="13"/>
  <c r="O34" i="13"/>
  <c r="H34" i="13"/>
  <c r="I11" i="15"/>
  <c r="W10" i="15"/>
  <c r="T11" i="15"/>
  <c r="W11" i="15"/>
  <c r="H11" i="15"/>
  <c r="M11" i="15"/>
  <c r="W52" i="13"/>
  <c r="S52" i="13"/>
  <c r="M52" i="13"/>
  <c r="O52" i="13"/>
  <c r="J52" i="13"/>
  <c r="P52" i="13"/>
  <c r="N52" i="13"/>
  <c r="S28" i="13"/>
  <c r="H28" i="13"/>
  <c r="O28" i="13"/>
  <c r="P28" i="13"/>
  <c r="N28" i="13"/>
  <c r="T41" i="12"/>
  <c r="R41" i="12"/>
  <c r="P41" i="12"/>
  <c r="W40" i="12"/>
  <c r="W39" i="12"/>
  <c r="U41" i="12"/>
  <c r="Q41" i="12"/>
  <c r="U82" i="13"/>
  <c r="N82" i="13"/>
  <c r="M82" i="13"/>
  <c r="R82" i="13"/>
  <c r="P82" i="13"/>
  <c r="Q82" i="13"/>
  <c r="H40" i="12"/>
  <c r="T40" i="12"/>
  <c r="S5" i="12"/>
  <c r="T6" i="13"/>
  <c r="R42" i="13"/>
  <c r="N69" i="13"/>
  <c r="W46" i="13"/>
  <c r="J16" i="14"/>
  <c r="U73" i="13"/>
  <c r="W198" i="12"/>
  <c r="R198" i="12"/>
  <c r="Q198" i="12"/>
  <c r="H198" i="12"/>
  <c r="S198" i="12"/>
  <c r="P198" i="12"/>
  <c r="T198" i="12"/>
  <c r="M33" i="12"/>
  <c r="U33" i="12"/>
  <c r="Q33" i="12"/>
  <c r="P33" i="12"/>
  <c r="N33" i="12"/>
  <c r="U83" i="13"/>
  <c r="W83" i="13"/>
  <c r="T83" i="13"/>
  <c r="W79" i="13"/>
  <c r="W81" i="13"/>
  <c r="P83" i="13"/>
  <c r="S83" i="13"/>
  <c r="Q83" i="13"/>
  <c r="N83" i="13"/>
  <c r="W22" i="13"/>
  <c r="R22" i="13"/>
  <c r="O22" i="13"/>
  <c r="T22" i="13"/>
  <c r="Q22" i="13"/>
  <c r="U22" i="13"/>
  <c r="M22" i="13"/>
  <c r="T76" i="13"/>
  <c r="W76" i="13"/>
  <c r="W71" i="13"/>
  <c r="S76" i="13"/>
  <c r="W75" i="13"/>
  <c r="W73" i="13"/>
  <c r="R76" i="13"/>
  <c r="U76" i="13"/>
  <c r="M76" i="13"/>
  <c r="W72" i="13"/>
  <c r="N76" i="13"/>
  <c r="M10" i="15"/>
  <c r="I10" i="15"/>
  <c r="U10" i="15"/>
  <c r="Q10" i="15"/>
  <c r="S10" i="15"/>
  <c r="J10" i="15"/>
  <c r="O10" i="15"/>
  <c r="W36" i="12"/>
  <c r="O40" i="12"/>
  <c r="O14" i="12"/>
  <c r="N40" i="12"/>
  <c r="M198" i="12"/>
  <c r="H176" i="12"/>
  <c r="H11" i="13"/>
  <c r="Q42" i="13"/>
  <c r="M42" i="13"/>
  <c r="Q75" i="13"/>
  <c r="N16" i="14"/>
  <c r="P2" i="14"/>
  <c r="P10" i="15"/>
  <c r="H34" i="12"/>
  <c r="J40" i="12"/>
  <c r="H16" i="12"/>
  <c r="H25" i="12"/>
  <c r="J5" i="12"/>
  <c r="W5" i="12"/>
  <c r="U34" i="12"/>
  <c r="T14" i="12"/>
  <c r="O9" i="12"/>
  <c r="W35" i="12"/>
  <c r="S25" i="12"/>
  <c r="W20" i="12"/>
  <c r="Q34" i="13"/>
  <c r="T28" i="13"/>
  <c r="S22" i="13"/>
  <c r="O11" i="13"/>
  <c r="M6" i="13"/>
  <c r="J6" i="13"/>
  <c r="N22" i="13"/>
  <c r="R28" i="13"/>
  <c r="O46" i="13"/>
  <c r="T42" i="13"/>
  <c r="U52" i="13"/>
  <c r="T53" i="13"/>
  <c r="M53" i="13"/>
  <c r="R59" i="13"/>
  <c r="P73" i="13"/>
  <c r="N75" i="13"/>
  <c r="S82" i="13"/>
  <c r="P29" i="14"/>
  <c r="Q2" i="14"/>
  <c r="U11" i="15"/>
  <c r="S9" i="15"/>
  <c r="R197" i="12"/>
  <c r="P197" i="12"/>
  <c r="T197" i="12"/>
  <c r="O197" i="12"/>
  <c r="M197" i="12"/>
  <c r="W17" i="13"/>
  <c r="T17" i="13"/>
  <c r="P17" i="13"/>
  <c r="O17" i="13"/>
  <c r="U17" i="13"/>
  <c r="R17" i="13"/>
  <c r="Q17" i="13"/>
  <c r="U2" i="12"/>
  <c r="W2" i="12"/>
  <c r="R2" i="12"/>
  <c r="U27" i="12"/>
  <c r="M27" i="12"/>
  <c r="P27" i="12"/>
  <c r="N27" i="12"/>
  <c r="O27" i="12"/>
  <c r="O43" i="13"/>
  <c r="W42" i="13"/>
  <c r="W43" i="13"/>
  <c r="W41" i="13"/>
  <c r="N43" i="13"/>
  <c r="P43" i="13"/>
  <c r="M43" i="13"/>
  <c r="J9" i="13"/>
  <c r="J34" i="13"/>
  <c r="H45" i="13"/>
  <c r="H43" i="13"/>
  <c r="H69" i="13"/>
  <c r="O8" i="14"/>
  <c r="W2" i="15"/>
  <c r="W32" i="13"/>
  <c r="T70" i="13"/>
  <c r="W62" i="13"/>
  <c r="S70" i="13"/>
  <c r="W67" i="13"/>
  <c r="W68" i="13"/>
  <c r="U70" i="13"/>
  <c r="W70" i="13"/>
  <c r="W47" i="13"/>
  <c r="W30" i="13"/>
  <c r="W37" i="13"/>
  <c r="W15" i="13"/>
  <c r="W8" i="14"/>
  <c r="U74" i="13"/>
  <c r="T74" i="13"/>
  <c r="W25" i="13"/>
  <c r="H22" i="13"/>
  <c r="H73" i="13"/>
  <c r="H75" i="13"/>
  <c r="U67" i="13"/>
  <c r="T67" i="13"/>
  <c r="W61" i="13"/>
  <c r="S61" i="13"/>
  <c r="T79" i="13"/>
  <c r="S79" i="13"/>
  <c r="U79" i="13"/>
  <c r="T68" i="13"/>
  <c r="S68" i="13"/>
  <c r="H46" i="13"/>
  <c r="H63" i="13"/>
  <c r="H64" i="13"/>
  <c r="H83" i="13"/>
  <c r="I8" i="14"/>
  <c r="M50" i="13"/>
  <c r="W49" i="13"/>
  <c r="W48" i="13"/>
  <c r="S57" i="13"/>
  <c r="T57" i="13"/>
  <c r="O81" i="13"/>
  <c r="U81" i="13"/>
  <c r="T81" i="13"/>
  <c r="U58" i="13"/>
  <c r="T58" i="13"/>
  <c r="W18" i="13"/>
  <c r="W39" i="13"/>
  <c r="W77" i="13"/>
  <c r="J4" i="13"/>
  <c r="H6" i="13"/>
  <c r="H17" i="13"/>
  <c r="J40" i="13"/>
  <c r="J42" i="13"/>
  <c r="H71" i="13"/>
  <c r="W8" i="15"/>
  <c r="S56" i="13"/>
  <c r="T56" i="13"/>
  <c r="S65" i="13"/>
  <c r="U65" i="13"/>
  <c r="T65" i="13"/>
  <c r="W23" i="13"/>
  <c r="W20" i="13"/>
  <c r="W19" i="13"/>
  <c r="W12" i="13"/>
  <c r="W29" i="13"/>
  <c r="W28" i="13"/>
  <c r="W24" i="13"/>
  <c r="Q2" i="15"/>
  <c r="N2" i="15"/>
  <c r="S2" i="15"/>
  <c r="P11" i="15"/>
  <c r="T2" i="15"/>
  <c r="Q3" i="15"/>
  <c r="O11" i="15"/>
  <c r="I2" i="15"/>
  <c r="S3" i="15"/>
  <c r="O3" i="15"/>
  <c r="J2" i="15"/>
  <c r="H2" i="15"/>
  <c r="R2" i="15"/>
  <c r="R3" i="15"/>
  <c r="S11" i="15"/>
  <c r="Q195" i="12"/>
  <c r="R195" i="12"/>
  <c r="H195" i="12"/>
  <c r="O195" i="12"/>
  <c r="T195" i="12"/>
  <c r="P195" i="12"/>
  <c r="S195" i="12"/>
  <c r="W195" i="12"/>
  <c r="M195" i="12"/>
  <c r="J7" i="15"/>
  <c r="R7" i="15"/>
  <c r="M7" i="15"/>
  <c r="P7" i="15"/>
  <c r="S7" i="15"/>
  <c r="T7" i="15"/>
  <c r="U7" i="15"/>
  <c r="Q7" i="15"/>
  <c r="N7" i="15"/>
  <c r="O7" i="15"/>
  <c r="H7" i="15"/>
  <c r="I7" i="15"/>
  <c r="I6" i="15"/>
  <c r="Q6" i="15"/>
  <c r="P6" i="15"/>
  <c r="J6" i="15"/>
  <c r="R6" i="15"/>
  <c r="S6" i="15"/>
  <c r="T6" i="15"/>
  <c r="O6" i="15"/>
  <c r="H6" i="15"/>
  <c r="M6" i="15"/>
  <c r="U6" i="15"/>
  <c r="N6" i="15"/>
  <c r="S8" i="15"/>
  <c r="T8" i="15"/>
  <c r="M8" i="15"/>
  <c r="U8" i="15"/>
  <c r="N8" i="15"/>
  <c r="O8" i="15"/>
  <c r="H8" i="15"/>
  <c r="P8" i="15"/>
  <c r="I8" i="15"/>
  <c r="Q8" i="15"/>
  <c r="J8" i="15"/>
  <c r="R8" i="15"/>
  <c r="T36" i="14"/>
  <c r="S36" i="14"/>
  <c r="H40" i="14"/>
  <c r="M40" i="14"/>
  <c r="O40" i="14"/>
  <c r="I40" i="14"/>
  <c r="N40" i="14"/>
  <c r="T40" i="14"/>
  <c r="P36" i="14"/>
  <c r="S11" i="14"/>
  <c r="H11" i="14"/>
  <c r="I11" i="14"/>
  <c r="O11" i="14"/>
  <c r="M11" i="14"/>
  <c r="R3" i="14"/>
  <c r="Q11" i="14"/>
  <c r="J11" i="14"/>
  <c r="U11" i="14"/>
  <c r="M6" i="14"/>
  <c r="T11" i="14"/>
  <c r="N11" i="14"/>
  <c r="U3" i="14"/>
  <c r="S6" i="14"/>
  <c r="Q6" i="14"/>
  <c r="J19" i="14"/>
  <c r="N8" i="14"/>
  <c r="T6" i="14"/>
  <c r="N6" i="14"/>
  <c r="M19" i="14"/>
  <c r="I6" i="14"/>
  <c r="R8" i="14"/>
  <c r="H19" i="14"/>
  <c r="U6" i="14"/>
  <c r="U19" i="14"/>
  <c r="H8" i="14"/>
  <c r="U8" i="14"/>
  <c r="P8" i="14"/>
  <c r="J8" i="14"/>
  <c r="Q3" i="14"/>
  <c r="T3" i="14"/>
  <c r="N3" i="14"/>
  <c r="J3" i="14"/>
  <c r="O3" i="14"/>
  <c r="S3" i="14"/>
  <c r="H6" i="14"/>
  <c r="M3" i="14"/>
  <c r="H3" i="14"/>
  <c r="P6" i="14"/>
  <c r="P3" i="14"/>
  <c r="J6" i="14"/>
  <c r="H24" i="10"/>
  <c r="AD2" i="4"/>
  <c r="Y2" i="4" s="1"/>
  <c r="AD48" i="4"/>
  <c r="Y48" i="4" s="1"/>
  <c r="AD47" i="4"/>
  <c r="Y47" i="4" s="1"/>
  <c r="AD46" i="4"/>
  <c r="Y46" i="4" s="1"/>
  <c r="AD45" i="4"/>
  <c r="Y45" i="4" s="1"/>
  <c r="AD44" i="4"/>
  <c r="Y44" i="4" s="1"/>
  <c r="AD43" i="4"/>
  <c r="Y43" i="4" s="1"/>
  <c r="AD42" i="4"/>
  <c r="Y42" i="4" s="1"/>
  <c r="AD41" i="4"/>
  <c r="Y41" i="4" s="1"/>
  <c r="AD40" i="4"/>
  <c r="Y40" i="4" s="1"/>
  <c r="AD39" i="4"/>
  <c r="Y39" i="4" s="1"/>
  <c r="AD38" i="4"/>
  <c r="Y38" i="4" s="1"/>
  <c r="AD37" i="4"/>
  <c r="Y37" i="4" s="1"/>
  <c r="AD36" i="4"/>
  <c r="Y36" i="4" s="1"/>
  <c r="AD35" i="4"/>
  <c r="Y35" i="4" s="1"/>
  <c r="AD34" i="4"/>
  <c r="Y34" i="4" s="1"/>
  <c r="AD33" i="4"/>
  <c r="Y33" i="4" s="1"/>
  <c r="AD32" i="4"/>
  <c r="Y32" i="4" s="1"/>
  <c r="AD31" i="4"/>
  <c r="Y31" i="4" s="1"/>
  <c r="AD30" i="4"/>
  <c r="Y30" i="4" s="1"/>
  <c r="AD29" i="4"/>
  <c r="Y29" i="4" s="1"/>
  <c r="AD28" i="4"/>
  <c r="Y28" i="4" s="1"/>
  <c r="AD27" i="4"/>
  <c r="Y27" i="4" s="1"/>
  <c r="AD26" i="4"/>
  <c r="Y26" i="4" s="1"/>
  <c r="AD25" i="4"/>
  <c r="Y25" i="4" s="1"/>
  <c r="AD24" i="4"/>
  <c r="Y24" i="4" s="1"/>
  <c r="AD23" i="4"/>
  <c r="Y23" i="4" s="1"/>
  <c r="AD22" i="4"/>
  <c r="Y22" i="4" s="1"/>
  <c r="AD21" i="4"/>
  <c r="Y21" i="4" s="1"/>
  <c r="AD20" i="4"/>
  <c r="Y20" i="4" s="1"/>
  <c r="AD19" i="4"/>
  <c r="Y19" i="4" s="1"/>
  <c r="AD18" i="4"/>
  <c r="Y18" i="4" s="1"/>
  <c r="AD17" i="4"/>
  <c r="Y17" i="4" s="1"/>
  <c r="AD16" i="4"/>
  <c r="Y16" i="4" s="1"/>
  <c r="AD15" i="4"/>
  <c r="Y15" i="4" s="1"/>
  <c r="AD14" i="4"/>
  <c r="Y14" i="4" s="1"/>
  <c r="AD13" i="4"/>
  <c r="Y13" i="4" s="1"/>
  <c r="AD12" i="4"/>
  <c r="Y12" i="4" s="1"/>
  <c r="AD11" i="4"/>
  <c r="Y11" i="4" s="1"/>
  <c r="AD10" i="4"/>
  <c r="Y10" i="4" s="1"/>
  <c r="AD9" i="4"/>
  <c r="Y9" i="4" s="1"/>
  <c r="AD8" i="4"/>
  <c r="Y8" i="4" s="1"/>
  <c r="AD7" i="4"/>
  <c r="Y7" i="4" s="1"/>
  <c r="AD6" i="4"/>
  <c r="Y6" i="4" s="1"/>
  <c r="AD5" i="4"/>
  <c r="Y5" i="4" s="1"/>
  <c r="AD4" i="4"/>
  <c r="Y4" i="4" s="1"/>
  <c r="AD3" i="4"/>
  <c r="Y3" i="4" s="1"/>
  <c r="AL3" i="4"/>
  <c r="AF73" i="9" l="1"/>
  <c r="AE73" i="9"/>
  <c r="K73" i="9" s="1"/>
  <c r="W73" i="9"/>
  <c r="L73" i="9"/>
  <c r="AF72" i="9"/>
  <c r="AE72" i="9"/>
  <c r="K72" i="9" s="1"/>
  <c r="W72" i="9"/>
  <c r="L72" i="9"/>
  <c r="AF71" i="9"/>
  <c r="AE71" i="9"/>
  <c r="K71" i="9" s="1"/>
  <c r="W71" i="9"/>
  <c r="L71" i="9"/>
  <c r="AF70" i="9"/>
  <c r="AE70" i="9"/>
  <c r="K70" i="9" s="1"/>
  <c r="W70" i="9"/>
  <c r="L70" i="9"/>
  <c r="AF69" i="9"/>
  <c r="AE69" i="9"/>
  <c r="K69" i="9" s="1"/>
  <c r="W69" i="9"/>
  <c r="D69" i="9" s="1"/>
  <c r="L69" i="9"/>
  <c r="AF68" i="9"/>
  <c r="AE68" i="9"/>
  <c r="K68" i="9" s="1"/>
  <c r="W68" i="9"/>
  <c r="D68" i="9" s="1"/>
  <c r="L68" i="9"/>
  <c r="AF67" i="9"/>
  <c r="AE67" i="9"/>
  <c r="K67" i="9" s="1"/>
  <c r="W67" i="9"/>
  <c r="L67" i="9"/>
  <c r="AF66" i="9"/>
  <c r="AE66" i="9"/>
  <c r="K66" i="9" s="1"/>
  <c r="W66" i="9"/>
  <c r="L66" i="9"/>
  <c r="AF65" i="9"/>
  <c r="AE65" i="9"/>
  <c r="K65" i="9" s="1"/>
  <c r="W65" i="9"/>
  <c r="L65" i="9"/>
  <c r="AF64" i="9"/>
  <c r="AE64" i="9"/>
  <c r="K64" i="9" s="1"/>
  <c r="W64" i="9"/>
  <c r="L64" i="9"/>
  <c r="AF63" i="9"/>
  <c r="AE63" i="9"/>
  <c r="K63" i="9" s="1"/>
  <c r="W63" i="9"/>
  <c r="L63" i="9"/>
  <c r="AF62" i="9"/>
  <c r="AE62" i="9"/>
  <c r="K62" i="9" s="1"/>
  <c r="W62" i="9"/>
  <c r="L62" i="9"/>
  <c r="AF61" i="9"/>
  <c r="AE61" i="9"/>
  <c r="K61" i="9" s="1"/>
  <c r="W61" i="9"/>
  <c r="L61" i="9"/>
  <c r="AF60" i="9"/>
  <c r="AE60" i="9"/>
  <c r="K60" i="9" s="1"/>
  <c r="W60" i="9"/>
  <c r="L60" i="9"/>
  <c r="AF59" i="9"/>
  <c r="AE59" i="9"/>
  <c r="K59" i="9" s="1"/>
  <c r="W59" i="9"/>
  <c r="D59" i="9" s="1"/>
  <c r="L59" i="9"/>
  <c r="AF58" i="9"/>
  <c r="AE58" i="9"/>
  <c r="K58" i="9" s="1"/>
  <c r="W58" i="9"/>
  <c r="L58" i="9"/>
  <c r="AF57" i="9"/>
  <c r="AE57" i="9"/>
  <c r="K57" i="9" s="1"/>
  <c r="W57" i="9"/>
  <c r="D57" i="9" s="1"/>
  <c r="L57" i="9"/>
  <c r="AF56" i="9"/>
  <c r="AE56" i="9"/>
  <c r="K56" i="9" s="1"/>
  <c r="W56" i="9"/>
  <c r="L56" i="9"/>
  <c r="AF55" i="9"/>
  <c r="AE55" i="9"/>
  <c r="K55" i="9" s="1"/>
  <c r="W55" i="9"/>
  <c r="D55" i="9" s="1"/>
  <c r="L55" i="9"/>
  <c r="AF54" i="9"/>
  <c r="AE54" i="9"/>
  <c r="K54" i="9" s="1"/>
  <c r="W54" i="9"/>
  <c r="L54" i="9"/>
  <c r="AF53" i="9"/>
  <c r="AE53" i="9"/>
  <c r="K53" i="9" s="1"/>
  <c r="W53" i="9"/>
  <c r="L53" i="9"/>
  <c r="AF52" i="9"/>
  <c r="AE52" i="9"/>
  <c r="K52" i="9" s="1"/>
  <c r="W52" i="9"/>
  <c r="L52" i="9"/>
  <c r="AF51" i="9"/>
  <c r="AE51" i="9"/>
  <c r="K51" i="9" s="1"/>
  <c r="W51" i="9"/>
  <c r="L51" i="9"/>
  <c r="AF50" i="9"/>
  <c r="AE50" i="9"/>
  <c r="K50" i="9" s="1"/>
  <c r="W50" i="9"/>
  <c r="L50" i="9"/>
  <c r="AF49" i="9"/>
  <c r="AE49" i="9"/>
  <c r="K49" i="9" s="1"/>
  <c r="W49" i="9"/>
  <c r="L49" i="9"/>
  <c r="AF48" i="9"/>
  <c r="AE48" i="9"/>
  <c r="K48" i="9" s="1"/>
  <c r="W48" i="9"/>
  <c r="L48" i="9"/>
  <c r="AF47" i="9"/>
  <c r="AE47" i="9"/>
  <c r="K47" i="9" s="1"/>
  <c r="W47" i="9"/>
  <c r="L47" i="9"/>
  <c r="AF46" i="9"/>
  <c r="AE46" i="9"/>
  <c r="K46" i="9" s="1"/>
  <c r="W46" i="9"/>
  <c r="L46" i="9"/>
  <c r="AF45" i="9"/>
  <c r="AE45" i="9"/>
  <c r="K45" i="9" s="1"/>
  <c r="W45" i="9"/>
  <c r="D45" i="9" s="1"/>
  <c r="L45" i="9"/>
  <c r="AF44" i="9"/>
  <c r="AE44" i="9"/>
  <c r="K44" i="9" s="1"/>
  <c r="W44" i="9"/>
  <c r="L44" i="9"/>
  <c r="AF43" i="9"/>
  <c r="AE43" i="9"/>
  <c r="K43" i="9" s="1"/>
  <c r="W43" i="9"/>
  <c r="D43" i="9" s="1"/>
  <c r="L43" i="9"/>
  <c r="AF42" i="9"/>
  <c r="AE42" i="9"/>
  <c r="K42" i="9" s="1"/>
  <c r="W42" i="9"/>
  <c r="L42" i="9"/>
  <c r="AF41" i="9"/>
  <c r="AE41" i="9"/>
  <c r="K41" i="9" s="1"/>
  <c r="W41" i="9"/>
  <c r="L41" i="9"/>
  <c r="AF40" i="9"/>
  <c r="AE40" i="9"/>
  <c r="K40" i="9" s="1"/>
  <c r="W40" i="9"/>
  <c r="L40" i="9"/>
  <c r="AF39" i="9"/>
  <c r="AE39" i="9"/>
  <c r="K39" i="9" s="1"/>
  <c r="W39" i="9"/>
  <c r="L39" i="9"/>
  <c r="AF38" i="9"/>
  <c r="AE38" i="9"/>
  <c r="K38" i="9" s="1"/>
  <c r="W38" i="9"/>
  <c r="L38" i="9"/>
  <c r="AF37" i="9"/>
  <c r="AE37" i="9"/>
  <c r="K37" i="9" s="1"/>
  <c r="W37" i="9"/>
  <c r="L37" i="9"/>
  <c r="AF36" i="9"/>
  <c r="AE36" i="9"/>
  <c r="K36" i="9" s="1"/>
  <c r="W36" i="9"/>
  <c r="L36" i="9"/>
  <c r="AF35" i="9"/>
  <c r="AE35" i="9"/>
  <c r="K35" i="9" s="1"/>
  <c r="W35" i="9"/>
  <c r="D35" i="9" s="1"/>
  <c r="L35" i="9"/>
  <c r="AF34" i="9"/>
  <c r="AE34" i="9"/>
  <c r="K34" i="9" s="1"/>
  <c r="W34" i="9"/>
  <c r="L34" i="9"/>
  <c r="AF33" i="9"/>
  <c r="AE33" i="9"/>
  <c r="K33" i="9" s="1"/>
  <c r="W33" i="9"/>
  <c r="L33" i="9"/>
  <c r="AF32" i="9"/>
  <c r="AE32" i="9"/>
  <c r="K32" i="9" s="1"/>
  <c r="W32" i="9"/>
  <c r="L32" i="9"/>
  <c r="AF31" i="9"/>
  <c r="AE31" i="9"/>
  <c r="K31" i="9" s="1"/>
  <c r="W31" i="9"/>
  <c r="D31" i="9" s="1"/>
  <c r="L31" i="9"/>
  <c r="AF30" i="9"/>
  <c r="AE30" i="9"/>
  <c r="K30" i="9" s="1"/>
  <c r="W30" i="9"/>
  <c r="L30" i="9"/>
  <c r="AF29" i="9"/>
  <c r="AE29" i="9"/>
  <c r="K29" i="9" s="1"/>
  <c r="W29" i="9"/>
  <c r="L29" i="9"/>
  <c r="AF28" i="9"/>
  <c r="AE28" i="9"/>
  <c r="K28" i="9" s="1"/>
  <c r="W28" i="9"/>
  <c r="L28" i="9"/>
  <c r="AF27" i="9"/>
  <c r="AE27" i="9"/>
  <c r="K27" i="9" s="1"/>
  <c r="W27" i="9"/>
  <c r="D27" i="9" s="1"/>
  <c r="L27" i="9"/>
  <c r="AF26" i="9"/>
  <c r="AE26" i="9"/>
  <c r="K26" i="9" s="1"/>
  <c r="W26" i="9"/>
  <c r="L26" i="9"/>
  <c r="AF25" i="9"/>
  <c r="AE25" i="9"/>
  <c r="K25" i="9" s="1"/>
  <c r="W25" i="9"/>
  <c r="D25" i="9" s="1"/>
  <c r="L25" i="9"/>
  <c r="AF24" i="9"/>
  <c r="AE24" i="9"/>
  <c r="K24" i="9" s="1"/>
  <c r="W24" i="9"/>
  <c r="L24" i="9"/>
  <c r="AF23" i="9"/>
  <c r="AE23" i="9"/>
  <c r="K23" i="9" s="1"/>
  <c r="W23" i="9"/>
  <c r="L23" i="9"/>
  <c r="AF22" i="9"/>
  <c r="AE22" i="9"/>
  <c r="K22" i="9" s="1"/>
  <c r="W22" i="9"/>
  <c r="L22" i="9"/>
  <c r="AF21" i="9"/>
  <c r="AE21" i="9"/>
  <c r="K21" i="9" s="1"/>
  <c r="W21" i="9"/>
  <c r="L21" i="9"/>
  <c r="AF20" i="9"/>
  <c r="AE20" i="9"/>
  <c r="K20" i="9" s="1"/>
  <c r="W20" i="9"/>
  <c r="D20" i="9" s="1"/>
  <c r="L20" i="9"/>
  <c r="AF19" i="9"/>
  <c r="AE19" i="9"/>
  <c r="K19" i="9" s="1"/>
  <c r="W19" i="9"/>
  <c r="D19" i="9" s="1"/>
  <c r="L19" i="9"/>
  <c r="AF18" i="9"/>
  <c r="AE18" i="9"/>
  <c r="K18" i="9" s="1"/>
  <c r="W18" i="9"/>
  <c r="D18" i="9" s="1"/>
  <c r="L18" i="9"/>
  <c r="AF17" i="9"/>
  <c r="AE17" i="9"/>
  <c r="K17" i="9" s="1"/>
  <c r="W17" i="9"/>
  <c r="L17" i="9"/>
  <c r="AF16" i="9"/>
  <c r="AE16" i="9"/>
  <c r="K16" i="9" s="1"/>
  <c r="W16" i="9"/>
  <c r="L16" i="9"/>
  <c r="AF15" i="9"/>
  <c r="AE15" i="9"/>
  <c r="K15" i="9" s="1"/>
  <c r="W15" i="9"/>
  <c r="L15" i="9"/>
  <c r="AF14" i="9"/>
  <c r="AE14" i="9"/>
  <c r="K14" i="9" s="1"/>
  <c r="W14" i="9"/>
  <c r="D14" i="9" s="1"/>
  <c r="L14" i="9"/>
  <c r="AF13" i="9"/>
  <c r="AE13" i="9"/>
  <c r="K13" i="9" s="1"/>
  <c r="W13" i="9"/>
  <c r="L13" i="9"/>
  <c r="AF12" i="9"/>
  <c r="AE12" i="9"/>
  <c r="K12" i="9" s="1"/>
  <c r="W12" i="9"/>
  <c r="L12" i="9"/>
  <c r="AF11" i="9"/>
  <c r="AE11" i="9"/>
  <c r="K11" i="9" s="1"/>
  <c r="W11" i="9"/>
  <c r="L11" i="9"/>
  <c r="AF10" i="9"/>
  <c r="AE10" i="9"/>
  <c r="K10" i="9" s="1"/>
  <c r="W10" i="9"/>
  <c r="L10" i="9"/>
  <c r="AF9" i="9"/>
  <c r="AE9" i="9"/>
  <c r="K9" i="9" s="1"/>
  <c r="W9" i="9"/>
  <c r="L9" i="9"/>
  <c r="AF8" i="9"/>
  <c r="AE8" i="9"/>
  <c r="K8" i="9" s="1"/>
  <c r="W8" i="9"/>
  <c r="L8" i="9"/>
  <c r="AF7" i="9"/>
  <c r="AE7" i="9"/>
  <c r="K7" i="9" s="1"/>
  <c r="W7" i="9"/>
  <c r="L7" i="9"/>
  <c r="AF6" i="9"/>
  <c r="AE6" i="9"/>
  <c r="K6" i="9" s="1"/>
  <c r="W6" i="9"/>
  <c r="L6" i="9"/>
  <c r="AJ5" i="9"/>
  <c r="AF5" i="9"/>
  <c r="AE5" i="9"/>
  <c r="K5" i="9" s="1"/>
  <c r="W5" i="9"/>
  <c r="L5" i="9"/>
  <c r="AF4" i="9"/>
  <c r="AE4" i="9"/>
  <c r="K4" i="9" s="1"/>
  <c r="W4" i="9"/>
  <c r="L4" i="9"/>
  <c r="AF3" i="9"/>
  <c r="AE3" i="9"/>
  <c r="K3" i="9" s="1"/>
  <c r="W3" i="9"/>
  <c r="L3" i="9"/>
  <c r="AF2" i="9"/>
  <c r="AE2" i="9"/>
  <c r="K2" i="9" s="1"/>
  <c r="W2" i="9"/>
  <c r="G2" i="9" s="1"/>
  <c r="U2" i="9" s="1"/>
  <c r="L2" i="9"/>
  <c r="AL78" i="8"/>
  <c r="K78" i="8" s="1"/>
  <c r="AM78" i="8"/>
  <c r="AL79" i="8"/>
  <c r="AM79" i="8"/>
  <c r="AL80" i="8"/>
  <c r="K80" i="8" s="1"/>
  <c r="AM80" i="8"/>
  <c r="AL81" i="8"/>
  <c r="K81" i="8" s="1"/>
  <c r="AM81" i="8"/>
  <c r="AL82" i="8"/>
  <c r="K82" i="8" s="1"/>
  <c r="AM82" i="8"/>
  <c r="AL83" i="8"/>
  <c r="K83" i="8" s="1"/>
  <c r="AM83" i="8"/>
  <c r="AL84" i="8"/>
  <c r="K84" i="8" s="1"/>
  <c r="AM84" i="8"/>
  <c r="AL85" i="8"/>
  <c r="K85" i="8" s="1"/>
  <c r="AM85" i="8"/>
  <c r="AL86" i="8"/>
  <c r="K86" i="8" s="1"/>
  <c r="AM86" i="8"/>
  <c r="AL87" i="8"/>
  <c r="AM87" i="8"/>
  <c r="AL88" i="8"/>
  <c r="AM88" i="8"/>
  <c r="AL89" i="8"/>
  <c r="K89" i="8" s="1"/>
  <c r="AM89" i="8"/>
  <c r="AD79" i="8"/>
  <c r="Y79" i="8" s="1"/>
  <c r="AD80" i="8"/>
  <c r="Y80" i="8" s="1"/>
  <c r="AD81" i="8"/>
  <c r="Y81" i="8" s="1"/>
  <c r="AD82" i="8"/>
  <c r="Y82" i="8" s="1"/>
  <c r="AD83" i="8"/>
  <c r="Y83" i="8" s="1"/>
  <c r="AD84" i="8"/>
  <c r="Y84" i="8" s="1"/>
  <c r="AD85" i="8"/>
  <c r="Y85" i="8" s="1"/>
  <c r="AD86" i="8"/>
  <c r="Y86" i="8" s="1"/>
  <c r="AD87" i="8"/>
  <c r="Y87" i="8" s="1"/>
  <c r="AD88" i="8"/>
  <c r="Y88" i="8" s="1"/>
  <c r="AD89" i="8"/>
  <c r="Y89" i="8" s="1"/>
  <c r="AD78" i="8"/>
  <c r="Y78" i="8" s="1"/>
  <c r="L88" i="8"/>
  <c r="L80" i="8"/>
  <c r="L81" i="8"/>
  <c r="L89" i="8"/>
  <c r="L79" i="8"/>
  <c r="L82" i="8"/>
  <c r="L83" i="8"/>
  <c r="L84" i="8"/>
  <c r="L85" i="8"/>
  <c r="L86" i="8"/>
  <c r="L87" i="8"/>
  <c r="L78" i="8"/>
  <c r="L77" i="8"/>
  <c r="L76" i="8"/>
  <c r="AL64" i="8"/>
  <c r="K64" i="8" s="1"/>
  <c r="AM64" i="8"/>
  <c r="AL65" i="8"/>
  <c r="K65" i="8" s="1"/>
  <c r="AM65" i="8"/>
  <c r="AL66" i="8"/>
  <c r="K66" i="8" s="1"/>
  <c r="AM66" i="8"/>
  <c r="AL67" i="8"/>
  <c r="K67" i="8" s="1"/>
  <c r="AM67" i="8"/>
  <c r="AL68" i="8"/>
  <c r="K68" i="8" s="1"/>
  <c r="AM68" i="8"/>
  <c r="AL69" i="8"/>
  <c r="K69" i="8" s="1"/>
  <c r="AM69" i="8"/>
  <c r="AL70" i="8"/>
  <c r="K70" i="8" s="1"/>
  <c r="AM70" i="8"/>
  <c r="AL71" i="8"/>
  <c r="K71" i="8" s="1"/>
  <c r="AM71" i="8"/>
  <c r="AL72" i="8"/>
  <c r="K72" i="8" s="1"/>
  <c r="AM72" i="8"/>
  <c r="AL73" i="8"/>
  <c r="K73" i="8" s="1"/>
  <c r="AM73" i="8"/>
  <c r="AL74" i="8"/>
  <c r="K74" i="8" s="1"/>
  <c r="AM74" i="8"/>
  <c r="AL75" i="8"/>
  <c r="K75" i="8" s="1"/>
  <c r="AM75" i="8"/>
  <c r="AL76" i="8"/>
  <c r="AM76" i="8"/>
  <c r="AL77" i="8"/>
  <c r="AM77" i="8"/>
  <c r="AD65" i="8"/>
  <c r="Y65" i="8" s="1"/>
  <c r="AD66" i="8"/>
  <c r="Y66" i="8" s="1"/>
  <c r="AD67" i="8"/>
  <c r="Y67" i="8" s="1"/>
  <c r="AD68" i="8"/>
  <c r="Y68" i="8" s="1"/>
  <c r="AD69" i="8"/>
  <c r="Y69" i="8" s="1"/>
  <c r="AD70" i="8"/>
  <c r="Y70" i="8" s="1"/>
  <c r="AD71" i="8"/>
  <c r="Y71" i="8" s="1"/>
  <c r="AD72" i="8"/>
  <c r="Y72" i="8" s="1"/>
  <c r="AD73" i="8"/>
  <c r="Y73" i="8" s="1"/>
  <c r="AD74" i="8"/>
  <c r="Y74" i="8" s="1"/>
  <c r="AD75" i="8"/>
  <c r="Y75" i="8" s="1"/>
  <c r="AD76" i="8"/>
  <c r="Y76" i="8" s="1"/>
  <c r="AD77" i="8"/>
  <c r="Y77" i="8" s="1"/>
  <c r="AD64" i="8"/>
  <c r="Y64" i="8" s="1"/>
  <c r="L67" i="8"/>
  <c r="L68" i="8"/>
  <c r="L69" i="8"/>
  <c r="L70" i="8"/>
  <c r="L71" i="8"/>
  <c r="L72" i="8"/>
  <c r="L73" i="8"/>
  <c r="L74" i="8"/>
  <c r="L75" i="8"/>
  <c r="L64" i="8"/>
  <c r="L65" i="8"/>
  <c r="L66" i="8"/>
  <c r="AL54" i="8"/>
  <c r="K54" i="8" s="1"/>
  <c r="AM54" i="8"/>
  <c r="AL55" i="8"/>
  <c r="K55" i="8" s="1"/>
  <c r="AM55" i="8"/>
  <c r="AL56" i="8"/>
  <c r="K56" i="8" s="1"/>
  <c r="AM56" i="8"/>
  <c r="AL57" i="8"/>
  <c r="K57" i="8" s="1"/>
  <c r="AM57" i="8"/>
  <c r="AL58" i="8"/>
  <c r="K58" i="8" s="1"/>
  <c r="AM58" i="8"/>
  <c r="AL59" i="8"/>
  <c r="K59" i="8" s="1"/>
  <c r="AM59" i="8"/>
  <c r="AL60" i="8"/>
  <c r="K60" i="8" s="1"/>
  <c r="AM60" i="8"/>
  <c r="AL61" i="8"/>
  <c r="K61" i="8" s="1"/>
  <c r="AM61" i="8"/>
  <c r="AL62" i="8"/>
  <c r="AM62" i="8"/>
  <c r="AL63" i="8"/>
  <c r="AM63" i="8"/>
  <c r="AD55" i="8"/>
  <c r="Y55" i="8" s="1"/>
  <c r="AD56" i="8"/>
  <c r="Y56" i="8" s="1"/>
  <c r="AD57" i="8"/>
  <c r="Y57" i="8" s="1"/>
  <c r="AD58" i="8"/>
  <c r="Y58" i="8" s="1"/>
  <c r="AD59" i="8"/>
  <c r="Y59" i="8" s="1"/>
  <c r="AD60" i="8"/>
  <c r="Y60" i="8" s="1"/>
  <c r="AD61" i="8"/>
  <c r="Y61" i="8" s="1"/>
  <c r="AD62" i="8"/>
  <c r="Y62" i="8" s="1"/>
  <c r="AD63" i="8"/>
  <c r="Y63" i="8" s="1"/>
  <c r="AD54" i="8"/>
  <c r="Y54" i="8" s="1"/>
  <c r="L59" i="8"/>
  <c r="L60" i="8"/>
  <c r="L61" i="8"/>
  <c r="L54" i="8"/>
  <c r="L55" i="8"/>
  <c r="L56" i="8"/>
  <c r="L57" i="8"/>
  <c r="L58" i="8"/>
  <c r="AD44" i="8"/>
  <c r="Y44" i="8" s="1"/>
  <c r="AD45" i="8"/>
  <c r="Y45" i="8" s="1"/>
  <c r="AD46" i="8"/>
  <c r="Y46" i="8" s="1"/>
  <c r="AD47" i="8"/>
  <c r="Y47" i="8" s="1"/>
  <c r="AD48" i="8"/>
  <c r="Y48" i="8" s="1"/>
  <c r="AD49" i="8"/>
  <c r="Y49" i="8" s="1"/>
  <c r="AD50" i="8"/>
  <c r="Y50" i="8" s="1"/>
  <c r="AD51" i="8"/>
  <c r="Y51" i="8" s="1"/>
  <c r="AD52" i="8"/>
  <c r="Y52" i="8" s="1"/>
  <c r="AD53" i="8"/>
  <c r="Y53" i="8" s="1"/>
  <c r="AD43" i="8"/>
  <c r="Y43" i="8" s="1"/>
  <c r="G84" i="8" l="1"/>
  <c r="D43" i="8"/>
  <c r="D60" i="8"/>
  <c r="D66" i="8"/>
  <c r="V5" i="9"/>
  <c r="D5" i="9"/>
  <c r="G8" i="9"/>
  <c r="J8" i="9" s="1"/>
  <c r="D8" i="9"/>
  <c r="V16" i="9"/>
  <c r="D16" i="9"/>
  <c r="V40" i="9"/>
  <c r="D40" i="9"/>
  <c r="D73" i="8"/>
  <c r="D65" i="8"/>
  <c r="D48" i="8"/>
  <c r="D62" i="8"/>
  <c r="D76" i="8"/>
  <c r="D68" i="8"/>
  <c r="D86" i="8"/>
  <c r="G3" i="9"/>
  <c r="N3" i="9" s="1"/>
  <c r="D3" i="9"/>
  <c r="V6" i="9"/>
  <c r="D6" i="9"/>
  <c r="G22" i="9"/>
  <c r="S22" i="9" s="1"/>
  <c r="D22" i="9"/>
  <c r="G30" i="9"/>
  <c r="U30" i="9" s="1"/>
  <c r="D30" i="9"/>
  <c r="V38" i="9"/>
  <c r="D38" i="9"/>
  <c r="V46" i="9"/>
  <c r="D46" i="9"/>
  <c r="V54" i="9"/>
  <c r="D54" i="9"/>
  <c r="V62" i="9"/>
  <c r="D62" i="9"/>
  <c r="V70" i="9"/>
  <c r="D70" i="9"/>
  <c r="D47" i="8"/>
  <c r="D61" i="8"/>
  <c r="D75" i="8"/>
  <c r="D67" i="8"/>
  <c r="D85" i="8"/>
  <c r="V11" i="9"/>
  <c r="D11" i="9"/>
  <c r="G51" i="9"/>
  <c r="Q51" i="9" s="1"/>
  <c r="D51" i="9"/>
  <c r="V67" i="9"/>
  <c r="D67" i="9"/>
  <c r="G64" i="9"/>
  <c r="U64" i="9" s="1"/>
  <c r="D64" i="9"/>
  <c r="D53" i="8"/>
  <c r="D45" i="8"/>
  <c r="D59" i="8"/>
  <c r="G29" i="9"/>
  <c r="U29" i="9" s="1"/>
  <c r="D29" i="9"/>
  <c r="V53" i="9"/>
  <c r="D53" i="9"/>
  <c r="D78" i="8"/>
  <c r="G42" i="9"/>
  <c r="T42" i="9" s="1"/>
  <c r="D42" i="9"/>
  <c r="V66" i="9"/>
  <c r="D66" i="9"/>
  <c r="D51" i="8"/>
  <c r="D57" i="8"/>
  <c r="D71" i="8"/>
  <c r="D89" i="8"/>
  <c r="D81" i="8"/>
  <c r="G4" i="9"/>
  <c r="T4" i="9" s="1"/>
  <c r="D4" i="9"/>
  <c r="V7" i="9"/>
  <c r="D7" i="9"/>
  <c r="V15" i="9"/>
  <c r="D15" i="9"/>
  <c r="V23" i="9"/>
  <c r="D23" i="9"/>
  <c r="G39" i="9"/>
  <c r="R39" i="9" s="1"/>
  <c r="D39" i="9"/>
  <c r="G47" i="9"/>
  <c r="U47" i="9" s="1"/>
  <c r="D47" i="9"/>
  <c r="V63" i="9"/>
  <c r="D63" i="9"/>
  <c r="G71" i="9"/>
  <c r="J71" i="9" s="1"/>
  <c r="D71" i="9"/>
  <c r="D46" i="8"/>
  <c r="D84" i="8"/>
  <c r="V24" i="9"/>
  <c r="D24" i="9"/>
  <c r="G48" i="9"/>
  <c r="J48" i="9" s="1"/>
  <c r="D48" i="9"/>
  <c r="V56" i="9"/>
  <c r="D56" i="9"/>
  <c r="V72" i="9"/>
  <c r="D72" i="9"/>
  <c r="D83" i="8"/>
  <c r="P2" i="9"/>
  <c r="D2" i="9"/>
  <c r="V21" i="9"/>
  <c r="D21" i="9"/>
  <c r="G61" i="9"/>
  <c r="O61" i="9" s="1"/>
  <c r="D61" i="9"/>
  <c r="D52" i="8"/>
  <c r="D58" i="8"/>
  <c r="D72" i="8"/>
  <c r="D82" i="8"/>
  <c r="V34" i="9"/>
  <c r="D34" i="9"/>
  <c r="V58" i="9"/>
  <c r="D58" i="9"/>
  <c r="D50" i="8"/>
  <c r="D54" i="8"/>
  <c r="D56" i="8"/>
  <c r="G65" i="8"/>
  <c r="D64" i="8"/>
  <c r="D70" i="8"/>
  <c r="D88" i="8"/>
  <c r="D80" i="8"/>
  <c r="G12" i="9"/>
  <c r="T12" i="9" s="1"/>
  <c r="D12" i="9"/>
  <c r="G28" i="9"/>
  <c r="M28" i="9" s="1"/>
  <c r="D28" i="9"/>
  <c r="G36" i="9"/>
  <c r="O36" i="9" s="1"/>
  <c r="D36" i="9"/>
  <c r="G44" i="9"/>
  <c r="S44" i="9" s="1"/>
  <c r="D44" i="9"/>
  <c r="G52" i="9"/>
  <c r="O52" i="9" s="1"/>
  <c r="D52" i="9"/>
  <c r="V60" i="9"/>
  <c r="D60" i="9"/>
  <c r="D74" i="8"/>
  <c r="G32" i="9"/>
  <c r="H32" i="9" s="1"/>
  <c r="D32" i="9"/>
  <c r="V13" i="9"/>
  <c r="D13" i="9"/>
  <c r="G37" i="9"/>
  <c r="O37" i="9" s="1"/>
  <c r="D37" i="9"/>
  <c r="D44" i="8"/>
  <c r="V10" i="9"/>
  <c r="D10" i="9"/>
  <c r="V26" i="9"/>
  <c r="D26" i="9"/>
  <c r="G50" i="9"/>
  <c r="U50" i="9" s="1"/>
  <c r="D50" i="9"/>
  <c r="D49" i="8"/>
  <c r="D63" i="8"/>
  <c r="D55" i="8"/>
  <c r="D77" i="8"/>
  <c r="D69" i="8"/>
  <c r="D87" i="8"/>
  <c r="D79" i="8"/>
  <c r="V9" i="9"/>
  <c r="D9" i="9"/>
  <c r="V17" i="9"/>
  <c r="D17" i="9"/>
  <c r="V33" i="9"/>
  <c r="D33" i="9"/>
  <c r="G41" i="9"/>
  <c r="S41" i="9" s="1"/>
  <c r="D41" i="9"/>
  <c r="G49" i="9"/>
  <c r="U49" i="9" s="1"/>
  <c r="D49" i="9"/>
  <c r="G65" i="9"/>
  <c r="O65" i="9" s="1"/>
  <c r="D65" i="9"/>
  <c r="V73" i="9"/>
  <c r="D73" i="9"/>
  <c r="G75" i="8"/>
  <c r="G82" i="8"/>
  <c r="G81" i="8"/>
  <c r="G80" i="8"/>
  <c r="G61" i="8"/>
  <c r="G74" i="8"/>
  <c r="G60" i="8"/>
  <c r="G66" i="8"/>
  <c r="G86" i="8"/>
  <c r="G59" i="8"/>
  <c r="G64" i="8"/>
  <c r="G87" i="8"/>
  <c r="G85" i="8"/>
  <c r="G54" i="8"/>
  <c r="G78" i="8"/>
  <c r="G58" i="8"/>
  <c r="G69" i="8"/>
  <c r="G56" i="8"/>
  <c r="G55" i="8"/>
  <c r="G72" i="8"/>
  <c r="G79" i="8"/>
  <c r="G83" i="8"/>
  <c r="V22" i="9"/>
  <c r="G21" i="9"/>
  <c r="R21" i="9" s="1"/>
  <c r="V65" i="9"/>
  <c r="G62" i="9"/>
  <c r="P62" i="9" s="1"/>
  <c r="V39" i="9"/>
  <c r="V42" i="9"/>
  <c r="V4" i="9"/>
  <c r="V29" i="9"/>
  <c r="V32" i="9"/>
  <c r="V2" i="9"/>
  <c r="V64" i="9"/>
  <c r="V44" i="9"/>
  <c r="G53" i="9"/>
  <c r="U53" i="9" s="1"/>
  <c r="G46" i="9"/>
  <c r="P46" i="9" s="1"/>
  <c r="G26" i="9"/>
  <c r="U26" i="9" s="1"/>
  <c r="V37" i="9"/>
  <c r="G40" i="9"/>
  <c r="M40" i="9" s="1"/>
  <c r="V52" i="9"/>
  <c r="G60" i="9"/>
  <c r="J60" i="9" s="1"/>
  <c r="S4" i="9"/>
  <c r="V12" i="9"/>
  <c r="V28" i="9"/>
  <c r="G34" i="9"/>
  <c r="T34" i="9" s="1"/>
  <c r="G24" i="9"/>
  <c r="O24" i="9" s="1"/>
  <c r="G33" i="9"/>
  <c r="H33" i="9" s="1"/>
  <c r="V48" i="9"/>
  <c r="V51" i="9"/>
  <c r="V41" i="9"/>
  <c r="G63" i="9"/>
  <c r="R63" i="9" s="1"/>
  <c r="G10" i="9"/>
  <c r="R10" i="9" s="1"/>
  <c r="G16" i="9"/>
  <c r="S16" i="9" s="1"/>
  <c r="V49" i="9"/>
  <c r="V50" i="9"/>
  <c r="V71" i="9"/>
  <c r="G58" i="9"/>
  <c r="N58" i="9" s="1"/>
  <c r="V3" i="9"/>
  <c r="V8" i="9"/>
  <c r="G11" i="9"/>
  <c r="R11" i="9" s="1"/>
  <c r="G56" i="9"/>
  <c r="N56" i="9" s="1"/>
  <c r="G72" i="9"/>
  <c r="J72" i="9" s="1"/>
  <c r="G15" i="9"/>
  <c r="M15" i="9" s="1"/>
  <c r="G66" i="9"/>
  <c r="U66" i="9" s="1"/>
  <c r="G38" i="9"/>
  <c r="M38" i="9" s="1"/>
  <c r="G54" i="9"/>
  <c r="U54" i="9" s="1"/>
  <c r="G67" i="9"/>
  <c r="Q67" i="9" s="1"/>
  <c r="G70" i="9"/>
  <c r="U70" i="9" s="1"/>
  <c r="G73" i="9"/>
  <c r="U73" i="9" s="1"/>
  <c r="V68" i="9"/>
  <c r="G68" i="9"/>
  <c r="V19" i="9"/>
  <c r="G19" i="9"/>
  <c r="S19" i="9" s="1"/>
  <c r="V36" i="9"/>
  <c r="AJ6" i="9"/>
  <c r="G5" i="9"/>
  <c r="S5" i="9" s="1"/>
  <c r="V30" i="9"/>
  <c r="V31" i="9"/>
  <c r="G31" i="9"/>
  <c r="T31" i="9" s="1"/>
  <c r="G27" i="9"/>
  <c r="J27" i="9" s="1"/>
  <c r="V27" i="9"/>
  <c r="G7" i="9"/>
  <c r="V18" i="9"/>
  <c r="G18" i="9"/>
  <c r="G6" i="9"/>
  <c r="V20" i="9"/>
  <c r="G20" i="9"/>
  <c r="G23" i="9"/>
  <c r="V47" i="9"/>
  <c r="G13" i="9"/>
  <c r="G59" i="9"/>
  <c r="V59" i="9"/>
  <c r="V14" i="9"/>
  <c r="G14" i="9"/>
  <c r="G17" i="9"/>
  <c r="V25" i="9"/>
  <c r="G25" i="9"/>
  <c r="G9" i="9"/>
  <c r="G35" i="9"/>
  <c r="V35" i="9"/>
  <c r="V61" i="9"/>
  <c r="G55" i="9"/>
  <c r="V55" i="9"/>
  <c r="V69" i="9"/>
  <c r="G69" i="9"/>
  <c r="G43" i="9"/>
  <c r="V43" i="9"/>
  <c r="G45" i="9"/>
  <c r="V45" i="9"/>
  <c r="V57" i="9"/>
  <c r="G57" i="9"/>
  <c r="G89" i="8"/>
  <c r="G88" i="8"/>
  <c r="K88" i="8"/>
  <c r="P84" i="8"/>
  <c r="S84" i="8"/>
  <c r="R84" i="8"/>
  <c r="Q84" i="8"/>
  <c r="K87" i="8"/>
  <c r="K79" i="8"/>
  <c r="G73" i="8"/>
  <c r="G70" i="8"/>
  <c r="G77" i="8"/>
  <c r="G71" i="8"/>
  <c r="G67" i="8"/>
  <c r="G68" i="8"/>
  <c r="K77" i="8"/>
  <c r="G76" i="8"/>
  <c r="K76" i="8"/>
  <c r="L63" i="8"/>
  <c r="G63" i="8"/>
  <c r="K63" i="8"/>
  <c r="K62" i="8"/>
  <c r="L62" i="8"/>
  <c r="G62" i="8"/>
  <c r="O58" i="8"/>
  <c r="G57" i="8"/>
  <c r="L42" i="8"/>
  <c r="L41" i="8"/>
  <c r="AD34" i="8"/>
  <c r="Y34" i="8" s="1"/>
  <c r="AD35" i="8"/>
  <c r="Y35" i="8" s="1"/>
  <c r="AD36" i="8"/>
  <c r="Y36" i="8" s="1"/>
  <c r="AD37" i="8"/>
  <c r="Y37" i="8" s="1"/>
  <c r="AD38" i="8"/>
  <c r="Y38" i="8" s="1"/>
  <c r="AD39" i="8"/>
  <c r="Y39" i="8" s="1"/>
  <c r="AD40" i="8"/>
  <c r="Y40" i="8" s="1"/>
  <c r="AD41" i="8"/>
  <c r="Y41" i="8" s="1"/>
  <c r="AD42" i="8"/>
  <c r="Y42" i="8" s="1"/>
  <c r="AD33" i="8"/>
  <c r="Y33" i="8" s="1"/>
  <c r="AL33" i="8"/>
  <c r="K33" i="8" s="1"/>
  <c r="AM33" i="8"/>
  <c r="AL34" i="8"/>
  <c r="K34" i="8" s="1"/>
  <c r="AM34" i="8"/>
  <c r="AL35" i="8"/>
  <c r="K35" i="8" s="1"/>
  <c r="AM35" i="8"/>
  <c r="AL36" i="8"/>
  <c r="K36" i="8" s="1"/>
  <c r="AM36" i="8"/>
  <c r="AL37" i="8"/>
  <c r="K37" i="8" s="1"/>
  <c r="AM37" i="8"/>
  <c r="AL38" i="8"/>
  <c r="K38" i="8" s="1"/>
  <c r="AM38" i="8"/>
  <c r="AL39" i="8"/>
  <c r="K39" i="8" s="1"/>
  <c r="AM39" i="8"/>
  <c r="AL40" i="8"/>
  <c r="K40" i="8" s="1"/>
  <c r="AM40" i="8"/>
  <c r="AL41" i="8"/>
  <c r="AM41" i="8"/>
  <c r="AL42" i="8"/>
  <c r="AM42" i="8"/>
  <c r="AL43" i="8"/>
  <c r="K43" i="8" s="1"/>
  <c r="AM43" i="8"/>
  <c r="AL44" i="8"/>
  <c r="K44" i="8" s="1"/>
  <c r="AM44" i="8"/>
  <c r="AL45" i="8"/>
  <c r="K45" i="8" s="1"/>
  <c r="AM45" i="8"/>
  <c r="AL46" i="8"/>
  <c r="K46" i="8" s="1"/>
  <c r="AM46" i="8"/>
  <c r="AL47" i="8"/>
  <c r="K47" i="8" s="1"/>
  <c r="AM47" i="8"/>
  <c r="AL48" i="8"/>
  <c r="K48" i="8" s="1"/>
  <c r="AM48" i="8"/>
  <c r="AL49" i="8"/>
  <c r="K49" i="8" s="1"/>
  <c r="AM49" i="8"/>
  <c r="AL50" i="8"/>
  <c r="K50" i="8" s="1"/>
  <c r="AM50" i="8"/>
  <c r="AL51" i="8"/>
  <c r="K51" i="8" s="1"/>
  <c r="AM51" i="8"/>
  <c r="AL52" i="8"/>
  <c r="K52" i="8" s="1"/>
  <c r="AM52" i="8"/>
  <c r="AL53" i="8"/>
  <c r="K53" i="8" s="1"/>
  <c r="AM53" i="8"/>
  <c r="L33" i="8"/>
  <c r="L34" i="8"/>
  <c r="L35" i="8"/>
  <c r="L36" i="8"/>
  <c r="L37" i="8"/>
  <c r="L38" i="8"/>
  <c r="L39" i="8"/>
  <c r="L40" i="8"/>
  <c r="G43" i="8"/>
  <c r="L43" i="8"/>
  <c r="G44" i="8"/>
  <c r="L44" i="8"/>
  <c r="G45" i="8"/>
  <c r="L45" i="8"/>
  <c r="G46" i="8"/>
  <c r="L46" i="8"/>
  <c r="G47" i="8"/>
  <c r="L47" i="8"/>
  <c r="G48" i="8"/>
  <c r="L48" i="8"/>
  <c r="G49" i="8"/>
  <c r="L49" i="8"/>
  <c r="G50" i="8"/>
  <c r="L50" i="8"/>
  <c r="G51" i="8"/>
  <c r="L51" i="8"/>
  <c r="G52" i="8"/>
  <c r="L52" i="8"/>
  <c r="G53" i="8"/>
  <c r="L53" i="8"/>
  <c r="L32" i="8"/>
  <c r="L23" i="8"/>
  <c r="L24" i="8"/>
  <c r="L25" i="8"/>
  <c r="L26" i="8"/>
  <c r="L27" i="8"/>
  <c r="L28" i="8"/>
  <c r="L29" i="8"/>
  <c r="L30" i="8"/>
  <c r="AL23" i="8"/>
  <c r="K23" i="8" s="1"/>
  <c r="AM23" i="8"/>
  <c r="AL24" i="8"/>
  <c r="K24" i="8" s="1"/>
  <c r="AM24" i="8"/>
  <c r="AL25" i="8"/>
  <c r="K25" i="8" s="1"/>
  <c r="AM25" i="8"/>
  <c r="AL26" i="8"/>
  <c r="K26" i="8" s="1"/>
  <c r="AM26" i="8"/>
  <c r="AL27" i="8"/>
  <c r="K27" i="8" s="1"/>
  <c r="AM27" i="8"/>
  <c r="AL28" i="8"/>
  <c r="K28" i="8" s="1"/>
  <c r="AM28" i="8"/>
  <c r="AL29" i="8"/>
  <c r="K29" i="8" s="1"/>
  <c r="AM29" i="8"/>
  <c r="AL30" i="8"/>
  <c r="K30" i="8" s="1"/>
  <c r="AM30" i="8"/>
  <c r="AL31" i="8"/>
  <c r="AM31" i="8"/>
  <c r="AL32" i="8"/>
  <c r="AM32" i="8"/>
  <c r="AD27" i="8"/>
  <c r="Y27" i="8" s="1"/>
  <c r="AD23" i="8"/>
  <c r="Y23" i="8" s="1"/>
  <c r="AD24" i="8"/>
  <c r="Y24" i="8" s="1"/>
  <c r="AD25" i="8"/>
  <c r="Y25" i="8" s="1"/>
  <c r="AD26" i="8"/>
  <c r="Y26" i="8" s="1"/>
  <c r="AD28" i="8"/>
  <c r="Y28" i="8" s="1"/>
  <c r="AD29" i="8"/>
  <c r="Y29" i="8" s="1"/>
  <c r="AD30" i="8"/>
  <c r="Y30" i="8" s="1"/>
  <c r="AD31" i="8"/>
  <c r="Y31" i="8" s="1"/>
  <c r="AD32" i="8"/>
  <c r="Y32" i="8" s="1"/>
  <c r="AM22" i="8"/>
  <c r="AL13" i="8"/>
  <c r="K13" i="8" s="1"/>
  <c r="AM13" i="8"/>
  <c r="AL14" i="8"/>
  <c r="K14" i="8" s="1"/>
  <c r="AM14" i="8"/>
  <c r="AL15" i="8"/>
  <c r="K15" i="8" s="1"/>
  <c r="AM15" i="8"/>
  <c r="AL16" i="8"/>
  <c r="K16" i="8" s="1"/>
  <c r="AM16" i="8"/>
  <c r="AL17" i="8"/>
  <c r="K17" i="8" s="1"/>
  <c r="AM17" i="8"/>
  <c r="AL18" i="8"/>
  <c r="K18" i="8" s="1"/>
  <c r="AM18" i="8"/>
  <c r="AL19" i="8"/>
  <c r="K19" i="8" s="1"/>
  <c r="AM19" i="8"/>
  <c r="AL20" i="8"/>
  <c r="K20" i="8" s="1"/>
  <c r="AM20" i="8"/>
  <c r="AL21" i="8"/>
  <c r="AM21" i="8"/>
  <c r="AL22" i="8"/>
  <c r="AD22" i="8"/>
  <c r="Y22" i="8" s="1"/>
  <c r="AD14" i="8"/>
  <c r="Y14" i="8" s="1"/>
  <c r="AD15" i="8"/>
  <c r="Y15" i="8" s="1"/>
  <c r="AD16" i="8"/>
  <c r="Y16" i="8" s="1"/>
  <c r="AD17" i="8"/>
  <c r="Y17" i="8" s="1"/>
  <c r="AD18" i="8"/>
  <c r="Y18" i="8" s="1"/>
  <c r="AD19" i="8"/>
  <c r="Y19" i="8" s="1"/>
  <c r="AD20" i="8"/>
  <c r="Y20" i="8" s="1"/>
  <c r="AD21" i="8"/>
  <c r="Y21" i="8" s="1"/>
  <c r="AD13" i="8"/>
  <c r="Y13" i="8" s="1"/>
  <c r="L13" i="8"/>
  <c r="L14" i="8"/>
  <c r="L15" i="8"/>
  <c r="L16" i="8"/>
  <c r="L17" i="8"/>
  <c r="L18" i="8"/>
  <c r="L19" i="8"/>
  <c r="L20" i="8"/>
  <c r="L21" i="8"/>
  <c r="L12" i="8"/>
  <c r="L11" i="8"/>
  <c r="AD11" i="8"/>
  <c r="Y11" i="8" s="1"/>
  <c r="AL11" i="8"/>
  <c r="AM11" i="8"/>
  <c r="AD12" i="8"/>
  <c r="Y12" i="8" s="1"/>
  <c r="AL12" i="8"/>
  <c r="AM12" i="8"/>
  <c r="L9" i="8"/>
  <c r="AD9" i="8"/>
  <c r="Y9" i="8" s="1"/>
  <c r="AL9" i="8"/>
  <c r="K9" i="8" s="1"/>
  <c r="AM9" i="8"/>
  <c r="L10" i="8"/>
  <c r="AD10" i="8"/>
  <c r="Y10" i="8" s="1"/>
  <c r="AL10" i="8"/>
  <c r="K10" i="8" s="1"/>
  <c r="AM10" i="8"/>
  <c r="AD7" i="8"/>
  <c r="Y7" i="8" s="1"/>
  <c r="AD8" i="8"/>
  <c r="Y8" i="8" s="1"/>
  <c r="AD3" i="8"/>
  <c r="Y3" i="8" s="1"/>
  <c r="AD4" i="8"/>
  <c r="Y4" i="8" s="1"/>
  <c r="AD5" i="8"/>
  <c r="Y5" i="8" s="1"/>
  <c r="AD6" i="8"/>
  <c r="Y6" i="8" s="1"/>
  <c r="AD2" i="8"/>
  <c r="Y2" i="8" s="1"/>
  <c r="AQ5" i="8"/>
  <c r="L8" i="8"/>
  <c r="AM7" i="8"/>
  <c r="AL7" i="8"/>
  <c r="K7" i="8" s="1"/>
  <c r="L7" i="8"/>
  <c r="L6" i="8"/>
  <c r="L5" i="8"/>
  <c r="AL4" i="8"/>
  <c r="K4" i="8" s="1"/>
  <c r="L4" i="8"/>
  <c r="L3" i="8"/>
  <c r="AL2" i="8"/>
  <c r="K2" i="8" s="1"/>
  <c r="N55" i="8" l="1"/>
  <c r="M81" i="8"/>
  <c r="Q56" i="8"/>
  <c r="Q79" i="8"/>
  <c r="R85" i="8"/>
  <c r="T61" i="8"/>
  <c r="M65" i="8"/>
  <c r="S53" i="8"/>
  <c r="S49" i="8"/>
  <c r="S45" i="8"/>
  <c r="R71" i="8"/>
  <c r="S72" i="8"/>
  <c r="N87" i="8"/>
  <c r="O80" i="8"/>
  <c r="T63" i="8"/>
  <c r="S48" i="8"/>
  <c r="S44" i="8"/>
  <c r="S70" i="8"/>
  <c r="S59" i="8"/>
  <c r="O86" i="8"/>
  <c r="S51" i="8"/>
  <c r="S47" i="8"/>
  <c r="S43" i="8"/>
  <c r="O89" i="8"/>
  <c r="Q66" i="8"/>
  <c r="R78" i="8"/>
  <c r="P60" i="8"/>
  <c r="R77" i="8"/>
  <c r="N64" i="8"/>
  <c r="N82" i="8"/>
  <c r="O69" i="8"/>
  <c r="S50" i="8"/>
  <c r="S46" i="8"/>
  <c r="U68" i="8"/>
  <c r="O83" i="8"/>
  <c r="Q54" i="8"/>
  <c r="R74" i="8"/>
  <c r="M84" i="8"/>
  <c r="H42" i="9"/>
  <c r="R30" i="9"/>
  <c r="T84" i="8"/>
  <c r="O84" i="8"/>
  <c r="N58" i="8"/>
  <c r="N84" i="8"/>
  <c r="R58" i="8"/>
  <c r="M66" i="8"/>
  <c r="N71" i="9"/>
  <c r="M50" i="9"/>
  <c r="J21" i="9"/>
  <c r="O48" i="9"/>
  <c r="R73" i="8"/>
  <c r="P22" i="9"/>
  <c r="T85" i="8"/>
  <c r="N22" i="9"/>
  <c r="O22" i="9"/>
  <c r="P52" i="9"/>
  <c r="S12" i="9"/>
  <c r="U72" i="8"/>
  <c r="S82" i="8"/>
  <c r="J51" i="9"/>
  <c r="H22" i="9"/>
  <c r="T65" i="9"/>
  <c r="I52" i="9"/>
  <c r="H48" i="9"/>
  <c r="I22" i="9"/>
  <c r="Q22" i="9"/>
  <c r="H62" i="9"/>
  <c r="N8" i="9"/>
  <c r="M47" i="9"/>
  <c r="P12" i="9"/>
  <c r="S61" i="9"/>
  <c r="O62" i="9"/>
  <c r="U21" i="9"/>
  <c r="O47" i="9"/>
  <c r="Q75" i="8"/>
  <c r="P47" i="9"/>
  <c r="M56" i="8"/>
  <c r="P64" i="8"/>
  <c r="P82" i="8"/>
  <c r="M61" i="9"/>
  <c r="I37" i="9"/>
  <c r="J47" i="9"/>
  <c r="S64" i="8"/>
  <c r="O82" i="8"/>
  <c r="O64" i="8"/>
  <c r="Q3" i="9"/>
  <c r="R82" i="8"/>
  <c r="H52" i="9"/>
  <c r="H41" i="9"/>
  <c r="R61" i="9"/>
  <c r="N49" i="9"/>
  <c r="I42" i="9"/>
  <c r="J72" i="8"/>
  <c r="H28" i="9"/>
  <c r="Q2" i="9"/>
  <c r="T58" i="8"/>
  <c r="U75" i="8"/>
  <c r="O73" i="8"/>
  <c r="O41" i="9"/>
  <c r="J37" i="9"/>
  <c r="N47" i="9"/>
  <c r="H8" i="9"/>
  <c r="N2" i="9"/>
  <c r="I8" i="9"/>
  <c r="I3" i="9"/>
  <c r="T8" i="9"/>
  <c r="J3" i="9"/>
  <c r="I28" i="9"/>
  <c r="U66" i="8"/>
  <c r="N75" i="8"/>
  <c r="T80" i="8"/>
  <c r="U8" i="9"/>
  <c r="R47" i="9"/>
  <c r="N42" i="9"/>
  <c r="S42" i="9"/>
  <c r="S28" i="9"/>
  <c r="Q8" i="9"/>
  <c r="S8" i="9"/>
  <c r="O55" i="8"/>
  <c r="R75" i="8"/>
  <c r="P41" i="9"/>
  <c r="J66" i="8"/>
  <c r="J69" i="8"/>
  <c r="Q61" i="9"/>
  <c r="M8" i="9"/>
  <c r="M42" i="9"/>
  <c r="P42" i="9"/>
  <c r="J28" i="9"/>
  <c r="R8" i="9"/>
  <c r="R72" i="8"/>
  <c r="P8" i="9"/>
  <c r="O3" i="9"/>
  <c r="M58" i="8"/>
  <c r="R66" i="8"/>
  <c r="T69" i="8"/>
  <c r="N81" i="8"/>
  <c r="J61" i="9"/>
  <c r="H47" i="9"/>
  <c r="J42" i="9"/>
  <c r="Q42" i="9"/>
  <c r="O28" i="9"/>
  <c r="O8" i="9"/>
  <c r="Q32" i="9"/>
  <c r="O74" i="8"/>
  <c r="T86" i="8"/>
  <c r="Q65" i="9"/>
  <c r="I61" i="9"/>
  <c r="T47" i="9"/>
  <c r="S47" i="9"/>
  <c r="S3" i="9"/>
  <c r="M64" i="9"/>
  <c r="R42" i="9"/>
  <c r="M44" i="9"/>
  <c r="N60" i="8"/>
  <c r="N64" i="9"/>
  <c r="U65" i="9"/>
  <c r="U61" i="9"/>
  <c r="Q47" i="9"/>
  <c r="P3" i="9"/>
  <c r="O64" i="9"/>
  <c r="O42" i="9"/>
  <c r="T44" i="9"/>
  <c r="H64" i="9"/>
  <c r="J74" i="8"/>
  <c r="H65" i="9"/>
  <c r="R65" i="9"/>
  <c r="N61" i="9"/>
  <c r="I47" i="9"/>
  <c r="P29" i="9"/>
  <c r="U42" i="9"/>
  <c r="J73" i="8"/>
  <c r="R87" i="8"/>
  <c r="T61" i="9"/>
  <c r="S65" i="9"/>
  <c r="P61" i="9"/>
  <c r="H61" i="9"/>
  <c r="N44" i="9"/>
  <c r="Q74" i="8"/>
  <c r="P32" i="9"/>
  <c r="P44" i="9"/>
  <c r="U64" i="8"/>
  <c r="S74" i="8"/>
  <c r="N74" i="8"/>
  <c r="J64" i="8"/>
  <c r="I65" i="9"/>
  <c r="Q49" i="9"/>
  <c r="P64" i="9"/>
  <c r="T28" i="9"/>
  <c r="P36" i="9"/>
  <c r="U44" i="9"/>
  <c r="R32" i="9"/>
  <c r="M65" i="9"/>
  <c r="S64" i="9"/>
  <c r="P28" i="9"/>
  <c r="O44" i="9"/>
  <c r="I32" i="9"/>
  <c r="O32" i="9"/>
  <c r="M74" i="8"/>
  <c r="I64" i="9"/>
  <c r="R64" i="9"/>
  <c r="Q64" i="8"/>
  <c r="U74" i="8"/>
  <c r="R81" i="8"/>
  <c r="T83" i="8"/>
  <c r="N65" i="9"/>
  <c r="Q37" i="9"/>
  <c r="H36" i="9"/>
  <c r="M29" i="9"/>
  <c r="P49" i="9"/>
  <c r="T64" i="9"/>
  <c r="J50" i="9"/>
  <c r="R44" i="9"/>
  <c r="Q64" i="9"/>
  <c r="I29" i="9"/>
  <c r="I44" i="9"/>
  <c r="R64" i="8"/>
  <c r="T64" i="8"/>
  <c r="T74" i="8"/>
  <c r="M85" i="8"/>
  <c r="O81" i="8"/>
  <c r="H50" i="9"/>
  <c r="P65" i="9"/>
  <c r="N37" i="9"/>
  <c r="R29" i="9"/>
  <c r="M49" i="9"/>
  <c r="J64" i="9"/>
  <c r="U28" i="9"/>
  <c r="O50" i="9"/>
  <c r="J44" i="9"/>
  <c r="Q28" i="9"/>
  <c r="O60" i="8"/>
  <c r="H44" i="9"/>
  <c r="P74" i="8"/>
  <c r="S60" i="8"/>
  <c r="S71" i="8"/>
  <c r="M64" i="8"/>
  <c r="Q85" i="8"/>
  <c r="S81" i="8"/>
  <c r="J65" i="9"/>
  <c r="P37" i="9"/>
  <c r="N29" i="9"/>
  <c r="S49" i="9"/>
  <c r="R28" i="9"/>
  <c r="J29" i="9"/>
  <c r="Q44" i="9"/>
  <c r="J32" i="9"/>
  <c r="N28" i="9"/>
  <c r="M32" i="9"/>
  <c r="S79" i="8"/>
  <c r="P51" i="9"/>
  <c r="N51" i="9"/>
  <c r="S52" i="9"/>
  <c r="O59" i="8"/>
  <c r="T72" i="8"/>
  <c r="O87" i="8"/>
  <c r="Q82" i="8"/>
  <c r="H51" i="9"/>
  <c r="T49" i="9"/>
  <c r="J49" i="9"/>
  <c r="N36" i="9"/>
  <c r="N12" i="9"/>
  <c r="Q52" i="9"/>
  <c r="T52" i="9"/>
  <c r="Q83" i="8"/>
  <c r="Q4" i="9"/>
  <c r="H83" i="8"/>
  <c r="P61" i="8"/>
  <c r="M12" i="9"/>
  <c r="T59" i="8"/>
  <c r="P78" i="8"/>
  <c r="N79" i="8"/>
  <c r="M82" i="8"/>
  <c r="T51" i="9"/>
  <c r="O49" i="9"/>
  <c r="R49" i="9"/>
  <c r="I67" i="9"/>
  <c r="I12" i="9"/>
  <c r="N48" i="9"/>
  <c r="T30" i="9"/>
  <c r="H49" i="9"/>
  <c r="J52" i="9"/>
  <c r="H39" i="9"/>
  <c r="I51" i="9"/>
  <c r="H12" i="9"/>
  <c r="S61" i="8"/>
  <c r="R60" i="8"/>
  <c r="P72" i="8"/>
  <c r="P87" i="8"/>
  <c r="R79" i="8"/>
  <c r="R86" i="8"/>
  <c r="T82" i="8"/>
  <c r="N39" i="9"/>
  <c r="U51" i="9"/>
  <c r="M39" i="9"/>
  <c r="I49" i="9"/>
  <c r="U39" i="9"/>
  <c r="T36" i="9"/>
  <c r="M52" i="9"/>
  <c r="R12" i="9"/>
  <c r="I60" i="9"/>
  <c r="Q36" i="9"/>
  <c r="M4" i="9"/>
  <c r="I4" i="9"/>
  <c r="J2" i="9"/>
  <c r="O51" i="9"/>
  <c r="J12" i="9"/>
  <c r="R51" i="9"/>
  <c r="S51" i="9"/>
  <c r="U52" i="9"/>
  <c r="O61" i="8"/>
  <c r="M87" i="8"/>
  <c r="O79" i="8"/>
  <c r="S39" i="9"/>
  <c r="M51" i="9"/>
  <c r="U12" i="9"/>
  <c r="N52" i="9"/>
  <c r="O12" i="9"/>
  <c r="R52" i="9"/>
  <c r="D7" i="8"/>
  <c r="D16" i="8"/>
  <c r="D26" i="8"/>
  <c r="D3" i="8"/>
  <c r="D11" i="8"/>
  <c r="D18" i="8"/>
  <c r="D29" i="8"/>
  <c r="D40" i="8"/>
  <c r="R61" i="8"/>
  <c r="N59" i="8"/>
  <c r="U65" i="8"/>
  <c r="O75" i="8"/>
  <c r="M78" i="8"/>
  <c r="Q71" i="9"/>
  <c r="R71" i="9"/>
  <c r="P30" i="9"/>
  <c r="T21" i="9"/>
  <c r="R2" i="9"/>
  <c r="S48" i="9"/>
  <c r="O46" i="9"/>
  <c r="I50" i="9"/>
  <c r="J36" i="9"/>
  <c r="Q26" i="9"/>
  <c r="P48" i="9"/>
  <c r="D8" i="8"/>
  <c r="D9" i="8"/>
  <c r="D17" i="8"/>
  <c r="D28" i="8"/>
  <c r="D39" i="8"/>
  <c r="S58" i="8"/>
  <c r="M61" i="8"/>
  <c r="T60" i="8"/>
  <c r="T55" i="8"/>
  <c r="N65" i="8"/>
  <c r="Q72" i="8"/>
  <c r="M75" i="8"/>
  <c r="P65" i="8"/>
  <c r="J75" i="8"/>
  <c r="P39" i="9"/>
  <c r="M41" i="9"/>
  <c r="P21" i="9"/>
  <c r="S71" i="9"/>
  <c r="I53" i="9"/>
  <c r="T29" i="9"/>
  <c r="S29" i="9"/>
  <c r="U22" i="9"/>
  <c r="R3" i="9"/>
  <c r="N32" i="9"/>
  <c r="Q30" i="9"/>
  <c r="M22" i="9"/>
  <c r="Q41" i="9"/>
  <c r="I21" i="9"/>
  <c r="T48" i="9"/>
  <c r="N50" i="9"/>
  <c r="Q12" i="9"/>
  <c r="S50" i="9"/>
  <c r="S36" i="9"/>
  <c r="T3" i="9"/>
  <c r="R4" i="9"/>
  <c r="Q48" i="9"/>
  <c r="O4" i="9"/>
  <c r="M2" i="9"/>
  <c r="O30" i="9"/>
  <c r="D13" i="8"/>
  <c r="D14" i="8"/>
  <c r="D24" i="8"/>
  <c r="D36" i="8"/>
  <c r="T78" i="8"/>
  <c r="I71" i="9"/>
  <c r="H30" i="9"/>
  <c r="O71" i="9"/>
  <c r="N21" i="9"/>
  <c r="S2" i="9"/>
  <c r="D6" i="8"/>
  <c r="D10" i="8"/>
  <c r="D12" i="8"/>
  <c r="D21" i="8"/>
  <c r="D22" i="8"/>
  <c r="D32" i="8"/>
  <c r="D23" i="8"/>
  <c r="D33" i="8"/>
  <c r="D35" i="8"/>
  <c r="P58" i="8"/>
  <c r="Q61" i="8"/>
  <c r="M59" i="8"/>
  <c r="Q60" i="8"/>
  <c r="M60" i="8"/>
  <c r="S55" i="8"/>
  <c r="R65" i="8"/>
  <c r="M72" i="8"/>
  <c r="N72" i="8"/>
  <c r="T75" i="8"/>
  <c r="S78" i="8"/>
  <c r="Q39" i="9"/>
  <c r="J41" i="9"/>
  <c r="U71" i="9"/>
  <c r="T37" i="9"/>
  <c r="M21" i="9"/>
  <c r="O29" i="9"/>
  <c r="T22" i="9"/>
  <c r="M3" i="9"/>
  <c r="U32" i="9"/>
  <c r="U36" i="9"/>
  <c r="M36" i="9"/>
  <c r="T71" i="9"/>
  <c r="H4" i="9"/>
  <c r="I48" i="9"/>
  <c r="N41" i="9"/>
  <c r="T50" i="9"/>
  <c r="R36" i="9"/>
  <c r="J4" i="9"/>
  <c r="P4" i="9"/>
  <c r="D38" i="8"/>
  <c r="R55" i="8"/>
  <c r="T65" i="8"/>
  <c r="M48" i="9"/>
  <c r="J30" i="9"/>
  <c r="N30" i="9"/>
  <c r="Q59" i="8"/>
  <c r="P55" i="8"/>
  <c r="J65" i="8"/>
  <c r="P75" i="8"/>
  <c r="T41" i="9"/>
  <c r="I36" i="9"/>
  <c r="H2" i="9"/>
  <c r="T2" i="9"/>
  <c r="D31" i="8"/>
  <c r="D27" i="8"/>
  <c r="D42" i="8"/>
  <c r="D34" i="8"/>
  <c r="Q58" i="8"/>
  <c r="P59" i="8"/>
  <c r="M55" i="8"/>
  <c r="S65" i="8"/>
  <c r="Q65" i="8"/>
  <c r="S75" i="8"/>
  <c r="Q78" i="8"/>
  <c r="J39" i="9"/>
  <c r="H71" i="9"/>
  <c r="R41" i="9"/>
  <c r="M71" i="9"/>
  <c r="M37" i="9"/>
  <c r="H29" i="9"/>
  <c r="J22" i="9"/>
  <c r="U3" i="9"/>
  <c r="I30" i="9"/>
  <c r="S21" i="9"/>
  <c r="R48" i="9"/>
  <c r="U41" i="9"/>
  <c r="Q50" i="9"/>
  <c r="P50" i="9"/>
  <c r="S32" i="9"/>
  <c r="I2" i="9"/>
  <c r="O39" i="9"/>
  <c r="I39" i="9"/>
  <c r="R37" i="9"/>
  <c r="D15" i="8"/>
  <c r="D25" i="8"/>
  <c r="D37" i="8"/>
  <c r="O78" i="8"/>
  <c r="P71" i="9"/>
  <c r="O2" i="9"/>
  <c r="D2" i="8"/>
  <c r="N61" i="8"/>
  <c r="R59" i="8"/>
  <c r="O65" i="8"/>
  <c r="U16" i="9"/>
  <c r="U48" i="9"/>
  <c r="I41" i="9"/>
  <c r="D5" i="8"/>
  <c r="D20" i="8"/>
  <c r="D4" i="8"/>
  <c r="D19" i="8"/>
  <c r="D30" i="8"/>
  <c r="G36" i="8"/>
  <c r="D41" i="8"/>
  <c r="Q55" i="8"/>
  <c r="M67" i="8"/>
  <c r="N78" i="8"/>
  <c r="U37" i="9"/>
  <c r="T39" i="9"/>
  <c r="S37" i="9"/>
  <c r="Q29" i="9"/>
  <c r="R22" i="9"/>
  <c r="H3" i="9"/>
  <c r="N4" i="9"/>
  <c r="S30" i="9"/>
  <c r="H21" i="9"/>
  <c r="H37" i="9"/>
  <c r="Q21" i="9"/>
  <c r="R50" i="9"/>
  <c r="O21" i="9"/>
  <c r="T32" i="9"/>
  <c r="U4" i="9"/>
  <c r="M30" i="9"/>
  <c r="G9" i="8"/>
  <c r="O76" i="8"/>
  <c r="W68" i="8"/>
  <c r="W77" i="8"/>
  <c r="W65" i="8"/>
  <c r="W66" i="8"/>
  <c r="W69" i="8"/>
  <c r="W64" i="8"/>
  <c r="W73" i="8"/>
  <c r="W70" i="8"/>
  <c r="W74" i="8"/>
  <c r="W67" i="8"/>
  <c r="W71" i="8"/>
  <c r="W75" i="8"/>
  <c r="W72" i="8"/>
  <c r="W76" i="8"/>
  <c r="G28" i="8"/>
  <c r="G26" i="8"/>
  <c r="R54" i="8"/>
  <c r="G20" i="8"/>
  <c r="Q73" i="8"/>
  <c r="Q69" i="8"/>
  <c r="P80" i="8"/>
  <c r="M86" i="8"/>
  <c r="N83" i="8"/>
  <c r="G6" i="8"/>
  <c r="M54" i="8"/>
  <c r="P56" i="8"/>
  <c r="N69" i="8"/>
  <c r="N77" i="8"/>
  <c r="O66" i="8"/>
  <c r="Q87" i="8"/>
  <c r="S85" i="8"/>
  <c r="P79" i="8"/>
  <c r="M80" i="8"/>
  <c r="N86" i="8"/>
  <c r="T81" i="8"/>
  <c r="P81" i="8"/>
  <c r="M83" i="8"/>
  <c r="O72" i="8"/>
  <c r="T56" i="8"/>
  <c r="N70" i="8"/>
  <c r="Q86" i="8"/>
  <c r="T54" i="8"/>
  <c r="R56" i="8"/>
  <c r="S66" i="8"/>
  <c r="N85" i="8"/>
  <c r="G5" i="8"/>
  <c r="G33" i="8"/>
  <c r="G35" i="8"/>
  <c r="P54" i="8"/>
  <c r="N56" i="8"/>
  <c r="T66" i="8"/>
  <c r="R69" i="8"/>
  <c r="P85" i="8"/>
  <c r="M79" i="8"/>
  <c r="R80" i="8"/>
  <c r="S86" i="8"/>
  <c r="Q81" i="8"/>
  <c r="P83" i="8"/>
  <c r="G8" i="8"/>
  <c r="O54" i="8"/>
  <c r="G38" i="8"/>
  <c r="O56" i="8"/>
  <c r="Q80" i="8"/>
  <c r="N66" i="8"/>
  <c r="G34" i="8"/>
  <c r="N54" i="8"/>
  <c r="S54" i="8"/>
  <c r="S56" i="8"/>
  <c r="M69" i="8"/>
  <c r="P69" i="8"/>
  <c r="T87" i="8"/>
  <c r="O85" i="8"/>
  <c r="T79" i="8"/>
  <c r="N80" i="8"/>
  <c r="P86" i="8"/>
  <c r="S83" i="8"/>
  <c r="R83" i="8"/>
  <c r="Q88" i="8"/>
  <c r="W79" i="8"/>
  <c r="W87" i="8"/>
  <c r="W86" i="8"/>
  <c r="W80" i="8"/>
  <c r="W88" i="8"/>
  <c r="W85" i="8"/>
  <c r="W81" i="8"/>
  <c r="W89" i="8"/>
  <c r="W82" i="8"/>
  <c r="W78" i="8"/>
  <c r="W83" i="8"/>
  <c r="W84" i="8"/>
  <c r="G7" i="8"/>
  <c r="S62" i="8"/>
  <c r="W61" i="8"/>
  <c r="W62" i="8"/>
  <c r="W60" i="8"/>
  <c r="W55" i="8"/>
  <c r="W63" i="8"/>
  <c r="W58" i="8"/>
  <c r="W56" i="8"/>
  <c r="W54" i="8"/>
  <c r="W57" i="8"/>
  <c r="W59" i="8"/>
  <c r="S80" i="8"/>
  <c r="P66" i="8"/>
  <c r="G4" i="8"/>
  <c r="G3" i="8"/>
  <c r="S52" i="8"/>
  <c r="W47" i="8"/>
  <c r="W43" i="8"/>
  <c r="W46" i="8"/>
  <c r="W48" i="8"/>
  <c r="W45" i="8"/>
  <c r="W49" i="8"/>
  <c r="W50" i="8"/>
  <c r="W53" i="8"/>
  <c r="W51" i="8"/>
  <c r="W44" i="8"/>
  <c r="W52" i="8"/>
  <c r="U69" i="8"/>
  <c r="S69" i="8"/>
  <c r="S87" i="8"/>
  <c r="N71" i="8"/>
  <c r="U67" i="8"/>
  <c r="M71" i="8"/>
  <c r="Q71" i="8"/>
  <c r="U71" i="8"/>
  <c r="Q62" i="9"/>
  <c r="U62" i="9"/>
  <c r="M62" i="9"/>
  <c r="R62" i="9"/>
  <c r="T62" i="9"/>
  <c r="P70" i="9"/>
  <c r="N62" i="9"/>
  <c r="I62" i="9"/>
  <c r="J62" i="9"/>
  <c r="Q40" i="9"/>
  <c r="S62" i="9"/>
  <c r="M53" i="9"/>
  <c r="R26" i="9"/>
  <c r="J46" i="9"/>
  <c r="U60" i="9"/>
  <c r="Q60" i="9"/>
  <c r="H60" i="9"/>
  <c r="I63" i="9"/>
  <c r="M60" i="9"/>
  <c r="I54" i="9"/>
  <c r="M5" i="9"/>
  <c r="R60" i="9"/>
  <c r="P15" i="9"/>
  <c r="M63" i="9"/>
  <c r="O60" i="9"/>
  <c r="O72" i="9"/>
  <c r="U46" i="9"/>
  <c r="I40" i="9"/>
  <c r="H11" i="9"/>
  <c r="N40" i="9"/>
  <c r="P26" i="9"/>
  <c r="T40" i="9"/>
  <c r="I26" i="9"/>
  <c r="J40" i="9"/>
  <c r="H40" i="9"/>
  <c r="S11" i="9"/>
  <c r="N46" i="9"/>
  <c r="N11" i="9"/>
  <c r="T56" i="9"/>
  <c r="P40" i="9"/>
  <c r="S46" i="9"/>
  <c r="R40" i="9"/>
  <c r="T46" i="9"/>
  <c r="U31" i="9"/>
  <c r="S40" i="9"/>
  <c r="J70" i="9"/>
  <c r="I46" i="9"/>
  <c r="U40" i="9"/>
  <c r="H46" i="9"/>
  <c r="M46" i="9"/>
  <c r="R46" i="9"/>
  <c r="O40" i="9"/>
  <c r="Q46" i="9"/>
  <c r="O53" i="9"/>
  <c r="T53" i="9"/>
  <c r="J53" i="9"/>
  <c r="T67" i="9"/>
  <c r="R53" i="9"/>
  <c r="J67" i="9"/>
  <c r="O31" i="9"/>
  <c r="N15" i="9"/>
  <c r="S26" i="9"/>
  <c r="S53" i="9"/>
  <c r="R67" i="9"/>
  <c r="N66" i="9"/>
  <c r="S67" i="9"/>
  <c r="T26" i="9"/>
  <c r="P53" i="9"/>
  <c r="I66" i="9"/>
  <c r="J26" i="9"/>
  <c r="H53" i="9"/>
  <c r="N53" i="9"/>
  <c r="Q53" i="9"/>
  <c r="P24" i="9"/>
  <c r="H26" i="9"/>
  <c r="O15" i="9"/>
  <c r="U67" i="9"/>
  <c r="M26" i="9"/>
  <c r="U5" i="9"/>
  <c r="O16" i="9"/>
  <c r="R16" i="9"/>
  <c r="S73" i="9"/>
  <c r="M67" i="9"/>
  <c r="S33" i="9"/>
  <c r="N34" i="9"/>
  <c r="Q15" i="9"/>
  <c r="N60" i="9"/>
  <c r="H24" i="9"/>
  <c r="Q33" i="9"/>
  <c r="T15" i="9"/>
  <c r="M34" i="9"/>
  <c r="S60" i="9"/>
  <c r="O5" i="9"/>
  <c r="N73" i="9"/>
  <c r="O73" i="9"/>
  <c r="T73" i="9"/>
  <c r="O67" i="9"/>
  <c r="J5" i="9"/>
  <c r="U19" i="9"/>
  <c r="T16" i="9"/>
  <c r="Q5" i="9"/>
  <c r="Q34" i="9"/>
  <c r="P60" i="9"/>
  <c r="J15" i="9"/>
  <c r="I16" i="9"/>
  <c r="T60" i="9"/>
  <c r="M16" i="9"/>
  <c r="H15" i="9"/>
  <c r="N16" i="9"/>
  <c r="H5" i="9"/>
  <c r="H16" i="9"/>
  <c r="M24" i="9"/>
  <c r="S58" i="9"/>
  <c r="P67" i="9"/>
  <c r="H38" i="9"/>
  <c r="P5" i="9"/>
  <c r="S27" i="9"/>
  <c r="Q16" i="9"/>
  <c r="T33" i="9"/>
  <c r="N67" i="9"/>
  <c r="I70" i="9"/>
  <c r="P16" i="9"/>
  <c r="O58" i="9"/>
  <c r="N26" i="9"/>
  <c r="P34" i="9"/>
  <c r="P10" i="9"/>
  <c r="N70" i="9"/>
  <c r="H34" i="9"/>
  <c r="H67" i="9"/>
  <c r="R5" i="9"/>
  <c r="J16" i="9"/>
  <c r="O26" i="9"/>
  <c r="U34" i="9"/>
  <c r="P27" i="9"/>
  <c r="J54" i="9"/>
  <c r="N24" i="9"/>
  <c r="T10" i="9"/>
  <c r="T24" i="9"/>
  <c r="H10" i="9"/>
  <c r="N38" i="9"/>
  <c r="J11" i="9"/>
  <c r="J63" i="9"/>
  <c r="R33" i="9"/>
  <c r="I11" i="9"/>
  <c r="N27" i="9"/>
  <c r="O10" i="9"/>
  <c r="I38" i="9"/>
  <c r="U24" i="9"/>
  <c r="T72" i="9"/>
  <c r="P38" i="9"/>
  <c r="N33" i="9"/>
  <c r="O11" i="9"/>
  <c r="I34" i="9"/>
  <c r="S54" i="9"/>
  <c r="I33" i="9"/>
  <c r="U27" i="9"/>
  <c r="S72" i="9"/>
  <c r="J33" i="9"/>
  <c r="N72" i="9"/>
  <c r="U33" i="9"/>
  <c r="H72" i="9"/>
  <c r="Q11" i="9"/>
  <c r="T27" i="9"/>
  <c r="Q27" i="9"/>
  <c r="U72" i="9"/>
  <c r="O38" i="9"/>
  <c r="P66" i="9"/>
  <c r="M54" i="9"/>
  <c r="U11" i="9"/>
  <c r="I10" i="9"/>
  <c r="M33" i="9"/>
  <c r="J24" i="9"/>
  <c r="S10" i="9"/>
  <c r="Q24" i="9"/>
  <c r="S24" i="9"/>
  <c r="M72" i="9"/>
  <c r="Q38" i="9"/>
  <c r="T11" i="9"/>
  <c r="N10" i="9"/>
  <c r="T54" i="9"/>
  <c r="O34" i="9"/>
  <c r="R34" i="9"/>
  <c r="S34" i="9"/>
  <c r="U10" i="9"/>
  <c r="M10" i="9"/>
  <c r="H54" i="9"/>
  <c r="P11" i="9"/>
  <c r="I27" i="9"/>
  <c r="H27" i="9"/>
  <c r="R19" i="9"/>
  <c r="U63" i="9"/>
  <c r="O33" i="9"/>
  <c r="R24" i="9"/>
  <c r="M27" i="9"/>
  <c r="R27" i="9"/>
  <c r="M11" i="9"/>
  <c r="T19" i="9"/>
  <c r="J10" i="9"/>
  <c r="I24" i="9"/>
  <c r="I72" i="9"/>
  <c r="Q10" i="9"/>
  <c r="P33" i="9"/>
  <c r="O54" i="9"/>
  <c r="J34" i="9"/>
  <c r="M56" i="9"/>
  <c r="J73" i="9"/>
  <c r="N63" i="9"/>
  <c r="R73" i="9"/>
  <c r="P63" i="9"/>
  <c r="H56" i="9"/>
  <c r="O27" i="9"/>
  <c r="R31" i="9"/>
  <c r="I19" i="9"/>
  <c r="Q58" i="9"/>
  <c r="R54" i="9"/>
  <c r="O70" i="9"/>
  <c r="M58" i="9"/>
  <c r="T38" i="9"/>
  <c r="U38" i="9"/>
  <c r="S38" i="9"/>
  <c r="R38" i="9"/>
  <c r="J38" i="9"/>
  <c r="U15" i="9"/>
  <c r="S15" i="9"/>
  <c r="R15" i="9"/>
  <c r="I15" i="9"/>
  <c r="S56" i="9"/>
  <c r="J56" i="9"/>
  <c r="Q56" i="9"/>
  <c r="P56" i="9"/>
  <c r="O19" i="9"/>
  <c r="Q31" i="9"/>
  <c r="O56" i="9"/>
  <c r="I73" i="9"/>
  <c r="J31" i="9"/>
  <c r="S31" i="9"/>
  <c r="J19" i="9"/>
  <c r="Q19" i="9"/>
  <c r="Q70" i="9"/>
  <c r="T70" i="9"/>
  <c r="I56" i="9"/>
  <c r="S66" i="9"/>
  <c r="Q66" i="9"/>
  <c r="R66" i="9"/>
  <c r="H73" i="9"/>
  <c r="P73" i="9"/>
  <c r="H19" i="9"/>
  <c r="J66" i="9"/>
  <c r="J58" i="9"/>
  <c r="I58" i="9"/>
  <c r="H58" i="9"/>
  <c r="R58" i="9"/>
  <c r="H63" i="9"/>
  <c r="T63" i="9"/>
  <c r="Q63" i="9"/>
  <c r="O63" i="9"/>
  <c r="M73" i="9"/>
  <c r="H66" i="9"/>
  <c r="Q73" i="9"/>
  <c r="S63" i="9"/>
  <c r="N31" i="9"/>
  <c r="N19" i="9"/>
  <c r="P58" i="9"/>
  <c r="M66" i="9"/>
  <c r="T58" i="9"/>
  <c r="N54" i="9"/>
  <c r="Q54" i="9"/>
  <c r="P54" i="9"/>
  <c r="R72" i="9"/>
  <c r="P72" i="9"/>
  <c r="Q72" i="9"/>
  <c r="U56" i="9"/>
  <c r="H31" i="9"/>
  <c r="T66" i="9"/>
  <c r="R70" i="9"/>
  <c r="S70" i="9"/>
  <c r="H70" i="9"/>
  <c r="R56" i="9"/>
  <c r="M70" i="9"/>
  <c r="O66" i="9"/>
  <c r="U58" i="9"/>
  <c r="O68" i="9"/>
  <c r="T68" i="9"/>
  <c r="J68" i="9"/>
  <c r="S68" i="9"/>
  <c r="I68" i="9"/>
  <c r="R68" i="9"/>
  <c r="Q68" i="9"/>
  <c r="U68" i="9"/>
  <c r="P68" i="9"/>
  <c r="M68" i="9"/>
  <c r="M31" i="9"/>
  <c r="P31" i="9"/>
  <c r="M19" i="9"/>
  <c r="P19" i="9"/>
  <c r="N68" i="9"/>
  <c r="I31" i="9"/>
  <c r="I5" i="9"/>
  <c r="T5" i="9"/>
  <c r="N5" i="9"/>
  <c r="H68" i="9"/>
  <c r="S35" i="9"/>
  <c r="R35" i="9"/>
  <c r="I35" i="9"/>
  <c r="P35" i="9"/>
  <c r="M35" i="9"/>
  <c r="T35" i="9"/>
  <c r="J35" i="9"/>
  <c r="N35" i="9"/>
  <c r="H35" i="9"/>
  <c r="U35" i="9"/>
  <c r="O35" i="9"/>
  <c r="Q35" i="9"/>
  <c r="P9" i="9"/>
  <c r="H9" i="9"/>
  <c r="N9" i="9"/>
  <c r="S9" i="9"/>
  <c r="Q9" i="9"/>
  <c r="I9" i="9"/>
  <c r="T9" i="9"/>
  <c r="J9" i="9"/>
  <c r="R9" i="9"/>
  <c r="U9" i="9"/>
  <c r="O9" i="9"/>
  <c r="M9" i="9"/>
  <c r="S57" i="9"/>
  <c r="R57" i="9"/>
  <c r="J57" i="9"/>
  <c r="N57" i="9"/>
  <c r="Q57" i="9"/>
  <c r="O57" i="9"/>
  <c r="U57" i="9"/>
  <c r="T57" i="9"/>
  <c r="I57" i="9"/>
  <c r="H57" i="9"/>
  <c r="P57" i="9"/>
  <c r="M57" i="9"/>
  <c r="R14" i="9"/>
  <c r="J14" i="9"/>
  <c r="O14" i="9"/>
  <c r="M14" i="9"/>
  <c r="S14" i="9"/>
  <c r="I14" i="9"/>
  <c r="P14" i="9"/>
  <c r="H14" i="9"/>
  <c r="Q14" i="9"/>
  <c r="U14" i="9"/>
  <c r="T14" i="9"/>
  <c r="N14" i="9"/>
  <c r="S25" i="9"/>
  <c r="N25" i="9"/>
  <c r="M25" i="9"/>
  <c r="U25" i="9"/>
  <c r="J25" i="9"/>
  <c r="Q25" i="9"/>
  <c r="O25" i="9"/>
  <c r="I25" i="9"/>
  <c r="T25" i="9"/>
  <c r="H25" i="9"/>
  <c r="R25" i="9"/>
  <c r="P25" i="9"/>
  <c r="S69" i="9"/>
  <c r="R69" i="9"/>
  <c r="J69" i="9"/>
  <c r="N69" i="9"/>
  <c r="Q69" i="9"/>
  <c r="O69" i="9"/>
  <c r="I69" i="9"/>
  <c r="H69" i="9"/>
  <c r="T69" i="9"/>
  <c r="P69" i="9"/>
  <c r="M69" i="9"/>
  <c r="U69" i="9"/>
  <c r="N23" i="9"/>
  <c r="Q23" i="9"/>
  <c r="H23" i="9"/>
  <c r="O23" i="9"/>
  <c r="T23" i="9"/>
  <c r="R23" i="9"/>
  <c r="I23" i="9"/>
  <c r="S23" i="9"/>
  <c r="J23" i="9"/>
  <c r="P23" i="9"/>
  <c r="M23" i="9"/>
  <c r="U23" i="9"/>
  <c r="R18" i="9"/>
  <c r="J18" i="9"/>
  <c r="M18" i="9"/>
  <c r="S18" i="9"/>
  <c r="I18" i="9"/>
  <c r="P18" i="9"/>
  <c r="O18" i="9"/>
  <c r="U18" i="9"/>
  <c r="T18" i="9"/>
  <c r="Q18" i="9"/>
  <c r="N18" i="9"/>
  <c r="H18" i="9"/>
  <c r="N13" i="9"/>
  <c r="Q13" i="9"/>
  <c r="H13" i="9"/>
  <c r="O13" i="9"/>
  <c r="T13" i="9"/>
  <c r="R13" i="9"/>
  <c r="I13" i="9"/>
  <c r="M13" i="9"/>
  <c r="J13" i="9"/>
  <c r="U13" i="9"/>
  <c r="S13" i="9"/>
  <c r="P13" i="9"/>
  <c r="R20" i="9"/>
  <c r="J20" i="9"/>
  <c r="M20" i="9"/>
  <c r="S20" i="9"/>
  <c r="I20" i="9"/>
  <c r="P20" i="9"/>
  <c r="O20" i="9"/>
  <c r="Q20" i="9"/>
  <c r="N20" i="9"/>
  <c r="H20" i="9"/>
  <c r="U20" i="9"/>
  <c r="T20" i="9"/>
  <c r="S6" i="9"/>
  <c r="P6" i="9"/>
  <c r="H6" i="9"/>
  <c r="N6" i="9"/>
  <c r="U6" i="9"/>
  <c r="M6" i="9"/>
  <c r="O6" i="9"/>
  <c r="I6" i="9"/>
  <c r="T6" i="9"/>
  <c r="J6" i="9"/>
  <c r="R6" i="9"/>
  <c r="Q6" i="9"/>
  <c r="S55" i="9"/>
  <c r="R55" i="9"/>
  <c r="J55" i="9"/>
  <c r="Q55" i="9"/>
  <c r="O55" i="9"/>
  <c r="T55" i="9"/>
  <c r="H55" i="9"/>
  <c r="N55" i="9"/>
  <c r="U55" i="9"/>
  <c r="P55" i="9"/>
  <c r="M55" i="9"/>
  <c r="I55" i="9"/>
  <c r="S45" i="9"/>
  <c r="R45" i="9"/>
  <c r="J45" i="9"/>
  <c r="U45" i="9"/>
  <c r="I45" i="9"/>
  <c r="Q45" i="9"/>
  <c r="N45" i="9"/>
  <c r="P45" i="9"/>
  <c r="H45" i="9"/>
  <c r="T45" i="9"/>
  <c r="O45" i="9"/>
  <c r="M45" i="9"/>
  <c r="S43" i="9"/>
  <c r="R43" i="9"/>
  <c r="J43" i="9"/>
  <c r="Q43" i="9"/>
  <c r="O43" i="9"/>
  <c r="T43" i="9"/>
  <c r="H43" i="9"/>
  <c r="I43" i="9"/>
  <c r="N43" i="9"/>
  <c r="M43" i="9"/>
  <c r="U43" i="9"/>
  <c r="P43" i="9"/>
  <c r="S59" i="9"/>
  <c r="R59" i="9"/>
  <c r="J59" i="9"/>
  <c r="U59" i="9"/>
  <c r="I59" i="9"/>
  <c r="Q59" i="9"/>
  <c r="N59" i="9"/>
  <c r="H59" i="9"/>
  <c r="P59" i="9"/>
  <c r="O59" i="9"/>
  <c r="M59" i="9"/>
  <c r="T59" i="9"/>
  <c r="N17" i="9"/>
  <c r="O17" i="9"/>
  <c r="T17" i="9"/>
  <c r="R17" i="9"/>
  <c r="I17" i="9"/>
  <c r="Q17" i="9"/>
  <c r="H17" i="9"/>
  <c r="J17" i="9"/>
  <c r="S17" i="9"/>
  <c r="P17" i="9"/>
  <c r="M17" i="9"/>
  <c r="U17" i="9"/>
  <c r="N7" i="9"/>
  <c r="S7" i="9"/>
  <c r="Q7" i="9"/>
  <c r="I7" i="9"/>
  <c r="P7" i="9"/>
  <c r="H7" i="9"/>
  <c r="U7" i="9"/>
  <c r="R7" i="9"/>
  <c r="T7" i="9"/>
  <c r="O7" i="9"/>
  <c r="J7" i="9"/>
  <c r="M7" i="9"/>
  <c r="T67" i="8"/>
  <c r="P67" i="8"/>
  <c r="T71" i="8"/>
  <c r="H60" i="8"/>
  <c r="H75" i="8"/>
  <c r="H54" i="8"/>
  <c r="H67" i="8"/>
  <c r="H61" i="8"/>
  <c r="H69" i="8"/>
  <c r="H87" i="8"/>
  <c r="H55" i="8"/>
  <c r="H56" i="8"/>
  <c r="H66" i="8"/>
  <c r="H80" i="8"/>
  <c r="H79" i="8"/>
  <c r="H82" i="8"/>
  <c r="H86" i="8"/>
  <c r="H65" i="8"/>
  <c r="H59" i="8"/>
  <c r="H74" i="8"/>
  <c r="H78" i="8"/>
  <c r="H64" i="8"/>
  <c r="H84" i="8"/>
  <c r="H58" i="8"/>
  <c r="H85" i="8"/>
  <c r="H72" i="8"/>
  <c r="H71" i="8"/>
  <c r="H81" i="8"/>
  <c r="Q89" i="8"/>
  <c r="S89" i="8"/>
  <c r="P89" i="8"/>
  <c r="T89" i="8"/>
  <c r="S88" i="8"/>
  <c r="N89" i="8"/>
  <c r="M89" i="8"/>
  <c r="P88" i="8"/>
  <c r="N88" i="8"/>
  <c r="H88" i="8"/>
  <c r="H89" i="8"/>
  <c r="O88" i="8"/>
  <c r="R88" i="8"/>
  <c r="M88" i="8"/>
  <c r="R89" i="8"/>
  <c r="T88" i="8"/>
  <c r="M77" i="8"/>
  <c r="H77" i="8"/>
  <c r="J77" i="8"/>
  <c r="T77" i="8"/>
  <c r="U77" i="8"/>
  <c r="Q77" i="8"/>
  <c r="N73" i="8"/>
  <c r="O70" i="8"/>
  <c r="M73" i="8"/>
  <c r="S67" i="8"/>
  <c r="T70" i="8"/>
  <c r="S73" i="8"/>
  <c r="H73" i="8"/>
  <c r="T73" i="8"/>
  <c r="J67" i="8"/>
  <c r="K21" i="8"/>
  <c r="T68" i="8"/>
  <c r="H70" i="8"/>
  <c r="M70" i="8"/>
  <c r="J70" i="8"/>
  <c r="P73" i="8"/>
  <c r="P70" i="8"/>
  <c r="Q67" i="8"/>
  <c r="Q70" i="8"/>
  <c r="U70" i="8"/>
  <c r="R70" i="8"/>
  <c r="U73" i="8"/>
  <c r="O67" i="8"/>
  <c r="O77" i="8"/>
  <c r="S77" i="8"/>
  <c r="P77" i="8"/>
  <c r="M68" i="8"/>
  <c r="Q68" i="8"/>
  <c r="H68" i="8"/>
  <c r="R68" i="8"/>
  <c r="P68" i="8"/>
  <c r="O68" i="8"/>
  <c r="S68" i="8"/>
  <c r="R67" i="8"/>
  <c r="N67" i="8"/>
  <c r="N68" i="8"/>
  <c r="J68" i="8"/>
  <c r="J71" i="8"/>
  <c r="O71" i="8"/>
  <c r="P71" i="8"/>
  <c r="N76" i="8"/>
  <c r="T76" i="8"/>
  <c r="U76" i="8"/>
  <c r="M76" i="8"/>
  <c r="J76" i="8"/>
  <c r="P76" i="8"/>
  <c r="Q76" i="8"/>
  <c r="R76" i="8"/>
  <c r="H76" i="8"/>
  <c r="S76" i="8"/>
  <c r="Q46" i="8"/>
  <c r="G41" i="8"/>
  <c r="G19" i="8"/>
  <c r="Q49" i="8"/>
  <c r="G25" i="8"/>
  <c r="Q63" i="8"/>
  <c r="M63" i="8"/>
  <c r="H63" i="8"/>
  <c r="S63" i="8"/>
  <c r="H62" i="8"/>
  <c r="M62" i="8"/>
  <c r="P63" i="8"/>
  <c r="T62" i="8"/>
  <c r="P62" i="8"/>
  <c r="R63" i="8"/>
  <c r="O63" i="8"/>
  <c r="N63" i="8"/>
  <c r="Q62" i="8"/>
  <c r="O62" i="8"/>
  <c r="R62" i="8"/>
  <c r="N62" i="8"/>
  <c r="G15" i="8"/>
  <c r="G24" i="8"/>
  <c r="P50" i="8"/>
  <c r="T57" i="8"/>
  <c r="H57" i="8"/>
  <c r="Q57" i="8"/>
  <c r="N57" i="8"/>
  <c r="S57" i="8"/>
  <c r="P57" i="8"/>
  <c r="M57" i="8"/>
  <c r="R57" i="8"/>
  <c r="O57" i="8"/>
  <c r="G32" i="8"/>
  <c r="K32" i="8"/>
  <c r="J53" i="8"/>
  <c r="U44" i="8"/>
  <c r="H47" i="8"/>
  <c r="L31" i="8"/>
  <c r="R47" i="8"/>
  <c r="G39" i="8"/>
  <c r="G42" i="8"/>
  <c r="K42" i="8"/>
  <c r="K22" i="8"/>
  <c r="G29" i="8"/>
  <c r="L22" i="8"/>
  <c r="Q53" i="8"/>
  <c r="J52" i="8"/>
  <c r="G31" i="8"/>
  <c r="T53" i="8"/>
  <c r="K31" i="8"/>
  <c r="R53" i="8"/>
  <c r="P49" i="8"/>
  <c r="G27" i="8"/>
  <c r="N49" i="8"/>
  <c r="Q44" i="8"/>
  <c r="N53" i="8"/>
  <c r="G2" i="8"/>
  <c r="U53" i="8"/>
  <c r="R49" i="8"/>
  <c r="J44" i="8"/>
  <c r="T44" i="8"/>
  <c r="G30" i="8"/>
  <c r="U48" i="8"/>
  <c r="R44" i="8"/>
  <c r="Q48" i="8"/>
  <c r="U52" i="8"/>
  <c r="M49" i="8"/>
  <c r="K41" i="8"/>
  <c r="H53" i="8"/>
  <c r="M53" i="8"/>
  <c r="R52" i="8"/>
  <c r="U49" i="8"/>
  <c r="M44" i="8"/>
  <c r="G23" i="8"/>
  <c r="O49" i="8"/>
  <c r="P53" i="8"/>
  <c r="M48" i="8"/>
  <c r="N44" i="8"/>
  <c r="Q52" i="8"/>
  <c r="H51" i="8"/>
  <c r="T49" i="8"/>
  <c r="J49" i="8"/>
  <c r="J48" i="8"/>
  <c r="H48" i="8"/>
  <c r="H44" i="8"/>
  <c r="O53" i="8"/>
  <c r="T52" i="8"/>
  <c r="P51" i="8"/>
  <c r="Q51" i="8"/>
  <c r="H49" i="8"/>
  <c r="R48" i="8"/>
  <c r="T48" i="8"/>
  <c r="Q47" i="8"/>
  <c r="P47" i="8"/>
  <c r="J47" i="8"/>
  <c r="O47" i="8"/>
  <c r="P46" i="8"/>
  <c r="O45" i="8"/>
  <c r="O51" i="8"/>
  <c r="U50" i="8"/>
  <c r="M52" i="8"/>
  <c r="R51" i="8"/>
  <c r="J51" i="8"/>
  <c r="Q50" i="8"/>
  <c r="N48" i="8"/>
  <c r="T47" i="8"/>
  <c r="R46" i="8"/>
  <c r="J46" i="8"/>
  <c r="P45" i="8"/>
  <c r="H45" i="8"/>
  <c r="O44" i="8"/>
  <c r="H50" i="8"/>
  <c r="H46" i="8"/>
  <c r="N45" i="8"/>
  <c r="N51" i="8"/>
  <c r="U45" i="8"/>
  <c r="M51" i="8"/>
  <c r="N47" i="8"/>
  <c r="M46" i="8"/>
  <c r="T45" i="8"/>
  <c r="O50" i="8"/>
  <c r="P52" i="8"/>
  <c r="O52" i="8"/>
  <c r="U51" i="8"/>
  <c r="T50" i="8"/>
  <c r="P48" i="8"/>
  <c r="M47" i="8"/>
  <c r="U46" i="8"/>
  <c r="R45" i="8"/>
  <c r="J45" i="8"/>
  <c r="N50" i="8"/>
  <c r="O46" i="8"/>
  <c r="M45" i="8"/>
  <c r="M50" i="8"/>
  <c r="N46" i="8"/>
  <c r="H52" i="8"/>
  <c r="N52" i="8"/>
  <c r="T51" i="8"/>
  <c r="R50" i="8"/>
  <c r="J50" i="8"/>
  <c r="O48" i="8"/>
  <c r="U47" i="8"/>
  <c r="T46" i="8"/>
  <c r="Q45" i="8"/>
  <c r="P44" i="8"/>
  <c r="R43" i="8"/>
  <c r="T43" i="8"/>
  <c r="J43" i="8"/>
  <c r="N43" i="8"/>
  <c r="P43" i="8"/>
  <c r="O43" i="8"/>
  <c r="M43" i="8"/>
  <c r="H43" i="8"/>
  <c r="Q43" i="8"/>
  <c r="U43" i="8"/>
  <c r="G40" i="8"/>
  <c r="G37" i="8"/>
  <c r="G21" i="8"/>
  <c r="G22" i="8"/>
  <c r="G16" i="8"/>
  <c r="G18" i="8"/>
  <c r="G14" i="8"/>
  <c r="G17" i="8"/>
  <c r="G13" i="8"/>
  <c r="K12" i="8"/>
  <c r="K11" i="8"/>
  <c r="G12" i="8"/>
  <c r="G11" i="8"/>
  <c r="G10" i="8"/>
  <c r="AQ6" i="8"/>
  <c r="AM5" i="8"/>
  <c r="AL6" i="8"/>
  <c r="K6" i="8" s="1"/>
  <c r="AM2" i="8"/>
  <c r="AL3" i="8"/>
  <c r="K3" i="8" s="1"/>
  <c r="AM4" i="8"/>
  <c r="AL5" i="8"/>
  <c r="K5" i="8" s="1"/>
  <c r="AM6" i="8"/>
  <c r="L2" i="8"/>
  <c r="AM3" i="8"/>
  <c r="AM8" i="8"/>
  <c r="AL8" i="8"/>
  <c r="K8" i="8" s="1"/>
  <c r="AE2" i="7"/>
  <c r="F2" i="7" s="1"/>
  <c r="AE3" i="7"/>
  <c r="F3" i="7" s="1"/>
  <c r="AE4" i="7"/>
  <c r="F4" i="7" s="1"/>
  <c r="AE5" i="7"/>
  <c r="F5" i="7" s="1"/>
  <c r="AE6" i="7"/>
  <c r="AE7" i="7"/>
  <c r="AE8" i="7"/>
  <c r="AE9" i="7"/>
  <c r="AE10" i="7"/>
  <c r="F10" i="7" s="1"/>
  <c r="AE11" i="7"/>
  <c r="F11" i="7" s="1"/>
  <c r="AE12" i="7"/>
  <c r="F12" i="7" s="1"/>
  <c r="AE13" i="7"/>
  <c r="F13" i="7" s="1"/>
  <c r="AE14" i="7"/>
  <c r="AE15" i="7"/>
  <c r="AE16" i="7"/>
  <c r="F16" i="7" s="1"/>
  <c r="AE17" i="7"/>
  <c r="AE18" i="7"/>
  <c r="F18" i="7" s="1"/>
  <c r="AE19" i="7"/>
  <c r="F19" i="7" s="1"/>
  <c r="AE20" i="7"/>
  <c r="F20" i="7" s="1"/>
  <c r="AE21" i="7"/>
  <c r="F21" i="7" s="1"/>
  <c r="AE22" i="7"/>
  <c r="AE23" i="7"/>
  <c r="AE24" i="7"/>
  <c r="F24" i="7" s="1"/>
  <c r="AE25" i="7"/>
  <c r="AE26" i="7"/>
  <c r="F26" i="7" s="1"/>
  <c r="AE27" i="7"/>
  <c r="F27" i="7" s="1"/>
  <c r="AE28" i="7"/>
  <c r="F28" i="7" s="1"/>
  <c r="AE29" i="7"/>
  <c r="F29" i="7" s="1"/>
  <c r="AE30" i="7"/>
  <c r="AE31" i="7"/>
  <c r="AE32" i="7"/>
  <c r="F32" i="7" s="1"/>
  <c r="AE33" i="7"/>
  <c r="AE34" i="7"/>
  <c r="F34" i="7" s="1"/>
  <c r="AE35" i="7"/>
  <c r="F35" i="7" s="1"/>
  <c r="AE36" i="7"/>
  <c r="F36" i="7" s="1"/>
  <c r="AE37" i="7"/>
  <c r="F37" i="7" s="1"/>
  <c r="AF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N2" i="7"/>
  <c r="AN3" i="7"/>
  <c r="AN4" i="7"/>
  <c r="AN5" i="7"/>
  <c r="AN6" i="7"/>
  <c r="AN7" i="7"/>
  <c r="AN8" i="7"/>
  <c r="AN9" i="7"/>
  <c r="AN10" i="7"/>
  <c r="AN11" i="7"/>
  <c r="AN12" i="7"/>
  <c r="AN13" i="7"/>
  <c r="AN14" i="7"/>
  <c r="AN15" i="7"/>
  <c r="AN16" i="7"/>
  <c r="AN17" i="7"/>
  <c r="AN18" i="7"/>
  <c r="AN19" i="7"/>
  <c r="AN20" i="7"/>
  <c r="AN21" i="7"/>
  <c r="AN22" i="7"/>
  <c r="AN23" i="7"/>
  <c r="AN24" i="7"/>
  <c r="AN25" i="7"/>
  <c r="AN26" i="7"/>
  <c r="AN27" i="7"/>
  <c r="AN28" i="7"/>
  <c r="AN29" i="7"/>
  <c r="AN30" i="7"/>
  <c r="AN31" i="7"/>
  <c r="AN32" i="7"/>
  <c r="AN33" i="7"/>
  <c r="AN34" i="7"/>
  <c r="AN35" i="7"/>
  <c r="AN36" i="7"/>
  <c r="AN37" i="7"/>
  <c r="AP5" i="7"/>
  <c r="AP6" i="7" s="1"/>
  <c r="L3" i="4"/>
  <c r="L4" i="4"/>
  <c r="L5" i="4"/>
  <c r="L6" i="4"/>
  <c r="L7" i="4"/>
  <c r="L9" i="4"/>
  <c r="L10" i="4"/>
  <c r="L11" i="4"/>
  <c r="L12" i="4"/>
  <c r="L13" i="4"/>
  <c r="L17" i="4"/>
  <c r="L20" i="4"/>
  <c r="L21" i="4"/>
  <c r="L24" i="4"/>
  <c r="L25" i="4"/>
  <c r="L26" i="4"/>
  <c r="L27" i="4"/>
  <c r="L37" i="4"/>
  <c r="L45" i="4"/>
  <c r="L2" i="4"/>
  <c r="O32" i="8" l="1"/>
  <c r="S8" i="8"/>
  <c r="S28" i="8"/>
  <c r="N9" i="8"/>
  <c r="R29" i="8"/>
  <c r="S25" i="8"/>
  <c r="S33" i="8"/>
  <c r="S36" i="8"/>
  <c r="P2" i="8"/>
  <c r="S42" i="8"/>
  <c r="O24" i="8"/>
  <c r="M3" i="8"/>
  <c r="U7" i="8"/>
  <c r="S38" i="8"/>
  <c r="S5" i="8"/>
  <c r="S34" i="8"/>
  <c r="S35" i="8"/>
  <c r="M40" i="8"/>
  <c r="S39" i="8"/>
  <c r="Q6" i="8"/>
  <c r="H26" i="8"/>
  <c r="V15" i="7"/>
  <c r="X15" i="7" s="1"/>
  <c r="V13" i="7"/>
  <c r="X13" i="7" s="1"/>
  <c r="V36" i="7"/>
  <c r="X36" i="7" s="1"/>
  <c r="V28" i="7"/>
  <c r="X28" i="7" s="1"/>
  <c r="V20" i="7"/>
  <c r="X20" i="7" s="1"/>
  <c r="V12" i="7"/>
  <c r="X12" i="7" s="1"/>
  <c r="V23" i="7"/>
  <c r="X23" i="7" s="1"/>
  <c r="V35" i="7"/>
  <c r="X35" i="7" s="1"/>
  <c r="V27" i="7"/>
  <c r="X27" i="7" s="1"/>
  <c r="V11" i="7"/>
  <c r="X11" i="7" s="1"/>
  <c r="V3" i="7"/>
  <c r="X3" i="7" s="1"/>
  <c r="V31" i="7"/>
  <c r="X31" i="7" s="1"/>
  <c r="V30" i="7"/>
  <c r="X30" i="7" s="1"/>
  <c r="V34" i="7"/>
  <c r="X34" i="7" s="1"/>
  <c r="V18" i="7"/>
  <c r="X18" i="7" s="1"/>
  <c r="V10" i="7"/>
  <c r="X10" i="7" s="1"/>
  <c r="V2" i="7"/>
  <c r="X2" i="7" s="1"/>
  <c r="V7" i="7"/>
  <c r="X7" i="7" s="1"/>
  <c r="V25" i="7"/>
  <c r="X25" i="7" s="1"/>
  <c r="V17" i="7"/>
  <c r="X17" i="7" s="1"/>
  <c r="V9" i="7"/>
  <c r="X9" i="7" s="1"/>
  <c r="V32" i="7"/>
  <c r="X32" i="7" s="1"/>
  <c r="V16" i="7"/>
  <c r="X16" i="7" s="1"/>
  <c r="L8" i="7"/>
  <c r="AI13" i="7"/>
  <c r="J36" i="8"/>
  <c r="N28" i="8"/>
  <c r="AL12" i="7"/>
  <c r="K12" i="7" s="1"/>
  <c r="R33" i="8"/>
  <c r="O36" i="8"/>
  <c r="T33" i="8"/>
  <c r="T36" i="8"/>
  <c r="N38" i="8"/>
  <c r="N7" i="8"/>
  <c r="D13" i="7"/>
  <c r="R36" i="8"/>
  <c r="M33" i="8"/>
  <c r="AM24" i="7"/>
  <c r="R6" i="8"/>
  <c r="U33" i="8"/>
  <c r="H35" i="8"/>
  <c r="N33" i="8"/>
  <c r="Q28" i="8"/>
  <c r="P35" i="8"/>
  <c r="J33" i="8"/>
  <c r="J28" i="8"/>
  <c r="AL27" i="7"/>
  <c r="K27" i="7" s="1"/>
  <c r="J35" i="8"/>
  <c r="H33" i="8"/>
  <c r="O33" i="8"/>
  <c r="P33" i="8"/>
  <c r="M20" i="8"/>
  <c r="Q33" i="8"/>
  <c r="F9" i="7"/>
  <c r="O6" i="8"/>
  <c r="O4" i="8"/>
  <c r="P26" i="8"/>
  <c r="AI23" i="7"/>
  <c r="AL10" i="7"/>
  <c r="K10" i="7" s="1"/>
  <c r="F30" i="7"/>
  <c r="F22" i="7"/>
  <c r="F14" i="7"/>
  <c r="F6" i="7"/>
  <c r="M8" i="8"/>
  <c r="U6" i="8"/>
  <c r="U28" i="8"/>
  <c r="F25" i="7"/>
  <c r="F17" i="7"/>
  <c r="N6" i="8"/>
  <c r="F23" i="7"/>
  <c r="F15" i="7"/>
  <c r="T8" i="8"/>
  <c r="F33" i="7"/>
  <c r="S6" i="8"/>
  <c r="U26" i="8"/>
  <c r="F8" i="7"/>
  <c r="F31" i="7"/>
  <c r="F7" i="7"/>
  <c r="M6" i="8"/>
  <c r="M26" i="8"/>
  <c r="P6" i="8"/>
  <c r="J6" i="8"/>
  <c r="H9" i="8"/>
  <c r="T28" i="8"/>
  <c r="P28" i="8"/>
  <c r="Q4" i="8"/>
  <c r="U20" i="8"/>
  <c r="Q38" i="8"/>
  <c r="R28" i="8"/>
  <c r="O28" i="8"/>
  <c r="M7" i="8"/>
  <c r="AM33" i="7"/>
  <c r="T38" i="8"/>
  <c r="H28" i="8"/>
  <c r="H7" i="8"/>
  <c r="D8" i="7"/>
  <c r="N4" i="8"/>
  <c r="N32" i="8"/>
  <c r="U4" i="8"/>
  <c r="N5" i="8"/>
  <c r="M28" i="8"/>
  <c r="J38" i="8"/>
  <c r="AI8" i="7"/>
  <c r="AM25" i="7"/>
  <c r="T4" i="8"/>
  <c r="U38" i="8"/>
  <c r="T26" i="8"/>
  <c r="Q26" i="8"/>
  <c r="G35" i="7"/>
  <c r="D35" i="7"/>
  <c r="G34" i="7"/>
  <c r="D34" i="7"/>
  <c r="G18" i="7"/>
  <c r="R18" i="7" s="1"/>
  <c r="D18" i="7"/>
  <c r="G2" i="7"/>
  <c r="D2" i="7"/>
  <c r="U8" i="8"/>
  <c r="AI33" i="7"/>
  <c r="V33" i="7"/>
  <c r="X33" i="7" s="1"/>
  <c r="G37" i="7"/>
  <c r="O37" i="7" s="1"/>
  <c r="D37" i="7"/>
  <c r="G29" i="7"/>
  <c r="U29" i="7" s="1"/>
  <c r="D29" i="7"/>
  <c r="G21" i="7"/>
  <c r="M21" i="7" s="1"/>
  <c r="D21" i="7"/>
  <c r="G5" i="7"/>
  <c r="O5" i="7" s="1"/>
  <c r="D5" i="7"/>
  <c r="Q5" i="8"/>
  <c r="N8" i="8"/>
  <c r="J9" i="8"/>
  <c r="J15" i="8"/>
  <c r="P34" i="8"/>
  <c r="M34" i="8"/>
  <c r="AL11" i="7"/>
  <c r="K11" i="7" s="1"/>
  <c r="L24" i="7"/>
  <c r="V24" i="7"/>
  <c r="X24" i="7" s="1"/>
  <c r="AM8" i="7"/>
  <c r="V8" i="7"/>
  <c r="X8" i="7" s="1"/>
  <c r="G36" i="7"/>
  <c r="D36" i="7"/>
  <c r="G28" i="7"/>
  <c r="T28" i="7" s="1"/>
  <c r="D28" i="7"/>
  <c r="G20" i="7"/>
  <c r="T20" i="7" s="1"/>
  <c r="D20" i="7"/>
  <c r="G12" i="7"/>
  <c r="D12" i="7"/>
  <c r="G4" i="7"/>
  <c r="T4" i="7" s="1"/>
  <c r="D4" i="7"/>
  <c r="O8" i="8"/>
  <c r="R8" i="8"/>
  <c r="P9" i="8"/>
  <c r="Q34" i="8"/>
  <c r="N34" i="8"/>
  <c r="Q36" i="8"/>
  <c r="U25" i="8"/>
  <c r="L22" i="7"/>
  <c r="V22" i="7"/>
  <c r="X22" i="7" s="1"/>
  <c r="G26" i="7"/>
  <c r="T26" i="7" s="1"/>
  <c r="D26" i="7"/>
  <c r="P8" i="8"/>
  <c r="J34" i="8"/>
  <c r="AM23" i="7"/>
  <c r="AL29" i="7"/>
  <c r="K29" i="7" s="1"/>
  <c r="V29" i="7"/>
  <c r="X29" i="7" s="1"/>
  <c r="L5" i="7"/>
  <c r="V5" i="7"/>
  <c r="X5" i="7" s="1"/>
  <c r="AM17" i="7"/>
  <c r="G33" i="7"/>
  <c r="P33" i="7" s="1"/>
  <c r="D33" i="7"/>
  <c r="O9" i="8"/>
  <c r="R34" i="8"/>
  <c r="AM7" i="7"/>
  <c r="V4" i="7"/>
  <c r="X4" i="7" s="1"/>
  <c r="G32" i="7"/>
  <c r="R32" i="7" s="1"/>
  <c r="D32" i="7"/>
  <c r="G24" i="7"/>
  <c r="P24" i="7" s="1"/>
  <c r="D24" i="7"/>
  <c r="G16" i="7"/>
  <c r="O16" i="7" s="1"/>
  <c r="D16" i="7"/>
  <c r="J8" i="8"/>
  <c r="T9" i="8"/>
  <c r="U9" i="8"/>
  <c r="T34" i="8"/>
  <c r="U36" i="8"/>
  <c r="AM6" i="7"/>
  <c r="V6" i="7"/>
  <c r="X6" i="7" s="1"/>
  <c r="L37" i="7"/>
  <c r="V37" i="7"/>
  <c r="X37" i="7" s="1"/>
  <c r="L21" i="7"/>
  <c r="V21" i="7"/>
  <c r="X21" i="7" s="1"/>
  <c r="G25" i="7"/>
  <c r="T25" i="7" s="1"/>
  <c r="D25" i="7"/>
  <c r="G9" i="7"/>
  <c r="R9" i="7" s="1"/>
  <c r="D9" i="7"/>
  <c r="H8" i="8"/>
  <c r="M9" i="8"/>
  <c r="AL19" i="7"/>
  <c r="K19" i="7" s="1"/>
  <c r="V19" i="7"/>
  <c r="X19" i="7" s="1"/>
  <c r="G31" i="7"/>
  <c r="R31" i="7" s="1"/>
  <c r="D31" i="7"/>
  <c r="G23" i="7"/>
  <c r="U23" i="7" s="1"/>
  <c r="D23" i="7"/>
  <c r="G15" i="7"/>
  <c r="O15" i="7" s="1"/>
  <c r="D15" i="7"/>
  <c r="G7" i="7"/>
  <c r="U7" i="7" s="1"/>
  <c r="D7" i="7"/>
  <c r="Q8" i="8"/>
  <c r="S9" i="8"/>
  <c r="Q9" i="8"/>
  <c r="O34" i="8"/>
  <c r="H36" i="8"/>
  <c r="M36" i="8"/>
  <c r="J39" i="8"/>
  <c r="G27" i="7"/>
  <c r="T27" i="7" s="1"/>
  <c r="D27" i="7"/>
  <c r="G19" i="7"/>
  <c r="P19" i="7" s="1"/>
  <c r="D19" i="7"/>
  <c r="G11" i="7"/>
  <c r="R11" i="7" s="1"/>
  <c r="D11" i="7"/>
  <c r="G3" i="7"/>
  <c r="N3" i="7" s="1"/>
  <c r="D3" i="7"/>
  <c r="V14" i="7"/>
  <c r="X14" i="7" s="1"/>
  <c r="G10" i="7"/>
  <c r="O10" i="7" s="1"/>
  <c r="D10" i="7"/>
  <c r="O39" i="8"/>
  <c r="G17" i="7"/>
  <c r="O17" i="7" s="1"/>
  <c r="D17" i="7"/>
  <c r="AL13" i="7"/>
  <c r="K13" i="7" s="1"/>
  <c r="AL26" i="7"/>
  <c r="K26" i="7" s="1"/>
  <c r="V26" i="7"/>
  <c r="X26" i="7" s="1"/>
  <c r="G30" i="7"/>
  <c r="R30" i="7" s="1"/>
  <c r="D30" i="7"/>
  <c r="G22" i="7"/>
  <c r="U22" i="7" s="1"/>
  <c r="D22" i="7"/>
  <c r="G14" i="7"/>
  <c r="M14" i="7" s="1"/>
  <c r="D14" i="7"/>
  <c r="G6" i="7"/>
  <c r="U6" i="7" s="1"/>
  <c r="D6" i="7"/>
  <c r="H3" i="8"/>
  <c r="R9" i="8"/>
  <c r="H34" i="8"/>
  <c r="U34" i="8"/>
  <c r="P36" i="8"/>
  <c r="N36" i="8"/>
  <c r="T39" i="8"/>
  <c r="P7" i="8"/>
  <c r="T6" i="8"/>
  <c r="O3" i="8"/>
  <c r="H6" i="8"/>
  <c r="H4" i="8"/>
  <c r="S20" i="8"/>
  <c r="R20" i="8"/>
  <c r="Q35" i="8"/>
  <c r="M38" i="8"/>
  <c r="R38" i="8"/>
  <c r="S26" i="8"/>
  <c r="R3" i="8"/>
  <c r="S3" i="8"/>
  <c r="T20" i="8"/>
  <c r="Q20" i="8"/>
  <c r="M4" i="8"/>
  <c r="Q7" i="8"/>
  <c r="T5" i="8"/>
  <c r="R4" i="8"/>
  <c r="S4" i="8"/>
  <c r="S7" i="8"/>
  <c r="O5" i="8"/>
  <c r="T7" i="8"/>
  <c r="H15" i="8"/>
  <c r="O20" i="8"/>
  <c r="P20" i="8"/>
  <c r="U35" i="8"/>
  <c r="R35" i="8"/>
  <c r="O38" i="8"/>
  <c r="O26" i="8"/>
  <c r="U31" i="8"/>
  <c r="W30" i="8"/>
  <c r="W28" i="8"/>
  <c r="W29" i="8"/>
  <c r="W23" i="8"/>
  <c r="W31" i="8"/>
  <c r="W24" i="8"/>
  <c r="W32" i="8"/>
  <c r="W25" i="8"/>
  <c r="W26" i="8"/>
  <c r="W27" i="8"/>
  <c r="H5" i="8"/>
  <c r="R5" i="8"/>
  <c r="N3" i="8"/>
  <c r="J7" i="8"/>
  <c r="M5" i="8"/>
  <c r="U3" i="8"/>
  <c r="J4" i="8"/>
  <c r="P5" i="8"/>
  <c r="Q3" i="8"/>
  <c r="P3" i="8"/>
  <c r="O7" i="8"/>
  <c r="S15" i="8"/>
  <c r="N20" i="8"/>
  <c r="H20" i="8"/>
  <c r="M35" i="8"/>
  <c r="T35" i="8"/>
  <c r="H38" i="8"/>
  <c r="J26" i="8"/>
  <c r="H21" i="8"/>
  <c r="W17" i="8"/>
  <c r="W18" i="8"/>
  <c r="W22" i="8"/>
  <c r="W13" i="8"/>
  <c r="W19" i="8"/>
  <c r="W14" i="8"/>
  <c r="W15" i="8"/>
  <c r="W16" i="8"/>
  <c r="W20" i="8"/>
  <c r="W21" i="8"/>
  <c r="J5" i="8"/>
  <c r="T3" i="8"/>
  <c r="W3" i="8"/>
  <c r="W9" i="8"/>
  <c r="W11" i="8"/>
  <c r="W2" i="8"/>
  <c r="W4" i="8"/>
  <c r="W5" i="8"/>
  <c r="W12" i="8"/>
  <c r="W7" i="8"/>
  <c r="W6" i="8"/>
  <c r="W10" i="8"/>
  <c r="W8" i="8"/>
  <c r="P15" i="8"/>
  <c r="J20" i="8"/>
  <c r="R7" i="8"/>
  <c r="U5" i="8"/>
  <c r="J3" i="8"/>
  <c r="P4" i="8"/>
  <c r="N2" i="8"/>
  <c r="R15" i="8"/>
  <c r="Q15" i="8"/>
  <c r="N35" i="8"/>
  <c r="O35" i="8"/>
  <c r="P38" i="8"/>
  <c r="R26" i="8"/>
  <c r="N26" i="8"/>
  <c r="W35" i="8"/>
  <c r="W33" i="8"/>
  <c r="W34" i="8"/>
  <c r="W36" i="8"/>
  <c r="W41" i="8"/>
  <c r="W37" i="8"/>
  <c r="W42" i="8"/>
  <c r="W38" i="8"/>
  <c r="W39" i="8"/>
  <c r="W40" i="8"/>
  <c r="R32" i="8"/>
  <c r="J25" i="8"/>
  <c r="J32" i="8"/>
  <c r="L30" i="7"/>
  <c r="AI9" i="7"/>
  <c r="AM9" i="7"/>
  <c r="AI22" i="7"/>
  <c r="L32" i="7"/>
  <c r="L16" i="7"/>
  <c r="L6" i="7"/>
  <c r="AL37" i="7"/>
  <c r="K37" i="7" s="1"/>
  <c r="AL21" i="7"/>
  <c r="K21" i="7" s="1"/>
  <c r="AI21" i="7"/>
  <c r="L14" i="7"/>
  <c r="O14" i="7"/>
  <c r="AM22" i="7"/>
  <c r="AL28" i="7"/>
  <c r="K28" i="7" s="1"/>
  <c r="AL34" i="7"/>
  <c r="K34" i="7" s="1"/>
  <c r="AL18" i="7"/>
  <c r="K18" i="7" s="1"/>
  <c r="AI30" i="7"/>
  <c r="AM14" i="7"/>
  <c r="T25" i="8"/>
  <c r="O25" i="8"/>
  <c r="H25" i="8"/>
  <c r="H19" i="8"/>
  <c r="N25" i="8"/>
  <c r="Q25" i="8"/>
  <c r="R25" i="8"/>
  <c r="M25" i="8"/>
  <c r="H42" i="8"/>
  <c r="R41" i="8"/>
  <c r="Q42" i="8"/>
  <c r="J42" i="8"/>
  <c r="J41" i="8"/>
  <c r="S41" i="8"/>
  <c r="U19" i="8"/>
  <c r="P41" i="8"/>
  <c r="S2" i="8"/>
  <c r="T15" i="8"/>
  <c r="S19" i="8"/>
  <c r="T41" i="8"/>
  <c r="N41" i="8"/>
  <c r="Q41" i="8"/>
  <c r="R24" i="8"/>
  <c r="O15" i="8"/>
  <c r="J19" i="8"/>
  <c r="N15" i="8"/>
  <c r="T31" i="8"/>
  <c r="H41" i="8"/>
  <c r="N24" i="8"/>
  <c r="O31" i="8"/>
  <c r="T19" i="8"/>
  <c r="U15" i="8"/>
  <c r="Q19" i="8"/>
  <c r="M41" i="8"/>
  <c r="O41" i="8"/>
  <c r="O2" i="8"/>
  <c r="P19" i="8"/>
  <c r="M31" i="8"/>
  <c r="M15" i="8"/>
  <c r="P21" i="8"/>
  <c r="U41" i="8"/>
  <c r="H32" i="8"/>
  <c r="M19" i="8"/>
  <c r="R19" i="8"/>
  <c r="Q39" i="8"/>
  <c r="O19" i="8"/>
  <c r="N19" i="8"/>
  <c r="M29" i="8"/>
  <c r="R31" i="8"/>
  <c r="P25" i="8"/>
  <c r="P32" i="8"/>
  <c r="S32" i="8"/>
  <c r="N29" i="8"/>
  <c r="T24" i="8"/>
  <c r="M24" i="8"/>
  <c r="T32" i="8"/>
  <c r="Q32" i="8"/>
  <c r="J24" i="8"/>
  <c r="U32" i="8"/>
  <c r="M32" i="8"/>
  <c r="P42" i="8"/>
  <c r="Q24" i="8"/>
  <c r="T42" i="8"/>
  <c r="P24" i="8"/>
  <c r="H39" i="8"/>
  <c r="M42" i="8"/>
  <c r="O42" i="8"/>
  <c r="P31" i="8"/>
  <c r="N42" i="8"/>
  <c r="U24" i="8"/>
  <c r="H29" i="8"/>
  <c r="H24" i="8"/>
  <c r="S31" i="8"/>
  <c r="M39" i="8"/>
  <c r="U42" i="8"/>
  <c r="J31" i="8"/>
  <c r="S24" i="8"/>
  <c r="R42" i="8"/>
  <c r="U39" i="8"/>
  <c r="P39" i="8"/>
  <c r="N39" i="8"/>
  <c r="S29" i="8"/>
  <c r="P29" i="8"/>
  <c r="O29" i="8"/>
  <c r="Q29" i="8"/>
  <c r="R39" i="8"/>
  <c r="U29" i="8"/>
  <c r="T29" i="8"/>
  <c r="J29" i="8"/>
  <c r="H31" i="8"/>
  <c r="N31" i="8"/>
  <c r="Q31" i="8"/>
  <c r="J2" i="8"/>
  <c r="R21" i="8"/>
  <c r="T2" i="8"/>
  <c r="H2" i="8"/>
  <c r="M2" i="8"/>
  <c r="S27" i="8"/>
  <c r="N27" i="8"/>
  <c r="H27" i="8"/>
  <c r="P27" i="8"/>
  <c r="Q27" i="8"/>
  <c r="T27" i="8"/>
  <c r="M27" i="8"/>
  <c r="O27" i="8"/>
  <c r="J27" i="8"/>
  <c r="R27" i="8"/>
  <c r="U27" i="8"/>
  <c r="S30" i="8"/>
  <c r="N30" i="8"/>
  <c r="T30" i="8"/>
  <c r="M30" i="8"/>
  <c r="O30" i="8"/>
  <c r="J30" i="8"/>
  <c r="R30" i="8"/>
  <c r="U30" i="8"/>
  <c r="H30" i="8"/>
  <c r="P30" i="8"/>
  <c r="Q30" i="8"/>
  <c r="Q2" i="8"/>
  <c r="R2" i="8"/>
  <c r="U2" i="8"/>
  <c r="S21" i="8"/>
  <c r="S23" i="8"/>
  <c r="U23" i="8"/>
  <c r="O23" i="8"/>
  <c r="Q23" i="8"/>
  <c r="T23" i="8"/>
  <c r="J23" i="8"/>
  <c r="R23" i="8"/>
  <c r="M23" i="8"/>
  <c r="N23" i="8"/>
  <c r="H23" i="8"/>
  <c r="P23" i="8"/>
  <c r="S37" i="8"/>
  <c r="T37" i="8"/>
  <c r="U37" i="8"/>
  <c r="M37" i="8"/>
  <c r="N37" i="8"/>
  <c r="J37" i="8"/>
  <c r="Q37" i="8"/>
  <c r="R37" i="8"/>
  <c r="O37" i="8"/>
  <c r="H37" i="8"/>
  <c r="P37" i="8"/>
  <c r="S40" i="8"/>
  <c r="N40" i="8"/>
  <c r="O40" i="8"/>
  <c r="P40" i="8"/>
  <c r="Q40" i="8"/>
  <c r="H40" i="8"/>
  <c r="R40" i="8"/>
  <c r="T40" i="8"/>
  <c r="J40" i="8"/>
  <c r="U40" i="8"/>
  <c r="J21" i="8"/>
  <c r="Q21" i="8"/>
  <c r="M21" i="8"/>
  <c r="U21" i="8"/>
  <c r="O21" i="8"/>
  <c r="N21" i="8"/>
  <c r="T21" i="8"/>
  <c r="T22" i="8"/>
  <c r="N22" i="8"/>
  <c r="H22" i="8"/>
  <c r="P22" i="8"/>
  <c r="Q22" i="8"/>
  <c r="M22" i="8"/>
  <c r="O22" i="8"/>
  <c r="J22" i="8"/>
  <c r="R22" i="8"/>
  <c r="S22" i="8"/>
  <c r="U22" i="8"/>
  <c r="T14" i="8"/>
  <c r="M14" i="8"/>
  <c r="U14" i="8"/>
  <c r="N14" i="8"/>
  <c r="O14" i="8"/>
  <c r="H14" i="8"/>
  <c r="P14" i="8"/>
  <c r="Q14" i="8"/>
  <c r="J14" i="8"/>
  <c r="R14" i="8"/>
  <c r="S14" i="8"/>
  <c r="T18" i="8"/>
  <c r="M18" i="8"/>
  <c r="N18" i="8"/>
  <c r="O18" i="8"/>
  <c r="H18" i="8"/>
  <c r="P18" i="8"/>
  <c r="Q18" i="8"/>
  <c r="J18" i="8"/>
  <c r="R18" i="8"/>
  <c r="S18" i="8"/>
  <c r="U18" i="8"/>
  <c r="H16" i="8"/>
  <c r="P16" i="8"/>
  <c r="Q16" i="8"/>
  <c r="J16" i="8"/>
  <c r="R16" i="8"/>
  <c r="S16" i="8"/>
  <c r="T16" i="8"/>
  <c r="M16" i="8"/>
  <c r="U16" i="8"/>
  <c r="N16" i="8"/>
  <c r="O16" i="8"/>
  <c r="N13" i="8"/>
  <c r="O13" i="8"/>
  <c r="H13" i="8"/>
  <c r="P13" i="8"/>
  <c r="Q13" i="8"/>
  <c r="J13" i="8"/>
  <c r="R13" i="8"/>
  <c r="S13" i="8"/>
  <c r="T13" i="8"/>
  <c r="M13" i="8"/>
  <c r="U13" i="8"/>
  <c r="N17" i="8"/>
  <c r="O17" i="8"/>
  <c r="H17" i="8"/>
  <c r="P17" i="8"/>
  <c r="Q17" i="8"/>
  <c r="J17" i="8"/>
  <c r="R17" i="8"/>
  <c r="S17" i="8"/>
  <c r="T17" i="8"/>
  <c r="M17" i="8"/>
  <c r="U17" i="8"/>
  <c r="N11" i="8"/>
  <c r="U11" i="8"/>
  <c r="O11" i="8"/>
  <c r="Q11" i="8"/>
  <c r="T11" i="8"/>
  <c r="H11" i="8"/>
  <c r="P11" i="8"/>
  <c r="J11" i="8"/>
  <c r="R11" i="8"/>
  <c r="S11" i="8"/>
  <c r="M11" i="8"/>
  <c r="J12" i="8"/>
  <c r="R12" i="8"/>
  <c r="O12" i="8"/>
  <c r="H12" i="8"/>
  <c r="P12" i="8"/>
  <c r="S12" i="8"/>
  <c r="T12" i="8"/>
  <c r="M12" i="8"/>
  <c r="U12" i="8"/>
  <c r="N12" i="8"/>
  <c r="Q12" i="8"/>
  <c r="J10" i="8"/>
  <c r="R10" i="8"/>
  <c r="T10" i="8"/>
  <c r="M10" i="8"/>
  <c r="U10" i="8"/>
  <c r="H10" i="8"/>
  <c r="P10" i="8"/>
  <c r="S10" i="8"/>
  <c r="N10" i="8"/>
  <c r="O10" i="8"/>
  <c r="Q10" i="8"/>
  <c r="AI36" i="7"/>
  <c r="AM36" i="7"/>
  <c r="AI12" i="7"/>
  <c r="AM12" i="7"/>
  <c r="L28" i="7"/>
  <c r="L12" i="7"/>
  <c r="AI35" i="7"/>
  <c r="AM35" i="7"/>
  <c r="AI3" i="7"/>
  <c r="AM3" i="7"/>
  <c r="AL31" i="7"/>
  <c r="K31" i="7" s="1"/>
  <c r="AL15" i="7"/>
  <c r="K15" i="7" s="1"/>
  <c r="AI15" i="7"/>
  <c r="L27" i="7"/>
  <c r="AI26" i="7"/>
  <c r="AM26" i="7"/>
  <c r="AI10" i="7"/>
  <c r="AM10" i="7"/>
  <c r="AL22" i="7"/>
  <c r="K22" i="7" s="1"/>
  <c r="AL6" i="7"/>
  <c r="K6" i="7" s="1"/>
  <c r="AI6" i="7"/>
  <c r="L26" i="7"/>
  <c r="L10" i="7"/>
  <c r="AL3" i="7"/>
  <c r="K3" i="7" s="1"/>
  <c r="AL17" i="7"/>
  <c r="K17" i="7" s="1"/>
  <c r="AI17" i="7"/>
  <c r="AI37" i="7"/>
  <c r="AM37" i="7"/>
  <c r="L33" i="7"/>
  <c r="L17" i="7"/>
  <c r="N29" i="7"/>
  <c r="AM31" i="7"/>
  <c r="AM15" i="7"/>
  <c r="AM30" i="7"/>
  <c r="AI28" i="7"/>
  <c r="AM28" i="7"/>
  <c r="AI16" i="7"/>
  <c r="AL16" i="7"/>
  <c r="K16" i="7" s="1"/>
  <c r="L20" i="7"/>
  <c r="AM19" i="7"/>
  <c r="AL23" i="7"/>
  <c r="K23" i="7" s="1"/>
  <c r="L35" i="7"/>
  <c r="L3" i="7"/>
  <c r="AI18" i="7"/>
  <c r="J18" i="7" s="1"/>
  <c r="AM18" i="7"/>
  <c r="AL30" i="7"/>
  <c r="K30" i="7" s="1"/>
  <c r="AI25" i="7"/>
  <c r="AL25" i="7"/>
  <c r="K25" i="7" s="1"/>
  <c r="AI29" i="7"/>
  <c r="AM29" i="7"/>
  <c r="AI20" i="7"/>
  <c r="AM20" i="7"/>
  <c r="AL32" i="7"/>
  <c r="K32" i="7" s="1"/>
  <c r="L36" i="7"/>
  <c r="Q29" i="7"/>
  <c r="AM11" i="7"/>
  <c r="L11" i="7"/>
  <c r="AI19" i="7"/>
  <c r="AI34" i="7"/>
  <c r="AM34" i="7"/>
  <c r="AI14" i="7"/>
  <c r="AL14" i="7"/>
  <c r="K14" i="7" s="1"/>
  <c r="L34" i="7"/>
  <c r="L2" i="7"/>
  <c r="AL33" i="7"/>
  <c r="K33" i="7" s="1"/>
  <c r="AM21" i="7"/>
  <c r="AI5" i="7"/>
  <c r="AL5" i="7"/>
  <c r="K5" i="7" s="1"/>
  <c r="AM5" i="7"/>
  <c r="L25" i="7"/>
  <c r="L9" i="7"/>
  <c r="AM32" i="7"/>
  <c r="AM16" i="7"/>
  <c r="H16" i="7" s="1"/>
  <c r="AL36" i="7"/>
  <c r="K36" i="7" s="1"/>
  <c r="AL20" i="7"/>
  <c r="K20" i="7" s="1"/>
  <c r="AL2" i="7"/>
  <c r="K2" i="7" s="1"/>
  <c r="AI32" i="7"/>
  <c r="AI11" i="7"/>
  <c r="AI4" i="7"/>
  <c r="AM4" i="7"/>
  <c r="AL4" i="7"/>
  <c r="K4" i="7" s="1"/>
  <c r="AL24" i="7"/>
  <c r="K24" i="7" s="1"/>
  <c r="AI24" i="7"/>
  <c r="J24" i="7" s="1"/>
  <c r="AL8" i="7"/>
  <c r="K8" i="7" s="1"/>
  <c r="L4" i="7"/>
  <c r="G8" i="7"/>
  <c r="AM27" i="7"/>
  <c r="AI27" i="7"/>
  <c r="AL7" i="7"/>
  <c r="K7" i="7" s="1"/>
  <c r="AI7" i="7"/>
  <c r="L19" i="7"/>
  <c r="AI2" i="7"/>
  <c r="AM2" i="7"/>
  <c r="L18" i="7"/>
  <c r="AL9" i="7"/>
  <c r="K9" i="7" s="1"/>
  <c r="AM13" i="7"/>
  <c r="G13" i="7"/>
  <c r="AL35" i="7"/>
  <c r="K35" i="7" s="1"/>
  <c r="AI31" i="7"/>
  <c r="L29" i="7"/>
  <c r="L13" i="7"/>
  <c r="O18" i="7"/>
  <c r="R25" i="7"/>
  <c r="M25" i="7"/>
  <c r="Q25" i="7"/>
  <c r="L31" i="7"/>
  <c r="L23" i="7"/>
  <c r="L15" i="7"/>
  <c r="L7" i="7"/>
  <c r="N19" i="7" l="1"/>
  <c r="H29" i="7"/>
  <c r="O23" i="7"/>
  <c r="S16" i="7"/>
  <c r="M23" i="7"/>
  <c r="P16" i="7"/>
  <c r="S25" i="7"/>
  <c r="P25" i="7"/>
  <c r="W14" i="7"/>
  <c r="O25" i="7"/>
  <c r="N25" i="7"/>
  <c r="U25" i="7"/>
  <c r="S30" i="7"/>
  <c r="J25" i="7"/>
  <c r="P23" i="7"/>
  <c r="T16" i="7"/>
  <c r="U16" i="7"/>
  <c r="W13" i="7"/>
  <c r="P14" i="7"/>
  <c r="T10" i="7"/>
  <c r="U11" i="7"/>
  <c r="M16" i="7"/>
  <c r="H2" i="7"/>
  <c r="T11" i="7"/>
  <c r="U14" i="7"/>
  <c r="J16" i="7"/>
  <c r="T3" i="7"/>
  <c r="T14" i="7"/>
  <c r="S23" i="7"/>
  <c r="Q14" i="7"/>
  <c r="S14" i="7"/>
  <c r="P28" i="7"/>
  <c r="O11" i="7"/>
  <c r="N23" i="7"/>
  <c r="T23" i="7"/>
  <c r="Q16" i="7"/>
  <c r="Q23" i="7"/>
  <c r="R16" i="7"/>
  <c r="N16" i="7"/>
  <c r="R23" i="7"/>
  <c r="T36" i="7"/>
  <c r="N14" i="7"/>
  <c r="P11" i="7"/>
  <c r="S11" i="7"/>
  <c r="P20" i="7"/>
  <c r="N37" i="7"/>
  <c r="R14" i="7"/>
  <c r="J14" i="7"/>
  <c r="M3" i="7"/>
  <c r="N34" i="7"/>
  <c r="N15" i="7"/>
  <c r="O26" i="7"/>
  <c r="J23" i="7"/>
  <c r="Q20" i="7"/>
  <c r="H14" i="7"/>
  <c r="O28" i="7"/>
  <c r="J28" i="7"/>
  <c r="O20" i="7"/>
  <c r="M37" i="7"/>
  <c r="S20" i="7"/>
  <c r="N28" i="7"/>
  <c r="T37" i="7"/>
  <c r="H28" i="7"/>
  <c r="M6" i="7"/>
  <c r="Q37" i="7"/>
  <c r="R37" i="7"/>
  <c r="H37" i="7"/>
  <c r="M28" i="7"/>
  <c r="S37" i="7"/>
  <c r="U28" i="7"/>
  <c r="T22" i="7"/>
  <c r="S34" i="7"/>
  <c r="P37" i="7"/>
  <c r="Q28" i="7"/>
  <c r="J37" i="7"/>
  <c r="S32" i="7"/>
  <c r="N11" i="7"/>
  <c r="P34" i="7"/>
  <c r="S28" i="7"/>
  <c r="N22" i="7"/>
  <c r="P27" i="7"/>
  <c r="O34" i="7"/>
  <c r="R28" i="7"/>
  <c r="M20" i="7"/>
  <c r="T7" i="7"/>
  <c r="S26" i="7"/>
  <c r="J7" i="7"/>
  <c r="T29" i="7"/>
  <c r="Q26" i="7"/>
  <c r="R7" i="7"/>
  <c r="N2" i="7"/>
  <c r="H20" i="7"/>
  <c r="Q6" i="7"/>
  <c r="P7" i="7"/>
  <c r="R2" i="7"/>
  <c r="O2" i="7"/>
  <c r="J20" i="7"/>
  <c r="P6" i="7"/>
  <c r="N7" i="7"/>
  <c r="N20" i="7"/>
  <c r="R20" i="7"/>
  <c r="M2" i="7"/>
  <c r="O6" i="7"/>
  <c r="J35" i="7"/>
  <c r="O35" i="7"/>
  <c r="S12" i="7"/>
  <c r="S35" i="7"/>
  <c r="O19" i="7"/>
  <c r="P35" i="7"/>
  <c r="U2" i="7"/>
  <c r="Q2" i="7"/>
  <c r="J32" i="7"/>
  <c r="Q24" i="7"/>
  <c r="S31" i="7"/>
  <c r="T19" i="7"/>
  <c r="O12" i="7"/>
  <c r="O7" i="7"/>
  <c r="H12" i="7"/>
  <c r="W9" i="7"/>
  <c r="H7" i="7"/>
  <c r="H24" i="7"/>
  <c r="H10" i="7"/>
  <c r="Q10" i="7"/>
  <c r="J10" i="7"/>
  <c r="Q19" i="7"/>
  <c r="T2" i="7"/>
  <c r="R33" i="7"/>
  <c r="P2" i="7"/>
  <c r="N10" i="7"/>
  <c r="S21" i="7"/>
  <c r="O30" i="7"/>
  <c r="O24" i="7"/>
  <c r="P12" i="7"/>
  <c r="M7" i="7"/>
  <c r="J12" i="7"/>
  <c r="Q35" i="7"/>
  <c r="H19" i="7"/>
  <c r="M19" i="7"/>
  <c r="U19" i="7"/>
  <c r="R19" i="7"/>
  <c r="N33" i="7"/>
  <c r="S10" i="7"/>
  <c r="T33" i="7"/>
  <c r="N30" i="7"/>
  <c r="J19" i="7"/>
  <c r="M24" i="7"/>
  <c r="S7" i="7"/>
  <c r="H25" i="7"/>
  <c r="S19" i="7"/>
  <c r="U12" i="7"/>
  <c r="S27" i="7"/>
  <c r="R12" i="7"/>
  <c r="U20" i="7"/>
  <c r="M10" i="7"/>
  <c r="M30" i="7"/>
  <c r="N6" i="7"/>
  <c r="Q7" i="7"/>
  <c r="O31" i="7"/>
  <c r="H23" i="7"/>
  <c r="W4" i="7"/>
  <c r="R3" i="7"/>
  <c r="T32" i="7"/>
  <c r="W15" i="7"/>
  <c r="P3" i="7"/>
  <c r="U33" i="7"/>
  <c r="H32" i="7"/>
  <c r="J15" i="7"/>
  <c r="Q3" i="7"/>
  <c r="M11" i="7"/>
  <c r="N35" i="7"/>
  <c r="R26" i="7"/>
  <c r="U4" i="7"/>
  <c r="S33" i="7"/>
  <c r="J31" i="7"/>
  <c r="P22" i="7"/>
  <c r="H4" i="7"/>
  <c r="M18" i="7"/>
  <c r="S9" i="7"/>
  <c r="R15" i="7"/>
  <c r="T12" i="7"/>
  <c r="N12" i="7"/>
  <c r="P29" i="7"/>
  <c r="T6" i="7"/>
  <c r="J6" i="7"/>
  <c r="N26" i="7"/>
  <c r="T35" i="7"/>
  <c r="U5" i="7"/>
  <c r="J22" i="7"/>
  <c r="U3" i="7"/>
  <c r="J33" i="7"/>
  <c r="S3" i="7"/>
  <c r="R4" i="7"/>
  <c r="S22" i="7"/>
  <c r="S5" i="7"/>
  <c r="Q15" i="7"/>
  <c r="M32" i="7"/>
  <c r="S15" i="7"/>
  <c r="O3" i="7"/>
  <c r="O33" i="7"/>
  <c r="O22" i="7"/>
  <c r="J11" i="7"/>
  <c r="M33" i="7"/>
  <c r="P15" i="7"/>
  <c r="Q12" i="7"/>
  <c r="O29" i="7"/>
  <c r="R6" i="7"/>
  <c r="J26" i="7"/>
  <c r="N32" i="7"/>
  <c r="W11" i="7"/>
  <c r="W10" i="7"/>
  <c r="M5" i="7"/>
  <c r="H5" i="7"/>
  <c r="H22" i="7"/>
  <c r="M35" i="7"/>
  <c r="S36" i="7"/>
  <c r="O4" i="7"/>
  <c r="Q33" i="7"/>
  <c r="U32" i="7"/>
  <c r="Q22" i="7"/>
  <c r="P5" i="7"/>
  <c r="H11" i="7"/>
  <c r="J29" i="7"/>
  <c r="U15" i="7"/>
  <c r="M12" i="7"/>
  <c r="S6" i="7"/>
  <c r="H26" i="7"/>
  <c r="M31" i="7"/>
  <c r="J3" i="7"/>
  <c r="P32" i="7"/>
  <c r="W6" i="7"/>
  <c r="U36" i="7"/>
  <c r="H33" i="7"/>
  <c r="M22" i="7"/>
  <c r="M15" i="7"/>
  <c r="H3" i="7"/>
  <c r="Q32" i="7"/>
  <c r="M26" i="7"/>
  <c r="R35" i="7"/>
  <c r="U35" i="7"/>
  <c r="Q11" i="7"/>
  <c r="U26" i="7"/>
  <c r="N36" i="7"/>
  <c r="R22" i="7"/>
  <c r="R5" i="7"/>
  <c r="H9" i="7"/>
  <c r="T15" i="7"/>
  <c r="H15" i="7"/>
  <c r="H6" i="7"/>
  <c r="P26" i="7"/>
  <c r="H35" i="7"/>
  <c r="O32" i="7"/>
  <c r="S17" i="7"/>
  <c r="Q17" i="7"/>
  <c r="P31" i="7"/>
  <c r="N27" i="7"/>
  <c r="S2" i="7"/>
  <c r="U34" i="7"/>
  <c r="Q18" i="7"/>
  <c r="N18" i="7"/>
  <c r="U10" i="7"/>
  <c r="N5" i="7"/>
  <c r="R21" i="7"/>
  <c r="Q30" i="7"/>
  <c r="M9" i="7"/>
  <c r="N24" i="7"/>
  <c r="H18" i="7"/>
  <c r="H31" i="7"/>
  <c r="R29" i="7"/>
  <c r="N31" i="7"/>
  <c r="W3" i="7"/>
  <c r="W17" i="7"/>
  <c r="W22" i="7"/>
  <c r="W18" i="7"/>
  <c r="W20" i="7"/>
  <c r="W21" i="7"/>
  <c r="W19" i="7"/>
  <c r="W16" i="7"/>
  <c r="W31" i="7"/>
  <c r="W32" i="7"/>
  <c r="W33" i="7"/>
  <c r="W30" i="7"/>
  <c r="T18" i="7"/>
  <c r="J21" i="7"/>
  <c r="R36" i="7"/>
  <c r="S4" i="7"/>
  <c r="U24" i="7"/>
  <c r="U31" i="7"/>
  <c r="O27" i="7"/>
  <c r="S18" i="7"/>
  <c r="R34" i="7"/>
  <c r="O36" i="7"/>
  <c r="Q4" i="7"/>
  <c r="H17" i="7"/>
  <c r="N17" i="7"/>
  <c r="J2" i="7"/>
  <c r="H27" i="7"/>
  <c r="R10" i="7"/>
  <c r="M17" i="7"/>
  <c r="Q5" i="7"/>
  <c r="T21" i="7"/>
  <c r="J5" i="7"/>
  <c r="P30" i="7"/>
  <c r="J34" i="7"/>
  <c r="O9" i="7"/>
  <c r="R24" i="7"/>
  <c r="M29" i="7"/>
  <c r="J17" i="7"/>
  <c r="T31" i="7"/>
  <c r="J36" i="7"/>
  <c r="S24" i="7"/>
  <c r="W12" i="7"/>
  <c r="P17" i="7"/>
  <c r="P21" i="7"/>
  <c r="U18" i="7"/>
  <c r="O21" i="7"/>
  <c r="P9" i="7"/>
  <c r="M27" i="7"/>
  <c r="Q36" i="7"/>
  <c r="P18" i="7"/>
  <c r="M34" i="7"/>
  <c r="M36" i="7"/>
  <c r="P4" i="7"/>
  <c r="R17" i="7"/>
  <c r="S29" i="7"/>
  <c r="W5" i="7"/>
  <c r="P10" i="7"/>
  <c r="Q9" i="7"/>
  <c r="T5" i="7"/>
  <c r="N21" i="7"/>
  <c r="H21" i="7"/>
  <c r="T30" i="7"/>
  <c r="N9" i="7"/>
  <c r="T24" i="7"/>
  <c r="T34" i="7"/>
  <c r="Q31" i="7"/>
  <c r="U21" i="7"/>
  <c r="U37" i="7"/>
  <c r="W35" i="7"/>
  <c r="W36" i="7"/>
  <c r="W34" i="7"/>
  <c r="W37" i="7"/>
  <c r="Q27" i="7"/>
  <c r="J27" i="7"/>
  <c r="J4" i="7"/>
  <c r="U30" i="7"/>
  <c r="H36" i="7"/>
  <c r="W24" i="7"/>
  <c r="W28" i="7"/>
  <c r="W25" i="7"/>
  <c r="W26" i="7"/>
  <c r="W27" i="7"/>
  <c r="W23" i="7"/>
  <c r="W29" i="7"/>
  <c r="R27" i="7"/>
  <c r="U27" i="7"/>
  <c r="Q34" i="7"/>
  <c r="H34" i="7"/>
  <c r="P36" i="7"/>
  <c r="M4" i="7"/>
  <c r="N4" i="7"/>
  <c r="U17" i="7"/>
  <c r="T9" i="7"/>
  <c r="Q21" i="7"/>
  <c r="U9" i="7"/>
  <c r="H30" i="7"/>
  <c r="T17" i="7"/>
  <c r="J30" i="7"/>
  <c r="W2" i="7"/>
  <c r="J9" i="7"/>
  <c r="W7" i="7"/>
  <c r="W8" i="7"/>
  <c r="M8" i="7"/>
  <c r="O8" i="7"/>
  <c r="N8" i="7"/>
  <c r="P8" i="7"/>
  <c r="R8" i="7"/>
  <c r="J8" i="7"/>
  <c r="T8" i="7"/>
  <c r="H8" i="7"/>
  <c r="U8" i="7"/>
  <c r="Q8" i="7"/>
  <c r="S8" i="7"/>
  <c r="H13" i="7"/>
  <c r="Q13" i="7"/>
  <c r="T13" i="7"/>
  <c r="M13" i="7"/>
  <c r="N13" i="7"/>
  <c r="U13" i="7"/>
  <c r="S13" i="7"/>
  <c r="P13" i="7"/>
  <c r="R13" i="7"/>
  <c r="J13" i="7"/>
  <c r="O13" i="7"/>
  <c r="AL19" i="5"/>
  <c r="AL20" i="5"/>
  <c r="AL21" i="5"/>
  <c r="AL22" i="5"/>
  <c r="AL23" i="5"/>
  <c r="AL24" i="5"/>
  <c r="AL25" i="5"/>
  <c r="AL26" i="5"/>
  <c r="AL27" i="5"/>
  <c r="AL28" i="5"/>
  <c r="AL29" i="5"/>
  <c r="AL30" i="5"/>
  <c r="AL31" i="5"/>
  <c r="AL32" i="5"/>
  <c r="AL33" i="5"/>
  <c r="AL34" i="5"/>
  <c r="AL35" i="5"/>
  <c r="AL36" i="5"/>
  <c r="AL37" i="5"/>
  <c r="AL38" i="5"/>
  <c r="AL39" i="5"/>
  <c r="AL40" i="5"/>
  <c r="AL41" i="5"/>
  <c r="AL42" i="5"/>
  <c r="AL43" i="5"/>
  <c r="AL44" i="5"/>
  <c r="AL45" i="5"/>
  <c r="AL46" i="5"/>
  <c r="AL47" i="5"/>
  <c r="AL48" i="5"/>
  <c r="AL49" i="5"/>
  <c r="AL50" i="5"/>
  <c r="AL51" i="5"/>
  <c r="AL52" i="5"/>
  <c r="AL53" i="5"/>
  <c r="AL18" i="5"/>
  <c r="AL12" i="5"/>
  <c r="AL13" i="5"/>
  <c r="AL14" i="5"/>
  <c r="AL15" i="5"/>
  <c r="AL16" i="5"/>
  <c r="AL17" i="5"/>
  <c r="AL11" i="5"/>
  <c r="AL3" i="5"/>
  <c r="AL4" i="5"/>
  <c r="AL5" i="5"/>
  <c r="AL6" i="5"/>
  <c r="AL7" i="5"/>
  <c r="AL8" i="5"/>
  <c r="AL9" i="5"/>
  <c r="AL10" i="5"/>
  <c r="AL2" i="5"/>
  <c r="AE19" i="5"/>
  <c r="AE20" i="5"/>
  <c r="AE21" i="5"/>
  <c r="AE22" i="5"/>
  <c r="AE23" i="5"/>
  <c r="AE24" i="5"/>
  <c r="AE25" i="5"/>
  <c r="AE26" i="5"/>
  <c r="AE27" i="5"/>
  <c r="AE28" i="5"/>
  <c r="AE29" i="5"/>
  <c r="AE30" i="5"/>
  <c r="AE31" i="5"/>
  <c r="AE32" i="5"/>
  <c r="AE33" i="5"/>
  <c r="AE34" i="5"/>
  <c r="AE35" i="5"/>
  <c r="AE36" i="5"/>
  <c r="AE37" i="5"/>
  <c r="AE38" i="5"/>
  <c r="AE39" i="5"/>
  <c r="AE40" i="5"/>
  <c r="AE41" i="5"/>
  <c r="AE42" i="5"/>
  <c r="AE43" i="5"/>
  <c r="AE44" i="5"/>
  <c r="AE45" i="5"/>
  <c r="AE46" i="5"/>
  <c r="AE47" i="5"/>
  <c r="AE48" i="5"/>
  <c r="AE49" i="5"/>
  <c r="AE50" i="5"/>
  <c r="AE51" i="5"/>
  <c r="AE52" i="5"/>
  <c r="AE53" i="5"/>
  <c r="AE18" i="5"/>
  <c r="AD19" i="5"/>
  <c r="AD20" i="5"/>
  <c r="AD21" i="5"/>
  <c r="AD22" i="5"/>
  <c r="AD23" i="5"/>
  <c r="AD24" i="5"/>
  <c r="AD25" i="5"/>
  <c r="AD26" i="5"/>
  <c r="AD27" i="5"/>
  <c r="AD28" i="5"/>
  <c r="AD29" i="5"/>
  <c r="AD30" i="5"/>
  <c r="AD31" i="5"/>
  <c r="AD32" i="5"/>
  <c r="AD33" i="5"/>
  <c r="AD34" i="5"/>
  <c r="AD35" i="5"/>
  <c r="AD36" i="5"/>
  <c r="AD37" i="5"/>
  <c r="AD38" i="5"/>
  <c r="AD39" i="5"/>
  <c r="AD40" i="5"/>
  <c r="AD41" i="5"/>
  <c r="AD42" i="5"/>
  <c r="AD43" i="5"/>
  <c r="AD44" i="5"/>
  <c r="AD45" i="5"/>
  <c r="AD46" i="5"/>
  <c r="AD47" i="5"/>
  <c r="AD48" i="5"/>
  <c r="AD49" i="5"/>
  <c r="AD50" i="5"/>
  <c r="AD51" i="5"/>
  <c r="AD52" i="5"/>
  <c r="AD53" i="5"/>
  <c r="AD18" i="5"/>
  <c r="AC19" i="5"/>
  <c r="F19" i="5" s="1"/>
  <c r="AC20" i="5"/>
  <c r="F20" i="5" s="1"/>
  <c r="AC21" i="5"/>
  <c r="AC22" i="5"/>
  <c r="F22" i="5" s="1"/>
  <c r="AC23" i="5"/>
  <c r="AC24" i="5"/>
  <c r="F24" i="5" s="1"/>
  <c r="AC25" i="5"/>
  <c r="F25" i="5" s="1"/>
  <c r="AC26" i="5"/>
  <c r="F26" i="5" s="1"/>
  <c r="AC27" i="5"/>
  <c r="F27" i="5" s="1"/>
  <c r="AC28" i="5"/>
  <c r="F28" i="5" s="1"/>
  <c r="AC29" i="5"/>
  <c r="AC30" i="5"/>
  <c r="F30" i="5" s="1"/>
  <c r="AC31" i="5"/>
  <c r="AC32" i="5"/>
  <c r="F32" i="5" s="1"/>
  <c r="AC33" i="5"/>
  <c r="F33" i="5" s="1"/>
  <c r="AC34" i="5"/>
  <c r="F34" i="5" s="1"/>
  <c r="AC35" i="5"/>
  <c r="F35" i="5" s="1"/>
  <c r="AC36" i="5"/>
  <c r="F36" i="5" s="1"/>
  <c r="AC37" i="5"/>
  <c r="AC38" i="5"/>
  <c r="F38" i="5" s="1"/>
  <c r="AC39" i="5"/>
  <c r="AC40" i="5"/>
  <c r="F40" i="5" s="1"/>
  <c r="AC41" i="5"/>
  <c r="F41" i="5" s="1"/>
  <c r="AC42" i="5"/>
  <c r="F42" i="5" s="1"/>
  <c r="AC43" i="5"/>
  <c r="F43" i="5" s="1"/>
  <c r="AC44" i="5"/>
  <c r="F44" i="5" s="1"/>
  <c r="AC45" i="5"/>
  <c r="AC46" i="5"/>
  <c r="F46" i="5" s="1"/>
  <c r="AC47" i="5"/>
  <c r="AC48" i="5"/>
  <c r="F48" i="5" s="1"/>
  <c r="AC49" i="5"/>
  <c r="F49" i="5" s="1"/>
  <c r="AC50" i="5"/>
  <c r="F50" i="5" s="1"/>
  <c r="AC51" i="5"/>
  <c r="F51" i="5" s="1"/>
  <c r="AC52" i="5"/>
  <c r="AC53" i="5"/>
  <c r="AC18" i="5"/>
  <c r="F18" i="5" s="1"/>
  <c r="AB19" i="5"/>
  <c r="Y19" i="5" s="1"/>
  <c r="AB20" i="5"/>
  <c r="Y20" i="5" s="1"/>
  <c r="AB21" i="5"/>
  <c r="Y21" i="5" s="1"/>
  <c r="AB22" i="5"/>
  <c r="Y22" i="5" s="1"/>
  <c r="AB23" i="5"/>
  <c r="Y23" i="5" s="1"/>
  <c r="AB24" i="5"/>
  <c r="Y24" i="5" s="1"/>
  <c r="AB25" i="5"/>
  <c r="Y25" i="5" s="1"/>
  <c r="AB26" i="5"/>
  <c r="Y26" i="5" s="1"/>
  <c r="AB27" i="5"/>
  <c r="Y27" i="5" s="1"/>
  <c r="AB28" i="5"/>
  <c r="Y28" i="5" s="1"/>
  <c r="AB29" i="5"/>
  <c r="Y29" i="5" s="1"/>
  <c r="AB30" i="5"/>
  <c r="Y30" i="5" s="1"/>
  <c r="AB31" i="5"/>
  <c r="Y31" i="5" s="1"/>
  <c r="AB32" i="5"/>
  <c r="Y32" i="5" s="1"/>
  <c r="AB33" i="5"/>
  <c r="Y33" i="5" s="1"/>
  <c r="AB34" i="5"/>
  <c r="Y34" i="5" s="1"/>
  <c r="AB35" i="5"/>
  <c r="Y35" i="5" s="1"/>
  <c r="AB36" i="5"/>
  <c r="Y36" i="5" s="1"/>
  <c r="AB37" i="5"/>
  <c r="Y37" i="5" s="1"/>
  <c r="AB38" i="5"/>
  <c r="Y38" i="5" s="1"/>
  <c r="AB39" i="5"/>
  <c r="Y39" i="5" s="1"/>
  <c r="AB40" i="5"/>
  <c r="Y40" i="5" s="1"/>
  <c r="AB41" i="5"/>
  <c r="Y41" i="5" s="1"/>
  <c r="AB42" i="5"/>
  <c r="Y42" i="5" s="1"/>
  <c r="AB43" i="5"/>
  <c r="Y43" i="5" s="1"/>
  <c r="AB44" i="5"/>
  <c r="Y44" i="5" s="1"/>
  <c r="AB45" i="5"/>
  <c r="Y45" i="5" s="1"/>
  <c r="AB46" i="5"/>
  <c r="Y46" i="5" s="1"/>
  <c r="AB47" i="5"/>
  <c r="Y47" i="5" s="1"/>
  <c r="AB48" i="5"/>
  <c r="Y48" i="5" s="1"/>
  <c r="AB49" i="5"/>
  <c r="Y49" i="5" s="1"/>
  <c r="AB50" i="5"/>
  <c r="Y50" i="5" s="1"/>
  <c r="AB51" i="5"/>
  <c r="Y51" i="5" s="1"/>
  <c r="AB52" i="5"/>
  <c r="Y52" i="5" s="1"/>
  <c r="AB53" i="5"/>
  <c r="Y53" i="5" s="1"/>
  <c r="AB18" i="5"/>
  <c r="Y18" i="5" s="1"/>
  <c r="S3" i="2"/>
  <c r="AE3" i="5"/>
  <c r="AE4" i="5"/>
  <c r="AE5" i="5"/>
  <c r="AE6" i="5"/>
  <c r="AE7" i="5"/>
  <c r="AE8" i="5"/>
  <c r="AE9" i="5"/>
  <c r="AE10" i="5"/>
  <c r="AE11" i="5"/>
  <c r="AE12" i="5"/>
  <c r="AE13" i="5"/>
  <c r="AE14" i="5"/>
  <c r="AE15" i="5"/>
  <c r="AE16" i="5"/>
  <c r="AE17" i="5"/>
  <c r="AE2" i="5"/>
  <c r="AD17" i="5"/>
  <c r="AD3" i="5"/>
  <c r="AD4" i="5"/>
  <c r="AD5" i="5"/>
  <c r="AD6" i="5"/>
  <c r="AD7" i="5"/>
  <c r="AD8" i="5"/>
  <c r="AD9" i="5"/>
  <c r="AD10" i="5"/>
  <c r="AD11" i="5"/>
  <c r="AD12" i="5"/>
  <c r="AD13" i="5"/>
  <c r="AD14" i="5"/>
  <c r="AD15" i="5"/>
  <c r="AD16" i="5"/>
  <c r="AD2" i="5"/>
  <c r="AC3" i="5"/>
  <c r="F3" i="5" s="1"/>
  <c r="AC4" i="5"/>
  <c r="F4" i="5" s="1"/>
  <c r="AC5" i="5"/>
  <c r="F5" i="5" s="1"/>
  <c r="AC6" i="5"/>
  <c r="F6" i="5" s="1"/>
  <c r="AC7" i="5"/>
  <c r="F7" i="5" s="1"/>
  <c r="AC8" i="5"/>
  <c r="F8" i="5" s="1"/>
  <c r="AC9" i="5"/>
  <c r="F9" i="5" s="1"/>
  <c r="AC10" i="5"/>
  <c r="AC11" i="5"/>
  <c r="F11" i="5" s="1"/>
  <c r="AC12" i="5"/>
  <c r="F12" i="5" s="1"/>
  <c r="AC13" i="5"/>
  <c r="F13" i="5" s="1"/>
  <c r="AC14" i="5"/>
  <c r="F14" i="5" s="1"/>
  <c r="AC15" i="5"/>
  <c r="F15" i="5" s="1"/>
  <c r="AC16" i="5"/>
  <c r="F16" i="5" s="1"/>
  <c r="AC17" i="5"/>
  <c r="F17" i="5" s="1"/>
  <c r="AC2" i="5"/>
  <c r="F2" i="5" s="1"/>
  <c r="AB11" i="5"/>
  <c r="Y11" i="5" s="1"/>
  <c r="AB12" i="5"/>
  <c r="Y12" i="5" s="1"/>
  <c r="AB13" i="5"/>
  <c r="Y13" i="5" s="1"/>
  <c r="AB14" i="5"/>
  <c r="Y14" i="5" s="1"/>
  <c r="AB15" i="5"/>
  <c r="Y15" i="5" s="1"/>
  <c r="AB16" i="5"/>
  <c r="Y16" i="5" s="1"/>
  <c r="AB17" i="5"/>
  <c r="Y17" i="5" s="1"/>
  <c r="AB3" i="5"/>
  <c r="Y3" i="5" s="1"/>
  <c r="AB4" i="5"/>
  <c r="Y4" i="5" s="1"/>
  <c r="AB5" i="5"/>
  <c r="Y5" i="5" s="1"/>
  <c r="AB6" i="5"/>
  <c r="Y6" i="5" s="1"/>
  <c r="AB7" i="5"/>
  <c r="Y7" i="5" s="1"/>
  <c r="AB8" i="5"/>
  <c r="Y8" i="5" s="1"/>
  <c r="AB9" i="5"/>
  <c r="Y9" i="5" s="1"/>
  <c r="AB10" i="5"/>
  <c r="Y10" i="5" s="1"/>
  <c r="AB2" i="5"/>
  <c r="Y2" i="5" s="1"/>
  <c r="AN5" i="5"/>
  <c r="Z18" i="5" l="1"/>
  <c r="Z38" i="5"/>
  <c r="Z4" i="5"/>
  <c r="Z21" i="5"/>
  <c r="Z11" i="5"/>
  <c r="Z15" i="5"/>
  <c r="Z7" i="5"/>
  <c r="Z48" i="5"/>
  <c r="Z40" i="5"/>
  <c r="Z32" i="5"/>
  <c r="Z24" i="5"/>
  <c r="Z14" i="5"/>
  <c r="Z6" i="5"/>
  <c r="Z47" i="5"/>
  <c r="Z39" i="5"/>
  <c r="Z31" i="5"/>
  <c r="Z23" i="5"/>
  <c r="Z22" i="5"/>
  <c r="Z45" i="5"/>
  <c r="Z3" i="5"/>
  <c r="Z36" i="5"/>
  <c r="Z2" i="5"/>
  <c r="Z10" i="5"/>
  <c r="Z51" i="5"/>
  <c r="Z43" i="5"/>
  <c r="Z35" i="5"/>
  <c r="Z27" i="5"/>
  <c r="Z19" i="5"/>
  <c r="Z5" i="5"/>
  <c r="Z30" i="5"/>
  <c r="Z53" i="5"/>
  <c r="Z37" i="5"/>
  <c r="Z44" i="5"/>
  <c r="Z20" i="5"/>
  <c r="Z17" i="5"/>
  <c r="Z9" i="5"/>
  <c r="Z50" i="5"/>
  <c r="Z42" i="5"/>
  <c r="Z34" i="5"/>
  <c r="Z26" i="5"/>
  <c r="Z13" i="5"/>
  <c r="Z46" i="5"/>
  <c r="Z12" i="5"/>
  <c r="Z29" i="5"/>
  <c r="Z52" i="5"/>
  <c r="Z28" i="5"/>
  <c r="Z16" i="5"/>
  <c r="Z8" i="5"/>
  <c r="Z49" i="5"/>
  <c r="Z41" i="5"/>
  <c r="Z33" i="5"/>
  <c r="Z25" i="5"/>
  <c r="AJ20" i="5"/>
  <c r="K20" i="5" s="1"/>
  <c r="D13" i="5"/>
  <c r="G18" i="5"/>
  <c r="D14" i="5"/>
  <c r="D11" i="5"/>
  <c r="G2" i="5"/>
  <c r="D15" i="5"/>
  <c r="G44" i="5"/>
  <c r="AK20" i="5"/>
  <c r="D51" i="5"/>
  <c r="D43" i="5"/>
  <c r="D27" i="5"/>
  <c r="AJ9" i="5"/>
  <c r="K9" i="5" s="1"/>
  <c r="F47" i="5"/>
  <c r="V17" i="5"/>
  <c r="V9" i="5"/>
  <c r="F23" i="5"/>
  <c r="D8" i="5"/>
  <c r="V16" i="5"/>
  <c r="V8" i="5"/>
  <c r="D49" i="5"/>
  <c r="D41" i="5"/>
  <c r="D25" i="5"/>
  <c r="F53" i="5"/>
  <c r="F45" i="5"/>
  <c r="F37" i="5"/>
  <c r="F29" i="5"/>
  <c r="F21" i="5"/>
  <c r="AK49" i="5"/>
  <c r="AJ41" i="5"/>
  <c r="K41" i="5" s="1"/>
  <c r="AK33" i="5"/>
  <c r="AJ25" i="5"/>
  <c r="K25" i="5" s="1"/>
  <c r="F10" i="5"/>
  <c r="F31" i="5"/>
  <c r="D48" i="5"/>
  <c r="D32" i="5"/>
  <c r="F52" i="5"/>
  <c r="F39" i="5"/>
  <c r="D40" i="5"/>
  <c r="D24" i="5"/>
  <c r="D9" i="5"/>
  <c r="D7" i="5"/>
  <c r="D50" i="5"/>
  <c r="D42" i="5"/>
  <c r="D26" i="5"/>
  <c r="AK50" i="5"/>
  <c r="AK42" i="5"/>
  <c r="AK34" i="5"/>
  <c r="AK26" i="5"/>
  <c r="D5" i="5"/>
  <c r="V14" i="5"/>
  <c r="V6" i="5"/>
  <c r="AK52" i="5"/>
  <c r="V13" i="5"/>
  <c r="V5" i="5"/>
  <c r="D19" i="5"/>
  <c r="V31" i="5"/>
  <c r="V38" i="5"/>
  <c r="V4" i="5"/>
  <c r="D33" i="5"/>
  <c r="V53" i="5"/>
  <c r="AJ45" i="5"/>
  <c r="K45" i="5" s="1"/>
  <c r="V45" i="5"/>
  <c r="D53" i="5"/>
  <c r="D45" i="5"/>
  <c r="D37" i="5"/>
  <c r="D29" i="5"/>
  <c r="D21" i="5"/>
  <c r="V49" i="5"/>
  <c r="V41" i="5"/>
  <c r="V33" i="5"/>
  <c r="V25" i="5"/>
  <c r="D6" i="5"/>
  <c r="V15" i="5"/>
  <c r="V7" i="5"/>
  <c r="D52" i="5"/>
  <c r="D44" i="5"/>
  <c r="D36" i="5"/>
  <c r="D28" i="5"/>
  <c r="D20" i="5"/>
  <c r="V48" i="5"/>
  <c r="V40" i="5"/>
  <c r="V32" i="5"/>
  <c r="V24" i="5"/>
  <c r="V39" i="5"/>
  <c r="D4" i="5"/>
  <c r="D34" i="5"/>
  <c r="V46" i="5"/>
  <c r="V21" i="5"/>
  <c r="D10" i="5"/>
  <c r="D17" i="5"/>
  <c r="V11" i="5"/>
  <c r="V3" i="5"/>
  <c r="V52" i="5"/>
  <c r="V44" i="5"/>
  <c r="AK36" i="5"/>
  <c r="V36" i="5"/>
  <c r="V28" i="5"/>
  <c r="V20" i="5"/>
  <c r="D12" i="5"/>
  <c r="G35" i="5"/>
  <c r="D35" i="5"/>
  <c r="V23" i="5"/>
  <c r="V22" i="5"/>
  <c r="D2" i="5"/>
  <c r="V37" i="5"/>
  <c r="D16" i="5"/>
  <c r="V2" i="5"/>
  <c r="V10" i="5"/>
  <c r="D47" i="5"/>
  <c r="D39" i="5"/>
  <c r="D31" i="5"/>
  <c r="D23" i="5"/>
  <c r="V51" i="5"/>
  <c r="V43" i="5"/>
  <c r="V35" i="5"/>
  <c r="V27" i="5"/>
  <c r="V19" i="5"/>
  <c r="V47" i="5"/>
  <c r="V18" i="5"/>
  <c r="V30" i="5"/>
  <c r="D3" i="5"/>
  <c r="V12" i="5"/>
  <c r="V29" i="5"/>
  <c r="D18" i="5"/>
  <c r="D46" i="5"/>
  <c r="D38" i="5"/>
  <c r="D30" i="5"/>
  <c r="D22" i="5"/>
  <c r="V50" i="5"/>
  <c r="V42" i="5"/>
  <c r="V34" i="5"/>
  <c r="V26" i="5"/>
  <c r="G50" i="5"/>
  <c r="L30" i="5"/>
  <c r="L37" i="5"/>
  <c r="G15" i="5"/>
  <c r="AJ10" i="5"/>
  <c r="K10" i="5" s="1"/>
  <c r="L10" i="5"/>
  <c r="G48" i="5"/>
  <c r="G32" i="5"/>
  <c r="L44" i="5"/>
  <c r="G14" i="5"/>
  <c r="L17" i="5"/>
  <c r="AK44" i="5"/>
  <c r="G47" i="5"/>
  <c r="G31" i="5"/>
  <c r="L51" i="5"/>
  <c r="L35" i="5"/>
  <c r="L19" i="5"/>
  <c r="G6" i="5"/>
  <c r="AK4" i="5"/>
  <c r="AJ16" i="5"/>
  <c r="K16" i="5" s="1"/>
  <c r="L16" i="5"/>
  <c r="AJ8" i="5"/>
  <c r="K8" i="5" s="1"/>
  <c r="L8" i="5"/>
  <c r="AK41" i="5"/>
  <c r="G46" i="5"/>
  <c r="G38" i="5"/>
  <c r="G30" i="5"/>
  <c r="G22" i="5"/>
  <c r="L50" i="5"/>
  <c r="L42" i="5"/>
  <c r="L34" i="5"/>
  <c r="L26" i="5"/>
  <c r="L4" i="5"/>
  <c r="G17" i="5"/>
  <c r="AA17" i="5" s="1"/>
  <c r="G26" i="5"/>
  <c r="AJ18" i="5"/>
  <c r="K18" i="5" s="1"/>
  <c r="L18" i="5"/>
  <c r="L22" i="5"/>
  <c r="L45" i="5"/>
  <c r="G24" i="5"/>
  <c r="L52" i="5"/>
  <c r="AJ28" i="5"/>
  <c r="K28" i="5" s="1"/>
  <c r="L28" i="5"/>
  <c r="G7" i="5"/>
  <c r="G39" i="5"/>
  <c r="G23" i="5"/>
  <c r="AK43" i="5"/>
  <c r="L43" i="5"/>
  <c r="L27" i="5"/>
  <c r="G5" i="5"/>
  <c r="AK11" i="5"/>
  <c r="AJ15" i="5"/>
  <c r="K15" i="5" s="1"/>
  <c r="L15" i="5"/>
  <c r="AJ7" i="5"/>
  <c r="K7" i="5" s="1"/>
  <c r="L7" i="5"/>
  <c r="AJ44" i="5"/>
  <c r="K44" i="5" s="1"/>
  <c r="AK37" i="5"/>
  <c r="G34" i="5"/>
  <c r="G53" i="5"/>
  <c r="G45" i="5"/>
  <c r="G37" i="5"/>
  <c r="G29" i="5"/>
  <c r="G21" i="5"/>
  <c r="AJ49" i="5"/>
  <c r="K49" i="5" s="1"/>
  <c r="L49" i="5"/>
  <c r="L41" i="5"/>
  <c r="AJ33" i="5"/>
  <c r="K33" i="5" s="1"/>
  <c r="L33" i="5"/>
  <c r="L25" i="5"/>
  <c r="G13" i="5"/>
  <c r="G42" i="5"/>
  <c r="L46" i="5"/>
  <c r="G9" i="5"/>
  <c r="L11" i="5"/>
  <c r="AK3" i="5"/>
  <c r="L3" i="5"/>
  <c r="G25" i="5"/>
  <c r="AJ29" i="5"/>
  <c r="K29" i="5" s="1"/>
  <c r="L29" i="5"/>
  <c r="G40" i="5"/>
  <c r="L20" i="5"/>
  <c r="AJ52" i="5"/>
  <c r="K52" i="5" s="1"/>
  <c r="AK10" i="5"/>
  <c r="L6" i="5"/>
  <c r="G20" i="5"/>
  <c r="L48" i="5"/>
  <c r="L40" i="5"/>
  <c r="L32" i="5"/>
  <c r="L24" i="5"/>
  <c r="L12" i="5"/>
  <c r="L38" i="5"/>
  <c r="G16" i="5"/>
  <c r="G49" i="5"/>
  <c r="G41" i="5"/>
  <c r="AK53" i="5"/>
  <c r="L53" i="5"/>
  <c r="AK21" i="5"/>
  <c r="L21" i="5"/>
  <c r="G8" i="5"/>
  <c r="AJ2" i="5"/>
  <c r="K2" i="5" s="1"/>
  <c r="L2" i="5"/>
  <c r="AG2" i="5"/>
  <c r="G10" i="5"/>
  <c r="L36" i="5"/>
  <c r="L9" i="5"/>
  <c r="G11" i="5"/>
  <c r="AK17" i="5"/>
  <c r="L14" i="5"/>
  <c r="AJ36" i="5"/>
  <c r="K36" i="5" s="1"/>
  <c r="G33" i="5"/>
  <c r="G52" i="5"/>
  <c r="G36" i="5"/>
  <c r="AK13" i="5"/>
  <c r="L13" i="5"/>
  <c r="AK5" i="5"/>
  <c r="L5" i="5"/>
  <c r="AJ27" i="5"/>
  <c r="K27" i="5" s="1"/>
  <c r="AK28" i="5"/>
  <c r="G28" i="5"/>
  <c r="G51" i="5"/>
  <c r="G43" i="5"/>
  <c r="G27" i="5"/>
  <c r="G19" i="5"/>
  <c r="AK51" i="5"/>
  <c r="AJ43" i="5"/>
  <c r="K43" i="5" s="1"/>
  <c r="AJ35" i="5"/>
  <c r="K35" i="5" s="1"/>
  <c r="AK27" i="5"/>
  <c r="AK19" i="5"/>
  <c r="L47" i="5"/>
  <c r="L39" i="5"/>
  <c r="L31" i="5"/>
  <c r="L23" i="5"/>
  <c r="G4" i="5"/>
  <c r="G3" i="5"/>
  <c r="T21" i="5"/>
  <c r="U36" i="5"/>
  <c r="N18" i="5"/>
  <c r="S18" i="5"/>
  <c r="Q18" i="5"/>
  <c r="T18" i="5"/>
  <c r="U18" i="5"/>
  <c r="O18" i="5"/>
  <c r="P18" i="5"/>
  <c r="AK15" i="5"/>
  <c r="AJ14" i="5"/>
  <c r="K14" i="5" s="1"/>
  <c r="AJ51" i="5"/>
  <c r="K51" i="5" s="1"/>
  <c r="AK25" i="5"/>
  <c r="AK45" i="5"/>
  <c r="AJ37" i="5"/>
  <c r="K37" i="5" s="1"/>
  <c r="AK29" i="5"/>
  <c r="AJ21" i="5"/>
  <c r="K21" i="5" s="1"/>
  <c r="AJ13" i="5"/>
  <c r="K13" i="5" s="1"/>
  <c r="AJ5" i="5"/>
  <c r="K5" i="5" s="1"/>
  <c r="AJ19" i="5"/>
  <c r="K19" i="5" s="1"/>
  <c r="AK35" i="5"/>
  <c r="AK16" i="5"/>
  <c r="AK8" i="5"/>
  <c r="AJ17" i="5"/>
  <c r="K17" i="5" s="1"/>
  <c r="AK7" i="5"/>
  <c r="AK2" i="5"/>
  <c r="AJ12" i="5"/>
  <c r="K12" i="5" s="1"/>
  <c r="AJ4" i="5"/>
  <c r="K4" i="5" s="1"/>
  <c r="AK6" i="5"/>
  <c r="G12" i="5"/>
  <c r="AA12" i="5" s="1"/>
  <c r="AJ11" i="5"/>
  <c r="K11" i="5" s="1"/>
  <c r="AJ3" i="5"/>
  <c r="K3" i="5" s="1"/>
  <c r="AK14" i="5"/>
  <c r="AK12" i="5"/>
  <c r="AK9" i="5"/>
  <c r="AJ6" i="5"/>
  <c r="K6" i="5" s="1"/>
  <c r="AJ53" i="5"/>
  <c r="K53" i="5" s="1"/>
  <c r="AK18" i="5"/>
  <c r="H18" i="5" s="1"/>
  <c r="AJ46" i="5"/>
  <c r="AJ38" i="5"/>
  <c r="K38" i="5" s="1"/>
  <c r="AJ30" i="5"/>
  <c r="K30" i="5" s="1"/>
  <c r="AJ22" i="5"/>
  <c r="K22" i="5" s="1"/>
  <c r="AK48" i="5"/>
  <c r="AK40" i="5"/>
  <c r="AK32" i="5"/>
  <c r="AK24" i="5"/>
  <c r="AJ47" i="5"/>
  <c r="K47" i="5" s="1"/>
  <c r="AJ39" i="5"/>
  <c r="K39" i="5" s="1"/>
  <c r="AJ31" i="5"/>
  <c r="K31" i="5" s="1"/>
  <c r="AJ23" i="5"/>
  <c r="K23" i="5" s="1"/>
  <c r="AJ24" i="5"/>
  <c r="K24" i="5" s="1"/>
  <c r="AK47" i="5"/>
  <c r="AK39" i="5"/>
  <c r="AK31" i="5"/>
  <c r="AK23" i="5"/>
  <c r="AJ50" i="5"/>
  <c r="K50" i="5" s="1"/>
  <c r="AJ42" i="5"/>
  <c r="K42" i="5" s="1"/>
  <c r="AJ34" i="5"/>
  <c r="K34" i="5" s="1"/>
  <c r="AJ26" i="5"/>
  <c r="K26" i="5" s="1"/>
  <c r="AK46" i="5"/>
  <c r="AK38" i="5"/>
  <c r="AK30" i="5"/>
  <c r="AK22" i="5"/>
  <c r="AJ32" i="5"/>
  <c r="K32" i="5" s="1"/>
  <c r="AJ48" i="5"/>
  <c r="K48" i="5" s="1"/>
  <c r="AJ40" i="5"/>
  <c r="K40" i="5" s="1"/>
  <c r="AN6" i="5"/>
  <c r="N20" i="5" l="1"/>
  <c r="AA20" i="5"/>
  <c r="U37" i="5"/>
  <c r="AA37" i="5"/>
  <c r="S39" i="5"/>
  <c r="AA39" i="5"/>
  <c r="U47" i="5"/>
  <c r="AA47" i="5"/>
  <c r="Q15" i="5"/>
  <c r="AA15" i="5"/>
  <c r="Q28" i="5"/>
  <c r="AA28" i="5"/>
  <c r="U52" i="5"/>
  <c r="AA52" i="5"/>
  <c r="M10" i="5"/>
  <c r="AA10" i="5"/>
  <c r="N42" i="5"/>
  <c r="AA42" i="5"/>
  <c r="M21" i="5"/>
  <c r="AA21" i="5"/>
  <c r="U48" i="5"/>
  <c r="AA48" i="5"/>
  <c r="I20" i="5"/>
  <c r="R3" i="5"/>
  <c r="AA3" i="5"/>
  <c r="M33" i="5"/>
  <c r="AA33" i="5"/>
  <c r="T41" i="5"/>
  <c r="AA41" i="5"/>
  <c r="M13" i="5"/>
  <c r="AA13" i="5"/>
  <c r="N29" i="5"/>
  <c r="AA29" i="5"/>
  <c r="T23" i="5"/>
  <c r="AA23" i="5"/>
  <c r="U31" i="5"/>
  <c r="AA31" i="5"/>
  <c r="I18" i="5"/>
  <c r="AA18" i="5"/>
  <c r="T4" i="5"/>
  <c r="AA4" i="5"/>
  <c r="Q16" i="5"/>
  <c r="AA16" i="5"/>
  <c r="P45" i="5"/>
  <c r="AA45" i="5"/>
  <c r="R7" i="5"/>
  <c r="AA7" i="5"/>
  <c r="N22" i="5"/>
  <c r="AA22" i="5"/>
  <c r="I16" i="5"/>
  <c r="M8" i="5"/>
  <c r="AA8" i="5"/>
  <c r="S53" i="5"/>
  <c r="AA53" i="5"/>
  <c r="R26" i="5"/>
  <c r="AA26" i="5"/>
  <c r="S7" i="5"/>
  <c r="S27" i="5"/>
  <c r="AA27" i="5"/>
  <c r="M11" i="5"/>
  <c r="AA11" i="5"/>
  <c r="P34" i="5"/>
  <c r="AA34" i="5"/>
  <c r="O5" i="5"/>
  <c r="AA5" i="5"/>
  <c r="O38" i="5"/>
  <c r="AA38" i="5"/>
  <c r="N6" i="5"/>
  <c r="AA6" i="5"/>
  <c r="O14" i="5"/>
  <c r="AA14" i="5"/>
  <c r="T19" i="5"/>
  <c r="AA19" i="5"/>
  <c r="S30" i="5"/>
  <c r="AA30" i="5"/>
  <c r="S44" i="5"/>
  <c r="AA44" i="5"/>
  <c r="U20" i="5"/>
  <c r="T43" i="5"/>
  <c r="AA43" i="5"/>
  <c r="M9" i="5"/>
  <c r="AA9" i="5"/>
  <c r="N46" i="5"/>
  <c r="AA46" i="5"/>
  <c r="R50" i="5"/>
  <c r="AA50" i="5"/>
  <c r="I2" i="5"/>
  <c r="AA2" i="5"/>
  <c r="U49" i="5"/>
  <c r="AA49" i="5"/>
  <c r="R25" i="5"/>
  <c r="AA25" i="5"/>
  <c r="U39" i="5"/>
  <c r="R51" i="5"/>
  <c r="AA51" i="5"/>
  <c r="M36" i="5"/>
  <c r="AA36" i="5"/>
  <c r="T40" i="5"/>
  <c r="AA40" i="5"/>
  <c r="S24" i="5"/>
  <c r="AA24" i="5"/>
  <c r="T32" i="5"/>
  <c r="AA32" i="5"/>
  <c r="N35" i="5"/>
  <c r="AA35" i="5"/>
  <c r="H20" i="5"/>
  <c r="P20" i="5"/>
  <c r="N16" i="5"/>
  <c r="S20" i="5"/>
  <c r="O39" i="5"/>
  <c r="T20" i="5"/>
  <c r="M20" i="5"/>
  <c r="R18" i="5"/>
  <c r="M18" i="5"/>
  <c r="M53" i="5"/>
  <c r="N41" i="5"/>
  <c r="I8" i="5"/>
  <c r="M40" i="5"/>
  <c r="Q40" i="5"/>
  <c r="H53" i="5"/>
  <c r="O20" i="5"/>
  <c r="U40" i="5"/>
  <c r="S8" i="5"/>
  <c r="U8" i="5"/>
  <c r="O8" i="5"/>
  <c r="Q20" i="5"/>
  <c r="M2" i="5"/>
  <c r="U2" i="5"/>
  <c r="T44" i="5"/>
  <c r="R2" i="5"/>
  <c r="T2" i="5"/>
  <c r="M14" i="5"/>
  <c r="T14" i="5"/>
  <c r="Q2" i="5"/>
  <c r="H2" i="5"/>
  <c r="P2" i="5"/>
  <c r="S2" i="5"/>
  <c r="O2" i="5"/>
  <c r="N2" i="5"/>
  <c r="U14" i="5"/>
  <c r="M51" i="5"/>
  <c r="S14" i="5"/>
  <c r="P14" i="5"/>
  <c r="H44" i="5"/>
  <c r="H26" i="5"/>
  <c r="N14" i="5"/>
  <c r="Q51" i="5"/>
  <c r="P9" i="5"/>
  <c r="Q35" i="5"/>
  <c r="Q14" i="5"/>
  <c r="U51" i="5"/>
  <c r="U26" i="5"/>
  <c r="N44" i="5"/>
  <c r="I14" i="5"/>
  <c r="O6" i="5"/>
  <c r="I44" i="5"/>
  <c r="U6" i="5"/>
  <c r="R14" i="5"/>
  <c r="S26" i="5"/>
  <c r="H14" i="5"/>
  <c r="H30" i="5"/>
  <c r="R44" i="5"/>
  <c r="Q21" i="5"/>
  <c r="U35" i="5"/>
  <c r="U44" i="5"/>
  <c r="Q8" i="5"/>
  <c r="M26" i="5"/>
  <c r="R20" i="5"/>
  <c r="M37" i="5"/>
  <c r="I27" i="5"/>
  <c r="P27" i="5"/>
  <c r="R32" i="5"/>
  <c r="M41" i="5"/>
  <c r="S33" i="5"/>
  <c r="M27" i="5"/>
  <c r="R5" i="5"/>
  <c r="P44" i="5"/>
  <c r="Q44" i="5"/>
  <c r="R41" i="5"/>
  <c r="Q11" i="5"/>
  <c r="M44" i="5"/>
  <c r="O27" i="5"/>
  <c r="N52" i="5"/>
  <c r="Q27" i="5"/>
  <c r="O44" i="5"/>
  <c r="I11" i="5"/>
  <c r="S11" i="5"/>
  <c r="O52" i="5"/>
  <c r="H7" i="5"/>
  <c r="U15" i="5"/>
  <c r="N9" i="5"/>
  <c r="P7" i="5"/>
  <c r="Q9" i="5"/>
  <c r="R15" i="5"/>
  <c r="P33" i="5"/>
  <c r="T7" i="5"/>
  <c r="R8" i="5"/>
  <c r="S9" i="5"/>
  <c r="T27" i="5"/>
  <c r="S36" i="5"/>
  <c r="R37" i="5"/>
  <c r="P52" i="5"/>
  <c r="U7" i="5"/>
  <c r="I52" i="5"/>
  <c r="M7" i="5"/>
  <c r="H52" i="5"/>
  <c r="Q7" i="5"/>
  <c r="R9" i="5"/>
  <c r="S37" i="5"/>
  <c r="N7" i="5"/>
  <c r="O7" i="5"/>
  <c r="I7" i="5"/>
  <c r="O9" i="5"/>
  <c r="T9" i="5"/>
  <c r="S52" i="5"/>
  <c r="Q37" i="5"/>
  <c r="M43" i="5"/>
  <c r="P6" i="5"/>
  <c r="I6" i="5"/>
  <c r="P13" i="5"/>
  <c r="O50" i="5"/>
  <c r="S25" i="5"/>
  <c r="N50" i="5"/>
  <c r="T51" i="5"/>
  <c r="N25" i="5"/>
  <c r="M6" i="5"/>
  <c r="S51" i="5"/>
  <c r="H51" i="5"/>
  <c r="P53" i="5"/>
  <c r="O51" i="5"/>
  <c r="P24" i="5"/>
  <c r="I50" i="5"/>
  <c r="U25" i="5"/>
  <c r="S28" i="5"/>
  <c r="O13" i="5"/>
  <c r="S50" i="5"/>
  <c r="I21" i="5"/>
  <c r="H6" i="5"/>
  <c r="P32" i="5"/>
  <c r="P51" i="5"/>
  <c r="N39" i="5"/>
  <c r="S19" i="5"/>
  <c r="P25" i="5"/>
  <c r="P41" i="5"/>
  <c r="H41" i="5"/>
  <c r="I51" i="5"/>
  <c r="N26" i="5"/>
  <c r="S46" i="5"/>
  <c r="Q53" i="5"/>
  <c r="Q24" i="5"/>
  <c r="Q26" i="5"/>
  <c r="T33" i="5"/>
  <c r="I3" i="5"/>
  <c r="I25" i="5"/>
  <c r="S31" i="5"/>
  <c r="I53" i="5"/>
  <c r="O21" i="5"/>
  <c r="S6" i="5"/>
  <c r="Q31" i="5"/>
  <c r="Q48" i="5"/>
  <c r="T50" i="5"/>
  <c r="I31" i="5"/>
  <c r="I26" i="5"/>
  <c r="N48" i="5"/>
  <c r="O26" i="5"/>
  <c r="I41" i="5"/>
  <c r="T22" i="5"/>
  <c r="T53" i="5"/>
  <c r="T31" i="5"/>
  <c r="U13" i="5"/>
  <c r="S41" i="5"/>
  <c r="U50" i="5"/>
  <c r="I48" i="5"/>
  <c r="I36" i="5"/>
  <c r="M31" i="5"/>
  <c r="O45" i="5"/>
  <c r="N51" i="5"/>
  <c r="O22" i="5"/>
  <c r="N19" i="5"/>
  <c r="O31" i="5"/>
  <c r="M50" i="5"/>
  <c r="U30" i="5"/>
  <c r="Q6" i="5"/>
  <c r="U53" i="5"/>
  <c r="R31" i="5"/>
  <c r="T13" i="5"/>
  <c r="U41" i="5"/>
  <c r="T26" i="5"/>
  <c r="Q50" i="5"/>
  <c r="N21" i="5"/>
  <c r="Q52" i="5"/>
  <c r="R21" i="5"/>
  <c r="R45" i="5"/>
  <c r="I33" i="5"/>
  <c r="Q33" i="5"/>
  <c r="N45" i="5"/>
  <c r="P26" i="5"/>
  <c r="N31" i="5"/>
  <c r="O41" i="5"/>
  <c r="U22" i="5"/>
  <c r="R53" i="5"/>
  <c r="Q41" i="5"/>
  <c r="P21" i="5"/>
  <c r="O48" i="5"/>
  <c r="T6" i="5"/>
  <c r="M48" i="5"/>
  <c r="M34" i="5"/>
  <c r="S21" i="5"/>
  <c r="H50" i="5"/>
  <c r="I46" i="5"/>
  <c r="M23" i="5"/>
  <c r="O53" i="5"/>
  <c r="O30" i="5"/>
  <c r="I19" i="5"/>
  <c r="P31" i="5"/>
  <c r="P50" i="5"/>
  <c r="T30" i="5"/>
  <c r="R6" i="5"/>
  <c r="S13" i="5"/>
  <c r="R43" i="5"/>
  <c r="U21" i="5"/>
  <c r="T34" i="5"/>
  <c r="H21" i="5"/>
  <c r="I45" i="5"/>
  <c r="O32" i="5"/>
  <c r="O19" i="5"/>
  <c r="P39" i="5"/>
  <c r="N28" i="5"/>
  <c r="Q3" i="5"/>
  <c r="Q46" i="5"/>
  <c r="S32" i="5"/>
  <c r="Q19" i="5"/>
  <c r="T28" i="5"/>
  <c r="Q34" i="5"/>
  <c r="I30" i="5"/>
  <c r="I4" i="5"/>
  <c r="P8" i="5"/>
  <c r="P30" i="5"/>
  <c r="O25" i="5"/>
  <c r="P19" i="5"/>
  <c r="O47" i="5"/>
  <c r="U3" i="5"/>
  <c r="R46" i="5"/>
  <c r="Q25" i="5"/>
  <c r="T8" i="5"/>
  <c r="N11" i="5"/>
  <c r="N32" i="5"/>
  <c r="U19" i="5"/>
  <c r="M28" i="5"/>
  <c r="Q36" i="5"/>
  <c r="R11" i="5"/>
  <c r="R34" i="5"/>
  <c r="N53" i="5"/>
  <c r="W51" i="5"/>
  <c r="W52" i="5"/>
  <c r="W53" i="5"/>
  <c r="W50" i="5"/>
  <c r="H11" i="5"/>
  <c r="I17" i="5"/>
  <c r="W7" i="5"/>
  <c r="W15" i="5"/>
  <c r="W8" i="5"/>
  <c r="W16" i="5"/>
  <c r="W9" i="5"/>
  <c r="W17" i="5"/>
  <c r="W10" i="5"/>
  <c r="W2" i="5"/>
  <c r="W3" i="5"/>
  <c r="W11" i="5"/>
  <c r="W4" i="5"/>
  <c r="W12" i="5"/>
  <c r="W5" i="5"/>
  <c r="W13" i="5"/>
  <c r="W6" i="5"/>
  <c r="W14" i="5"/>
  <c r="P3" i="5"/>
  <c r="O46" i="5"/>
  <c r="S3" i="5"/>
  <c r="T39" i="5"/>
  <c r="R24" i="5"/>
  <c r="U34" i="5"/>
  <c r="H28" i="5"/>
  <c r="N30" i="5"/>
  <c r="W27" i="5"/>
  <c r="W28" i="5"/>
  <c r="W29" i="5"/>
  <c r="W30" i="5"/>
  <c r="W25" i="5"/>
  <c r="W26" i="5"/>
  <c r="I43" i="5"/>
  <c r="H8" i="5"/>
  <c r="H25" i="5"/>
  <c r="O3" i="5"/>
  <c r="O34" i="5"/>
  <c r="P35" i="5"/>
  <c r="O28" i="5"/>
  <c r="T3" i="5"/>
  <c r="Q30" i="5"/>
  <c r="R35" i="5"/>
  <c r="S29" i="5"/>
  <c r="N36" i="5"/>
  <c r="Q39" i="5"/>
  <c r="N8" i="5"/>
  <c r="N5" i="5"/>
  <c r="T5" i="5"/>
  <c r="M19" i="5"/>
  <c r="R28" i="5"/>
  <c r="U11" i="5"/>
  <c r="S34" i="5"/>
  <c r="H3" i="5"/>
  <c r="M24" i="5"/>
  <c r="W22" i="5"/>
  <c r="W23" i="5"/>
  <c r="W24" i="5"/>
  <c r="W18" i="5"/>
  <c r="W19" i="5"/>
  <c r="W20" i="5"/>
  <c r="W21" i="5"/>
  <c r="H45" i="5"/>
  <c r="N17" i="5"/>
  <c r="M17" i="5"/>
  <c r="O43" i="5"/>
  <c r="R19" i="5"/>
  <c r="M49" i="5"/>
  <c r="W47" i="5"/>
  <c r="W48" i="5"/>
  <c r="W49" i="5"/>
  <c r="W46" i="5"/>
  <c r="H19" i="5"/>
  <c r="M39" i="5"/>
  <c r="I34" i="5"/>
  <c r="M30" i="5"/>
  <c r="O35" i="5"/>
  <c r="P28" i="5"/>
  <c r="M32" i="5"/>
  <c r="P11" i="5"/>
  <c r="M25" i="5"/>
  <c r="R30" i="5"/>
  <c r="S35" i="5"/>
  <c r="T25" i="5"/>
  <c r="U23" i="5"/>
  <c r="R39" i="5"/>
  <c r="T24" i="5"/>
  <c r="U5" i="5"/>
  <c r="U28" i="5"/>
  <c r="T11" i="5"/>
  <c r="N34" i="5"/>
  <c r="N38" i="5"/>
  <c r="W33" i="5"/>
  <c r="W34" i="5"/>
  <c r="W35" i="5"/>
  <c r="W36" i="5"/>
  <c r="W37" i="5"/>
  <c r="W38" i="5"/>
  <c r="W31" i="5"/>
  <c r="W32" i="5"/>
  <c r="M45" i="5"/>
  <c r="W40" i="5"/>
  <c r="W41" i="5"/>
  <c r="W42" i="5"/>
  <c r="W43" i="5"/>
  <c r="W44" i="5"/>
  <c r="W45" i="5"/>
  <c r="W39" i="5"/>
  <c r="S17" i="5"/>
  <c r="H36" i="5"/>
  <c r="I39" i="5"/>
  <c r="H35" i="5"/>
  <c r="P5" i="5"/>
  <c r="I35" i="5"/>
  <c r="N43" i="5"/>
  <c r="I28" i="5"/>
  <c r="O11" i="5"/>
  <c r="U46" i="5"/>
  <c r="T35" i="5"/>
  <c r="Q32" i="5"/>
  <c r="M35" i="5"/>
  <c r="H5" i="5"/>
  <c r="H43" i="5"/>
  <c r="M4" i="5"/>
  <c r="Q10" i="5"/>
  <c r="Q4" i="5"/>
  <c r="H49" i="5"/>
  <c r="I23" i="5"/>
  <c r="I10" i="5"/>
  <c r="O16" i="5"/>
  <c r="O4" i="5"/>
  <c r="N23" i="5"/>
  <c r="Q22" i="5"/>
  <c r="U42" i="5"/>
  <c r="R17" i="5"/>
  <c r="M29" i="5"/>
  <c r="M15" i="5"/>
  <c r="N40" i="5"/>
  <c r="T10" i="5"/>
  <c r="R4" i="5"/>
  <c r="N27" i="5"/>
  <c r="R52" i="5"/>
  <c r="U45" i="5"/>
  <c r="H4" i="5"/>
  <c r="H10" i="5"/>
  <c r="I22" i="5"/>
  <c r="H38" i="5"/>
  <c r="H32" i="5"/>
  <c r="H9" i="5"/>
  <c r="M5" i="5"/>
  <c r="P40" i="5"/>
  <c r="P16" i="5"/>
  <c r="N24" i="5"/>
  <c r="P46" i="5"/>
  <c r="O24" i="5"/>
  <c r="P42" i="5"/>
  <c r="P4" i="5"/>
  <c r="N15" i="5"/>
  <c r="P47" i="5"/>
  <c r="O33" i="5"/>
  <c r="S22" i="5"/>
  <c r="U38" i="5"/>
  <c r="T46" i="5"/>
  <c r="T42" i="5"/>
  <c r="U17" i="5"/>
  <c r="N13" i="5"/>
  <c r="S47" i="5"/>
  <c r="R13" i="5"/>
  <c r="U24" i="5"/>
  <c r="U32" i="5"/>
  <c r="S48" i="5"/>
  <c r="R10" i="5"/>
  <c r="S16" i="5"/>
  <c r="U9" i="5"/>
  <c r="S5" i="5"/>
  <c r="S4" i="5"/>
  <c r="U43" i="5"/>
  <c r="R36" i="5"/>
  <c r="T52" i="5"/>
  <c r="S45" i="5"/>
  <c r="T49" i="5"/>
  <c r="N49" i="5"/>
  <c r="Q42" i="5"/>
  <c r="O29" i="5"/>
  <c r="O40" i="5"/>
  <c r="Q47" i="5"/>
  <c r="U4" i="5"/>
  <c r="I38" i="5"/>
  <c r="I47" i="5"/>
  <c r="M22" i="5"/>
  <c r="P10" i="5"/>
  <c r="O49" i="5"/>
  <c r="P23" i="5"/>
  <c r="M52" i="5"/>
  <c r="Q38" i="5"/>
  <c r="R42" i="5"/>
  <c r="R29" i="5"/>
  <c r="R40" i="5"/>
  <c r="S10" i="5"/>
  <c r="R16" i="5"/>
  <c r="S43" i="5"/>
  <c r="T45" i="5"/>
  <c r="I13" i="5"/>
  <c r="H33" i="5"/>
  <c r="H37" i="5"/>
  <c r="I49" i="5"/>
  <c r="I5" i="5"/>
  <c r="M47" i="5"/>
  <c r="N33" i="5"/>
  <c r="P37" i="5"/>
  <c r="O10" i="5"/>
  <c r="I9" i="5"/>
  <c r="M46" i="5"/>
  <c r="P49" i="5"/>
  <c r="O17" i="5"/>
  <c r="O23" i="5"/>
  <c r="O15" i="5"/>
  <c r="O36" i="5"/>
  <c r="S38" i="5"/>
  <c r="Q49" i="5"/>
  <c r="S42" i="5"/>
  <c r="T29" i="5"/>
  <c r="R23" i="5"/>
  <c r="T47" i="5"/>
  <c r="T15" i="5"/>
  <c r="Q13" i="5"/>
  <c r="S40" i="5"/>
  <c r="R48" i="5"/>
  <c r="N10" i="5"/>
  <c r="U16" i="5"/>
  <c r="Q5" i="5"/>
  <c r="N4" i="5"/>
  <c r="U27" i="5"/>
  <c r="Q43" i="5"/>
  <c r="T36" i="5"/>
  <c r="U33" i="5"/>
  <c r="T37" i="5"/>
  <c r="Q45" i="5"/>
  <c r="I29" i="5"/>
  <c r="P38" i="5"/>
  <c r="Q17" i="5"/>
  <c r="Q29" i="5"/>
  <c r="H40" i="5"/>
  <c r="I42" i="5"/>
  <c r="O42" i="5"/>
  <c r="T38" i="5"/>
  <c r="T17" i="5"/>
  <c r="Q23" i="5"/>
  <c r="U10" i="5"/>
  <c r="T16" i="5"/>
  <c r="H17" i="5"/>
  <c r="H48" i="5"/>
  <c r="I15" i="5"/>
  <c r="P29" i="5"/>
  <c r="P22" i="5"/>
  <c r="P48" i="5"/>
  <c r="P17" i="5"/>
  <c r="R22" i="5"/>
  <c r="S49" i="5"/>
  <c r="S23" i="5"/>
  <c r="R47" i="5"/>
  <c r="S15" i="5"/>
  <c r="T48" i="5"/>
  <c r="R27" i="5"/>
  <c r="I32" i="5"/>
  <c r="H13" i="5"/>
  <c r="H27" i="5"/>
  <c r="I37" i="5"/>
  <c r="I40" i="5"/>
  <c r="O37" i="5"/>
  <c r="M38" i="5"/>
  <c r="M42" i="5"/>
  <c r="P43" i="5"/>
  <c r="N47" i="5"/>
  <c r="P15" i="5"/>
  <c r="P36" i="5"/>
  <c r="N37" i="5"/>
  <c r="R38" i="5"/>
  <c r="R49" i="5"/>
  <c r="U29" i="5"/>
  <c r="M16" i="5"/>
  <c r="R33" i="5"/>
  <c r="M3" i="5"/>
  <c r="N3" i="5"/>
  <c r="U12" i="5"/>
  <c r="R12" i="5"/>
  <c r="T12" i="5"/>
  <c r="S12" i="5"/>
  <c r="Q12" i="5"/>
  <c r="O12" i="5"/>
  <c r="P12" i="5"/>
  <c r="N12" i="5"/>
  <c r="M12" i="5"/>
  <c r="H12" i="5"/>
  <c r="I12" i="5"/>
  <c r="H24" i="5"/>
  <c r="I24" i="5"/>
  <c r="H16" i="5"/>
  <c r="H34" i="5"/>
  <c r="H29" i="5"/>
  <c r="H42" i="5"/>
  <c r="K46" i="5"/>
  <c r="H39" i="5"/>
  <c r="H22" i="5"/>
  <c r="H31" i="5"/>
  <c r="H23" i="5"/>
  <c r="H47" i="5"/>
  <c r="H15" i="5"/>
  <c r="G2" i="4"/>
  <c r="U2" i="4" s="1"/>
  <c r="E48" i="4"/>
  <c r="V48" i="4" s="1"/>
  <c r="E8" i="4"/>
  <c r="V8" i="4" s="1"/>
  <c r="Q2" i="4" l="1"/>
  <c r="T2" i="4"/>
  <c r="R2" i="4"/>
  <c r="P2" i="4"/>
  <c r="O2" i="4"/>
  <c r="S2" i="4"/>
  <c r="N2" i="4"/>
  <c r="M2" i="4"/>
  <c r="L8" i="4"/>
  <c r="L48" i="4"/>
  <c r="H46" i="5"/>
  <c r="AJ5" i="4"/>
  <c r="AJ6" i="4" s="1"/>
  <c r="AG48" i="4"/>
  <c r="AF48" i="4"/>
  <c r="AG47" i="4"/>
  <c r="AF47" i="4"/>
  <c r="E47" i="4"/>
  <c r="V47" i="4" s="1"/>
  <c r="AG46" i="4"/>
  <c r="AF46" i="4"/>
  <c r="AG45" i="4"/>
  <c r="AF45" i="4"/>
  <c r="G45" i="4"/>
  <c r="AG44" i="4"/>
  <c r="AF44" i="4"/>
  <c r="E44" i="4"/>
  <c r="V44" i="4" s="1"/>
  <c r="AG43" i="4"/>
  <c r="AF43" i="4"/>
  <c r="E43" i="4"/>
  <c r="V43" i="4" s="1"/>
  <c r="AG42" i="4"/>
  <c r="AF42" i="4"/>
  <c r="E42" i="4"/>
  <c r="V42" i="4" s="1"/>
  <c r="AG41" i="4"/>
  <c r="AF41" i="4"/>
  <c r="E41" i="4"/>
  <c r="V41" i="4" s="1"/>
  <c r="AG40" i="4"/>
  <c r="AF40" i="4"/>
  <c r="E40" i="4"/>
  <c r="V40" i="4" s="1"/>
  <c r="AG39" i="4"/>
  <c r="AF39" i="4"/>
  <c r="E39" i="4"/>
  <c r="V39" i="4" s="1"/>
  <c r="AG38" i="4"/>
  <c r="AF38" i="4"/>
  <c r="E38" i="4"/>
  <c r="V38" i="4" s="1"/>
  <c r="AG37" i="4"/>
  <c r="AF37" i="4"/>
  <c r="G37" i="4"/>
  <c r="AG36" i="4"/>
  <c r="AF36" i="4"/>
  <c r="E36" i="4"/>
  <c r="V36" i="4" s="1"/>
  <c r="AG35" i="4"/>
  <c r="AF35" i="4"/>
  <c r="E35" i="4"/>
  <c r="V35" i="4" s="1"/>
  <c r="AG34" i="4"/>
  <c r="AF34" i="4"/>
  <c r="E34" i="4"/>
  <c r="V34" i="4" s="1"/>
  <c r="AG33" i="4"/>
  <c r="AF33" i="4"/>
  <c r="E33" i="4"/>
  <c r="V33" i="4" s="1"/>
  <c r="AG32" i="4"/>
  <c r="AF32" i="4"/>
  <c r="E32" i="4"/>
  <c r="V32" i="4" s="1"/>
  <c r="AG31" i="4"/>
  <c r="AF31" i="4"/>
  <c r="E31" i="4"/>
  <c r="V31" i="4" s="1"/>
  <c r="AG30" i="4"/>
  <c r="AF30" i="4"/>
  <c r="E30" i="4"/>
  <c r="V30" i="4" s="1"/>
  <c r="AG29" i="4"/>
  <c r="AF29" i="4"/>
  <c r="E29" i="4"/>
  <c r="V29" i="4" s="1"/>
  <c r="AG28" i="4"/>
  <c r="AF28" i="4"/>
  <c r="E28" i="4"/>
  <c r="V28" i="4" s="1"/>
  <c r="AG27" i="4"/>
  <c r="AF27" i="4"/>
  <c r="G27" i="4"/>
  <c r="AG26" i="4"/>
  <c r="AF26" i="4"/>
  <c r="G26" i="4"/>
  <c r="AG25" i="4"/>
  <c r="AF25" i="4"/>
  <c r="G25" i="4"/>
  <c r="AG24" i="4"/>
  <c r="AF24" i="4"/>
  <c r="G24" i="4"/>
  <c r="AG23" i="4"/>
  <c r="AF23" i="4"/>
  <c r="E23" i="4"/>
  <c r="V23" i="4" s="1"/>
  <c r="AG22" i="4"/>
  <c r="AF22" i="4"/>
  <c r="E22" i="4"/>
  <c r="V22" i="4" s="1"/>
  <c r="AG21" i="4"/>
  <c r="AF21" i="4"/>
  <c r="G21" i="4"/>
  <c r="AG20" i="4"/>
  <c r="AF20" i="4"/>
  <c r="G20" i="4"/>
  <c r="AG19" i="4"/>
  <c r="AF19" i="4"/>
  <c r="E19" i="4"/>
  <c r="V19" i="4" s="1"/>
  <c r="AG18" i="4"/>
  <c r="AF18" i="4"/>
  <c r="E18" i="4"/>
  <c r="V18" i="4" s="1"/>
  <c r="AG17" i="4"/>
  <c r="AF17" i="4"/>
  <c r="G17" i="4"/>
  <c r="AG16" i="4"/>
  <c r="AF16" i="4"/>
  <c r="E16" i="4"/>
  <c r="V16" i="4" s="1"/>
  <c r="AG15" i="4"/>
  <c r="AF15" i="4"/>
  <c r="E15" i="4"/>
  <c r="V15" i="4" s="1"/>
  <c r="AG14" i="4"/>
  <c r="AF14" i="4"/>
  <c r="E14" i="4"/>
  <c r="V14" i="4" s="1"/>
  <c r="AG13" i="4"/>
  <c r="AF13" i="4"/>
  <c r="G13" i="4"/>
  <c r="AG12" i="4"/>
  <c r="AF12" i="4"/>
  <c r="G12" i="4"/>
  <c r="AG11" i="4"/>
  <c r="AF11" i="4"/>
  <c r="G11" i="4"/>
  <c r="AG10" i="4"/>
  <c r="AF10" i="4"/>
  <c r="G10" i="4"/>
  <c r="AG9" i="4"/>
  <c r="AF9" i="4"/>
  <c r="G9" i="4"/>
  <c r="AG8" i="4"/>
  <c r="AF8" i="4"/>
  <c r="AG7" i="4"/>
  <c r="AF7" i="4"/>
  <c r="G7" i="4"/>
  <c r="AG6" i="4"/>
  <c r="AF6" i="4"/>
  <c r="G6" i="4"/>
  <c r="AG5" i="4"/>
  <c r="AF5" i="4"/>
  <c r="G5" i="4"/>
  <c r="AG4" i="4"/>
  <c r="AF4" i="4"/>
  <c r="G4" i="4"/>
  <c r="AG3" i="4"/>
  <c r="AF3" i="4"/>
  <c r="G3" i="4"/>
  <c r="AG2" i="4"/>
  <c r="H2" i="4" s="1"/>
  <c r="AF2" i="4"/>
  <c r="K2" i="4" s="1"/>
  <c r="D12" i="1"/>
  <c r="D10" i="1"/>
  <c r="D9" i="1"/>
  <c r="D5" i="1"/>
  <c r="D8" i="1" s="1"/>
  <c r="H7" i="4" l="1"/>
  <c r="H10" i="4"/>
  <c r="H26" i="4"/>
  <c r="H13" i="4"/>
  <c r="H37" i="4"/>
  <c r="H6" i="4"/>
  <c r="H3" i="4"/>
  <c r="H9" i="4"/>
  <c r="H17" i="4"/>
  <c r="H25" i="4"/>
  <c r="H24" i="4"/>
  <c r="H21" i="4"/>
  <c r="H11" i="4"/>
  <c r="H27" i="4"/>
  <c r="J3" i="4"/>
  <c r="W3" i="4"/>
  <c r="P3" i="4"/>
  <c r="O3" i="4"/>
  <c r="U3" i="4"/>
  <c r="Q3" i="4"/>
  <c r="R3" i="4"/>
  <c r="S3" i="4"/>
  <c r="T3" i="4"/>
  <c r="N3" i="4"/>
  <c r="M3" i="4"/>
  <c r="G47" i="4"/>
  <c r="I47" i="4" s="1"/>
  <c r="L47" i="4"/>
  <c r="J5" i="4"/>
  <c r="W5" i="4"/>
  <c r="T5" i="4"/>
  <c r="P5" i="4"/>
  <c r="O5" i="4"/>
  <c r="Q5" i="4"/>
  <c r="U5" i="4"/>
  <c r="R5" i="4"/>
  <c r="S5" i="4"/>
  <c r="M5" i="4"/>
  <c r="N5" i="4"/>
  <c r="I9" i="4"/>
  <c r="W9" i="4"/>
  <c r="R9" i="4"/>
  <c r="U9" i="4"/>
  <c r="T9" i="4"/>
  <c r="S9" i="4"/>
  <c r="Q9" i="4"/>
  <c r="P9" i="4"/>
  <c r="O9" i="4"/>
  <c r="N9" i="4"/>
  <c r="M9" i="4"/>
  <c r="J11" i="4"/>
  <c r="W11" i="4"/>
  <c r="P11" i="4"/>
  <c r="O11" i="4"/>
  <c r="S11" i="4"/>
  <c r="Q11" i="4"/>
  <c r="T11" i="4"/>
  <c r="R11" i="4"/>
  <c r="U11" i="4"/>
  <c r="M11" i="4"/>
  <c r="N11" i="4"/>
  <c r="I13" i="4"/>
  <c r="W13" i="4"/>
  <c r="Q13" i="4"/>
  <c r="O13" i="4"/>
  <c r="R13" i="4"/>
  <c r="P13" i="4"/>
  <c r="U13" i="4"/>
  <c r="T13" i="4"/>
  <c r="S13" i="4"/>
  <c r="M13" i="4"/>
  <c r="N13" i="4"/>
  <c r="L15" i="4"/>
  <c r="W17" i="4"/>
  <c r="R17" i="4"/>
  <c r="S17" i="4"/>
  <c r="U17" i="4"/>
  <c r="T17" i="4"/>
  <c r="Q17" i="4"/>
  <c r="O17" i="4"/>
  <c r="P17" i="4"/>
  <c r="M17" i="4"/>
  <c r="N17" i="4"/>
  <c r="G19" i="4"/>
  <c r="J19" i="4" s="1"/>
  <c r="L19" i="4"/>
  <c r="J21" i="4"/>
  <c r="W21" i="4"/>
  <c r="R21" i="4"/>
  <c r="O21" i="4"/>
  <c r="P21" i="4"/>
  <c r="U21" i="4"/>
  <c r="T21" i="4"/>
  <c r="Q21" i="4"/>
  <c r="S21" i="4"/>
  <c r="N21" i="4"/>
  <c r="M21" i="4"/>
  <c r="L23" i="4"/>
  <c r="I25" i="4"/>
  <c r="W25" i="4"/>
  <c r="R25" i="4"/>
  <c r="T25" i="4"/>
  <c r="U25" i="4"/>
  <c r="S25" i="4"/>
  <c r="Q25" i="4"/>
  <c r="O25" i="4"/>
  <c r="P25" i="4"/>
  <c r="M25" i="4"/>
  <c r="N25" i="4"/>
  <c r="J27" i="4"/>
  <c r="P27" i="4"/>
  <c r="Q27" i="4"/>
  <c r="S27" i="4"/>
  <c r="U27" i="4"/>
  <c r="R27" i="4"/>
  <c r="T27" i="4"/>
  <c r="O27" i="4"/>
  <c r="N27" i="4"/>
  <c r="M27" i="4"/>
  <c r="L29" i="4"/>
  <c r="G31" i="4"/>
  <c r="L31" i="4"/>
  <c r="G33" i="4"/>
  <c r="I33" i="4" s="1"/>
  <c r="L33" i="4"/>
  <c r="L35" i="4"/>
  <c r="W37" i="4"/>
  <c r="O37" i="4"/>
  <c r="P37" i="4"/>
  <c r="Q37" i="4"/>
  <c r="R37" i="4"/>
  <c r="U37" i="4"/>
  <c r="T37" i="4"/>
  <c r="S37" i="4"/>
  <c r="M37" i="4"/>
  <c r="N37" i="4"/>
  <c r="G39" i="4"/>
  <c r="I39" i="4" s="1"/>
  <c r="L39" i="4"/>
  <c r="G41" i="4"/>
  <c r="J41" i="4" s="1"/>
  <c r="L41" i="4"/>
  <c r="L43" i="4"/>
  <c r="I45" i="4"/>
  <c r="W45" i="4"/>
  <c r="O45" i="4"/>
  <c r="P45" i="4"/>
  <c r="R45" i="4"/>
  <c r="U45" i="4"/>
  <c r="T45" i="4"/>
  <c r="Q45" i="4"/>
  <c r="S45" i="4"/>
  <c r="N45" i="4"/>
  <c r="M45" i="4"/>
  <c r="J4" i="4"/>
  <c r="W4" i="4"/>
  <c r="P4" i="4"/>
  <c r="O4" i="4"/>
  <c r="Q4" i="4"/>
  <c r="T4" i="4"/>
  <c r="R4" i="4"/>
  <c r="S4" i="4"/>
  <c r="U4" i="4"/>
  <c r="M4" i="4"/>
  <c r="N4" i="4"/>
  <c r="J6" i="4"/>
  <c r="W6" i="4"/>
  <c r="U6" i="4"/>
  <c r="P6" i="4"/>
  <c r="Q6" i="4"/>
  <c r="T6" i="4"/>
  <c r="O6" i="4"/>
  <c r="S6" i="4"/>
  <c r="R6" i="4"/>
  <c r="N6" i="4"/>
  <c r="M6" i="4"/>
  <c r="J10" i="4"/>
  <c r="W10" i="4"/>
  <c r="Q10" i="4"/>
  <c r="R10" i="4"/>
  <c r="S10" i="4"/>
  <c r="U10" i="4"/>
  <c r="T10" i="4"/>
  <c r="P10" i="4"/>
  <c r="O10" i="4"/>
  <c r="N10" i="4"/>
  <c r="M10" i="4"/>
  <c r="I12" i="4"/>
  <c r="W12" i="4"/>
  <c r="P12" i="4"/>
  <c r="Q12" i="4"/>
  <c r="R12" i="4"/>
  <c r="S12" i="4"/>
  <c r="T12" i="4"/>
  <c r="O12" i="4"/>
  <c r="U12" i="4"/>
  <c r="M12" i="4"/>
  <c r="N12" i="4"/>
  <c r="G14" i="4"/>
  <c r="I14" i="4" s="1"/>
  <c r="L14" i="4"/>
  <c r="L16" i="4"/>
  <c r="L18" i="4"/>
  <c r="I20" i="4"/>
  <c r="W20" i="4"/>
  <c r="O20" i="4"/>
  <c r="S20" i="4"/>
  <c r="P20" i="4"/>
  <c r="Q20" i="4"/>
  <c r="R20" i="4"/>
  <c r="T20" i="4"/>
  <c r="U20" i="4"/>
  <c r="M20" i="4"/>
  <c r="N20" i="4"/>
  <c r="G22" i="4"/>
  <c r="I22" i="4" s="1"/>
  <c r="L22" i="4"/>
  <c r="I24" i="4"/>
  <c r="W24" i="4"/>
  <c r="S24" i="4"/>
  <c r="U24" i="4"/>
  <c r="T24" i="4"/>
  <c r="R24" i="4"/>
  <c r="O24" i="4"/>
  <c r="Q24" i="4"/>
  <c r="P24" i="4"/>
  <c r="N24" i="4"/>
  <c r="M24" i="4"/>
  <c r="Q26" i="4"/>
  <c r="U26" i="4"/>
  <c r="T26" i="4"/>
  <c r="R26" i="4"/>
  <c r="S26" i="4"/>
  <c r="P26" i="4"/>
  <c r="O26" i="4"/>
  <c r="N26" i="4"/>
  <c r="M26" i="4"/>
  <c r="G28" i="4"/>
  <c r="J28" i="4" s="1"/>
  <c r="L28" i="4"/>
  <c r="G30" i="4"/>
  <c r="L30" i="4"/>
  <c r="L32" i="4"/>
  <c r="L34" i="4"/>
  <c r="G36" i="4"/>
  <c r="I36" i="4" s="1"/>
  <c r="L36" i="4"/>
  <c r="L38" i="4"/>
  <c r="L40" i="4"/>
  <c r="L42" i="4"/>
  <c r="G44" i="4"/>
  <c r="I44" i="4" s="1"/>
  <c r="L44" i="4"/>
  <c r="H5" i="4"/>
  <c r="J7" i="4"/>
  <c r="W7" i="4"/>
  <c r="S7" i="4"/>
  <c r="O7" i="4"/>
  <c r="U7" i="4"/>
  <c r="P7" i="4"/>
  <c r="T7" i="4"/>
  <c r="R7" i="4"/>
  <c r="Q7" i="4"/>
  <c r="N7" i="4"/>
  <c r="M7" i="4"/>
  <c r="H20" i="4"/>
  <c r="H12" i="4"/>
  <c r="H4" i="4"/>
  <c r="W2" i="4"/>
  <c r="H45" i="4"/>
  <c r="K27" i="4"/>
  <c r="G34" i="4"/>
  <c r="I34" i="4" s="1"/>
  <c r="G40" i="4"/>
  <c r="K11" i="4"/>
  <c r="G48" i="4"/>
  <c r="G42" i="4"/>
  <c r="I42" i="4" s="1"/>
  <c r="K18" i="4"/>
  <c r="G29" i="4"/>
  <c r="K5" i="4"/>
  <c r="J12" i="4"/>
  <c r="K24" i="4"/>
  <c r="J45" i="4"/>
  <c r="K16" i="4"/>
  <c r="J25" i="4"/>
  <c r="K33" i="4"/>
  <c r="K41" i="4"/>
  <c r="G15" i="4"/>
  <c r="K47" i="4"/>
  <c r="K14" i="4"/>
  <c r="E46" i="4"/>
  <c r="V46" i="4" s="1"/>
  <c r="I7" i="4"/>
  <c r="K38" i="4"/>
  <c r="K35" i="4"/>
  <c r="K23" i="4"/>
  <c r="J24" i="4"/>
  <c r="K30" i="4"/>
  <c r="K44" i="4"/>
  <c r="I30" i="4"/>
  <c r="K7" i="4"/>
  <c r="I17" i="4"/>
  <c r="K19" i="4"/>
  <c r="K28" i="4"/>
  <c r="G32" i="4"/>
  <c r="K36" i="4"/>
  <c r="I37" i="4"/>
  <c r="K39" i="4"/>
  <c r="G43" i="4"/>
  <c r="J2" i="4"/>
  <c r="I4" i="4"/>
  <c r="J9" i="4"/>
  <c r="J13" i="4"/>
  <c r="G16" i="4"/>
  <c r="J17" i="4"/>
  <c r="G18" i="4"/>
  <c r="J20" i="4"/>
  <c r="J22" i="4"/>
  <c r="G23" i="4"/>
  <c r="K25" i="4"/>
  <c r="I26" i="4"/>
  <c r="K31" i="4"/>
  <c r="G35" i="4"/>
  <c r="J37" i="4"/>
  <c r="G38" i="4"/>
  <c r="K42" i="4"/>
  <c r="K45" i="4"/>
  <c r="I2" i="4"/>
  <c r="K12" i="4"/>
  <c r="I3" i="4"/>
  <c r="K9" i="4"/>
  <c r="I10" i="4"/>
  <c r="K13" i="4"/>
  <c r="K15" i="4"/>
  <c r="K20" i="4"/>
  <c r="I21" i="4"/>
  <c r="J26" i="4"/>
  <c r="K4" i="4"/>
  <c r="I6" i="4"/>
  <c r="K26" i="4"/>
  <c r="I27" i="4"/>
  <c r="K29" i="4"/>
  <c r="K40" i="4"/>
  <c r="G8" i="4"/>
  <c r="K17" i="4"/>
  <c r="K22" i="4"/>
  <c r="K34" i="4"/>
  <c r="K37" i="4"/>
  <c r="K48" i="4"/>
  <c r="K3" i="4"/>
  <c r="I5" i="4"/>
  <c r="K8" i="4"/>
  <c r="K10" i="4"/>
  <c r="I11" i="4"/>
  <c r="K21" i="4"/>
  <c r="K32" i="4"/>
  <c r="K43" i="4"/>
  <c r="K6" i="4"/>
  <c r="S58" i="2"/>
  <c r="R58" i="2"/>
  <c r="P58" i="2"/>
  <c r="E58" i="2"/>
  <c r="S57" i="2"/>
  <c r="R57" i="2"/>
  <c r="P57" i="2"/>
  <c r="E57" i="2"/>
  <c r="D57" i="2"/>
  <c r="F57" i="2" s="1"/>
  <c r="S56" i="2"/>
  <c r="R56" i="2"/>
  <c r="P56" i="2"/>
  <c r="E56" i="2"/>
  <c r="D56" i="2"/>
  <c r="F56" i="2" s="1"/>
  <c r="S55" i="2"/>
  <c r="R55" i="2"/>
  <c r="P55" i="2"/>
  <c r="E55" i="2"/>
  <c r="S54" i="2"/>
  <c r="R54" i="2"/>
  <c r="P54" i="2"/>
  <c r="E54" i="2"/>
  <c r="S53" i="2"/>
  <c r="R53" i="2"/>
  <c r="P53" i="2"/>
  <c r="K53" i="2"/>
  <c r="F53" i="2"/>
  <c r="I53" i="2" s="1"/>
  <c r="E53" i="2"/>
  <c r="S52" i="2"/>
  <c r="R52" i="2"/>
  <c r="P52" i="2"/>
  <c r="E52" i="2"/>
  <c r="D52" i="2"/>
  <c r="F52" i="2" s="1"/>
  <c r="S51" i="2"/>
  <c r="R51" i="2"/>
  <c r="P51" i="2"/>
  <c r="E51" i="2"/>
  <c r="D51" i="2"/>
  <c r="K51" i="2" s="1"/>
  <c r="S50" i="2"/>
  <c r="R50" i="2"/>
  <c r="P50" i="2"/>
  <c r="E50" i="2"/>
  <c r="D50" i="2"/>
  <c r="K50" i="2" s="1"/>
  <c r="S49" i="2"/>
  <c r="R49" i="2"/>
  <c r="P49" i="2"/>
  <c r="E49" i="2"/>
  <c r="D49" i="2"/>
  <c r="F49" i="2" s="1"/>
  <c r="S48" i="2"/>
  <c r="R48" i="2"/>
  <c r="P48" i="2"/>
  <c r="E48" i="2"/>
  <c r="D48" i="2"/>
  <c r="K48" i="2" s="1"/>
  <c r="S47" i="2"/>
  <c r="R47" i="2"/>
  <c r="P47" i="2"/>
  <c r="E47" i="2"/>
  <c r="D47" i="2"/>
  <c r="F47" i="2" s="1"/>
  <c r="S46" i="2"/>
  <c r="R46" i="2"/>
  <c r="P46" i="2"/>
  <c r="E46" i="2"/>
  <c r="D46" i="2"/>
  <c r="F46" i="2" s="1"/>
  <c r="S45" i="2"/>
  <c r="R45" i="2"/>
  <c r="P45" i="2"/>
  <c r="K45" i="2"/>
  <c r="F45" i="2"/>
  <c r="I45" i="2" s="1"/>
  <c r="E45" i="2"/>
  <c r="S44" i="2"/>
  <c r="R44" i="2"/>
  <c r="P44" i="2"/>
  <c r="E44" i="2"/>
  <c r="D44" i="2"/>
  <c r="F44" i="2" s="1"/>
  <c r="S43" i="2"/>
  <c r="R43" i="2"/>
  <c r="P43" i="2"/>
  <c r="E43" i="2"/>
  <c r="D43" i="2"/>
  <c r="F43" i="2" s="1"/>
  <c r="S42" i="2"/>
  <c r="R42" i="2"/>
  <c r="P42" i="2"/>
  <c r="E42" i="2"/>
  <c r="D42" i="2"/>
  <c r="F42" i="2" s="1"/>
  <c r="S41" i="2"/>
  <c r="R41" i="2"/>
  <c r="P41" i="2"/>
  <c r="E41" i="2"/>
  <c r="D41" i="2"/>
  <c r="F41" i="2" s="1"/>
  <c r="S40" i="2"/>
  <c r="R40" i="2"/>
  <c r="P40" i="2"/>
  <c r="E40" i="2"/>
  <c r="D40" i="2"/>
  <c r="K40" i="2" s="1"/>
  <c r="S39" i="2"/>
  <c r="R39" i="2"/>
  <c r="P39" i="2"/>
  <c r="E39" i="2"/>
  <c r="D39" i="2"/>
  <c r="K39" i="2" s="1"/>
  <c r="S38" i="2"/>
  <c r="R38" i="2"/>
  <c r="P38" i="2"/>
  <c r="E38" i="2"/>
  <c r="D38" i="2"/>
  <c r="F38" i="2" s="1"/>
  <c r="S37" i="2"/>
  <c r="R37" i="2"/>
  <c r="P37" i="2"/>
  <c r="E37" i="2"/>
  <c r="D37" i="2"/>
  <c r="K37" i="2" s="1"/>
  <c r="S36" i="2"/>
  <c r="R36" i="2"/>
  <c r="P36" i="2"/>
  <c r="E36" i="2"/>
  <c r="D36" i="2"/>
  <c r="F36" i="2" s="1"/>
  <c r="S35" i="2"/>
  <c r="R35" i="2"/>
  <c r="P35" i="2"/>
  <c r="K35" i="2"/>
  <c r="F35" i="2"/>
  <c r="E35" i="2"/>
  <c r="S34" i="2"/>
  <c r="R34" i="2"/>
  <c r="Q34" i="2"/>
  <c r="Q35" i="2" s="1"/>
  <c r="P34" i="2"/>
  <c r="K34" i="2"/>
  <c r="F34" i="2"/>
  <c r="E34" i="2"/>
  <c r="S33" i="2"/>
  <c r="R33" i="2"/>
  <c r="P33" i="2"/>
  <c r="K33" i="2"/>
  <c r="F33" i="2"/>
  <c r="E33" i="2"/>
  <c r="S32" i="2"/>
  <c r="R32" i="2"/>
  <c r="P32" i="2"/>
  <c r="E32" i="2"/>
  <c r="D32" i="2"/>
  <c r="F32" i="2" s="1"/>
  <c r="S31" i="2"/>
  <c r="R31" i="2"/>
  <c r="P31" i="2"/>
  <c r="K31" i="2"/>
  <c r="F31" i="2"/>
  <c r="H31" i="2" s="1"/>
  <c r="E31" i="2"/>
  <c r="S30" i="2"/>
  <c r="R30" i="2"/>
  <c r="P30" i="2"/>
  <c r="E30" i="2"/>
  <c r="D30" i="2"/>
  <c r="F30" i="2" s="1"/>
  <c r="S29" i="2"/>
  <c r="R29" i="2"/>
  <c r="P29" i="2"/>
  <c r="E29" i="2"/>
  <c r="D29" i="2"/>
  <c r="K29" i="2" s="1"/>
  <c r="S28" i="2"/>
  <c r="R28" i="2"/>
  <c r="P28" i="2"/>
  <c r="K28" i="2"/>
  <c r="F28" i="2"/>
  <c r="E28" i="2"/>
  <c r="S27" i="2"/>
  <c r="R27" i="2"/>
  <c r="P27" i="2"/>
  <c r="K27" i="2"/>
  <c r="F27" i="2"/>
  <c r="H27" i="2" s="1"/>
  <c r="E27" i="2"/>
  <c r="S26" i="2"/>
  <c r="R26" i="2"/>
  <c r="P26" i="2"/>
  <c r="E26" i="2"/>
  <c r="D26" i="2"/>
  <c r="F26" i="2" s="1"/>
  <c r="S25" i="2"/>
  <c r="R25" i="2"/>
  <c r="P25" i="2"/>
  <c r="E25" i="2"/>
  <c r="D25" i="2"/>
  <c r="K25" i="2" s="1"/>
  <c r="S24" i="2"/>
  <c r="R24" i="2"/>
  <c r="Q24" i="2"/>
  <c r="Q25" i="2" s="1"/>
  <c r="Q26" i="2" s="1"/>
  <c r="Q27" i="2" s="1"/>
  <c r="P24" i="2"/>
  <c r="E24" i="2"/>
  <c r="D24" i="2"/>
  <c r="F24" i="2" s="1"/>
  <c r="S23" i="2"/>
  <c r="R23" i="2"/>
  <c r="P23" i="2"/>
  <c r="K23" i="2"/>
  <c r="F23" i="2"/>
  <c r="I23" i="2" s="1"/>
  <c r="E23" i="2"/>
  <c r="S22" i="2"/>
  <c r="R22" i="2"/>
  <c r="P22" i="2"/>
  <c r="K22" i="2"/>
  <c r="F22" i="2"/>
  <c r="I22" i="2" s="1"/>
  <c r="E22" i="2"/>
  <c r="S21" i="2"/>
  <c r="R21" i="2"/>
  <c r="P21" i="2"/>
  <c r="E21" i="2"/>
  <c r="D21" i="2"/>
  <c r="F21" i="2" s="1"/>
  <c r="S20" i="2"/>
  <c r="R20" i="2"/>
  <c r="P20" i="2"/>
  <c r="E20" i="2"/>
  <c r="D20" i="2"/>
  <c r="F20" i="2" s="1"/>
  <c r="S19" i="2"/>
  <c r="R19" i="2"/>
  <c r="P19" i="2"/>
  <c r="E19" i="2"/>
  <c r="D19" i="2"/>
  <c r="F19" i="2" s="1"/>
  <c r="S18" i="2"/>
  <c r="R18" i="2"/>
  <c r="P18" i="2"/>
  <c r="K18" i="2"/>
  <c r="F18" i="2"/>
  <c r="E18" i="2"/>
  <c r="S17" i="2"/>
  <c r="R17" i="2"/>
  <c r="P17" i="2"/>
  <c r="K17" i="2"/>
  <c r="F17" i="2"/>
  <c r="I17" i="2" s="1"/>
  <c r="E17" i="2"/>
  <c r="S16" i="2"/>
  <c r="R16" i="2"/>
  <c r="P16" i="2"/>
  <c r="K16" i="2"/>
  <c r="F16" i="2"/>
  <c r="E16" i="2"/>
  <c r="S15" i="2"/>
  <c r="R15" i="2"/>
  <c r="P15" i="2"/>
  <c r="E15" i="2"/>
  <c r="D15" i="2"/>
  <c r="K15" i="2" s="1"/>
  <c r="S14" i="2"/>
  <c r="R14" i="2"/>
  <c r="P14" i="2"/>
  <c r="K14" i="2"/>
  <c r="F14" i="2"/>
  <c r="H14" i="2" s="1"/>
  <c r="E14" i="2"/>
  <c r="S13" i="2"/>
  <c r="R13" i="2"/>
  <c r="P13" i="2"/>
  <c r="K13" i="2"/>
  <c r="F13" i="2"/>
  <c r="E13" i="2"/>
  <c r="S12" i="2"/>
  <c r="R12" i="2"/>
  <c r="P12" i="2"/>
  <c r="E12" i="2"/>
  <c r="D12" i="2"/>
  <c r="K12" i="2" s="1"/>
  <c r="S11" i="2"/>
  <c r="R11" i="2"/>
  <c r="P11" i="2"/>
  <c r="K11" i="2"/>
  <c r="F11" i="2"/>
  <c r="E11" i="2"/>
  <c r="S10" i="2"/>
  <c r="R10" i="2"/>
  <c r="P10" i="2"/>
  <c r="K10" i="2"/>
  <c r="F10" i="2"/>
  <c r="H10" i="2" s="1"/>
  <c r="E10" i="2"/>
  <c r="S9" i="2"/>
  <c r="R9" i="2"/>
  <c r="P9" i="2"/>
  <c r="E9" i="2"/>
  <c r="D9" i="2"/>
  <c r="F9" i="2" s="1"/>
  <c r="S8" i="2"/>
  <c r="R8" i="2"/>
  <c r="P8" i="2"/>
  <c r="E8" i="2"/>
  <c r="D8" i="2"/>
  <c r="F8" i="2" s="1"/>
  <c r="V6" i="2"/>
  <c r="V7" i="2" s="1"/>
  <c r="S7" i="2"/>
  <c r="R7" i="2"/>
  <c r="P7" i="2"/>
  <c r="K7" i="2"/>
  <c r="F7" i="2"/>
  <c r="E7" i="2"/>
  <c r="S6" i="2"/>
  <c r="R6" i="2"/>
  <c r="P6" i="2"/>
  <c r="K6" i="2"/>
  <c r="F6" i="2"/>
  <c r="H6" i="2" s="1"/>
  <c r="E6" i="2"/>
  <c r="S5" i="2"/>
  <c r="R5" i="2"/>
  <c r="P5" i="2"/>
  <c r="K5" i="2"/>
  <c r="F5" i="2"/>
  <c r="E5" i="2"/>
  <c r="S4" i="2"/>
  <c r="R4" i="2"/>
  <c r="Q4" i="2"/>
  <c r="Q5" i="2" s="1"/>
  <c r="Q6" i="2" s="1"/>
  <c r="P4" i="2"/>
  <c r="K4" i="2"/>
  <c r="F4" i="2"/>
  <c r="E4" i="2"/>
  <c r="R3" i="2"/>
  <c r="P3" i="2"/>
  <c r="K3" i="2"/>
  <c r="F3" i="2"/>
  <c r="E3" i="2"/>
  <c r="G10" i="1"/>
  <c r="J39" i="4" l="1"/>
  <c r="J51" i="2"/>
  <c r="K47" i="2"/>
  <c r="F50" i="2"/>
  <c r="I50" i="2" s="1"/>
  <c r="J14" i="4"/>
  <c r="F15" i="2"/>
  <c r="G15" i="2" s="1"/>
  <c r="K32" i="2"/>
  <c r="F39" i="2"/>
  <c r="H39" i="2" s="1"/>
  <c r="G18" i="2"/>
  <c r="J44" i="4"/>
  <c r="I19" i="4"/>
  <c r="G45" i="2"/>
  <c r="H45" i="2"/>
  <c r="K26" i="2"/>
  <c r="I28" i="4"/>
  <c r="I34" i="2"/>
  <c r="G3" i="2"/>
  <c r="H3" i="2"/>
  <c r="G5" i="2"/>
  <c r="G50" i="2"/>
  <c r="J5" i="2"/>
  <c r="J33" i="2"/>
  <c r="G13" i="2"/>
  <c r="G32" i="2"/>
  <c r="I3" i="2"/>
  <c r="J41" i="2"/>
  <c r="K9" i="2"/>
  <c r="G27" i="2"/>
  <c r="F40" i="2"/>
  <c r="I40" i="2" s="1"/>
  <c r="K41" i="2"/>
  <c r="J52" i="2"/>
  <c r="D55" i="2"/>
  <c r="F55" i="2" s="1"/>
  <c r="I55" i="2" s="1"/>
  <c r="I41" i="4"/>
  <c r="K56" i="2"/>
  <c r="K8" i="2"/>
  <c r="F51" i="2"/>
  <c r="I51" i="2" s="1"/>
  <c r="K52" i="2"/>
  <c r="J33" i="4"/>
  <c r="G6" i="2"/>
  <c r="J26" i="2"/>
  <c r="W23" i="4"/>
  <c r="S23" i="4"/>
  <c r="O23" i="4"/>
  <c r="P23" i="4"/>
  <c r="U23" i="4"/>
  <c r="T23" i="4"/>
  <c r="Q23" i="4"/>
  <c r="R23" i="4"/>
  <c r="M23" i="4"/>
  <c r="N23" i="4"/>
  <c r="H23" i="4"/>
  <c r="W38" i="4"/>
  <c r="U38" i="4"/>
  <c r="T38" i="4"/>
  <c r="P38" i="4"/>
  <c r="Q38" i="4"/>
  <c r="O38" i="4"/>
  <c r="S38" i="4"/>
  <c r="R38" i="4"/>
  <c r="N38" i="4"/>
  <c r="M38" i="4"/>
  <c r="H38" i="4"/>
  <c r="W35" i="4"/>
  <c r="P35" i="4"/>
  <c r="S35" i="4"/>
  <c r="T35" i="4"/>
  <c r="Q35" i="4"/>
  <c r="R35" i="4"/>
  <c r="O35" i="4"/>
  <c r="U35" i="4"/>
  <c r="M35" i="4"/>
  <c r="N35" i="4"/>
  <c r="H35" i="4"/>
  <c r="I15" i="4"/>
  <c r="W15" i="4"/>
  <c r="S15" i="4"/>
  <c r="U15" i="4"/>
  <c r="T15" i="4"/>
  <c r="O15" i="4"/>
  <c r="P15" i="4"/>
  <c r="Q15" i="4"/>
  <c r="R15" i="4"/>
  <c r="M15" i="4"/>
  <c r="N15" i="4"/>
  <c r="H15" i="4"/>
  <c r="J34" i="4"/>
  <c r="W34" i="4"/>
  <c r="Q34" i="4"/>
  <c r="R34" i="4"/>
  <c r="U34" i="4"/>
  <c r="S34" i="4"/>
  <c r="T34" i="4"/>
  <c r="P34" i="4"/>
  <c r="O34" i="4"/>
  <c r="M34" i="4"/>
  <c r="N34" i="4"/>
  <c r="H34" i="4"/>
  <c r="W39" i="4"/>
  <c r="S39" i="4"/>
  <c r="U39" i="4"/>
  <c r="T39" i="4"/>
  <c r="O39" i="4"/>
  <c r="P39" i="4"/>
  <c r="Q39" i="4"/>
  <c r="R39" i="4"/>
  <c r="N39" i="4"/>
  <c r="M39" i="4"/>
  <c r="H39" i="4"/>
  <c r="W31" i="4"/>
  <c r="S31" i="4"/>
  <c r="U31" i="4"/>
  <c r="T31" i="4"/>
  <c r="O31" i="4"/>
  <c r="P31" i="4"/>
  <c r="R31" i="4"/>
  <c r="Q31" i="4"/>
  <c r="N31" i="4"/>
  <c r="M31" i="4"/>
  <c r="H31" i="4"/>
  <c r="W32" i="4"/>
  <c r="S32" i="4"/>
  <c r="O32" i="4"/>
  <c r="U32" i="4"/>
  <c r="T32" i="4"/>
  <c r="R32" i="4"/>
  <c r="P32" i="4"/>
  <c r="Q32" i="4"/>
  <c r="M32" i="4"/>
  <c r="N32" i="4"/>
  <c r="H32" i="4"/>
  <c r="I31" i="4"/>
  <c r="J47" i="4"/>
  <c r="W28" i="4"/>
  <c r="R28" i="4"/>
  <c r="P28" i="4"/>
  <c r="Q28" i="4"/>
  <c r="O28" i="4"/>
  <c r="U28" i="4"/>
  <c r="S28" i="4"/>
  <c r="T28" i="4"/>
  <c r="M28" i="4"/>
  <c r="N28" i="4"/>
  <c r="H28" i="4"/>
  <c r="W16" i="4"/>
  <c r="S16" i="4"/>
  <c r="U16" i="4"/>
  <c r="T16" i="4"/>
  <c r="O16" i="4"/>
  <c r="R16" i="4"/>
  <c r="P16" i="4"/>
  <c r="Q16" i="4"/>
  <c r="M16" i="4"/>
  <c r="N16" i="4"/>
  <c r="H16" i="4"/>
  <c r="W14" i="4"/>
  <c r="U14" i="4"/>
  <c r="T14" i="4"/>
  <c r="P14" i="4"/>
  <c r="O14" i="4"/>
  <c r="S14" i="4"/>
  <c r="Q14" i="4"/>
  <c r="R14" i="4"/>
  <c r="M14" i="4"/>
  <c r="N14" i="4"/>
  <c r="H14" i="4"/>
  <c r="W19" i="4"/>
  <c r="P19" i="4"/>
  <c r="Q19" i="4"/>
  <c r="R19" i="4"/>
  <c r="U19" i="4"/>
  <c r="O19" i="4"/>
  <c r="S19" i="4"/>
  <c r="T19" i="4"/>
  <c r="M19" i="4"/>
  <c r="N19" i="4"/>
  <c r="H19" i="4"/>
  <c r="H8" i="4"/>
  <c r="W8" i="4"/>
  <c r="S8" i="4"/>
  <c r="U8" i="4"/>
  <c r="T8" i="4"/>
  <c r="R8" i="4"/>
  <c r="P8" i="4"/>
  <c r="Q8" i="4"/>
  <c r="O8" i="4"/>
  <c r="M8" i="4"/>
  <c r="N8" i="4"/>
  <c r="J31" i="4"/>
  <c r="L46" i="4"/>
  <c r="H48" i="4"/>
  <c r="W48" i="4"/>
  <c r="S48" i="4"/>
  <c r="U48" i="4"/>
  <c r="T48" i="4"/>
  <c r="O48" i="4"/>
  <c r="R48" i="4"/>
  <c r="Q48" i="4"/>
  <c r="P48" i="4"/>
  <c r="M48" i="4"/>
  <c r="N48" i="4"/>
  <c r="W44" i="4"/>
  <c r="P44" i="4"/>
  <c r="Q44" i="4"/>
  <c r="R44" i="4"/>
  <c r="O44" i="4"/>
  <c r="T44" i="4"/>
  <c r="S44" i="4"/>
  <c r="U44" i="4"/>
  <c r="M44" i="4"/>
  <c r="N44" i="4"/>
  <c r="H44" i="4"/>
  <c r="W30" i="4"/>
  <c r="U30" i="4"/>
  <c r="T30" i="4"/>
  <c r="O30" i="4"/>
  <c r="Q30" i="4"/>
  <c r="S30" i="4"/>
  <c r="P30" i="4"/>
  <c r="R30" i="4"/>
  <c r="M30" i="4"/>
  <c r="N30" i="4"/>
  <c r="H30" i="4"/>
  <c r="W41" i="4"/>
  <c r="R41" i="4"/>
  <c r="U41" i="4"/>
  <c r="S41" i="4"/>
  <c r="T41" i="4"/>
  <c r="Q41" i="4"/>
  <c r="P41" i="4"/>
  <c r="O41" i="4"/>
  <c r="M41" i="4"/>
  <c r="N41" i="4"/>
  <c r="H41" i="4"/>
  <c r="J29" i="4"/>
  <c r="W29" i="4"/>
  <c r="O29" i="4"/>
  <c r="P29" i="4"/>
  <c r="Q29" i="4"/>
  <c r="U29" i="4"/>
  <c r="T29" i="4"/>
  <c r="R29" i="4"/>
  <c r="S29" i="4"/>
  <c r="M29" i="4"/>
  <c r="N29" i="4"/>
  <c r="H29" i="4"/>
  <c r="W42" i="4"/>
  <c r="Q42" i="4"/>
  <c r="S42" i="4"/>
  <c r="R42" i="4"/>
  <c r="T42" i="4"/>
  <c r="P42" i="4"/>
  <c r="U42" i="4"/>
  <c r="O42" i="4"/>
  <c r="M42" i="4"/>
  <c r="N42" i="4"/>
  <c r="H42" i="4"/>
  <c r="W47" i="4"/>
  <c r="S47" i="4"/>
  <c r="U47" i="4"/>
  <c r="T47" i="4"/>
  <c r="P47" i="4"/>
  <c r="O47" i="4"/>
  <c r="Q47" i="4"/>
  <c r="R47" i="4"/>
  <c r="M47" i="4"/>
  <c r="N47" i="4"/>
  <c r="H47" i="4"/>
  <c r="W43" i="4"/>
  <c r="P43" i="4"/>
  <c r="U43" i="4"/>
  <c r="Q43" i="4"/>
  <c r="R43" i="4"/>
  <c r="T43" i="4"/>
  <c r="S43" i="4"/>
  <c r="O43" i="4"/>
  <c r="N43" i="4"/>
  <c r="M43" i="4"/>
  <c r="H43" i="4"/>
  <c r="W36" i="4"/>
  <c r="O36" i="4"/>
  <c r="P36" i="4"/>
  <c r="Q36" i="4"/>
  <c r="R36" i="4"/>
  <c r="S36" i="4"/>
  <c r="U36" i="4"/>
  <c r="T36" i="4"/>
  <c r="M36" i="4"/>
  <c r="N36" i="4"/>
  <c r="H36" i="4"/>
  <c r="W18" i="4"/>
  <c r="Q18" i="4"/>
  <c r="R18" i="4"/>
  <c r="S18" i="4"/>
  <c r="P18" i="4"/>
  <c r="U18" i="4"/>
  <c r="T18" i="4"/>
  <c r="O18" i="4"/>
  <c r="M18" i="4"/>
  <c r="N18" i="4"/>
  <c r="H18" i="4"/>
  <c r="J30" i="4"/>
  <c r="J36" i="4"/>
  <c r="J40" i="4"/>
  <c r="W40" i="4"/>
  <c r="O40" i="4"/>
  <c r="S40" i="4"/>
  <c r="U40" i="4"/>
  <c r="T40" i="4"/>
  <c r="R40" i="4"/>
  <c r="P40" i="4"/>
  <c r="Q40" i="4"/>
  <c r="M40" i="4"/>
  <c r="N40" i="4"/>
  <c r="H40" i="4"/>
  <c r="W22" i="4"/>
  <c r="U22" i="4"/>
  <c r="T22" i="4"/>
  <c r="O22" i="4"/>
  <c r="Q22" i="4"/>
  <c r="P22" i="4"/>
  <c r="S22" i="4"/>
  <c r="R22" i="4"/>
  <c r="M22" i="4"/>
  <c r="N22" i="4"/>
  <c r="H22" i="4"/>
  <c r="W33" i="4"/>
  <c r="R33" i="4"/>
  <c r="S33" i="4"/>
  <c r="T33" i="4"/>
  <c r="U33" i="4"/>
  <c r="Q33" i="4"/>
  <c r="P33" i="4"/>
  <c r="O33" i="4"/>
  <c r="M33" i="4"/>
  <c r="N33" i="4"/>
  <c r="H33" i="4"/>
  <c r="I48" i="4"/>
  <c r="J48" i="4"/>
  <c r="I29" i="4"/>
  <c r="J42" i="4"/>
  <c r="I40" i="4"/>
  <c r="G46" i="4"/>
  <c r="K46" i="4"/>
  <c r="J15" i="4"/>
  <c r="J8" i="4"/>
  <c r="I8" i="4"/>
  <c r="J23" i="4"/>
  <c r="I23" i="4"/>
  <c r="J16" i="4"/>
  <c r="I16" i="4"/>
  <c r="I32" i="4"/>
  <c r="J32" i="4"/>
  <c r="J35" i="4"/>
  <c r="I35" i="4"/>
  <c r="J18" i="4"/>
  <c r="I18" i="4"/>
  <c r="J43" i="4"/>
  <c r="I43" i="4"/>
  <c r="J38" i="4"/>
  <c r="I38" i="4"/>
  <c r="I56" i="2"/>
  <c r="H56" i="2"/>
  <c r="G56" i="2"/>
  <c r="H50" i="2"/>
  <c r="F12" i="2"/>
  <c r="F25" i="2"/>
  <c r="G25" i="2" s="1"/>
  <c r="G33" i="2"/>
  <c r="G34" i="2"/>
  <c r="G53" i="2"/>
  <c r="I4" i="2"/>
  <c r="H5" i="2"/>
  <c r="I14" i="2"/>
  <c r="H33" i="2"/>
  <c r="H34" i="2"/>
  <c r="G35" i="2"/>
  <c r="K36" i="2"/>
  <c r="K42" i="2"/>
  <c r="H53" i="2"/>
  <c r="K19" i="2"/>
  <c r="G22" i="2"/>
  <c r="K24" i="2"/>
  <c r="K38" i="2"/>
  <c r="G31" i="2"/>
  <c r="J24" i="2"/>
  <c r="J18" i="2"/>
  <c r="H22" i="2"/>
  <c r="F48" i="2"/>
  <c r="G48" i="2" s="1"/>
  <c r="H18" i="2"/>
  <c r="K44" i="2"/>
  <c r="K49" i="2"/>
  <c r="G14" i="2"/>
  <c r="G10" i="2"/>
  <c r="J9" i="2"/>
  <c r="G16" i="2"/>
  <c r="K21" i="2"/>
  <c r="F29" i="2"/>
  <c r="F37" i="2"/>
  <c r="H37" i="2" s="1"/>
  <c r="D54" i="2"/>
  <c r="G41" i="2"/>
  <c r="I41" i="2"/>
  <c r="H41" i="2"/>
  <c r="G24" i="2"/>
  <c r="I24" i="2"/>
  <c r="H24" i="2"/>
  <c r="H30" i="2"/>
  <c r="G30" i="2"/>
  <c r="I20" i="2"/>
  <c r="H20" i="2"/>
  <c r="G20" i="2"/>
  <c r="G26" i="2"/>
  <c r="I26" i="2"/>
  <c r="H26" i="2"/>
  <c r="G52" i="2"/>
  <c r="I52" i="2"/>
  <c r="H52" i="2"/>
  <c r="I46" i="2"/>
  <c r="H46" i="2"/>
  <c r="G46" i="2"/>
  <c r="I19" i="2"/>
  <c r="H19" i="2"/>
  <c r="G19" i="2"/>
  <c r="I44" i="2"/>
  <c r="H44" i="2"/>
  <c r="G44" i="2"/>
  <c r="H49" i="2"/>
  <c r="G49" i="2"/>
  <c r="I49" i="2"/>
  <c r="H38" i="2"/>
  <c r="G38" i="2"/>
  <c r="I38" i="2"/>
  <c r="I6" i="2"/>
  <c r="Q7" i="2"/>
  <c r="Q8" i="2" s="1"/>
  <c r="Q9" i="2" s="1"/>
  <c r="Q10" i="2" s="1"/>
  <c r="G9" i="2"/>
  <c r="H9" i="2"/>
  <c r="I21" i="2"/>
  <c r="H21" i="2"/>
  <c r="G21" i="2"/>
  <c r="I43" i="2"/>
  <c r="H43" i="2"/>
  <c r="G43" i="2"/>
  <c r="G8" i="2"/>
  <c r="H8" i="2"/>
  <c r="I47" i="2"/>
  <c r="H47" i="2"/>
  <c r="G47" i="2"/>
  <c r="I27" i="2"/>
  <c r="Q28" i="2"/>
  <c r="Q29" i="2" s="1"/>
  <c r="I36" i="2"/>
  <c r="H36" i="2"/>
  <c r="G36" i="2"/>
  <c r="I42" i="2"/>
  <c r="H42" i="2"/>
  <c r="G42" i="2"/>
  <c r="I57" i="2"/>
  <c r="H57" i="2"/>
  <c r="G57" i="2"/>
  <c r="J7" i="2"/>
  <c r="J11" i="2"/>
  <c r="J17" i="2"/>
  <c r="J20" i="2"/>
  <c r="J28" i="2"/>
  <c r="J30" i="2"/>
  <c r="J43" i="2"/>
  <c r="J46" i="2"/>
  <c r="J57" i="2"/>
  <c r="I5" i="2"/>
  <c r="J14" i="2"/>
  <c r="I18" i="2"/>
  <c r="K20" i="2"/>
  <c r="K30" i="2"/>
  <c r="I33" i="2"/>
  <c r="J38" i="2"/>
  <c r="K43" i="2"/>
  <c r="K46" i="2"/>
  <c r="J49" i="2"/>
  <c r="K57" i="2"/>
  <c r="J44" i="2"/>
  <c r="J47" i="2"/>
  <c r="G4" i="2"/>
  <c r="H16" i="2"/>
  <c r="J29" i="2"/>
  <c r="J34" i="2"/>
  <c r="J50" i="2"/>
  <c r="J53" i="2"/>
  <c r="J3" i="2"/>
  <c r="H4" i="2"/>
  <c r="J6" i="2"/>
  <c r="G7" i="2"/>
  <c r="J8" i="2"/>
  <c r="J10" i="2"/>
  <c r="G11" i="2"/>
  <c r="H13" i="2"/>
  <c r="I16" i="2"/>
  <c r="G17" i="2"/>
  <c r="J19" i="2"/>
  <c r="J22" i="2"/>
  <c r="H23" i="2"/>
  <c r="J27" i="2"/>
  <c r="G28" i="2"/>
  <c r="H32" i="2"/>
  <c r="H35" i="2"/>
  <c r="J42" i="2"/>
  <c r="J45" i="2"/>
  <c r="J56" i="2"/>
  <c r="D58" i="2"/>
  <c r="J31" i="2"/>
  <c r="J36" i="2"/>
  <c r="J12" i="2"/>
  <c r="G23" i="2"/>
  <c r="H7" i="2"/>
  <c r="I13" i="2"/>
  <c r="J25" i="2"/>
  <c r="H28" i="2"/>
  <c r="I35" i="2"/>
  <c r="J37" i="2"/>
  <c r="J48" i="2"/>
  <c r="J21" i="2"/>
  <c r="J15" i="2"/>
  <c r="J39" i="2"/>
  <c r="H11" i="2"/>
  <c r="J16" i="2"/>
  <c r="H17" i="2"/>
  <c r="J4" i="2"/>
  <c r="J13" i="2"/>
  <c r="J23" i="2"/>
  <c r="J32" i="2"/>
  <c r="J35" i="2"/>
  <c r="J40" i="2"/>
  <c r="F53" i="1"/>
  <c r="Q53" i="1"/>
  <c r="S53" i="1"/>
  <c r="T53" i="1"/>
  <c r="F54" i="1"/>
  <c r="Q54" i="1"/>
  <c r="S54" i="1"/>
  <c r="T54" i="1"/>
  <c r="F55" i="1"/>
  <c r="Q55" i="1"/>
  <c r="S55" i="1"/>
  <c r="T55" i="1"/>
  <c r="G52" i="1"/>
  <c r="I52" i="1" s="1"/>
  <c r="G44" i="1"/>
  <c r="I44" i="1" s="1"/>
  <c r="E55" i="1"/>
  <c r="G55" i="1" s="1"/>
  <c r="E54" i="1"/>
  <c r="G54" i="1" s="1"/>
  <c r="Q51" i="1"/>
  <c r="S51" i="1"/>
  <c r="T51" i="1"/>
  <c r="Q52" i="1"/>
  <c r="S52" i="1"/>
  <c r="T52" i="1"/>
  <c r="L52" i="1"/>
  <c r="F52" i="1"/>
  <c r="F51" i="1"/>
  <c r="F50" i="1"/>
  <c r="F49" i="1"/>
  <c r="F48" i="1"/>
  <c r="E51" i="1"/>
  <c r="L51" i="1" s="1"/>
  <c r="E50" i="1"/>
  <c r="E49" i="1"/>
  <c r="G49" i="1" s="1"/>
  <c r="E48" i="1"/>
  <c r="G48" i="1" s="1"/>
  <c r="Q49" i="1"/>
  <c r="S49" i="1"/>
  <c r="T49" i="1"/>
  <c r="Q50" i="1"/>
  <c r="S50" i="1"/>
  <c r="T50" i="1"/>
  <c r="Q48" i="1"/>
  <c r="S48" i="1"/>
  <c r="T48" i="1"/>
  <c r="F47" i="1"/>
  <c r="F46" i="1"/>
  <c r="F45" i="1"/>
  <c r="E45" i="1"/>
  <c r="L45" i="1" s="1"/>
  <c r="E46" i="1"/>
  <c r="L46" i="1" s="1"/>
  <c r="E47" i="1"/>
  <c r="L47" i="1" s="1"/>
  <c r="Q45" i="1"/>
  <c r="S45" i="1"/>
  <c r="T45" i="1"/>
  <c r="Q46" i="1"/>
  <c r="S46" i="1"/>
  <c r="T46" i="1"/>
  <c r="Q47" i="1"/>
  <c r="S47" i="1"/>
  <c r="T47" i="1"/>
  <c r="Q40" i="1"/>
  <c r="S40" i="1"/>
  <c r="T40" i="1"/>
  <c r="Q41" i="1"/>
  <c r="S41" i="1"/>
  <c r="T41" i="1"/>
  <c r="Q42" i="1"/>
  <c r="S42" i="1"/>
  <c r="T42" i="1"/>
  <c r="Q43" i="1"/>
  <c r="S43" i="1"/>
  <c r="T43" i="1"/>
  <c r="L44" i="1"/>
  <c r="Q44" i="1"/>
  <c r="S44" i="1"/>
  <c r="T44" i="1"/>
  <c r="F44" i="1"/>
  <c r="F43" i="1"/>
  <c r="F42" i="1"/>
  <c r="F41" i="1"/>
  <c r="F40" i="1"/>
  <c r="E43" i="1"/>
  <c r="L43" i="1" s="1"/>
  <c r="E42" i="1"/>
  <c r="L42" i="1" s="1"/>
  <c r="E41" i="1"/>
  <c r="G41" i="1" s="1"/>
  <c r="E40" i="1"/>
  <c r="G40" i="1" s="1"/>
  <c r="Q36" i="1"/>
  <c r="S36" i="1"/>
  <c r="T36" i="1"/>
  <c r="Q37" i="1"/>
  <c r="S37" i="1"/>
  <c r="T37" i="1"/>
  <c r="Q38" i="1"/>
  <c r="S38" i="1"/>
  <c r="T38" i="1"/>
  <c r="Q39" i="1"/>
  <c r="S39" i="1"/>
  <c r="T39" i="1"/>
  <c r="F39" i="1"/>
  <c r="F38" i="1"/>
  <c r="F37" i="1"/>
  <c r="F36" i="1"/>
  <c r="F35" i="1"/>
  <c r="E35" i="1"/>
  <c r="L35" i="1" s="1"/>
  <c r="E37" i="1"/>
  <c r="L37" i="1" s="1"/>
  <c r="E39" i="1"/>
  <c r="G39" i="1" s="1"/>
  <c r="I39" i="1" s="1"/>
  <c r="E38" i="1"/>
  <c r="E36" i="1"/>
  <c r="G36" i="1" s="1"/>
  <c r="Q35" i="1"/>
  <c r="S35" i="1"/>
  <c r="T35" i="1"/>
  <c r="G32" i="1"/>
  <c r="J32" i="1" s="1"/>
  <c r="L32" i="1"/>
  <c r="Q32" i="1"/>
  <c r="S32" i="1"/>
  <c r="T32" i="1"/>
  <c r="G33" i="1"/>
  <c r="I33" i="1" s="1"/>
  <c r="L33" i="1"/>
  <c r="Q33" i="1"/>
  <c r="S33" i="1"/>
  <c r="T33" i="1"/>
  <c r="G34" i="1"/>
  <c r="L34" i="1"/>
  <c r="Q34" i="1"/>
  <c r="S34" i="1"/>
  <c r="T34" i="1"/>
  <c r="F34" i="1"/>
  <c r="F33" i="1"/>
  <c r="F32" i="1"/>
  <c r="Q28" i="1"/>
  <c r="S28" i="1"/>
  <c r="T28" i="1"/>
  <c r="E28" i="1"/>
  <c r="G28" i="1" s="1"/>
  <c r="F28" i="1"/>
  <c r="G27" i="1"/>
  <c r="I27" i="1" s="1"/>
  <c r="L27" i="1"/>
  <c r="Q27" i="1"/>
  <c r="S27" i="1"/>
  <c r="T27" i="1"/>
  <c r="Q29" i="1"/>
  <c r="S29" i="1"/>
  <c r="T29" i="1"/>
  <c r="Q30" i="1"/>
  <c r="S30" i="1"/>
  <c r="T30" i="1"/>
  <c r="G31" i="1"/>
  <c r="L31" i="1"/>
  <c r="Q31" i="1"/>
  <c r="S31" i="1"/>
  <c r="T31" i="1"/>
  <c r="F31" i="1"/>
  <c r="F30" i="1"/>
  <c r="E30" i="1"/>
  <c r="G30" i="1" s="1"/>
  <c r="F29" i="1"/>
  <c r="F27" i="1"/>
  <c r="E29" i="1"/>
  <c r="L29" i="1" s="1"/>
  <c r="Q24" i="1"/>
  <c r="S24" i="1"/>
  <c r="T24" i="1"/>
  <c r="Q25" i="1"/>
  <c r="S25" i="1"/>
  <c r="T25" i="1"/>
  <c r="G26" i="1"/>
  <c r="I26" i="1" s="1"/>
  <c r="L26" i="1"/>
  <c r="Q26" i="1"/>
  <c r="S26" i="1"/>
  <c r="T26" i="1"/>
  <c r="F26" i="1"/>
  <c r="F25" i="1"/>
  <c r="E25" i="1"/>
  <c r="G25" i="1" s="1"/>
  <c r="F24" i="1"/>
  <c r="E24" i="1"/>
  <c r="L24" i="1" s="1"/>
  <c r="Q22" i="1"/>
  <c r="S22" i="1"/>
  <c r="T22" i="1"/>
  <c r="G23" i="1"/>
  <c r="I23" i="1" s="1"/>
  <c r="Q23" i="1"/>
  <c r="S23" i="1"/>
  <c r="T23" i="1"/>
  <c r="L23" i="1"/>
  <c r="E22" i="1"/>
  <c r="G22" i="1" s="1"/>
  <c r="F22" i="1"/>
  <c r="F23" i="1"/>
  <c r="Q19" i="1"/>
  <c r="S19" i="1"/>
  <c r="T19" i="1"/>
  <c r="Q20" i="1"/>
  <c r="S20" i="1"/>
  <c r="T20" i="1"/>
  <c r="Q21" i="1"/>
  <c r="S21" i="1"/>
  <c r="T21" i="1"/>
  <c r="G18" i="1"/>
  <c r="L18" i="1"/>
  <c r="Q18" i="1"/>
  <c r="S18" i="1"/>
  <c r="T18" i="1"/>
  <c r="F18" i="1"/>
  <c r="F21" i="1"/>
  <c r="E21" i="1"/>
  <c r="G21" i="1" s="1"/>
  <c r="F20" i="1"/>
  <c r="E20" i="1"/>
  <c r="L20" i="1" s="1"/>
  <c r="E19" i="1"/>
  <c r="L19" i="1" s="1"/>
  <c r="F19" i="1"/>
  <c r="L3" i="1"/>
  <c r="F15" i="1"/>
  <c r="G15" i="1"/>
  <c r="I15" i="1" s="1"/>
  <c r="L15" i="1"/>
  <c r="Q15" i="1"/>
  <c r="S15" i="1"/>
  <c r="T15" i="1"/>
  <c r="F16" i="1"/>
  <c r="G16" i="1"/>
  <c r="I16" i="1" s="1"/>
  <c r="L16" i="1"/>
  <c r="Q16" i="1"/>
  <c r="S16" i="1"/>
  <c r="T16" i="1"/>
  <c r="F17" i="1"/>
  <c r="G17" i="1"/>
  <c r="J17" i="1" s="1"/>
  <c r="L17" i="1"/>
  <c r="Q17" i="1"/>
  <c r="S17" i="1"/>
  <c r="T17" i="1"/>
  <c r="F14" i="1"/>
  <c r="G14" i="1"/>
  <c r="L14" i="1"/>
  <c r="Q14" i="1"/>
  <c r="S14" i="1"/>
  <c r="T14" i="1"/>
  <c r="F12" i="1"/>
  <c r="Q12" i="1"/>
  <c r="S12" i="1"/>
  <c r="T12" i="1"/>
  <c r="F13" i="1"/>
  <c r="G13" i="1"/>
  <c r="J13" i="1" s="1"/>
  <c r="L13" i="1"/>
  <c r="Q13" i="1"/>
  <c r="S13" i="1"/>
  <c r="T13" i="1"/>
  <c r="Q11" i="1"/>
  <c r="S11" i="1"/>
  <c r="T11" i="1"/>
  <c r="F9" i="1"/>
  <c r="G9" i="1"/>
  <c r="L9" i="1"/>
  <c r="Q9" i="1"/>
  <c r="S9" i="1"/>
  <c r="T9" i="1"/>
  <c r="F10" i="1"/>
  <c r="L10" i="1"/>
  <c r="Q10" i="1"/>
  <c r="S10" i="1"/>
  <c r="T10" i="1"/>
  <c r="F8" i="1"/>
  <c r="Q8" i="1"/>
  <c r="S8" i="1"/>
  <c r="T8" i="1"/>
  <c r="F5" i="1"/>
  <c r="Q5" i="1"/>
  <c r="S5" i="1"/>
  <c r="T5" i="1"/>
  <c r="F7" i="1"/>
  <c r="G7" i="1"/>
  <c r="I7" i="1" s="1"/>
  <c r="L7" i="1"/>
  <c r="Q7" i="1"/>
  <c r="S7" i="1"/>
  <c r="T7" i="1"/>
  <c r="F6" i="1"/>
  <c r="G6" i="1"/>
  <c r="I6" i="1" s="1"/>
  <c r="L6" i="1"/>
  <c r="Q6" i="1"/>
  <c r="S6" i="1"/>
  <c r="T6" i="1"/>
  <c r="F2" i="1"/>
  <c r="G2" i="1"/>
  <c r="L2" i="1"/>
  <c r="Q2" i="1"/>
  <c r="S2" i="1"/>
  <c r="T2" i="1"/>
  <c r="F4" i="1"/>
  <c r="F3" i="1"/>
  <c r="G3" i="1"/>
  <c r="J3" i="1" s="1"/>
  <c r="L4" i="1"/>
  <c r="G4" i="1"/>
  <c r="J4" i="1" s="1"/>
  <c r="Q4" i="1"/>
  <c r="S4" i="1"/>
  <c r="T4" i="1"/>
  <c r="T3" i="1"/>
  <c r="S3" i="1"/>
  <c r="Q3" i="1"/>
  <c r="W5" i="1"/>
  <c r="H15" i="2" l="1"/>
  <c r="I15" i="2"/>
  <c r="G40" i="2"/>
  <c r="I39" i="2"/>
  <c r="G39" i="2"/>
  <c r="J55" i="2"/>
  <c r="I48" i="2"/>
  <c r="H55" i="2"/>
  <c r="G55" i="2"/>
  <c r="K55" i="2"/>
  <c r="H48" i="2"/>
  <c r="H51" i="2"/>
  <c r="G51" i="2"/>
  <c r="H40" i="2"/>
  <c r="I37" i="2"/>
  <c r="W46" i="4"/>
  <c r="U46" i="4"/>
  <c r="T46" i="4"/>
  <c r="O46" i="4"/>
  <c r="P46" i="4"/>
  <c r="S46" i="4"/>
  <c r="Q46" i="4"/>
  <c r="R46" i="4"/>
  <c r="M46" i="4"/>
  <c r="N46" i="4"/>
  <c r="H46" i="4"/>
  <c r="I46" i="4"/>
  <c r="J46" i="4"/>
  <c r="I2" i="1"/>
  <c r="J54" i="2"/>
  <c r="F54" i="2"/>
  <c r="K54" i="2"/>
  <c r="I25" i="2"/>
  <c r="I9" i="2"/>
  <c r="G37" i="2"/>
  <c r="G12" i="2"/>
  <c r="H12" i="2"/>
  <c r="G29" i="2"/>
  <c r="H29" i="2"/>
  <c r="H25" i="2"/>
  <c r="I8" i="2"/>
  <c r="I28" i="2"/>
  <c r="I7" i="2"/>
  <c r="F58" i="2"/>
  <c r="K58" i="2"/>
  <c r="J58" i="2"/>
  <c r="Q11" i="2"/>
  <c r="I10" i="2"/>
  <c r="Q30" i="2"/>
  <c r="I29" i="2"/>
  <c r="J44" i="1"/>
  <c r="G29" i="1"/>
  <c r="I29" i="1" s="1"/>
  <c r="G51" i="1"/>
  <c r="I51" i="1" s="1"/>
  <c r="G35" i="1"/>
  <c r="I35" i="1" s="1"/>
  <c r="J52" i="1"/>
  <c r="J22" i="1"/>
  <c r="L25" i="1"/>
  <c r="I32" i="1"/>
  <c r="G20" i="1"/>
  <c r="H20" i="1" s="1"/>
  <c r="H13" i="1"/>
  <c r="L21" i="1"/>
  <c r="G42" i="1"/>
  <c r="I42" i="1" s="1"/>
  <c r="H49" i="1"/>
  <c r="I49" i="1"/>
  <c r="I54" i="1"/>
  <c r="J54" i="1"/>
  <c r="L22" i="1"/>
  <c r="L28" i="1"/>
  <c r="L54" i="1"/>
  <c r="L30" i="1"/>
  <c r="L49" i="1"/>
  <c r="L39" i="1"/>
  <c r="H55" i="1"/>
  <c r="H16" i="1"/>
  <c r="H40" i="1"/>
  <c r="G43" i="1"/>
  <c r="I43" i="1" s="1"/>
  <c r="H10" i="1"/>
  <c r="G24" i="1"/>
  <c r="H24" i="1" s="1"/>
  <c r="H6" i="1"/>
  <c r="H3" i="1"/>
  <c r="J15" i="1"/>
  <c r="H21" i="1"/>
  <c r="H41" i="1"/>
  <c r="G47" i="1"/>
  <c r="H47" i="1" s="1"/>
  <c r="H9" i="1"/>
  <c r="H25" i="1"/>
  <c r="I48" i="1"/>
  <c r="H48" i="1"/>
  <c r="I30" i="1"/>
  <c r="I36" i="1"/>
  <c r="H36" i="1"/>
  <c r="J36" i="1"/>
  <c r="I28" i="1"/>
  <c r="H7" i="1"/>
  <c r="H39" i="1"/>
  <c r="L41" i="1"/>
  <c r="H52" i="1"/>
  <c r="J16" i="1"/>
  <c r="H15" i="1"/>
  <c r="H18" i="1"/>
  <c r="G19" i="1"/>
  <c r="J19" i="1" s="1"/>
  <c r="G38" i="1"/>
  <c r="L36" i="1"/>
  <c r="G45" i="1"/>
  <c r="J45" i="1" s="1"/>
  <c r="H17" i="1"/>
  <c r="H22" i="1"/>
  <c r="H26" i="1"/>
  <c r="H44" i="1"/>
  <c r="H54" i="1"/>
  <c r="I9" i="1"/>
  <c r="H2" i="1"/>
  <c r="J49" i="1"/>
  <c r="G46" i="1"/>
  <c r="H14" i="1"/>
  <c r="H4" i="1"/>
  <c r="H31" i="1"/>
  <c r="H27" i="1"/>
  <c r="H28" i="1"/>
  <c r="H32" i="1"/>
  <c r="I3" i="1"/>
  <c r="H30" i="1"/>
  <c r="H33" i="1"/>
  <c r="L38" i="1"/>
  <c r="L50" i="1"/>
  <c r="G50" i="1"/>
  <c r="G37" i="1"/>
  <c r="H37" i="1" s="1"/>
  <c r="L40" i="1"/>
  <c r="L48" i="1"/>
  <c r="L55" i="1"/>
  <c r="I22" i="1"/>
  <c r="J39" i="1"/>
  <c r="J55" i="1"/>
  <c r="I55" i="1"/>
  <c r="J48" i="1"/>
  <c r="J41" i="1"/>
  <c r="I41" i="1"/>
  <c r="J40" i="1"/>
  <c r="I40" i="1"/>
  <c r="I34" i="1"/>
  <c r="H34" i="1"/>
  <c r="J33" i="1"/>
  <c r="I31" i="1"/>
  <c r="I25" i="1"/>
  <c r="H23" i="1"/>
  <c r="J23" i="1"/>
  <c r="J18" i="1"/>
  <c r="I18" i="1"/>
  <c r="J21" i="1"/>
  <c r="I21" i="1"/>
  <c r="J14" i="1"/>
  <c r="I17" i="1"/>
  <c r="I13" i="1"/>
  <c r="I14" i="1"/>
  <c r="I10" i="1"/>
  <c r="I4" i="1"/>
  <c r="W6" i="1"/>
  <c r="K43" i="1" s="1"/>
  <c r="H35" i="1" l="1"/>
  <c r="I54" i="2"/>
  <c r="G54" i="2"/>
  <c r="H54" i="2"/>
  <c r="I58" i="2"/>
  <c r="H58" i="2"/>
  <c r="G58" i="2"/>
  <c r="Q31" i="2"/>
  <c r="I30" i="2"/>
  <c r="Q12" i="2"/>
  <c r="I12" i="2" s="1"/>
  <c r="I11" i="2"/>
  <c r="J51" i="1"/>
  <c r="H29" i="1"/>
  <c r="H51" i="1"/>
  <c r="I20" i="1"/>
  <c r="J35" i="1"/>
  <c r="H42" i="1"/>
  <c r="K40" i="1"/>
  <c r="J42" i="1"/>
  <c r="K21" i="1"/>
  <c r="J20" i="1"/>
  <c r="K47" i="1"/>
  <c r="I47" i="1"/>
  <c r="K27" i="1"/>
  <c r="I37" i="1"/>
  <c r="J37" i="1"/>
  <c r="K24" i="1"/>
  <c r="H43" i="1"/>
  <c r="K23" i="1"/>
  <c r="K37" i="1"/>
  <c r="K55" i="1"/>
  <c r="J47" i="1"/>
  <c r="K28" i="1"/>
  <c r="K20" i="1"/>
  <c r="J43" i="1"/>
  <c r="K31" i="1"/>
  <c r="K25" i="1"/>
  <c r="K45" i="1"/>
  <c r="K42" i="1"/>
  <c r="I24" i="1"/>
  <c r="K36" i="1"/>
  <c r="K48" i="1"/>
  <c r="K19" i="1"/>
  <c r="J38" i="1"/>
  <c r="I38" i="1"/>
  <c r="H38" i="1"/>
  <c r="K41" i="1"/>
  <c r="K46" i="1"/>
  <c r="K32" i="1"/>
  <c r="K26" i="1"/>
  <c r="I19" i="1"/>
  <c r="H19" i="1"/>
  <c r="J46" i="1"/>
  <c r="I46" i="1"/>
  <c r="H46" i="1"/>
  <c r="K38" i="1"/>
  <c r="J50" i="1"/>
  <c r="I50" i="1"/>
  <c r="H50" i="1"/>
  <c r="K9" i="1"/>
  <c r="K17" i="1"/>
  <c r="K39" i="1"/>
  <c r="K10" i="1"/>
  <c r="K3" i="1"/>
  <c r="K54" i="1"/>
  <c r="K44" i="1"/>
  <c r="K4" i="1"/>
  <c r="K2" i="1"/>
  <c r="K13" i="1"/>
  <c r="K34" i="1"/>
  <c r="K6" i="1"/>
  <c r="K14" i="1"/>
  <c r="K35" i="1"/>
  <c r="K15" i="1"/>
  <c r="K52" i="1"/>
  <c r="K16" i="1"/>
  <c r="K49" i="1"/>
  <c r="K33" i="1"/>
  <c r="K7" i="1"/>
  <c r="K29" i="1"/>
  <c r="K30" i="1"/>
  <c r="K18" i="1"/>
  <c r="K51" i="1"/>
  <c r="K22" i="1"/>
  <c r="H45" i="1"/>
  <c r="I45" i="1"/>
  <c r="K50" i="1"/>
  <c r="I31" i="2" l="1"/>
  <c r="Q32" i="2"/>
  <c r="I32" i="2" s="1"/>
  <c r="J26" i="1" l="1"/>
  <c r="J34" i="1" l="1"/>
  <c r="J25" i="1"/>
  <c r="J24" i="1" l="1"/>
  <c r="J31" i="1" l="1"/>
  <c r="J30" i="1" l="1"/>
  <c r="J29" i="1" l="1"/>
  <c r="J27" i="1" l="1"/>
  <c r="J28" i="1"/>
  <c r="J2" i="1"/>
  <c r="J9" i="1"/>
  <c r="J7" i="1"/>
  <c r="J6" i="1"/>
  <c r="J10" i="1"/>
  <c r="E5" i="1" l="1"/>
  <c r="K5" i="1" l="1"/>
  <c r="L5" i="1"/>
  <c r="G5" i="1"/>
  <c r="I5" i="1" s="1"/>
  <c r="J5" i="1" l="1"/>
  <c r="H5" i="1"/>
  <c r="E8" i="1"/>
  <c r="E53" i="1" s="1"/>
  <c r="K53" i="1" l="1"/>
  <c r="L53" i="1"/>
  <c r="G53" i="1"/>
  <c r="G8" i="1"/>
  <c r="L8" i="1"/>
  <c r="K8" i="1"/>
  <c r="H53" i="1" l="1"/>
  <c r="J53" i="1"/>
  <c r="I53" i="1"/>
  <c r="I8" i="1"/>
  <c r="H8" i="1"/>
  <c r="J8" i="1"/>
  <c r="E11" i="1"/>
  <c r="G11" i="1" s="1"/>
  <c r="I11" i="1" s="1"/>
  <c r="L11" i="1" l="1"/>
  <c r="D11" i="1"/>
  <c r="F11" i="1" s="1"/>
  <c r="E12" i="1"/>
  <c r="J11" i="1"/>
  <c r="K11" i="1"/>
  <c r="H11" i="1"/>
  <c r="K12" i="1" l="1"/>
  <c r="L12" i="1"/>
  <c r="G12" i="1"/>
  <c r="H12" i="1" l="1"/>
  <c r="J12" i="1"/>
  <c r="I12" i="1"/>
  <c r="AG4" i="5"/>
  <c r="J4" i="5" s="1"/>
  <c r="AG53" i="5"/>
  <c r="J53" i="5" s="1"/>
  <c r="AG41" i="5"/>
  <c r="J41" i="5" s="1"/>
  <c r="AG15" i="5"/>
  <c r="J15" i="5" s="1"/>
  <c r="AG23" i="5"/>
  <c r="J23" i="5" s="1"/>
  <c r="AG20" i="5"/>
  <c r="J20" i="5" s="1"/>
  <c r="AG14" i="5"/>
  <c r="J14" i="5" s="1"/>
  <c r="AG52" i="5"/>
  <c r="J52" i="5" s="1"/>
  <c r="AG12" i="5"/>
  <c r="J12" i="5" s="1"/>
  <c r="AG9" i="5"/>
  <c r="J9" i="5" s="1"/>
  <c r="AG24" i="5"/>
  <c r="J24" i="5" s="1"/>
  <c r="AG31" i="5"/>
  <c r="J31" i="5" s="1"/>
  <c r="AG7" i="5"/>
  <c r="J7" i="5" s="1"/>
  <c r="AG45" i="5"/>
  <c r="J45" i="5" s="1"/>
  <c r="AG35" i="5"/>
  <c r="J35" i="5" s="1"/>
  <c r="AG8" i="5"/>
  <c r="J8" i="5" s="1"/>
  <c r="J2" i="5"/>
  <c r="AG19" i="5"/>
  <c r="J19" i="5" s="1"/>
  <c r="AG50" i="5"/>
  <c r="J50" i="5" s="1"/>
  <c r="AG42" i="5"/>
  <c r="J42" i="5" s="1"/>
  <c r="AG28" i="5"/>
  <c r="J28" i="5" s="1"/>
  <c r="AG18" i="5"/>
  <c r="J18" i="5" s="1"/>
  <c r="AG33" i="5"/>
  <c r="J33" i="5" s="1"/>
  <c r="AG22" i="5"/>
  <c r="J22" i="5" s="1"/>
  <c r="AG11" i="5"/>
  <c r="J11" i="5" s="1"/>
  <c r="AG51" i="5"/>
  <c r="J51" i="5" s="1"/>
  <c r="AG49" i="5"/>
  <c r="J49" i="5" s="1"/>
  <c r="AG16" i="5"/>
  <c r="J16" i="5" s="1"/>
  <c r="AG32" i="5"/>
  <c r="J32" i="5" s="1"/>
  <c r="AG3" i="5"/>
  <c r="J3" i="5" s="1"/>
  <c r="AG48" i="5"/>
  <c r="J48" i="5" s="1"/>
  <c r="AG10" i="5"/>
  <c r="J10" i="5" s="1"/>
  <c r="AG6" i="5"/>
  <c r="J6" i="5" s="1"/>
  <c r="AG26" i="5"/>
  <c r="J26" i="5" s="1"/>
  <c r="AG21" i="5"/>
  <c r="J21" i="5" s="1"/>
  <c r="AG34" i="5"/>
  <c r="J34" i="5" s="1"/>
  <c r="AG36" i="5"/>
  <c r="J36" i="5" s="1"/>
  <c r="AG17" i="5"/>
  <c r="J17" i="5" s="1"/>
  <c r="AG25" i="5"/>
  <c r="J25" i="5" s="1"/>
  <c r="AG30" i="5"/>
  <c r="J30" i="5" s="1"/>
  <c r="AG46" i="5"/>
  <c r="J46" i="5" s="1"/>
  <c r="AG39" i="5"/>
  <c r="J39" i="5" s="1"/>
  <c r="AG29" i="5"/>
  <c r="J29" i="5" s="1"/>
  <c r="AG5" i="5"/>
  <c r="J5" i="5" s="1"/>
  <c r="AG44" i="5"/>
  <c r="J44" i="5" s="1"/>
  <c r="AG40" i="5"/>
  <c r="J40" i="5" s="1"/>
  <c r="AG38" i="5"/>
  <c r="J38" i="5" s="1"/>
  <c r="AG13" i="5"/>
  <c r="J13" i="5" s="1"/>
  <c r="AG27" i="5"/>
  <c r="J27" i="5" s="1"/>
  <c r="AG43" i="5"/>
  <c r="J43" i="5" s="1"/>
  <c r="AG37" i="5"/>
  <c r="J37" i="5" s="1"/>
  <c r="AG47" i="5"/>
  <c r="J47" i="5" s="1"/>
  <c r="U63" i="8"/>
  <c r="J55" i="8"/>
  <c r="J58" i="8"/>
  <c r="J54" i="8"/>
  <c r="U61" i="8"/>
  <c r="U60" i="8"/>
  <c r="U55" i="8"/>
  <c r="U58" i="8"/>
  <c r="U54" i="8"/>
  <c r="J61" i="8"/>
  <c r="J60" i="8"/>
  <c r="J59" i="8"/>
  <c r="U59" i="8"/>
  <c r="J57" i="8"/>
  <c r="J63" i="8"/>
  <c r="J56" i="8"/>
  <c r="U62" i="8"/>
  <c r="U57" i="8"/>
  <c r="J62" i="8"/>
  <c r="U56" i="8"/>
  <c r="J78" i="8"/>
  <c r="J89" i="8"/>
  <c r="U88" i="8"/>
  <c r="U83" i="8"/>
  <c r="U81" i="8"/>
  <c r="J81" i="8"/>
  <c r="J82" i="8"/>
  <c r="J80" i="8"/>
  <c r="U78" i="8"/>
  <c r="U84" i="8"/>
  <c r="U82" i="8"/>
  <c r="U80" i="8"/>
  <c r="J79" i="8"/>
  <c r="J84" i="8"/>
  <c r="J86" i="8"/>
  <c r="U85" i="8"/>
  <c r="U79" i="8"/>
  <c r="U87" i="8"/>
  <c r="U86" i="8"/>
  <c r="J83" i="8"/>
  <c r="J88" i="8"/>
  <c r="U89" i="8"/>
  <c r="J87" i="8"/>
  <c r="J85" i="8"/>
  <c r="U90" i="12"/>
  <c r="AI90" i="12"/>
  <c r="J90" i="12" s="1"/>
  <c r="U93" i="12"/>
  <c r="AI93" i="12"/>
  <c r="J93" i="12" s="1"/>
  <c r="U92" i="12"/>
  <c r="U91" i="12"/>
  <c r="U95" i="12"/>
  <c r="AI95" i="12"/>
  <c r="J95" i="12" s="1"/>
  <c r="U94" i="12"/>
  <c r="AI94" i="12"/>
  <c r="J94" i="12" s="1"/>
  <c r="AI92" i="12"/>
  <c r="J92" i="12" s="1"/>
  <c r="AI91" i="12"/>
  <c r="J91" i="12" s="1"/>
  <c r="AI96" i="12"/>
  <c r="J96" i="12" s="1"/>
  <c r="U96" i="12"/>
  <c r="U101" i="12"/>
  <c r="U99" i="12"/>
  <c r="AI99" i="12"/>
  <c r="J99" i="12" s="1"/>
  <c r="AI101" i="12"/>
  <c r="J101" i="12" s="1"/>
  <c r="U100" i="12"/>
  <c r="AI100" i="12"/>
  <c r="J100" i="12" s="1"/>
  <c r="U97" i="12"/>
  <c r="AI97" i="12"/>
  <c r="J97" i="12" s="1"/>
  <c r="U98" i="12"/>
  <c r="J98" i="12"/>
  <c r="AI104" i="12"/>
  <c r="J104" i="12" s="1"/>
  <c r="U104" i="12"/>
  <c r="U103" i="12"/>
  <c r="AI103" i="12"/>
  <c r="J103" i="12" s="1"/>
  <c r="U105" i="12"/>
  <c r="AI105" i="12"/>
  <c r="J105" i="12" s="1"/>
  <c r="U102" i="12"/>
  <c r="AI102" i="12"/>
  <c r="J102" i="12" s="1"/>
  <c r="U106" i="12"/>
  <c r="AI106" i="12"/>
  <c r="J106" i="12" s="1"/>
  <c r="U107" i="12"/>
  <c r="AI107" i="12"/>
  <c r="J107" i="12" s="1"/>
  <c r="U109" i="12"/>
  <c r="AI110" i="12"/>
  <c r="J110" i="12" s="1"/>
  <c r="U110" i="12"/>
  <c r="AI111" i="12"/>
  <c r="J111" i="12" s="1"/>
  <c r="U111" i="12"/>
  <c r="U112" i="12"/>
  <c r="J109" i="12"/>
  <c r="AI112" i="12"/>
  <c r="J112" i="12" s="1"/>
  <c r="AI108" i="12"/>
  <c r="J108" i="12" s="1"/>
  <c r="U108" i="12"/>
  <c r="U115" i="12"/>
  <c r="U114" i="12"/>
  <c r="J114" i="12"/>
  <c r="U113" i="12"/>
  <c r="J113" i="12"/>
  <c r="J115" i="12"/>
  <c r="U116" i="12"/>
  <c r="J117" i="12"/>
  <c r="U117" i="12"/>
  <c r="J116" i="12"/>
  <c r="J122" i="12"/>
  <c r="U122" i="12"/>
  <c r="U121" i="12"/>
  <c r="U119" i="12"/>
  <c r="J119" i="12"/>
  <c r="J121" i="12"/>
  <c r="U118" i="12"/>
  <c r="J118" i="12"/>
  <c r="U123" i="12"/>
  <c r="J123" i="12"/>
  <c r="J120" i="12"/>
  <c r="U120" i="12"/>
  <c r="U184" i="12"/>
  <c r="U176" i="12"/>
  <c r="U162" i="12"/>
  <c r="U169" i="12"/>
  <c r="U131" i="12"/>
  <c r="AI176" i="12"/>
  <c r="J176" i="12" s="1"/>
  <c r="U153" i="12"/>
  <c r="U190" i="12"/>
  <c r="U173" i="12"/>
  <c r="U154" i="12"/>
  <c r="U138" i="12"/>
  <c r="U186" i="12"/>
  <c r="AI186" i="12"/>
  <c r="J186" i="12" s="1"/>
  <c r="U141" i="12"/>
  <c r="U151" i="12"/>
  <c r="U134" i="12"/>
  <c r="U150" i="12"/>
  <c r="U177" i="12"/>
  <c r="U185" i="12"/>
  <c r="U195" i="12"/>
  <c r="AI168" i="12"/>
  <c r="J168" i="12" s="1"/>
  <c r="U168" i="12"/>
  <c r="AI157" i="12"/>
  <c r="J157" i="12" s="1"/>
  <c r="U157" i="12"/>
  <c r="U165" i="12"/>
  <c r="U171" i="12"/>
  <c r="AI162" i="12"/>
  <c r="J162" i="12" s="1"/>
  <c r="AI183" i="12"/>
  <c r="J183" i="12" s="1"/>
  <c r="U183" i="12"/>
  <c r="U136" i="12"/>
  <c r="U188" i="12"/>
  <c r="AI188" i="12"/>
  <c r="J188" i="12" s="1"/>
  <c r="AI153" i="12"/>
  <c r="J153" i="12" s="1"/>
  <c r="AI180" i="12"/>
  <c r="J180" i="12" s="1"/>
  <c r="U180" i="12"/>
  <c r="AI190" i="12"/>
  <c r="J190" i="12" s="1"/>
  <c r="AI173" i="12"/>
  <c r="J173" i="12" s="1"/>
  <c r="U179" i="12"/>
  <c r="AI171" i="12"/>
  <c r="J171" i="12" s="1"/>
  <c r="AI164" i="12"/>
  <c r="J164" i="12" s="1"/>
  <c r="U164" i="12"/>
  <c r="AI136" i="12"/>
  <c r="J136" i="12" s="1"/>
  <c r="AI178" i="12"/>
  <c r="J178" i="12" s="1"/>
  <c r="U178" i="12"/>
  <c r="AI150" i="12"/>
  <c r="J150" i="12" s="1"/>
  <c r="U182" i="12"/>
  <c r="AI182" i="12"/>
  <c r="J182" i="12" s="1"/>
  <c r="U142" i="12"/>
  <c r="AI142" i="12"/>
  <c r="J142" i="12" s="1"/>
  <c r="AI195" i="12"/>
  <c r="J195" i="12" s="1"/>
  <c r="U163" i="12"/>
  <c r="U144" i="12"/>
  <c r="U143" i="12"/>
  <c r="AI143" i="12"/>
  <c r="J143" i="12" s="1"/>
  <c r="U133" i="12"/>
  <c r="U167" i="12"/>
  <c r="U126" i="12"/>
  <c r="U124" i="12"/>
  <c r="AI174" i="12"/>
  <c r="J174" i="12" s="1"/>
  <c r="U174" i="12"/>
  <c r="AI126" i="12"/>
  <c r="J126" i="12" s="1"/>
  <c r="AI177" i="12"/>
  <c r="J177" i="12" s="1"/>
  <c r="U127" i="12"/>
  <c r="AI127" i="12"/>
  <c r="J127" i="12" s="1"/>
  <c r="AI163" i="12"/>
  <c r="J163" i="12" s="1"/>
  <c r="U193" i="12"/>
  <c r="U129" i="12"/>
  <c r="AI129" i="12"/>
  <c r="J129" i="12" s="1"/>
  <c r="AI179" i="12"/>
  <c r="J179" i="12" s="1"/>
  <c r="U137" i="12"/>
  <c r="AI137" i="12"/>
  <c r="J137" i="12" s="1"/>
  <c r="AI151" i="12"/>
  <c r="J151" i="12" s="1"/>
  <c r="AI194" i="12"/>
  <c r="J194" i="12" s="1"/>
  <c r="U194" i="12"/>
  <c r="U158" i="12"/>
  <c r="U196" i="12"/>
  <c r="AI165" i="12"/>
  <c r="J165" i="12" s="1"/>
  <c r="U175" i="12"/>
  <c r="AI175" i="12"/>
  <c r="J175" i="12" s="1"/>
  <c r="AI167" i="12"/>
  <c r="J167" i="12" s="1"/>
  <c r="U130" i="12"/>
  <c r="AI130" i="12"/>
  <c r="J130" i="12" s="1"/>
  <c r="U146" i="12"/>
  <c r="U147" i="12"/>
  <c r="AI147" i="12"/>
  <c r="J147" i="12" s="1"/>
  <c r="AI125" i="12"/>
  <c r="J125" i="12" s="1"/>
  <c r="U125" i="12"/>
  <c r="AI187" i="12"/>
  <c r="J187" i="12" s="1"/>
  <c r="U187" i="12"/>
  <c r="AI152" i="12"/>
  <c r="J152" i="12" s="1"/>
  <c r="U152" i="12"/>
  <c r="AI189" i="12"/>
  <c r="J189" i="12" s="1"/>
  <c r="U189" i="12"/>
  <c r="AI132" i="12"/>
  <c r="J132" i="12" s="1"/>
  <c r="U132" i="12"/>
  <c r="U148" i="12"/>
  <c r="AI146" i="12"/>
  <c r="J146" i="12" s="1"/>
  <c r="U197" i="12"/>
  <c r="U145" i="12"/>
  <c r="AI145" i="12"/>
  <c r="J145" i="12" s="1"/>
  <c r="AI133" i="12"/>
  <c r="J133" i="12" s="1"/>
  <c r="AI124" i="12"/>
  <c r="J124" i="12" s="1"/>
  <c r="AI138" i="12"/>
  <c r="J138" i="12" s="1"/>
  <c r="AI169" i="12"/>
  <c r="J169" i="12" s="1"/>
  <c r="AI154" i="12"/>
  <c r="J154" i="12" s="1"/>
  <c r="AI196" i="12"/>
  <c r="J196" i="12" s="1"/>
  <c r="U155" i="12"/>
  <c r="U161" i="12"/>
  <c r="AI161" i="12"/>
  <c r="J161" i="12" s="1"/>
  <c r="AI134" i="12"/>
  <c r="J134" i="12" s="1"/>
  <c r="AI148" i="12"/>
  <c r="J148" i="12" s="1"/>
  <c r="U135" i="12"/>
  <c r="AI135" i="12"/>
  <c r="J135" i="12" s="1"/>
  <c r="AI185" i="12"/>
  <c r="J185" i="12" s="1"/>
  <c r="U170" i="12"/>
  <c r="AI170" i="12"/>
  <c r="J170" i="12" s="1"/>
  <c r="U198" i="12"/>
  <c r="AI198" i="12"/>
  <c r="J198" i="12" s="1"/>
  <c r="U166" i="12"/>
  <c r="AI166" i="12"/>
  <c r="J166" i="12" s="1"/>
  <c r="AI158" i="12"/>
  <c r="J158" i="12" s="1"/>
  <c r="AI181" i="12"/>
  <c r="J181" i="12" s="1"/>
  <c r="U181" i="12"/>
  <c r="U160" i="12"/>
  <c r="AI160" i="12"/>
  <c r="J160" i="12" s="1"/>
  <c r="AI193" i="12"/>
  <c r="J193" i="12" s="1"/>
  <c r="AI141" i="12"/>
  <c r="J141" i="12" s="1"/>
  <c r="U128" i="12"/>
  <c r="AI128" i="12"/>
  <c r="J128" i="12" s="1"/>
  <c r="AI184" i="12"/>
  <c r="J184" i="12" s="1"/>
  <c r="U156" i="12"/>
  <c r="AI156" i="12"/>
  <c r="J156" i="12" s="1"/>
  <c r="AI144" i="12"/>
  <c r="J144" i="12" s="1"/>
  <c r="U159" i="12"/>
  <c r="AI159" i="12"/>
  <c r="J159" i="12" s="1"/>
  <c r="AI131" i="12"/>
  <c r="J131" i="12" s="1"/>
  <c r="AI140" i="12"/>
  <c r="J140" i="12" s="1"/>
  <c r="U140" i="12"/>
  <c r="AI139" i="12"/>
  <c r="J139" i="12" s="1"/>
  <c r="U139" i="12"/>
  <c r="AI172" i="12"/>
  <c r="J172" i="12" s="1"/>
  <c r="U172" i="12"/>
  <c r="AI155" i="12"/>
  <c r="J155" i="12" s="1"/>
  <c r="AI191" i="12"/>
  <c r="J191" i="12" s="1"/>
  <c r="U191" i="12"/>
  <c r="AI197" i="12"/>
  <c r="J197" i="12" s="1"/>
  <c r="AI149" i="12"/>
  <c r="J149" i="12" s="1"/>
  <c r="U149" i="12"/>
  <c r="AI192" i="12"/>
  <c r="J192" i="12" s="1"/>
  <c r="U192" i="12"/>
  <c r="J56" i="13"/>
  <c r="J57" i="13"/>
  <c r="J59" i="13"/>
  <c r="U57" i="13"/>
  <c r="J58" i="13"/>
  <c r="U56" i="13"/>
  <c r="J60" i="13"/>
  <c r="J61" i="13"/>
  <c r="J68" i="13"/>
  <c r="J65" i="13"/>
  <c r="J64" i="13"/>
  <c r="J62" i="13"/>
  <c r="J70" i="13"/>
  <c r="J69" i="13"/>
  <c r="J63" i="13"/>
  <c r="J66" i="13"/>
  <c r="J67" i="13"/>
  <c r="AI71" i="13"/>
  <c r="J71" i="13" s="1"/>
  <c r="AI75" i="13"/>
  <c r="J75" i="13" s="1"/>
  <c r="J77" i="13"/>
  <c r="AI73" i="13"/>
  <c r="J73" i="13" s="1"/>
  <c r="AI72" i="13"/>
  <c r="J72" i="13" s="1"/>
  <c r="AI76" i="13"/>
  <c r="J76" i="13" s="1"/>
  <c r="AI74" i="13"/>
  <c r="J74" i="13" s="1"/>
  <c r="AI82" i="13"/>
  <c r="J82" i="13" s="1"/>
  <c r="AI83" i="13"/>
  <c r="J83" i="13" s="1"/>
  <c r="AI81" i="13"/>
  <c r="J81" i="13" s="1"/>
</calcChain>
</file>

<file path=xl/comments1.xml><?xml version="1.0" encoding="utf-8"?>
<comments xmlns="http://schemas.openxmlformats.org/spreadsheetml/2006/main">
  <authors>
    <author>Rouzbeh Davoudi</author>
  </authors>
  <commentList>
    <comment ref="E1" authorId="0">
      <text>
        <r>
          <rPr>
            <b/>
            <sz val="9"/>
            <color indexed="81"/>
            <rFont val="Tahoma"/>
            <family val="2"/>
          </rPr>
          <t>Rouzbeh Davoudi:</t>
        </r>
        <r>
          <rPr>
            <sz val="9"/>
            <color indexed="81"/>
            <rFont val="Tahoma"/>
            <family val="2"/>
          </rPr>
          <t xml:space="preserve">
12/19 was multiplied to find maximum shear force in the beam in the left suppoer (riht support 7/19)</t>
        </r>
      </text>
    </comment>
  </commentList>
</comments>
</file>

<file path=xl/comments2.xml><?xml version="1.0" encoding="utf-8"?>
<comments xmlns="http://schemas.openxmlformats.org/spreadsheetml/2006/main">
  <authors>
    <author>Rouzbeh Davoudi</author>
  </authors>
  <commentList>
    <comment ref="E1" authorId="0">
      <text>
        <r>
          <rPr>
            <b/>
            <sz val="9"/>
            <color indexed="81"/>
            <rFont val="Tahoma"/>
            <family val="2"/>
          </rPr>
          <t>Rouzbeh Davoudi:</t>
        </r>
        <r>
          <rPr>
            <sz val="9"/>
            <color indexed="81"/>
            <rFont val="Tahoma"/>
            <family val="2"/>
          </rPr>
          <t xml:space="preserve">
12/19 was multiplied to find maximum shear force in the beam in the left suppoer (riht support 7/19)</t>
        </r>
      </text>
    </comment>
  </commentList>
</comments>
</file>

<file path=xl/comments3.xml><?xml version="1.0" encoding="utf-8"?>
<comments xmlns="http://schemas.openxmlformats.org/spreadsheetml/2006/main">
  <authors>
    <author>Rouzbeh Davoudi</author>
  </authors>
  <commentList>
    <comment ref="E1" authorId="0">
      <text>
        <r>
          <rPr>
            <b/>
            <sz val="9"/>
            <color indexed="81"/>
            <rFont val="Tahoma"/>
            <family val="2"/>
          </rPr>
          <t>Rouzbeh Davoudi:</t>
        </r>
        <r>
          <rPr>
            <sz val="9"/>
            <color indexed="81"/>
            <rFont val="Tahoma"/>
            <family val="2"/>
          </rPr>
          <t xml:space="preserve">
12/19 was multiplied to find maximum shear force in the beam in the left suppoer (riht support 7/19)</t>
        </r>
      </text>
    </comment>
  </commentList>
</comments>
</file>

<file path=xl/comments4.xml><?xml version="1.0" encoding="utf-8"?>
<comments xmlns="http://schemas.openxmlformats.org/spreadsheetml/2006/main">
  <authors>
    <author>Rouzbeh Davoudi</author>
  </authors>
  <commentList>
    <comment ref="E1" authorId="0">
      <text>
        <r>
          <rPr>
            <b/>
            <sz val="9"/>
            <color indexed="81"/>
            <rFont val="Tahoma"/>
            <family val="2"/>
          </rPr>
          <t>Rouzbeh Davoudi:</t>
        </r>
        <r>
          <rPr>
            <sz val="9"/>
            <color indexed="81"/>
            <rFont val="Tahoma"/>
            <family val="2"/>
          </rPr>
          <t xml:space="preserve">
12/19 was multiplied to find maximum shear force in the beam in the left suppoer (riht support 7/19)</t>
        </r>
      </text>
    </comment>
  </commentList>
</comments>
</file>

<file path=xl/sharedStrings.xml><?xml version="1.0" encoding="utf-8"?>
<sst xmlns="http://schemas.openxmlformats.org/spreadsheetml/2006/main" count="2094" uniqueCount="312">
  <si>
    <t>Specimen-105-A</t>
  </si>
  <si>
    <t>Specimen-105-B</t>
  </si>
  <si>
    <t>Specimen-105-C</t>
  </si>
  <si>
    <t>M/EI</t>
  </si>
  <si>
    <t>Image name</t>
  </si>
  <si>
    <t>a (mm)</t>
  </si>
  <si>
    <t xml:space="preserve">width (mm) </t>
  </si>
  <si>
    <t>fc(Mpa)</t>
  </si>
  <si>
    <t>E (Mpa)</t>
  </si>
  <si>
    <t>d (mm)</t>
  </si>
  <si>
    <t>As (mm^2)</t>
  </si>
  <si>
    <t>pho (%)</t>
  </si>
  <si>
    <t>h (mm)</t>
  </si>
  <si>
    <t>M/bd^2</t>
  </si>
  <si>
    <t>M/(As fy d)</t>
  </si>
  <si>
    <t>J(mm^4)</t>
  </si>
  <si>
    <t>G (Mpa)</t>
  </si>
  <si>
    <t>I (mm^4)</t>
  </si>
  <si>
    <t>fy (Mpa)</t>
  </si>
  <si>
    <t>V/(bd)</t>
  </si>
  <si>
    <t>V/(GJ)</t>
  </si>
  <si>
    <t>Deflection at midSpan (mm)</t>
  </si>
  <si>
    <t>Length (mm)</t>
  </si>
  <si>
    <t>M (KN.mm)</t>
  </si>
  <si>
    <t>V (KN)</t>
  </si>
  <si>
    <t>Deflection at midSpan (mm)/length of the beam (mm) %</t>
  </si>
  <si>
    <t>4 -post-cap</t>
  </si>
  <si>
    <t>5- post cap</t>
  </si>
  <si>
    <t>6--post cap</t>
  </si>
  <si>
    <t>4--post cap</t>
  </si>
  <si>
    <t>Specimen-131-A</t>
  </si>
  <si>
    <t>Specimen-131-B</t>
  </si>
  <si>
    <t>Specimen-131-C</t>
  </si>
  <si>
    <t>5--post cap</t>
  </si>
  <si>
    <t>2--post cap</t>
  </si>
  <si>
    <t>Specimen-164-A</t>
  </si>
  <si>
    <t>Specimen-164-B</t>
  </si>
  <si>
    <t>Specimen-164-C</t>
  </si>
  <si>
    <t>Specimen-189-A</t>
  </si>
  <si>
    <t>Specimen-189-B</t>
  </si>
  <si>
    <t>Specimen-189-C</t>
  </si>
  <si>
    <t>A</t>
  </si>
  <si>
    <t>B</t>
  </si>
  <si>
    <t>C</t>
  </si>
  <si>
    <t>Specimen-236-A</t>
  </si>
  <si>
    <t>Specimen-236-B</t>
  </si>
  <si>
    <t>Specimen-236-C</t>
  </si>
  <si>
    <t>Specimen-335-A</t>
  </si>
  <si>
    <t>Specimen-335-B</t>
  </si>
  <si>
    <t xml:space="preserve">Specimen-335-C </t>
  </si>
  <si>
    <t>Column1</t>
  </si>
  <si>
    <t>saba76</t>
  </si>
  <si>
    <t>Final Image number</t>
  </si>
  <si>
    <t>M/(bd)</t>
  </si>
  <si>
    <t>M/bh</t>
  </si>
  <si>
    <t>A-1</t>
  </si>
  <si>
    <t>A-2</t>
  </si>
  <si>
    <t>Image Name</t>
  </si>
  <si>
    <t>Final Image name</t>
  </si>
  <si>
    <t>Image Seri</t>
  </si>
  <si>
    <t>a</t>
  </si>
  <si>
    <t>b</t>
  </si>
  <si>
    <t>c</t>
  </si>
  <si>
    <t>d</t>
  </si>
  <si>
    <t>e</t>
  </si>
  <si>
    <t>f</t>
  </si>
  <si>
    <t>g</t>
  </si>
  <si>
    <t>h</t>
  </si>
  <si>
    <t>i</t>
  </si>
  <si>
    <t>B-1</t>
  </si>
  <si>
    <t>B-2</t>
  </si>
  <si>
    <t>C-1</t>
  </si>
  <si>
    <t>C-2</t>
  </si>
  <si>
    <t>D-1</t>
  </si>
  <si>
    <t>D-2</t>
  </si>
  <si>
    <t>Column2</t>
  </si>
  <si>
    <t>b (mm)</t>
  </si>
  <si>
    <t>fc (Mpa)</t>
  </si>
  <si>
    <t>L(mm)</t>
  </si>
  <si>
    <t>M/(bhl)</t>
  </si>
  <si>
    <t>Column3</t>
  </si>
  <si>
    <t>M/(bdl)</t>
  </si>
  <si>
    <t>M/(fc bhl)</t>
  </si>
  <si>
    <t>M/(bh (l-a))</t>
  </si>
  <si>
    <t>M/(bh (l/2))</t>
  </si>
  <si>
    <t>M/(abh (l/2))</t>
  </si>
  <si>
    <t>M/(abh (l-a))</t>
  </si>
  <si>
    <t>M/(a^2 bh )</t>
  </si>
  <si>
    <t>M/(a^2 bh)</t>
  </si>
  <si>
    <t>M/(pho  bd)</t>
  </si>
  <si>
    <t>Column4</t>
  </si>
  <si>
    <t>M/(rho  bd)</t>
  </si>
  <si>
    <t>V/(fc bha)</t>
  </si>
  <si>
    <t>E</t>
  </si>
  <si>
    <t>W</t>
  </si>
  <si>
    <t>1_1_</t>
  </si>
  <si>
    <t>1_2_</t>
  </si>
  <si>
    <t>1_3_</t>
  </si>
  <si>
    <t>1_4_</t>
  </si>
  <si>
    <t>2_1_</t>
  </si>
  <si>
    <t>2_2_</t>
  </si>
  <si>
    <t>2_3_</t>
  </si>
  <si>
    <t>2_4_</t>
  </si>
  <si>
    <t>M/M_fracture</t>
  </si>
  <si>
    <t>105-A</t>
  </si>
  <si>
    <t>105-B</t>
  </si>
  <si>
    <t>105-C</t>
  </si>
  <si>
    <t>131-A</t>
  </si>
  <si>
    <t>131-B</t>
  </si>
  <si>
    <t>131-C</t>
  </si>
  <si>
    <t>164-A</t>
  </si>
  <si>
    <t>164-B</t>
  </si>
  <si>
    <t>164-C</t>
  </si>
  <si>
    <t>189-A</t>
  </si>
  <si>
    <t>189-B</t>
  </si>
  <si>
    <t>189-C</t>
  </si>
  <si>
    <t>236-A</t>
  </si>
  <si>
    <t>236-B</t>
  </si>
  <si>
    <t>236-C</t>
  </si>
  <si>
    <t>335-A</t>
  </si>
  <si>
    <t>335-B</t>
  </si>
  <si>
    <t>a/d</t>
  </si>
  <si>
    <t>Width (in)</t>
  </si>
  <si>
    <t>Length (in)</t>
  </si>
  <si>
    <t>Number of images/load steps used</t>
  </si>
  <si>
    <t>ρ (%)</t>
  </si>
  <si>
    <t>1_1</t>
  </si>
  <si>
    <t>1_2</t>
  </si>
  <si>
    <t>1_3</t>
  </si>
  <si>
    <t>1_4</t>
  </si>
  <si>
    <t>2_1</t>
  </si>
  <si>
    <t>2_2</t>
  </si>
  <si>
    <t>2_3</t>
  </si>
  <si>
    <t>2_4</t>
  </si>
  <si>
    <t>Test ID</t>
  </si>
  <si>
    <t>Specimen No</t>
  </si>
  <si>
    <t xml:space="preserve">Total Number of  Images </t>
  </si>
  <si>
    <t>Data set  1</t>
  </si>
  <si>
    <t>Data set  2</t>
  </si>
  <si>
    <t>Data set  3</t>
  </si>
  <si>
    <t>V/(2*sqrt(fc) bd)</t>
  </si>
  <si>
    <t>AT-1</t>
  </si>
  <si>
    <t>F</t>
  </si>
  <si>
    <t>AT-2/250N</t>
  </si>
  <si>
    <t>AT-2/250W</t>
  </si>
  <si>
    <t>AT-2/1000W</t>
  </si>
  <si>
    <t>AT-2/1000N</t>
  </si>
  <si>
    <t>AT-2/3000</t>
  </si>
  <si>
    <t>AT-3/N1</t>
  </si>
  <si>
    <t>AT-3/N2</t>
  </si>
  <si>
    <t>AT-3/T1</t>
  </si>
  <si>
    <t>AT-3/T2</t>
  </si>
  <si>
    <t>L-10N1</t>
  </si>
  <si>
    <t>L-10N2</t>
  </si>
  <si>
    <t>L-10H</t>
  </si>
  <si>
    <t>L-10HS</t>
  </si>
  <si>
    <t>L-20N1</t>
  </si>
  <si>
    <t>L-20N2</t>
  </si>
  <si>
    <t>L-40N1</t>
  </si>
  <si>
    <t>L-40N2</t>
  </si>
  <si>
    <t>S-10N1</t>
  </si>
  <si>
    <t>S-10N2</t>
  </si>
  <si>
    <t>S-20N1</t>
  </si>
  <si>
    <t>S-20N2</t>
  </si>
  <si>
    <t>S-40N1</t>
  </si>
  <si>
    <t>S-40N2</t>
  </si>
  <si>
    <t>S-50N1</t>
  </si>
  <si>
    <t>S-50N2</t>
  </si>
  <si>
    <t>S-20D1</t>
  </si>
  <si>
    <t>S-10H</t>
  </si>
  <si>
    <t>S-10HS</t>
  </si>
  <si>
    <t>L-20L</t>
  </si>
  <si>
    <t>A-3</t>
  </si>
  <si>
    <t>A-4</t>
  </si>
  <si>
    <t>m</t>
  </si>
  <si>
    <t>j</t>
  </si>
  <si>
    <t>k</t>
  </si>
  <si>
    <t>l</t>
  </si>
  <si>
    <t>D-3</t>
  </si>
  <si>
    <t>D-4</t>
  </si>
  <si>
    <t>D-5</t>
  </si>
  <si>
    <t>D-6</t>
  </si>
  <si>
    <t>E-1</t>
  </si>
  <si>
    <t>E-2</t>
  </si>
  <si>
    <t>F-1</t>
  </si>
  <si>
    <t>F-2</t>
  </si>
  <si>
    <t>SP1</t>
  </si>
  <si>
    <t>SP2</t>
  </si>
  <si>
    <t>SP3</t>
  </si>
  <si>
    <t>SP4</t>
  </si>
  <si>
    <t>SP5</t>
  </si>
  <si>
    <t>SP6</t>
  </si>
  <si>
    <t>y</t>
  </si>
  <si>
    <t>PLS4000</t>
  </si>
  <si>
    <t>d/a</t>
  </si>
  <si>
    <t>Test / Specimen Type</t>
  </si>
  <si>
    <t>4 point load, beam</t>
  </si>
  <si>
    <t>3 point load, beam</t>
  </si>
  <si>
    <t>d (in)</t>
  </si>
  <si>
    <t>Data set  4</t>
  </si>
  <si>
    <t>Data set  5</t>
  </si>
  <si>
    <t>3 point load, slab</t>
  </si>
  <si>
    <t>Data set 6</t>
  </si>
  <si>
    <t>Data set 7</t>
  </si>
  <si>
    <t>Uniform loading</t>
  </si>
  <si>
    <t>Tension-face loading</t>
  </si>
  <si>
    <t>Data set 8</t>
  </si>
  <si>
    <t>1L-2</t>
  </si>
  <si>
    <t>2L-1</t>
  </si>
  <si>
    <t>4k-1</t>
  </si>
  <si>
    <t>3 point load, haunched beam</t>
  </si>
  <si>
    <t>a (in)</t>
  </si>
  <si>
    <t>1L_2</t>
  </si>
  <si>
    <t>2L_1</t>
  </si>
  <si>
    <t>4k_1</t>
  </si>
  <si>
    <t>frequency</t>
  </si>
  <si>
    <t>1.5-2</t>
  </si>
  <si>
    <t>2-2.5</t>
  </si>
  <si>
    <t>2.5-3</t>
  </si>
  <si>
    <t>&lt;1.5</t>
  </si>
  <si>
    <t>3-3.5</t>
  </si>
  <si>
    <t>3.5-4</t>
  </si>
  <si>
    <t>&lt;5</t>
  </si>
  <si>
    <t>5-10</t>
  </si>
  <si>
    <t>4-5</t>
  </si>
  <si>
    <t>10-15</t>
  </si>
  <si>
    <t>15-20</t>
  </si>
  <si>
    <t>25-30</t>
  </si>
  <si>
    <t>20-25</t>
  </si>
  <si>
    <t>30-35</t>
  </si>
  <si>
    <t>35-40</t>
  </si>
  <si>
    <t>40-45</t>
  </si>
  <si>
    <t>45-50</t>
  </si>
  <si>
    <t>50-55</t>
  </si>
  <si>
    <t>55-60</t>
  </si>
  <si>
    <t>80-120</t>
  </si>
  <si>
    <t>35-80</t>
  </si>
  <si>
    <t>YB2000_0</t>
  </si>
  <si>
    <t>SB2000_3</t>
  </si>
  <si>
    <t>SB2012_0</t>
  </si>
  <si>
    <t>factor to calculate M/(pho  bd)</t>
  </si>
  <si>
    <t>Data set 9</t>
  </si>
  <si>
    <t>Data set 10</t>
  </si>
  <si>
    <t>Data set 1</t>
  </si>
  <si>
    <t>Data set 2</t>
  </si>
  <si>
    <t>Data set 3</t>
  </si>
  <si>
    <t>Data set 4</t>
  </si>
  <si>
    <t>Data set 5</t>
  </si>
  <si>
    <t>No # specimens</t>
  </si>
  <si>
    <t>No # of images/load steps used</t>
  </si>
  <si>
    <t>3 point load, deep beam</t>
  </si>
  <si>
    <t xml:space="preserve"> 3 point load, haunched beam</t>
  </si>
  <si>
    <t>1.1 - 4.81</t>
  </si>
  <si>
    <t>1.3 - 1.55</t>
  </si>
  <si>
    <t>3.2-12.1</t>
  </si>
  <si>
    <t>9-22.5</t>
  </si>
  <si>
    <t>3 point load, beam &amp; slab</t>
  </si>
  <si>
    <t>10.5-26.3</t>
  </si>
  <si>
    <t>0.55-0.85</t>
  </si>
  <si>
    <t>18.6-32.4</t>
  </si>
  <si>
    <t>55-194</t>
  </si>
  <si>
    <t>2.97-3</t>
  </si>
  <si>
    <t>9.1-32.3</t>
  </si>
  <si>
    <t>1.2-1.3</t>
  </si>
  <si>
    <t>64.8-74.8</t>
  </si>
  <si>
    <t>9-22.6</t>
  </si>
  <si>
    <t>8.0-24</t>
  </si>
  <si>
    <t>78-195</t>
  </si>
  <si>
    <t>77.9-240</t>
  </si>
  <si>
    <t>2.3-2.9</t>
  </si>
  <si>
    <t>10.6-26.4</t>
  </si>
  <si>
    <t>0.63-0.98</t>
  </si>
  <si>
    <t>22.8-33.8</t>
  </si>
  <si>
    <t>42.5-318.9</t>
  </si>
  <si>
    <t>2.79-3.4</t>
  </si>
  <si>
    <t>11-57.1</t>
  </si>
  <si>
    <t>0.3-1.33</t>
  </si>
  <si>
    <t>29.1-77.3</t>
  </si>
  <si>
    <t>425-441.7</t>
  </si>
  <si>
    <t>2.8-2.9</t>
  </si>
  <si>
    <t>0.4-1.5</t>
  </si>
  <si>
    <t>26.2-28.3</t>
  </si>
  <si>
    <t>141-236</t>
  </si>
  <si>
    <t>-</t>
  </si>
  <si>
    <t>39-64</t>
  </si>
  <si>
    <t>70.8-118</t>
  </si>
  <si>
    <t>1.57-3.1</t>
  </si>
  <si>
    <t>35.4-59.1</t>
  </si>
  <si>
    <t>4.8-118.3</t>
  </si>
  <si>
    <t>42.5-937</t>
  </si>
  <si>
    <t>3-5.0</t>
  </si>
  <si>
    <t>3.2-151.2</t>
  </si>
  <si>
    <t>0.3-3.1</t>
  </si>
  <si>
    <t>18.6-77.3</t>
  </si>
  <si>
    <t>1.1-5.0</t>
  </si>
  <si>
    <t>Overall</t>
  </si>
  <si>
    <t>Column5</t>
  </si>
  <si>
    <t>Column6</t>
  </si>
  <si>
    <t>V</t>
  </si>
  <si>
    <t>Vaci</t>
  </si>
  <si>
    <t>M_ult</t>
  </si>
  <si>
    <t>M/(rho  bd^2)</t>
  </si>
  <si>
    <t>V/(2*sqrt(fc) bd)2</t>
  </si>
  <si>
    <t>bd2</t>
  </si>
  <si>
    <t>width</t>
  </si>
  <si>
    <t>a/h</t>
  </si>
  <si>
    <t>bh2</t>
  </si>
  <si>
    <t>M/bh^2</t>
  </si>
  <si>
    <t>slab</t>
  </si>
  <si>
    <t>uniform</t>
  </si>
  <si>
    <t>4m deep</t>
  </si>
  <si>
    <t>haunched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</si>
</sst>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"/>
    <numFmt numFmtId="165" formatCode="0.0"/>
  </numFmts>
  <fonts count="1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i/>
      <sz val="12"/>
      <color theme="1"/>
      <name val="Times New Roman"/>
      <family val="1"/>
    </font>
    <font>
      <sz val="12"/>
      <color theme="1"/>
      <name val="Times New Roman"/>
      <family val="1"/>
    </font>
    <font>
      <b/>
      <i/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Times New Roman"/>
      <family val="1"/>
    </font>
    <font>
      <b/>
      <sz val="11"/>
      <color theme="1"/>
      <name val="Calibri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6D6D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4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42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0" fillId="3" borderId="21" xfId="0" applyFill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9" xfId="0" applyFont="1" applyFill="1" applyBorder="1" applyAlignment="1">
      <alignment horizontal="center" vertical="center"/>
    </xf>
    <xf numFmtId="0" fontId="0" fillId="0" borderId="29" xfId="0" applyFont="1" applyFill="1" applyBorder="1" applyAlignment="1">
      <alignment horizontal="center" vertical="center"/>
    </xf>
    <xf numFmtId="0" fontId="0" fillId="0" borderId="20" xfId="0" applyFont="1" applyFill="1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0" fillId="0" borderId="29" xfId="0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17" xfId="0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0" fillId="5" borderId="25" xfId="0" applyFont="1" applyFill="1" applyBorder="1" applyAlignment="1">
      <alignment horizontal="center" vertical="center"/>
    </xf>
    <xf numFmtId="0" fontId="0" fillId="5" borderId="4" xfId="0" applyFont="1" applyFill="1" applyBorder="1" applyAlignment="1">
      <alignment horizontal="center" vertical="center"/>
    </xf>
    <xf numFmtId="0" fontId="0" fillId="5" borderId="21" xfId="0" applyFont="1" applyFill="1" applyBorder="1" applyAlignment="1">
      <alignment horizontal="center" vertical="center"/>
    </xf>
    <xf numFmtId="0" fontId="0" fillId="5" borderId="20" xfId="0" applyFont="1" applyFill="1" applyBorder="1" applyAlignment="1">
      <alignment horizontal="center" vertical="center"/>
    </xf>
    <xf numFmtId="0" fontId="0" fillId="5" borderId="15" xfId="0" applyFont="1" applyFill="1" applyBorder="1" applyAlignment="1">
      <alignment horizontal="center" vertical="center"/>
    </xf>
    <xf numFmtId="0" fontId="0" fillId="5" borderId="8" xfId="0" applyFont="1" applyFill="1" applyBorder="1" applyAlignment="1">
      <alignment horizontal="center" vertical="center"/>
    </xf>
    <xf numFmtId="0" fontId="0" fillId="5" borderId="10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0" fontId="0" fillId="5" borderId="11" xfId="0" applyFont="1" applyFill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8" xfId="0" applyFont="1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0" xfId="0" applyFill="1" applyBorder="1" applyAlignment="1">
      <alignment horizontal="center" vertical="center"/>
    </xf>
    <xf numFmtId="0" fontId="0" fillId="0" borderId="32" xfId="0" applyFill="1" applyBorder="1" applyAlignment="1">
      <alignment horizontal="center" vertical="center"/>
    </xf>
    <xf numFmtId="0" fontId="0" fillId="0" borderId="33" xfId="0" applyFill="1" applyBorder="1" applyAlignment="1">
      <alignment horizontal="center" vertical="center"/>
    </xf>
    <xf numFmtId="0" fontId="0" fillId="5" borderId="30" xfId="0" applyFont="1" applyFill="1" applyBorder="1" applyAlignment="1">
      <alignment horizontal="center" vertical="center"/>
    </xf>
    <xf numFmtId="0" fontId="0" fillId="5" borderId="32" xfId="0" applyFont="1" applyFill="1" applyBorder="1" applyAlignment="1">
      <alignment horizontal="center" vertical="center"/>
    </xf>
    <xf numFmtId="0" fontId="0" fillId="5" borderId="33" xfId="0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2" fillId="7" borderId="23" xfId="0" applyFont="1" applyFill="1" applyBorder="1" applyAlignment="1">
      <alignment horizontal="center" vertical="center"/>
    </xf>
    <xf numFmtId="0" fontId="2" fillId="8" borderId="22" xfId="0" applyFont="1" applyFill="1" applyBorder="1" applyAlignment="1">
      <alignment horizontal="center" vertical="center"/>
    </xf>
    <xf numFmtId="0" fontId="2" fillId="4" borderId="22" xfId="0" applyFont="1" applyFill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2" fillId="10" borderId="22" xfId="0" applyFont="1" applyFill="1" applyBorder="1" applyAlignment="1">
      <alignment horizontal="center" vertical="center"/>
    </xf>
    <xf numFmtId="0" fontId="2" fillId="11" borderId="13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0" fontId="2" fillId="12" borderId="22" xfId="0" applyFont="1" applyFill="1" applyBorder="1" applyAlignment="1">
      <alignment horizontal="center" vertical="center"/>
    </xf>
    <xf numFmtId="0" fontId="2" fillId="6" borderId="22" xfId="0" applyFont="1" applyFill="1" applyBorder="1" applyAlignment="1">
      <alignment horizontal="center" vertical="center"/>
    </xf>
    <xf numFmtId="0" fontId="2" fillId="14" borderId="26" xfId="0" applyFont="1" applyFill="1" applyBorder="1" applyAlignment="1">
      <alignment horizontal="center" vertical="center"/>
    </xf>
    <xf numFmtId="0" fontId="2" fillId="14" borderId="27" xfId="0" applyFont="1" applyFill="1" applyBorder="1" applyAlignment="1">
      <alignment horizontal="center" vertical="center"/>
    </xf>
    <xf numFmtId="0" fontId="2" fillId="14" borderId="28" xfId="0" applyFont="1" applyFill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/>
    </xf>
    <xf numFmtId="0" fontId="2" fillId="15" borderId="22" xfId="0" applyFont="1" applyFill="1" applyBorder="1" applyAlignment="1">
      <alignment horizontal="center" vertical="center"/>
    </xf>
    <xf numFmtId="0" fontId="2" fillId="16" borderId="22" xfId="0" applyFont="1" applyFill="1" applyBorder="1" applyAlignment="1">
      <alignment horizontal="center" vertical="center"/>
    </xf>
    <xf numFmtId="0" fontId="2" fillId="17" borderId="22" xfId="0" applyFont="1" applyFill="1" applyBorder="1" applyAlignment="1">
      <alignment horizontal="center" vertical="center"/>
    </xf>
    <xf numFmtId="0" fontId="2" fillId="18" borderId="22" xfId="0" applyFont="1" applyFill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36" xfId="0" applyFont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0" fillId="3" borderId="37" xfId="0" applyFill="1" applyBorder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8" borderId="31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15" borderId="17" xfId="0" applyFill="1" applyBorder="1" applyAlignment="1">
      <alignment horizontal="center" vertical="center"/>
    </xf>
    <xf numFmtId="0" fontId="0" fillId="15" borderId="4" xfId="0" applyFill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Fill="1"/>
    <xf numFmtId="0" fontId="4" fillId="21" borderId="0" xfId="0" applyFont="1" applyFill="1" applyAlignment="1">
      <alignment horizontal="center" vertical="center"/>
    </xf>
    <xf numFmtId="0" fontId="2" fillId="7" borderId="4" xfId="0" applyFont="1" applyFill="1" applyBorder="1" applyAlignment="1">
      <alignment horizontal="center" vertical="center" wrapText="1"/>
    </xf>
    <xf numFmtId="0" fontId="0" fillId="0" borderId="4" xfId="0" applyBorder="1"/>
    <xf numFmtId="0" fontId="0" fillId="0" borderId="4" xfId="0" applyFill="1" applyBorder="1"/>
    <xf numFmtId="0" fontId="0" fillId="0" borderId="4" xfId="0" applyFill="1" applyBorder="1" applyAlignment="1">
      <alignment horizontal="center"/>
    </xf>
    <xf numFmtId="0" fontId="3" fillId="7" borderId="4" xfId="0" applyFont="1" applyFill="1" applyBorder="1" applyAlignment="1">
      <alignment horizontal="center" vertical="center" wrapText="1"/>
    </xf>
    <xf numFmtId="0" fontId="0" fillId="19" borderId="4" xfId="0" applyFill="1" applyBorder="1" applyAlignment="1">
      <alignment horizontal="center" wrapText="1"/>
    </xf>
    <xf numFmtId="0" fontId="1" fillId="19" borderId="4" xfId="0" applyFont="1" applyFill="1" applyBorder="1" applyAlignment="1">
      <alignment horizontal="center" wrapText="1"/>
    </xf>
    <xf numFmtId="0" fontId="2" fillId="14" borderId="4" xfId="0" applyFont="1" applyFill="1" applyBorder="1" applyAlignment="1">
      <alignment horizontal="center" vertical="center" wrapText="1"/>
    </xf>
    <xf numFmtId="0" fontId="3" fillId="14" borderId="4" xfId="0" applyFont="1" applyFill="1" applyBorder="1" applyAlignment="1">
      <alignment horizontal="center" vertical="center" wrapText="1"/>
    </xf>
    <xf numFmtId="0" fontId="2" fillId="20" borderId="4" xfId="0" applyFont="1" applyFill="1" applyBorder="1" applyAlignment="1">
      <alignment horizontal="center" vertical="center" wrapText="1"/>
    </xf>
    <xf numFmtId="0" fontId="3" fillId="20" borderId="4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2" fillId="16" borderId="4" xfId="0" applyFont="1" applyFill="1" applyBorder="1" applyAlignment="1">
      <alignment horizontal="center" vertical="center" wrapText="1"/>
    </xf>
    <xf numFmtId="0" fontId="3" fillId="16" borderId="4" xfId="0" applyFont="1" applyFill="1" applyBorder="1" applyAlignment="1">
      <alignment horizontal="center" vertical="center" wrapText="1"/>
    </xf>
    <xf numFmtId="0" fontId="0" fillId="15" borderId="4" xfId="0" applyFill="1" applyBorder="1"/>
    <xf numFmtId="164" fontId="0" fillId="15" borderId="4" xfId="0" applyNumberFormat="1" applyFill="1" applyBorder="1"/>
    <xf numFmtId="0" fontId="0" fillId="15" borderId="4" xfId="0" applyFill="1" applyBorder="1" applyAlignment="1">
      <alignment horizontal="center"/>
    </xf>
    <xf numFmtId="0" fontId="5" fillId="21" borderId="0" xfId="0" applyFont="1" applyFill="1" applyAlignment="1">
      <alignment horizontal="center" vertical="center"/>
    </xf>
    <xf numFmtId="164" fontId="0" fillId="0" borderId="4" xfId="0" applyNumberFormat="1" applyFill="1" applyBorder="1"/>
    <xf numFmtId="0" fontId="4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2" fillId="22" borderId="4" xfId="0" applyFont="1" applyFill="1" applyBorder="1" applyAlignment="1">
      <alignment horizontal="center" vertical="center" wrapText="1"/>
    </xf>
    <xf numFmtId="0" fontId="3" fillId="22" borderId="4" xfId="0" applyFont="1" applyFill="1" applyBorder="1" applyAlignment="1">
      <alignment horizontal="center" vertical="center" wrapText="1"/>
    </xf>
    <xf numFmtId="0" fontId="0" fillId="0" borderId="4" xfId="0" applyNumberFormat="1" applyFill="1" applyBorder="1"/>
    <xf numFmtId="0" fontId="0" fillId="0" borderId="4" xfId="0" applyNumberFormat="1" applyBorder="1"/>
    <xf numFmtId="0" fontId="0" fillId="0" borderId="4" xfId="0" applyNumberFormat="1" applyFill="1" applyBorder="1" applyAlignment="1">
      <alignment horizontal="center" vertical="center"/>
    </xf>
    <xf numFmtId="0" fontId="0" fillId="0" borderId="4" xfId="0" applyNumberFormat="1" applyFill="1" applyBorder="1" applyAlignment="1">
      <alignment horizontal="center"/>
    </xf>
    <xf numFmtId="0" fontId="0" fillId="0" borderId="0" xfId="0" applyBorder="1"/>
    <xf numFmtId="164" fontId="0" fillId="0" borderId="4" xfId="0" applyNumberForma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right" vertical="center"/>
    </xf>
    <xf numFmtId="0" fontId="0" fillId="0" borderId="17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22" borderId="4" xfId="0" applyFill="1" applyBorder="1" applyAlignment="1">
      <alignment horizontal="left"/>
    </xf>
    <xf numFmtId="0" fontId="0" fillId="0" borderId="4" xfId="0" applyNumberFormat="1" applyBorder="1" applyAlignment="1">
      <alignment horizontal="center"/>
    </xf>
    <xf numFmtId="0" fontId="0" fillId="0" borderId="4" xfId="0" applyNumberFormat="1" applyBorder="1" applyAlignment="1">
      <alignment horizontal="center" vertical="center"/>
    </xf>
    <xf numFmtId="0" fontId="0" fillId="9" borderId="4" xfId="0" applyFill="1" applyBorder="1" applyAlignment="1">
      <alignment horizontal="left"/>
    </xf>
    <xf numFmtId="0" fontId="0" fillId="25" borderId="4" xfId="0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5" fillId="21" borderId="0" xfId="0" applyFont="1" applyFill="1" applyBorder="1" applyAlignment="1">
      <alignment horizontal="center" vertical="center"/>
    </xf>
    <xf numFmtId="0" fontId="0" fillId="26" borderId="4" xfId="0" applyFill="1" applyBorder="1" applyAlignment="1">
      <alignment horizontal="left"/>
    </xf>
    <xf numFmtId="0" fontId="0" fillId="0" borderId="17" xfId="0" applyBorder="1" applyAlignment="1">
      <alignment horizontal="right" vertical="center" wrapText="1"/>
    </xf>
    <xf numFmtId="16" fontId="2" fillId="22" borderId="4" xfId="0" applyNumberFormat="1" applyFont="1" applyFill="1" applyBorder="1" applyAlignment="1">
      <alignment horizontal="right" wrapText="1"/>
    </xf>
    <xf numFmtId="16" fontId="2" fillId="23" borderId="4" xfId="0" applyNumberFormat="1" applyFont="1" applyFill="1" applyBorder="1" applyAlignment="1">
      <alignment horizontal="right" wrapText="1"/>
    </xf>
    <xf numFmtId="16" fontId="2" fillId="4" borderId="4" xfId="0" applyNumberFormat="1" applyFont="1" applyFill="1" applyBorder="1" applyAlignment="1">
      <alignment horizontal="right" wrapText="1"/>
    </xf>
    <xf numFmtId="16" fontId="2" fillId="11" borderId="4" xfId="0" applyNumberFormat="1" applyFont="1" applyFill="1" applyBorder="1" applyAlignment="1">
      <alignment horizontal="right" wrapText="1"/>
    </xf>
    <xf numFmtId="16" fontId="2" fillId="24" borderId="4" xfId="0" applyNumberFormat="1" applyFont="1" applyFill="1" applyBorder="1" applyAlignment="1">
      <alignment horizontal="right" wrapText="1"/>
    </xf>
    <xf numFmtId="16" fontId="2" fillId="9" borderId="4" xfId="0" applyNumberFormat="1" applyFont="1" applyFill="1" applyBorder="1" applyAlignment="1">
      <alignment horizontal="right" wrapText="1"/>
    </xf>
    <xf numFmtId="16" fontId="2" fillId="25" borderId="4" xfId="0" applyNumberFormat="1" applyFont="1" applyFill="1" applyBorder="1" applyAlignment="1">
      <alignment horizontal="right" wrapText="1"/>
    </xf>
    <xf numFmtId="0" fontId="0" fillId="26" borderId="4" xfId="0" applyFill="1" applyBorder="1" applyAlignment="1">
      <alignment horizontal="right" wrapText="1"/>
    </xf>
    <xf numFmtId="0" fontId="0" fillId="0" borderId="4" xfId="0" applyBorder="1" applyAlignment="1">
      <alignment horizontal="center"/>
    </xf>
    <xf numFmtId="0" fontId="0" fillId="23" borderId="4" xfId="0" applyFill="1" applyBorder="1" applyAlignment="1">
      <alignment horizontal="left"/>
    </xf>
    <xf numFmtId="0" fontId="0" fillId="4" borderId="4" xfId="0" applyFill="1" applyBorder="1" applyAlignment="1">
      <alignment horizontal="left"/>
    </xf>
    <xf numFmtId="0" fontId="0" fillId="11" borderId="4" xfId="0" applyFill="1" applyBorder="1" applyAlignment="1">
      <alignment horizontal="left"/>
    </xf>
    <xf numFmtId="0" fontId="0" fillId="24" borderId="4" xfId="0" applyFill="1" applyBorder="1" applyAlignment="1">
      <alignment horizontal="left"/>
    </xf>
    <xf numFmtId="0" fontId="0" fillId="16" borderId="4" xfId="0" applyFill="1" applyBorder="1" applyAlignment="1">
      <alignment horizontal="center"/>
    </xf>
    <xf numFmtId="0" fontId="0" fillId="27" borderId="4" xfId="0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7" fillId="0" borderId="0" xfId="0" applyFont="1"/>
    <xf numFmtId="0" fontId="7" fillId="0" borderId="4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7" fillId="5" borderId="4" xfId="0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/>
    </xf>
    <xf numFmtId="0" fontId="10" fillId="0" borderId="0" xfId="0" applyFont="1"/>
    <xf numFmtId="0" fontId="11" fillId="0" borderId="0" xfId="0" applyFont="1"/>
    <xf numFmtId="0" fontId="0" fillId="22" borderId="0" xfId="0" applyFill="1" applyAlignment="1">
      <alignment horizontal="center"/>
    </xf>
    <xf numFmtId="0" fontId="0" fillId="0" borderId="0" xfId="0" applyAlignment="1"/>
    <xf numFmtId="0" fontId="0" fillId="22" borderId="0" xfId="0" applyFill="1" applyAlignment="1">
      <alignment horizontal="left"/>
    </xf>
    <xf numFmtId="0" fontId="4" fillId="21" borderId="0" xfId="0" applyFont="1" applyFill="1" applyBorder="1" applyAlignment="1">
      <alignment horizontal="center" vertical="center"/>
    </xf>
    <xf numFmtId="0" fontId="0" fillId="9" borderId="4" xfId="0" applyFill="1" applyBorder="1" applyAlignment="1">
      <alignment horizontal="center"/>
    </xf>
    <xf numFmtId="0" fontId="0" fillId="23" borderId="4" xfId="0" applyFill="1" applyBorder="1" applyAlignment="1">
      <alignment horizontal="center"/>
    </xf>
    <xf numFmtId="0" fontId="0" fillId="0" borderId="0" xfId="0" applyFill="1" applyBorder="1"/>
    <xf numFmtId="0" fontId="0" fillId="6" borderId="4" xfId="0" applyFill="1" applyBorder="1" applyAlignment="1">
      <alignment horizontal="center"/>
    </xf>
    <xf numFmtId="0" fontId="0" fillId="6" borderId="4" xfId="0" applyFill="1" applyBorder="1"/>
    <xf numFmtId="0" fontId="0" fillId="22" borderId="4" xfId="0" applyFill="1" applyBorder="1" applyAlignment="1">
      <alignment horizontal="center"/>
    </xf>
    <xf numFmtId="0" fontId="0" fillId="32" borderId="4" xfId="0" applyFill="1" applyBorder="1" applyAlignment="1">
      <alignment horizontal="center"/>
    </xf>
    <xf numFmtId="0" fontId="0" fillId="0" borderId="17" xfId="0" applyBorder="1" applyAlignment="1">
      <alignment vertical="center" wrapText="1"/>
    </xf>
    <xf numFmtId="0" fontId="0" fillId="0" borderId="0" xfId="0" applyAlignment="1">
      <alignment vertical="center"/>
    </xf>
    <xf numFmtId="0" fontId="0" fillId="0" borderId="17" xfId="0" applyBorder="1" applyAlignment="1">
      <alignment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 wrapText="1"/>
    </xf>
    <xf numFmtId="0" fontId="0" fillId="0" borderId="39" xfId="0" applyBorder="1" applyAlignment="1">
      <alignment horizontal="center" vertical="center"/>
    </xf>
    <xf numFmtId="0" fontId="2" fillId="16" borderId="21" xfId="0" applyFont="1" applyFill="1" applyBorder="1" applyAlignment="1">
      <alignment horizontal="center" vertical="center"/>
    </xf>
    <xf numFmtId="0" fontId="2" fillId="16" borderId="4" xfId="0" applyFont="1" applyFill="1" applyBorder="1" applyAlignment="1">
      <alignment horizontal="center" vertical="center"/>
    </xf>
    <xf numFmtId="0" fontId="2" fillId="8" borderId="21" xfId="0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10" borderId="21" xfId="0" applyFont="1" applyFill="1" applyBorder="1" applyAlignment="1">
      <alignment horizontal="center" vertical="center"/>
    </xf>
    <xf numFmtId="0" fontId="2" fillId="10" borderId="4" xfId="0" applyFont="1" applyFill="1" applyBorder="1" applyAlignment="1">
      <alignment horizontal="center" vertical="center"/>
    </xf>
    <xf numFmtId="0" fontId="2" fillId="11" borderId="21" xfId="0" applyFont="1" applyFill="1" applyBorder="1" applyAlignment="1">
      <alignment horizontal="center" vertical="center"/>
    </xf>
    <xf numFmtId="0" fontId="2" fillId="11" borderId="4" xfId="0" applyFont="1" applyFill="1" applyBorder="1" applyAlignment="1">
      <alignment horizontal="center" vertical="center"/>
    </xf>
    <xf numFmtId="0" fontId="2" fillId="9" borderId="21" xfId="0" applyFont="1" applyFill="1" applyBorder="1" applyAlignment="1">
      <alignment horizontal="center" vertical="center"/>
    </xf>
    <xf numFmtId="0" fontId="2" fillId="9" borderId="4" xfId="0" applyFont="1" applyFill="1" applyBorder="1" applyAlignment="1">
      <alignment horizontal="center" vertical="center"/>
    </xf>
    <xf numFmtId="0" fontId="2" fillId="12" borderId="21" xfId="0" applyFont="1" applyFill="1" applyBorder="1" applyAlignment="1">
      <alignment horizontal="center" vertical="center"/>
    </xf>
    <xf numFmtId="0" fontId="2" fillId="12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2" fillId="14" borderId="21" xfId="0" applyFont="1" applyFill="1" applyBorder="1" applyAlignment="1">
      <alignment horizontal="center" vertical="center"/>
    </xf>
    <xf numFmtId="0" fontId="2" fillId="14" borderId="4" xfId="0" applyFont="1" applyFill="1" applyBorder="1" applyAlignment="1">
      <alignment horizontal="center" vertical="center"/>
    </xf>
    <xf numFmtId="0" fontId="2" fillId="13" borderId="21" xfId="0" applyFont="1" applyFill="1" applyBorder="1" applyAlignment="1">
      <alignment horizontal="center" vertical="center"/>
    </xf>
    <xf numFmtId="0" fontId="2" fillId="13" borderId="4" xfId="0" applyFont="1" applyFill="1" applyBorder="1" applyAlignment="1">
      <alignment horizontal="center" vertical="center"/>
    </xf>
    <xf numFmtId="0" fontId="2" fillId="15" borderId="21" xfId="0" applyFont="1" applyFill="1" applyBorder="1" applyAlignment="1">
      <alignment horizontal="center" vertical="center"/>
    </xf>
    <xf numFmtId="0" fontId="2" fillId="15" borderId="4" xfId="0" applyFont="1" applyFill="1" applyBorder="1" applyAlignment="1">
      <alignment horizontal="center" vertical="center"/>
    </xf>
    <xf numFmtId="0" fontId="2" fillId="17" borderId="21" xfId="0" applyFont="1" applyFill="1" applyBorder="1" applyAlignment="1">
      <alignment horizontal="center" vertical="center"/>
    </xf>
    <xf numFmtId="0" fontId="2" fillId="17" borderId="4" xfId="0" applyFont="1" applyFill="1" applyBorder="1" applyAlignment="1">
      <alignment horizontal="center" vertical="center"/>
    </xf>
    <xf numFmtId="0" fontId="2" fillId="18" borderId="21" xfId="0" applyFont="1" applyFill="1" applyBorder="1" applyAlignment="1">
      <alignment horizontal="center" vertical="center"/>
    </xf>
    <xf numFmtId="0" fontId="2" fillId="18" borderId="4" xfId="0" applyFont="1" applyFill="1" applyBorder="1" applyAlignment="1">
      <alignment horizontal="center" vertical="center"/>
    </xf>
    <xf numFmtId="0" fontId="2" fillId="18" borderId="25" xfId="0" applyFont="1" applyFill="1" applyBorder="1" applyAlignment="1">
      <alignment horizontal="center" vertical="center"/>
    </xf>
    <xf numFmtId="0" fontId="2" fillId="18" borderId="17" xfId="0" applyFont="1" applyFill="1" applyBorder="1" applyAlignment="1">
      <alignment horizontal="center" vertical="center"/>
    </xf>
    <xf numFmtId="0" fontId="0" fillId="23" borderId="4" xfId="0" applyFill="1" applyBorder="1"/>
    <xf numFmtId="0" fontId="0" fillId="22" borderId="4" xfId="0" applyFill="1" applyBorder="1" applyAlignment="1">
      <alignment horizontal="center" vertical="center" wrapText="1"/>
    </xf>
    <xf numFmtId="0" fontId="0" fillId="22" borderId="4" xfId="0" applyFill="1" applyBorder="1"/>
    <xf numFmtId="0" fontId="0" fillId="32" borderId="4" xfId="0" applyFill="1" applyBorder="1" applyAlignment="1">
      <alignment horizontal="center" vertical="center" wrapText="1"/>
    </xf>
    <xf numFmtId="0" fontId="0" fillId="32" borderId="4" xfId="0" applyFill="1" applyBorder="1"/>
    <xf numFmtId="0" fontId="0" fillId="9" borderId="4" xfId="0" applyFill="1" applyBorder="1" applyAlignment="1">
      <alignment horizontal="center" vertical="center" wrapText="1"/>
    </xf>
    <xf numFmtId="0" fontId="0" fillId="9" borderId="4" xfId="0" applyFill="1" applyBorder="1"/>
    <xf numFmtId="0" fontId="0" fillId="0" borderId="4" xfId="0" applyBorder="1" applyAlignment="1">
      <alignment horizontal="right" vertical="center" wrapText="1"/>
    </xf>
    <xf numFmtId="0" fontId="0" fillId="0" borderId="4" xfId="0" applyBorder="1" applyAlignment="1">
      <alignment horizontal="left" vertical="center" wrapText="1"/>
    </xf>
    <xf numFmtId="0" fontId="0" fillId="22" borderId="4" xfId="0" applyFill="1" applyBorder="1" applyAlignment="1">
      <alignment horizontal="left" vertical="center"/>
    </xf>
    <xf numFmtId="0" fontId="0" fillId="19" borderId="4" xfId="0" applyFill="1" applyBorder="1" applyAlignment="1">
      <alignment horizontal="left"/>
    </xf>
    <xf numFmtId="0" fontId="0" fillId="19" borderId="4" xfId="0" applyFill="1" applyBorder="1"/>
    <xf numFmtId="0" fontId="0" fillId="8" borderId="4" xfId="0" applyFill="1" applyBorder="1" applyAlignment="1">
      <alignment horizontal="left"/>
    </xf>
    <xf numFmtId="0" fontId="0" fillId="8" borderId="4" xfId="0" applyFill="1" applyBorder="1"/>
    <xf numFmtId="0" fontId="0" fillId="6" borderId="4" xfId="0" applyFill="1" applyBorder="1" applyAlignment="1">
      <alignment horizontal="left"/>
    </xf>
    <xf numFmtId="0" fontId="0" fillId="24" borderId="4" xfId="0" applyFill="1" applyBorder="1"/>
    <xf numFmtId="0" fontId="0" fillId="11" borderId="4" xfId="0" applyFill="1" applyBorder="1"/>
    <xf numFmtId="0" fontId="0" fillId="26" borderId="4" xfId="0" applyFill="1" applyBorder="1"/>
    <xf numFmtId="0" fontId="0" fillId="32" borderId="4" xfId="0" applyFill="1" applyBorder="1" applyAlignment="1">
      <alignment horizontal="left"/>
    </xf>
    <xf numFmtId="0" fontId="0" fillId="3" borderId="4" xfId="0" applyFill="1" applyBorder="1" applyAlignment="1">
      <alignment horizontal="left"/>
    </xf>
    <xf numFmtId="0" fontId="0" fillId="3" borderId="4" xfId="0" applyFill="1" applyBorder="1"/>
    <xf numFmtId="0" fontId="0" fillId="23" borderId="4" xfId="0" applyFill="1" applyBorder="1" applyAlignment="1">
      <alignment horizontal="left" vertical="center"/>
    </xf>
    <xf numFmtId="0" fontId="0" fillId="30" borderId="4" xfId="0" applyFill="1" applyBorder="1" applyAlignment="1">
      <alignment horizontal="left"/>
    </xf>
    <xf numFmtId="0" fontId="0" fillId="30" borderId="4" xfId="0" applyFill="1" applyBorder="1"/>
    <xf numFmtId="0" fontId="0" fillId="15" borderId="4" xfId="0" applyFill="1" applyBorder="1" applyAlignment="1">
      <alignment horizontal="left"/>
    </xf>
    <xf numFmtId="0" fontId="0" fillId="34" borderId="4" xfId="0" applyFill="1" applyBorder="1" applyAlignment="1">
      <alignment horizontal="left" vertical="center"/>
    </xf>
    <xf numFmtId="0" fontId="0" fillId="34" borderId="4" xfId="0" applyFill="1" applyBorder="1" applyAlignment="1">
      <alignment horizontal="center" vertical="center"/>
    </xf>
    <xf numFmtId="0" fontId="0" fillId="33" borderId="4" xfId="0" applyFill="1" applyBorder="1" applyAlignment="1">
      <alignment horizontal="left" vertical="center"/>
    </xf>
    <xf numFmtId="0" fontId="0" fillId="33" borderId="4" xfId="0" applyFill="1" applyBorder="1" applyAlignment="1">
      <alignment horizontal="center" vertical="center"/>
    </xf>
    <xf numFmtId="0" fontId="0" fillId="8" borderId="4" xfId="0" applyFill="1" applyBorder="1" applyAlignment="1">
      <alignment horizontal="left" vertical="center"/>
    </xf>
    <xf numFmtId="0" fontId="0" fillId="8" borderId="4" xfId="0" applyFill="1" applyBorder="1" applyAlignment="1">
      <alignment horizontal="center" vertical="center"/>
    </xf>
    <xf numFmtId="0" fontId="0" fillId="29" borderId="4" xfId="0" applyFill="1" applyBorder="1" applyAlignment="1">
      <alignment horizontal="left" vertical="center"/>
    </xf>
    <xf numFmtId="0" fontId="0" fillId="29" borderId="4" xfId="0" applyFill="1" applyBorder="1" applyAlignment="1">
      <alignment horizontal="center" vertical="center"/>
    </xf>
    <xf numFmtId="0" fontId="0" fillId="32" borderId="4" xfId="0" applyFill="1" applyBorder="1" applyAlignment="1">
      <alignment horizontal="left" vertical="center"/>
    </xf>
    <xf numFmtId="0" fontId="0" fillId="32" borderId="4" xfId="0" applyFill="1" applyBorder="1" applyAlignment="1">
      <alignment horizontal="center" vertical="center"/>
    </xf>
    <xf numFmtId="0" fontId="0" fillId="31" borderId="4" xfId="0" applyFill="1" applyBorder="1" applyAlignment="1">
      <alignment horizontal="left" vertical="center"/>
    </xf>
    <xf numFmtId="0" fontId="0" fillId="31" borderId="4" xfId="0" applyFill="1" applyBorder="1" applyAlignment="1">
      <alignment horizontal="center" vertical="center"/>
    </xf>
    <xf numFmtId="0" fontId="0" fillId="28" borderId="4" xfId="0" applyFill="1" applyBorder="1" applyAlignment="1">
      <alignment horizontal="left" vertical="center"/>
    </xf>
    <xf numFmtId="0" fontId="0" fillId="28" borderId="4" xfId="0" applyFill="1" applyBorder="1" applyAlignment="1">
      <alignment horizontal="center" vertical="center"/>
    </xf>
    <xf numFmtId="0" fontId="0" fillId="6" borderId="4" xfId="0" applyFill="1" applyBorder="1" applyAlignment="1">
      <alignment horizontal="left" vertical="center"/>
    </xf>
    <xf numFmtId="0" fontId="0" fillId="6" borderId="4" xfId="0" applyFill="1" applyBorder="1" applyAlignment="1">
      <alignment horizontal="center" vertical="center"/>
    </xf>
    <xf numFmtId="0" fontId="0" fillId="10" borderId="4" xfId="0" applyFill="1" applyBorder="1" applyAlignment="1">
      <alignment horizontal="left" vertical="center"/>
    </xf>
    <xf numFmtId="0" fontId="0" fillId="10" borderId="4" xfId="0" applyFill="1" applyBorder="1" applyAlignment="1">
      <alignment horizontal="center" vertical="center"/>
    </xf>
    <xf numFmtId="0" fontId="0" fillId="19" borderId="4" xfId="0" applyFill="1" applyBorder="1" applyAlignment="1">
      <alignment horizontal="left" vertical="center"/>
    </xf>
    <xf numFmtId="0" fontId="0" fillId="19" borderId="4" xfId="0" applyFill="1" applyBorder="1" applyAlignment="1">
      <alignment horizontal="center" vertical="center"/>
    </xf>
    <xf numFmtId="0" fontId="0" fillId="35" borderId="4" xfId="0" applyFill="1" applyBorder="1" applyAlignment="1">
      <alignment horizontal="left" vertical="center"/>
    </xf>
    <xf numFmtId="0" fontId="0" fillId="35" borderId="4" xfId="0" applyFill="1" applyBorder="1" applyAlignment="1">
      <alignment horizontal="center" vertical="center"/>
    </xf>
    <xf numFmtId="0" fontId="0" fillId="30" borderId="4" xfId="0" applyFill="1" applyBorder="1" applyAlignment="1">
      <alignment horizontal="left" vertical="center"/>
    </xf>
    <xf numFmtId="0" fontId="0" fillId="30" borderId="4" xfId="0" applyFill="1" applyBorder="1" applyAlignment="1">
      <alignment horizontal="center" vertical="center"/>
    </xf>
    <xf numFmtId="0" fontId="0" fillId="0" borderId="4" xfId="0" applyBorder="1" applyAlignment="1">
      <alignment vertical="center" wrapText="1"/>
    </xf>
    <xf numFmtId="0" fontId="0" fillId="0" borderId="4" xfId="0" applyBorder="1" applyAlignment="1">
      <alignment vertical="center"/>
    </xf>
    <xf numFmtId="0" fontId="0" fillId="22" borderId="4" xfId="0" applyFill="1" applyBorder="1" applyAlignment="1"/>
    <xf numFmtId="0" fontId="13" fillId="36" borderId="4" xfId="1" applyFont="1" applyFill="1" applyBorder="1" applyAlignment="1">
      <alignment horizontal="left"/>
    </xf>
    <xf numFmtId="0" fontId="13" fillId="36" borderId="4" xfId="1" applyFont="1" applyFill="1" applyBorder="1" applyAlignment="1">
      <alignment horizontal="center"/>
    </xf>
    <xf numFmtId="0" fontId="13" fillId="36" borderId="4" xfId="1" applyFont="1" applyFill="1" applyBorder="1" applyAlignment="1"/>
    <xf numFmtId="0" fontId="0" fillId="19" borderId="4" xfId="0" applyFill="1" applyBorder="1" applyAlignment="1">
      <alignment horizontal="center"/>
    </xf>
    <xf numFmtId="0" fontId="0" fillId="19" borderId="4" xfId="0" applyFill="1" applyBorder="1" applyAlignment="1"/>
    <xf numFmtId="0" fontId="0" fillId="24" borderId="4" xfId="0" applyFill="1" applyBorder="1" applyAlignment="1">
      <alignment horizontal="center"/>
    </xf>
    <xf numFmtId="0" fontId="0" fillId="24" borderId="4" xfId="0" applyFill="1" applyBorder="1" applyAlignment="1"/>
    <xf numFmtId="0" fontId="0" fillId="26" borderId="4" xfId="0" applyFill="1" applyBorder="1" applyAlignment="1">
      <alignment horizontal="center"/>
    </xf>
    <xf numFmtId="0" fontId="0" fillId="26" borderId="4" xfId="0" applyFill="1" applyBorder="1" applyAlignment="1"/>
    <xf numFmtId="0" fontId="0" fillId="11" borderId="4" xfId="0" applyFill="1" applyBorder="1" applyAlignment="1">
      <alignment horizontal="center"/>
    </xf>
    <xf numFmtId="0" fontId="0" fillId="11" borderId="4" xfId="0" applyFill="1" applyBorder="1" applyAlignment="1"/>
    <xf numFmtId="165" fontId="7" fillId="0" borderId="4" xfId="0" applyNumberFormat="1" applyFont="1" applyBorder="1" applyAlignment="1">
      <alignment horizontal="center"/>
    </xf>
    <xf numFmtId="165" fontId="7" fillId="0" borderId="4" xfId="0" applyNumberFormat="1" applyFont="1" applyFill="1" applyBorder="1" applyAlignment="1">
      <alignment horizontal="center"/>
    </xf>
    <xf numFmtId="2" fontId="8" fillId="0" borderId="4" xfId="0" applyNumberFormat="1" applyFont="1" applyBorder="1" applyAlignment="1">
      <alignment horizontal="center" vertical="center" wrapText="1"/>
    </xf>
    <xf numFmtId="2" fontId="7" fillId="0" borderId="4" xfId="0" applyNumberFormat="1" applyFont="1" applyBorder="1" applyAlignment="1">
      <alignment horizontal="center"/>
    </xf>
    <xf numFmtId="2" fontId="7" fillId="0" borderId="4" xfId="0" applyNumberFormat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65" fontId="6" fillId="0" borderId="4" xfId="0" applyNumberFormat="1" applyFont="1" applyBorder="1" applyAlignment="1">
      <alignment horizontal="center" vertical="center" wrapText="1"/>
    </xf>
    <xf numFmtId="165" fontId="0" fillId="0" borderId="0" xfId="0" applyNumberFormat="1" applyAlignment="1">
      <alignment horizontal="center"/>
    </xf>
    <xf numFmtId="165" fontId="9" fillId="0" borderId="4" xfId="0" applyNumberFormat="1" applyFont="1" applyBorder="1" applyAlignment="1">
      <alignment horizontal="center" vertical="center" textRotation="90" wrapText="1"/>
    </xf>
    <xf numFmtId="165" fontId="7" fillId="0" borderId="4" xfId="0" applyNumberFormat="1" applyFont="1" applyFill="1" applyBorder="1" applyAlignment="1">
      <alignment horizontal="center" vertical="center"/>
    </xf>
    <xf numFmtId="165" fontId="7" fillId="0" borderId="4" xfId="0" applyNumberFormat="1" applyFont="1" applyBorder="1" applyAlignment="1">
      <alignment horizontal="center" vertical="center"/>
    </xf>
    <xf numFmtId="0" fontId="16" fillId="5" borderId="4" xfId="0" applyFont="1" applyFill="1" applyBorder="1" applyAlignment="1">
      <alignment horizontal="center" vertical="center"/>
    </xf>
    <xf numFmtId="0" fontId="0" fillId="4" borderId="4" xfId="0" applyFill="1" applyBorder="1"/>
    <xf numFmtId="0" fontId="0" fillId="8" borderId="4" xfId="0" applyFill="1" applyBorder="1" applyAlignment="1">
      <alignment horizontal="center"/>
    </xf>
    <xf numFmtId="0" fontId="0" fillId="22" borderId="7" xfId="0" applyFill="1" applyBorder="1" applyAlignment="1">
      <alignment horizontal="left"/>
    </xf>
    <xf numFmtId="0" fontId="0" fillId="22" borderId="15" xfId="0" applyFill="1" applyBorder="1" applyAlignment="1">
      <alignment horizontal="center"/>
    </xf>
    <xf numFmtId="164" fontId="0" fillId="0" borderId="15" xfId="0" applyNumberForma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22" borderId="9" xfId="0" applyFill="1" applyBorder="1" applyAlignment="1">
      <alignment horizontal="left"/>
    </xf>
    <xf numFmtId="0" fontId="0" fillId="0" borderId="10" xfId="0" applyFill="1" applyBorder="1" applyAlignment="1">
      <alignment horizontal="center"/>
    </xf>
    <xf numFmtId="0" fontId="0" fillId="4" borderId="9" xfId="0" applyFill="1" applyBorder="1"/>
    <xf numFmtId="0" fontId="0" fillId="8" borderId="9" xfId="0" applyFill="1" applyBorder="1"/>
    <xf numFmtId="0" fontId="0" fillId="8" borderId="40" xfId="0" applyFill="1" applyBorder="1"/>
    <xf numFmtId="0" fontId="0" fillId="8" borderId="16" xfId="0" applyFill="1" applyBorder="1"/>
    <xf numFmtId="0" fontId="0" fillId="8" borderId="16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16" xfId="0" applyBorder="1"/>
    <xf numFmtId="0" fontId="0" fillId="0" borderId="11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16" fontId="0" fillId="0" borderId="0" xfId="0" quotePrefix="1" applyNumberFormat="1"/>
    <xf numFmtId="0" fontId="0" fillId="0" borderId="0" xfId="0" quotePrefix="1"/>
    <xf numFmtId="0" fontId="1" fillId="19" borderId="4" xfId="0" applyFont="1" applyFill="1" applyBorder="1" applyAlignment="1">
      <alignment horizontal="left"/>
    </xf>
    <xf numFmtId="0" fontId="1" fillId="19" borderId="4" xfId="0" applyFont="1" applyFill="1" applyBorder="1" applyAlignment="1">
      <alignment horizontal="center"/>
    </xf>
    <xf numFmtId="0" fontId="1" fillId="22" borderId="4" xfId="0" applyFont="1" applyFill="1" applyBorder="1" applyAlignment="1"/>
    <xf numFmtId="0" fontId="1" fillId="19" borderId="4" xfId="0" applyFont="1" applyFill="1" applyBorder="1" applyAlignment="1"/>
    <xf numFmtId="0" fontId="0" fillId="37" borderId="0" xfId="0" applyFill="1"/>
    <xf numFmtId="0" fontId="0" fillId="37" borderId="0" xfId="0" applyFill="1" applyAlignment="1">
      <alignment horizontal="center"/>
    </xf>
    <xf numFmtId="0" fontId="0" fillId="6" borderId="0" xfId="0" applyFill="1"/>
    <xf numFmtId="0" fontId="0" fillId="6" borderId="0" xfId="0" applyFill="1" applyAlignment="1">
      <alignment horizontal="center"/>
    </xf>
    <xf numFmtId="0" fontId="0" fillId="30" borderId="0" xfId="0" applyFill="1"/>
    <xf numFmtId="0" fontId="0" fillId="30" borderId="0" xfId="0" applyFill="1" applyAlignment="1">
      <alignment horizontal="center"/>
    </xf>
    <xf numFmtId="0" fontId="7" fillId="0" borderId="4" xfId="0" applyNumberFormat="1" applyFont="1" applyBorder="1" applyAlignment="1">
      <alignment horizontal="center" vertical="center" wrapText="1"/>
    </xf>
    <xf numFmtId="0" fontId="7" fillId="0" borderId="4" xfId="0" applyNumberFormat="1" applyFont="1" applyBorder="1" applyAlignment="1">
      <alignment horizontal="center"/>
    </xf>
    <xf numFmtId="0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0" fillId="0" borderId="0" xfId="0" applyNumberFormat="1" applyAlignment="1">
      <alignment horizontal="center"/>
    </xf>
    <xf numFmtId="0" fontId="7" fillId="0" borderId="4" xfId="0" applyFont="1" applyBorder="1" applyAlignment="1">
      <alignment horizontal="center"/>
    </xf>
    <xf numFmtId="165" fontId="7" fillId="0" borderId="4" xfId="0" applyNumberFormat="1" applyFont="1" applyBorder="1" applyAlignment="1">
      <alignment horizontal="center"/>
    </xf>
    <xf numFmtId="0" fontId="7" fillId="0" borderId="4" xfId="0" applyFont="1" applyBorder="1" applyAlignment="1">
      <alignment horizontal="center" vertical="center"/>
    </xf>
    <xf numFmtId="0" fontId="7" fillId="5" borderId="17" xfId="0" applyFont="1" applyFill="1" applyBorder="1" applyAlignment="1">
      <alignment horizontal="center" vertical="center"/>
    </xf>
    <xf numFmtId="0" fontId="7" fillId="0" borderId="17" xfId="0" applyNumberFormat="1" applyFont="1" applyBorder="1" applyAlignment="1">
      <alignment horizontal="center"/>
    </xf>
    <xf numFmtId="0" fontId="7" fillId="5" borderId="41" xfId="0" applyFont="1" applyFill="1" applyBorder="1" applyAlignment="1">
      <alignment horizontal="center" vertical="center"/>
    </xf>
    <xf numFmtId="0" fontId="9" fillId="5" borderId="5" xfId="0" applyFont="1" applyFill="1" applyBorder="1" applyAlignment="1">
      <alignment horizontal="center" vertical="center"/>
    </xf>
    <xf numFmtId="0" fontId="9" fillId="0" borderId="6" xfId="0" applyNumberFormat="1" applyFont="1" applyBorder="1" applyAlignment="1">
      <alignment horizontal="center"/>
    </xf>
    <xf numFmtId="165" fontId="7" fillId="0" borderId="4" xfId="0" quotePrefix="1" applyNumberFormat="1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165" fontId="7" fillId="0" borderId="17" xfId="0" applyNumberFormat="1" applyFont="1" applyBorder="1" applyAlignment="1">
      <alignment horizontal="center"/>
    </xf>
    <xf numFmtId="2" fontId="7" fillId="0" borderId="17" xfId="0" applyNumberFormat="1" applyFont="1" applyBorder="1" applyAlignment="1">
      <alignment horizontal="center"/>
    </xf>
    <xf numFmtId="165" fontId="7" fillId="0" borderId="17" xfId="0" applyNumberFormat="1" applyFont="1" applyFill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38" borderId="4" xfId="0" applyFont="1" applyFill="1" applyBorder="1" applyAlignment="1">
      <alignment horizontal="center" vertical="center"/>
    </xf>
    <xf numFmtId="0" fontId="7" fillId="38" borderId="4" xfId="0" applyNumberFormat="1" applyFont="1" applyFill="1" applyBorder="1" applyAlignment="1">
      <alignment horizontal="center"/>
    </xf>
    <xf numFmtId="0" fontId="7" fillId="38" borderId="4" xfId="0" applyFont="1" applyFill="1" applyBorder="1" applyAlignment="1">
      <alignment horizontal="center"/>
    </xf>
    <xf numFmtId="165" fontId="7" fillId="38" borderId="4" xfId="0" applyNumberFormat="1" applyFont="1" applyFill="1" applyBorder="1" applyAlignment="1">
      <alignment horizontal="center"/>
    </xf>
    <xf numFmtId="2" fontId="7" fillId="38" borderId="4" xfId="0" applyNumberFormat="1" applyFont="1" applyFill="1" applyBorder="1" applyAlignment="1">
      <alignment horizontal="center"/>
    </xf>
    <xf numFmtId="0" fontId="0" fillId="38" borderId="0" xfId="0" applyFill="1" applyAlignment="1">
      <alignment horizontal="center"/>
    </xf>
    <xf numFmtId="0" fontId="5" fillId="21" borderId="4" xfId="0" applyFont="1" applyFill="1" applyBorder="1" applyAlignment="1">
      <alignment horizontal="center" vertical="center"/>
    </xf>
    <xf numFmtId="0" fontId="5" fillId="21" borderId="17" xfId="0" applyFont="1" applyFill="1" applyBorder="1" applyAlignment="1">
      <alignment horizontal="center" vertical="center"/>
    </xf>
    <xf numFmtId="0" fontId="17" fillId="2" borderId="42" xfId="0" applyFont="1" applyFill="1" applyBorder="1" applyAlignment="1">
      <alignment horizontal="center" vertical="center"/>
    </xf>
    <xf numFmtId="165" fontId="0" fillId="0" borderId="4" xfId="0" applyNumberFormat="1" applyFont="1" applyBorder="1" applyAlignment="1">
      <alignment horizontal="center" vertical="center"/>
    </xf>
    <xf numFmtId="165" fontId="7" fillId="0" borderId="32" xfId="0" applyNumberFormat="1" applyFont="1" applyBorder="1" applyAlignment="1">
      <alignment horizontal="center"/>
    </xf>
    <xf numFmtId="165" fontId="7" fillId="0" borderId="32" xfId="0" applyNumberFormat="1" applyFont="1" applyBorder="1" applyAlignment="1">
      <alignment horizontal="center" vertical="center"/>
    </xf>
    <xf numFmtId="165" fontId="7" fillId="38" borderId="32" xfId="0" applyNumberFormat="1" applyFont="1" applyFill="1" applyBorder="1" applyAlignment="1">
      <alignment horizontal="center"/>
    </xf>
    <xf numFmtId="0" fontId="0" fillId="0" borderId="32" xfId="0" applyBorder="1"/>
    <xf numFmtId="2" fontId="0" fillId="0" borderId="4" xfId="0" applyNumberFormat="1" applyBorder="1" applyAlignment="1">
      <alignment horizontal="center"/>
    </xf>
    <xf numFmtId="165" fontId="0" fillId="0" borderId="4" xfId="0" applyNumberFormat="1" applyFont="1" applyFill="1" applyBorder="1" applyAlignment="1">
      <alignment horizontal="center" vertical="center"/>
    </xf>
    <xf numFmtId="0" fontId="0" fillId="15" borderId="4" xfId="0" applyFont="1" applyFill="1" applyBorder="1"/>
    <xf numFmtId="0" fontId="0" fillId="23" borderId="4" xfId="0" applyFont="1" applyFill="1" applyBorder="1"/>
    <xf numFmtId="0" fontId="0" fillId="6" borderId="4" xfId="0" applyFont="1" applyFill="1" applyBorder="1"/>
    <xf numFmtId="0" fontId="0" fillId="22" borderId="4" xfId="0" applyFont="1" applyFill="1" applyBorder="1"/>
    <xf numFmtId="0" fontId="0" fillId="32" borderId="4" xfId="0" applyFont="1" applyFill="1" applyBorder="1"/>
    <xf numFmtId="0" fontId="0" fillId="8" borderId="4" xfId="0" applyFont="1" applyFill="1" applyBorder="1"/>
    <xf numFmtId="0" fontId="0" fillId="19" borderId="4" xfId="0" applyFont="1" applyFill="1" applyBorder="1"/>
    <xf numFmtId="0" fontId="0" fillId="24" borderId="4" xfId="0" applyFont="1" applyFill="1" applyBorder="1"/>
    <xf numFmtId="0" fontId="0" fillId="11" borderId="4" xfId="0" applyFont="1" applyFill="1" applyBorder="1"/>
    <xf numFmtId="0" fontId="0" fillId="26" borderId="4" xfId="0" applyFont="1" applyFill="1" applyBorder="1"/>
    <xf numFmtId="0" fontId="0" fillId="3" borderId="4" xfId="0" applyFont="1" applyFill="1" applyBorder="1"/>
    <xf numFmtId="0" fontId="0" fillId="30" borderId="4" xfId="0" applyFont="1" applyFill="1" applyBorder="1"/>
    <xf numFmtId="0" fontId="0" fillId="34" borderId="4" xfId="0" applyFont="1" applyFill="1" applyBorder="1" applyAlignment="1">
      <alignment horizontal="center" vertical="center"/>
    </xf>
    <xf numFmtId="0" fontId="0" fillId="33" borderId="4" xfId="0" applyFont="1" applyFill="1" applyBorder="1" applyAlignment="1">
      <alignment horizontal="center" vertical="center"/>
    </xf>
    <xf numFmtId="0" fontId="0" fillId="8" borderId="4" xfId="0" applyFont="1" applyFill="1" applyBorder="1" applyAlignment="1">
      <alignment horizontal="center" vertical="center"/>
    </xf>
    <xf numFmtId="0" fontId="0" fillId="29" borderId="4" xfId="0" applyFont="1" applyFill="1" applyBorder="1" applyAlignment="1">
      <alignment horizontal="center" vertical="center"/>
    </xf>
    <xf numFmtId="0" fontId="0" fillId="32" borderId="4" xfId="0" applyFont="1" applyFill="1" applyBorder="1" applyAlignment="1">
      <alignment horizontal="center" vertical="center"/>
    </xf>
    <xf numFmtId="0" fontId="0" fillId="31" borderId="4" xfId="0" applyFont="1" applyFill="1" applyBorder="1" applyAlignment="1">
      <alignment horizontal="center" vertical="center"/>
    </xf>
    <xf numFmtId="0" fontId="0" fillId="28" borderId="4" xfId="0" applyFont="1" applyFill="1" applyBorder="1" applyAlignment="1">
      <alignment horizontal="center" vertical="center"/>
    </xf>
    <xf numFmtId="0" fontId="0" fillId="6" borderId="4" xfId="0" applyFont="1" applyFill="1" applyBorder="1" applyAlignment="1">
      <alignment horizontal="center" vertical="center"/>
    </xf>
    <xf numFmtId="0" fontId="0" fillId="10" borderId="4" xfId="0" applyFont="1" applyFill="1" applyBorder="1" applyAlignment="1">
      <alignment horizontal="center" vertical="center"/>
    </xf>
    <xf numFmtId="0" fontId="0" fillId="19" borderId="4" xfId="0" applyFont="1" applyFill="1" applyBorder="1" applyAlignment="1">
      <alignment horizontal="center" vertical="center"/>
    </xf>
    <xf numFmtId="0" fontId="0" fillId="35" borderId="4" xfId="0" applyFont="1" applyFill="1" applyBorder="1" applyAlignment="1">
      <alignment horizontal="center" vertical="center"/>
    </xf>
    <xf numFmtId="0" fontId="0" fillId="30" borderId="4" xfId="0" applyFont="1" applyFill="1" applyBorder="1" applyAlignment="1">
      <alignment horizontal="center" vertical="center"/>
    </xf>
    <xf numFmtId="0" fontId="7" fillId="15" borderId="4" xfId="0" applyFont="1" applyFill="1" applyBorder="1" applyAlignment="1">
      <alignment horizontal="center" vertical="center"/>
    </xf>
    <xf numFmtId="0" fontId="7" fillId="15" borderId="4" xfId="0" applyNumberFormat="1" applyFont="1" applyFill="1" applyBorder="1" applyAlignment="1">
      <alignment horizontal="center"/>
    </xf>
    <xf numFmtId="0" fontId="7" fillId="15" borderId="4" xfId="0" applyFont="1" applyFill="1" applyBorder="1" applyAlignment="1">
      <alignment horizontal="center"/>
    </xf>
    <xf numFmtId="165" fontId="7" fillId="15" borderId="4" xfId="0" applyNumberFormat="1" applyFont="1" applyFill="1" applyBorder="1" applyAlignment="1">
      <alignment horizontal="center"/>
    </xf>
    <xf numFmtId="2" fontId="7" fillId="15" borderId="4" xfId="0" applyNumberFormat="1" applyFont="1" applyFill="1" applyBorder="1" applyAlignment="1">
      <alignment horizontal="center"/>
    </xf>
    <xf numFmtId="165" fontId="7" fillId="15" borderId="32" xfId="0" applyNumberFormat="1" applyFont="1" applyFill="1" applyBorder="1" applyAlignment="1">
      <alignment horizontal="center"/>
    </xf>
    <xf numFmtId="165" fontId="7" fillId="0" borderId="38" xfId="0" applyNumberFormat="1" applyFont="1" applyFill="1" applyBorder="1" applyAlignment="1">
      <alignment horizontal="center"/>
    </xf>
    <xf numFmtId="0" fontId="0" fillId="0" borderId="37" xfId="0" applyFill="1" applyBorder="1" applyAlignment="1">
      <alignment horizontal="center"/>
    </xf>
    <xf numFmtId="0" fontId="0" fillId="0" borderId="38" xfId="0" applyBorder="1" applyAlignment="1">
      <alignment horizontal="center" vertical="center"/>
    </xf>
    <xf numFmtId="0" fontId="0" fillId="0" borderId="38" xfId="0" applyFill="1" applyBorder="1" applyAlignment="1">
      <alignment horizontal="center"/>
    </xf>
    <xf numFmtId="0" fontId="0" fillId="39" borderId="0" xfId="0" applyFill="1"/>
    <xf numFmtId="0" fontId="0" fillId="34" borderId="0" xfId="0" applyFill="1"/>
    <xf numFmtId="0" fontId="0" fillId="23" borderId="0" xfId="0" applyFill="1"/>
    <xf numFmtId="0" fontId="0" fillId="9" borderId="0" xfId="0" applyFill="1"/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 textRotation="90" wrapText="1"/>
    </xf>
    <xf numFmtId="0" fontId="7" fillId="0" borderId="4" xfId="0" applyFont="1" applyBorder="1" applyAlignment="1">
      <alignment horizontal="center" vertical="center" textRotation="90" wrapText="1"/>
    </xf>
    <xf numFmtId="0" fontId="9" fillId="38" borderId="4" xfId="0" applyFont="1" applyFill="1" applyBorder="1" applyAlignment="1">
      <alignment horizontal="center" vertical="center" textRotation="90" wrapText="1"/>
    </xf>
    <xf numFmtId="0" fontId="9" fillId="0" borderId="4" xfId="0" applyFont="1" applyFill="1" applyBorder="1" applyAlignment="1">
      <alignment horizontal="center" vertical="center" textRotation="90" wrapText="1"/>
    </xf>
    <xf numFmtId="0" fontId="9" fillId="0" borderId="17" xfId="0" applyFont="1" applyFill="1" applyBorder="1" applyAlignment="1">
      <alignment horizontal="center" vertical="center" textRotation="90" wrapText="1"/>
    </xf>
    <xf numFmtId="0" fontId="9" fillId="5" borderId="4" xfId="0" applyFont="1" applyFill="1" applyBorder="1" applyAlignment="1">
      <alignment horizontal="center" vertical="center"/>
    </xf>
    <xf numFmtId="0" fontId="9" fillId="38" borderId="17" xfId="0" applyFont="1" applyFill="1" applyBorder="1" applyAlignment="1">
      <alignment horizontal="center" vertical="center" textRotation="90" wrapText="1"/>
    </xf>
    <xf numFmtId="0" fontId="9" fillId="38" borderId="38" xfId="0" applyFont="1" applyFill="1" applyBorder="1" applyAlignment="1">
      <alignment horizontal="center" vertical="center" textRotation="90" wrapText="1"/>
    </xf>
    <xf numFmtId="0" fontId="9" fillId="38" borderId="37" xfId="0" applyFont="1" applyFill="1" applyBorder="1" applyAlignment="1">
      <alignment horizontal="center" vertical="center" textRotation="90" wrapText="1"/>
    </xf>
    <xf numFmtId="0" fontId="9" fillId="0" borderId="17" xfId="0" applyFont="1" applyBorder="1" applyAlignment="1">
      <alignment horizontal="center" vertical="center" textRotation="90" wrapText="1"/>
    </xf>
    <xf numFmtId="0" fontId="9" fillId="0" borderId="38" xfId="0" applyFont="1" applyBorder="1" applyAlignment="1">
      <alignment horizontal="center" vertical="center" textRotation="90" wrapText="1"/>
    </xf>
    <xf numFmtId="0" fontId="9" fillId="0" borderId="37" xfId="0" applyFont="1" applyBorder="1" applyAlignment="1">
      <alignment horizontal="center" vertical="center" textRotation="90" wrapText="1"/>
    </xf>
    <xf numFmtId="165" fontId="9" fillId="0" borderId="17" xfId="0" applyNumberFormat="1" applyFont="1" applyBorder="1" applyAlignment="1">
      <alignment horizontal="center" vertical="center" textRotation="90" wrapText="1"/>
    </xf>
    <xf numFmtId="165" fontId="9" fillId="0" borderId="38" xfId="0" applyNumberFormat="1" applyFont="1" applyBorder="1" applyAlignment="1">
      <alignment horizontal="center" vertical="center" textRotation="90" wrapText="1"/>
    </xf>
    <xf numFmtId="165" fontId="9" fillId="0" borderId="37" xfId="0" applyNumberFormat="1" applyFont="1" applyBorder="1" applyAlignment="1">
      <alignment horizontal="center" vertical="center" textRotation="90" wrapText="1"/>
    </xf>
    <xf numFmtId="165" fontId="9" fillId="0" borderId="17" xfId="0" applyNumberFormat="1" applyFont="1" applyBorder="1" applyAlignment="1">
      <alignment horizontal="center" vertical="center" textRotation="90"/>
    </xf>
    <xf numFmtId="165" fontId="9" fillId="0" borderId="37" xfId="0" applyNumberFormat="1" applyFont="1" applyBorder="1" applyAlignment="1">
      <alignment horizontal="center" vertical="center" textRotation="90"/>
    </xf>
  </cellXfs>
  <cellStyles count="2">
    <cellStyle name="Hyperlink" xfId="1" builtinId="8"/>
    <cellStyle name="Normal" xfId="0" builtinId="0"/>
  </cellStyles>
  <dxfs count="638"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0.0000000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left" textRotation="0" wrapText="0" indent="0" justifyLastLine="0" shrinkToFit="0" readingOrder="0"/>
    </dxf>
    <dxf>
      <border outline="0">
        <right style="medium">
          <color rgb="FF000000"/>
        </right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0.0000000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left" textRotation="0" wrapText="0" indent="0" justifyLastLine="0" shrinkToFit="0" readingOrder="0"/>
    </dxf>
    <dxf>
      <border outline="0">
        <right style="medium">
          <color rgb="FF000000"/>
        </right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0.0000000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left" textRotation="0" wrapText="0" indent="0" justifyLastLine="0" shrinkToFit="0" readingOrder="0"/>
    </dxf>
    <dxf>
      <border outline="0">
        <right style="medium">
          <color rgb="FF000000"/>
        </right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0.0000000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left" textRotation="0" wrapText="0" indent="0" justifyLastLine="0" shrinkToFit="0" readingOrder="0"/>
    </dxf>
    <dxf>
      <border outline="0">
        <right style="medium">
          <color rgb="FF000000"/>
        </right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0.0000000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right style="medium">
          <color rgb="FF000000"/>
        </right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0.00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right style="medium">
          <color rgb="FF000000"/>
        </right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0.0000000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left" textRotation="0" wrapText="0" indent="0" justifyLastLine="0" shrinkToFit="0" readingOrder="0"/>
    </dxf>
    <dxf>
      <border outline="0">
        <right style="medium">
          <color rgb="FF000000"/>
        </right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0.0000000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left" textRotation="0" wrapText="0" indent="0" justifyLastLine="0" shrinkToFit="0" readingOrder="0"/>
    </dxf>
    <dxf>
      <border outline="0">
        <right style="medium">
          <color rgb="FF000000"/>
        </right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0.0000000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border outline="0">
        <right style="medium">
          <color rgb="FF000000"/>
        </right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0.0000000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right style="medium">
          <color rgb="FF000000"/>
        </right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0.00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right style="medium">
          <color rgb="FF000000"/>
        </right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0.00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right style="medium">
          <color rgb="FF000000"/>
        </right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FF6D6D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FF6D6D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rgb="FFFF6D6D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FF6D6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all_ex_postcap!$V$1</c:f>
              <c:strCache>
                <c:ptCount val="1"/>
                <c:pt idx="0">
                  <c:v>V/(2*sqrt(fc) bd)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all_ex_postcap!$V$2:$V$53</c:f>
              <c:numCache>
                <c:formatCode>General</c:formatCode>
                <c:ptCount val="52"/>
                <c:pt idx="0">
                  <c:v>1.6914325436739335</c:v>
                </c:pt>
                <c:pt idx="1">
                  <c:v>1.7577632316611467</c:v>
                </c:pt>
                <c:pt idx="2">
                  <c:v>1.6582671996803269</c:v>
                </c:pt>
                <c:pt idx="3">
                  <c:v>2.0827836027984907</c:v>
                </c:pt>
                <c:pt idx="4">
                  <c:v>1.4924404797122941</c:v>
                </c:pt>
                <c:pt idx="5">
                  <c:v>1.6914325436739335</c:v>
                </c:pt>
                <c:pt idx="6">
                  <c:v>1.1939523837698354</c:v>
                </c:pt>
                <c:pt idx="7">
                  <c:v>1.1404498005348664</c:v>
                </c:pt>
                <c:pt idx="8">
                  <c:v>1.7127021671143616</c:v>
                </c:pt>
                <c:pt idx="9">
                  <c:v>1.3938830895426144</c:v>
                </c:pt>
                <c:pt idx="10">
                  <c:v>1.4445697473441641</c:v>
                </c:pt>
                <c:pt idx="11">
                  <c:v>1.723346365252687</c:v>
                </c:pt>
                <c:pt idx="12">
                  <c:v>1.1911364583364159</c:v>
                </c:pt>
                <c:pt idx="13">
                  <c:v>1.6726597074511373</c:v>
                </c:pt>
                <c:pt idx="14">
                  <c:v>1.7993763519550114</c:v>
                </c:pt>
                <c:pt idx="15">
                  <c:v>1.6002397776713693</c:v>
                </c:pt>
                <c:pt idx="16">
                  <c:v>0.88902209870631643</c:v>
                </c:pt>
                <c:pt idx="17">
                  <c:v>1.3335331480594745</c:v>
                </c:pt>
                <c:pt idx="18">
                  <c:v>1.6350275989250946</c:v>
                </c:pt>
                <c:pt idx="19">
                  <c:v>0.96632836815903944</c:v>
                </c:pt>
                <c:pt idx="20">
                  <c:v>1.2562268786067512</c:v>
                </c:pt>
                <c:pt idx="21">
                  <c:v>1.6620847932335479</c:v>
                </c:pt>
                <c:pt idx="22">
                  <c:v>2.2032286794026099</c:v>
                </c:pt>
                <c:pt idx="23">
                  <c:v>1.6480937812773802</c:v>
                </c:pt>
                <c:pt idx="24">
                  <c:v>1.6711670942152634</c:v>
                </c:pt>
                <c:pt idx="25">
                  <c:v>1.4799882155870874</c:v>
                </c:pt>
                <c:pt idx="26">
                  <c:v>0.91209433888702773</c:v>
                </c:pt>
                <c:pt idx="27">
                  <c:v>1.0873494923618143</c:v>
                </c:pt>
                <c:pt idx="28">
                  <c:v>1.2024806150824769</c:v>
                </c:pt>
                <c:pt idx="29">
                  <c:v>1.5862510241513528</c:v>
                </c:pt>
                <c:pt idx="30">
                  <c:v>1.618231891573759</c:v>
                </c:pt>
                <c:pt idx="31">
                  <c:v>1.3304040847721021</c:v>
                </c:pt>
                <c:pt idx="32">
                  <c:v>1.5350816362755026</c:v>
                </c:pt>
                <c:pt idx="33">
                  <c:v>1.5862510241513528</c:v>
                </c:pt>
                <c:pt idx="34">
                  <c:v>1.7013821468720154</c:v>
                </c:pt>
                <c:pt idx="35">
                  <c:v>1.7934870450485454</c:v>
                </c:pt>
                <c:pt idx="36">
                  <c:v>1.2280653090204021</c:v>
                </c:pt>
                <c:pt idx="37">
                  <c:v>1.5350816362755026</c:v>
                </c:pt>
                <c:pt idx="38">
                  <c:v>1.5862510241513528</c:v>
                </c:pt>
                <c:pt idx="39">
                  <c:v>1.2600670108841259</c:v>
                </c:pt>
                <c:pt idx="40">
                  <c:v>1.5488323675450713</c:v>
                </c:pt>
                <c:pt idx="41">
                  <c:v>1.5838342289585194</c:v>
                </c:pt>
                <c:pt idx="42">
                  <c:v>1.7150912092589492</c:v>
                </c:pt>
                <c:pt idx="43">
                  <c:v>2.6426405367153198</c:v>
                </c:pt>
                <c:pt idx="44">
                  <c:v>1.2600670108841259</c:v>
                </c:pt>
                <c:pt idx="45">
                  <c:v>1.5750837636051573</c:v>
                </c:pt>
                <c:pt idx="46">
                  <c:v>3.2770492748340638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48704"/>
        <c:axId val="99450240"/>
      </c:scatterChart>
      <c:valAx>
        <c:axId val="99448704"/>
        <c:scaling>
          <c:orientation val="minMax"/>
        </c:scaling>
        <c:delete val="0"/>
        <c:axPos val="b"/>
        <c:majorTickMark val="out"/>
        <c:minorTickMark val="none"/>
        <c:tickLblPos val="nextTo"/>
        <c:crossAx val="99450240"/>
        <c:crosses val="autoZero"/>
        <c:crossBetween val="midCat"/>
      </c:valAx>
      <c:valAx>
        <c:axId val="99450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94487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all_ex_postcap!$U$1</c:f>
              <c:strCache>
                <c:ptCount val="1"/>
                <c:pt idx="0">
                  <c:v>M/(pho  bd)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all_ex_postcap!$U$2:$U$53</c:f>
              <c:numCache>
                <c:formatCode>General</c:formatCode>
                <c:ptCount val="52"/>
                <c:pt idx="0">
                  <c:v>0.39569490311542593</c:v>
                </c:pt>
                <c:pt idx="1">
                  <c:v>0.41121235029642306</c:v>
                </c:pt>
                <c:pt idx="2">
                  <c:v>0.38793617952492737</c:v>
                </c:pt>
                <c:pt idx="3">
                  <c:v>0.4872478414833088</c:v>
                </c:pt>
                <c:pt idx="4">
                  <c:v>0.34914256157243467</c:v>
                </c:pt>
                <c:pt idx="5">
                  <c:v>0.39569490311542593</c:v>
                </c:pt>
                <c:pt idx="6">
                  <c:v>0.27931404925794773</c:v>
                </c:pt>
                <c:pt idx="7">
                  <c:v>0.27931627196333075</c:v>
                </c:pt>
                <c:pt idx="8">
                  <c:v>0.41947097020626428</c:v>
                </c:pt>
                <c:pt idx="9">
                  <c:v>0.34138655462184869</c:v>
                </c:pt>
                <c:pt idx="10">
                  <c:v>0.35380061115355227</c:v>
                </c:pt>
                <c:pt idx="11">
                  <c:v>0.42207792207792205</c:v>
                </c:pt>
                <c:pt idx="12">
                  <c:v>0.29173032849503433</c:v>
                </c:pt>
                <c:pt idx="13">
                  <c:v>0.40966386554621842</c:v>
                </c:pt>
                <c:pt idx="14">
                  <c:v>0.44069900687547742</c:v>
                </c:pt>
                <c:pt idx="15">
                  <c:v>0.41115355233002293</c:v>
                </c:pt>
                <c:pt idx="16">
                  <c:v>0.22841864018334607</c:v>
                </c:pt>
                <c:pt idx="17">
                  <c:v>0.34262796027501907</c:v>
                </c:pt>
                <c:pt idx="18">
                  <c:v>0.4200916730328495</c:v>
                </c:pt>
                <c:pt idx="19">
                  <c:v>0.24828113063407181</c:v>
                </c:pt>
                <c:pt idx="20">
                  <c:v>0.32276546982429333</c:v>
                </c:pt>
                <c:pt idx="21">
                  <c:v>0.42704354469060352</c:v>
                </c:pt>
                <c:pt idx="22">
                  <c:v>0.56608097784568367</c:v>
                </c:pt>
                <c:pt idx="23">
                  <c:v>0.43104401069873344</c:v>
                </c:pt>
                <c:pt idx="24">
                  <c:v>0.43707862684851573</c:v>
                </c:pt>
                <c:pt idx="25">
                  <c:v>0.38707752160746267</c:v>
                </c:pt>
                <c:pt idx="26">
                  <c:v>0.24586641673592813</c:v>
                </c:pt>
                <c:pt idx="27">
                  <c:v>0.29310863145236876</c:v>
                </c:pt>
                <c:pt idx="28">
                  <c:v>0.32414366301791364</c:v>
                </c:pt>
                <c:pt idx="29">
                  <c:v>0.42759376823639678</c:v>
                </c:pt>
                <c:pt idx="30">
                  <c:v>0.43621461033793701</c:v>
                </c:pt>
                <c:pt idx="31">
                  <c:v>0.3586270314240747</c:v>
                </c:pt>
                <c:pt idx="32">
                  <c:v>0.41380042087393232</c:v>
                </c:pt>
                <c:pt idx="33">
                  <c:v>0.42759376823639678</c:v>
                </c:pt>
                <c:pt idx="34">
                  <c:v>0.45862879980194166</c:v>
                </c:pt>
                <c:pt idx="35">
                  <c:v>0.48345682505437754</c:v>
                </c:pt>
                <c:pt idx="36">
                  <c:v>0.3310403366991459</c:v>
                </c:pt>
                <c:pt idx="37">
                  <c:v>0.41380042087393232</c:v>
                </c:pt>
                <c:pt idx="38">
                  <c:v>0.42759376823639678</c:v>
                </c:pt>
                <c:pt idx="39">
                  <c:v>0.31333540565744483</c:v>
                </c:pt>
                <c:pt idx="40">
                  <c:v>0.38514143612060925</c:v>
                </c:pt>
                <c:pt idx="41">
                  <c:v>0.39384519738887164</c:v>
                </c:pt>
                <c:pt idx="42">
                  <c:v>0.42648430214485544</c:v>
                </c:pt>
                <c:pt idx="43">
                  <c:v>0.65713397575380794</c:v>
                </c:pt>
                <c:pt idx="44">
                  <c:v>0.31333540565744483</c:v>
                </c:pt>
                <c:pt idx="45">
                  <c:v>0.39166925707180605</c:v>
                </c:pt>
                <c:pt idx="46">
                  <c:v>0.81488964874106307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90816"/>
        <c:axId val="99525376"/>
      </c:scatterChart>
      <c:valAx>
        <c:axId val="99490816"/>
        <c:scaling>
          <c:orientation val="minMax"/>
        </c:scaling>
        <c:delete val="0"/>
        <c:axPos val="b"/>
        <c:majorTickMark val="out"/>
        <c:minorTickMark val="none"/>
        <c:tickLblPos val="nextTo"/>
        <c:crossAx val="99525376"/>
        <c:crosses val="autoZero"/>
        <c:crossBetween val="midCat"/>
      </c:valAx>
      <c:valAx>
        <c:axId val="99525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94908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all_ex_postcap!$L$1</c:f>
              <c:strCache>
                <c:ptCount val="1"/>
                <c:pt idx="0">
                  <c:v>V/(bd)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all_ex_postcap!$L$2:$L$53</c:f>
              <c:numCache>
                <c:formatCode>General</c:formatCode>
                <c:ptCount val="52"/>
                <c:pt idx="0">
                  <c:v>1.5740740740740741E-3</c:v>
                </c:pt>
                <c:pt idx="1">
                  <c:v>1.6358024691358025E-3</c:v>
                </c:pt>
                <c:pt idx="2">
                  <c:v>1.5432098765432098E-3</c:v>
                </c:pt>
                <c:pt idx="3">
                  <c:v>1.9382716049382714E-3</c:v>
                </c:pt>
                <c:pt idx="4">
                  <c:v>1.3888888888888889E-3</c:v>
                </c:pt>
                <c:pt idx="5">
                  <c:v>1.5740740740740741E-3</c:v>
                </c:pt>
                <c:pt idx="6">
                  <c:v>1.1111111111111111E-3</c:v>
                </c:pt>
                <c:pt idx="7">
                  <c:v>1.0613207547169811E-3</c:v>
                </c:pt>
                <c:pt idx="8">
                  <c:v>1.5938679245283019E-3</c:v>
                </c:pt>
                <c:pt idx="9">
                  <c:v>1.2971698113207546E-3</c:v>
                </c:pt>
                <c:pt idx="10">
                  <c:v>1.3443396226415095E-3</c:v>
                </c:pt>
                <c:pt idx="11">
                  <c:v>1.6037735849056603E-3</c:v>
                </c:pt>
                <c:pt idx="12">
                  <c:v>1.1084905660377359E-3</c:v>
                </c:pt>
                <c:pt idx="13">
                  <c:v>1.5566037735849057E-3</c:v>
                </c:pt>
                <c:pt idx="14">
                  <c:v>1.6745283018867925E-3</c:v>
                </c:pt>
                <c:pt idx="15">
                  <c:v>1.4892086330935252E-3</c:v>
                </c:pt>
                <c:pt idx="16">
                  <c:v>8.2733812949640291E-4</c:v>
                </c:pt>
                <c:pt idx="17">
                  <c:v>1.2410071942446043E-3</c:v>
                </c:pt>
                <c:pt idx="18">
                  <c:v>1.5215827338129495E-3</c:v>
                </c:pt>
                <c:pt idx="19">
                  <c:v>8.9928057553956839E-4</c:v>
                </c:pt>
                <c:pt idx="20">
                  <c:v>1.1690647482014388E-3</c:v>
                </c:pt>
                <c:pt idx="21">
                  <c:v>1.5467625899280575E-3</c:v>
                </c:pt>
                <c:pt idx="22">
                  <c:v>2.0503597122302156E-3</c:v>
                </c:pt>
                <c:pt idx="23">
                  <c:v>1.5337423312883436E-3</c:v>
                </c:pt>
                <c:pt idx="24">
                  <c:v>1.5552147239263805E-3</c:v>
                </c:pt>
                <c:pt idx="25">
                  <c:v>1.3773006134969324E-3</c:v>
                </c:pt>
                <c:pt idx="26">
                  <c:v>8.4880952380952382E-4</c:v>
                </c:pt>
                <c:pt idx="27">
                  <c:v>1.0119047619047618E-3</c:v>
                </c:pt>
                <c:pt idx="28">
                  <c:v>1.1190476190476191E-3</c:v>
                </c:pt>
                <c:pt idx="29">
                  <c:v>1.4761904761904762E-3</c:v>
                </c:pt>
                <c:pt idx="30">
                  <c:v>1.505952380952381E-3</c:v>
                </c:pt>
                <c:pt idx="31">
                  <c:v>1.238095238095238E-3</c:v>
                </c:pt>
                <c:pt idx="32">
                  <c:v>1.4285714285714286E-3</c:v>
                </c:pt>
                <c:pt idx="33">
                  <c:v>1.4761904761904762E-3</c:v>
                </c:pt>
                <c:pt idx="34">
                  <c:v>1.5833333333333333E-3</c:v>
                </c:pt>
                <c:pt idx="35">
                  <c:v>1.6690476190476188E-3</c:v>
                </c:pt>
                <c:pt idx="36">
                  <c:v>1.1428571428571429E-3</c:v>
                </c:pt>
                <c:pt idx="37">
                  <c:v>1.4285714285714286E-3</c:v>
                </c:pt>
                <c:pt idx="38">
                  <c:v>1.4761904761904762E-3</c:v>
                </c:pt>
                <c:pt idx="39">
                  <c:v>1.1726384364820848E-3</c:v>
                </c:pt>
                <c:pt idx="40">
                  <c:v>1.4413680781758958E-3</c:v>
                </c:pt>
                <c:pt idx="41">
                  <c:v>1.4739413680781759E-3</c:v>
                </c:pt>
                <c:pt idx="42">
                  <c:v>1.5960912052117263E-3</c:v>
                </c:pt>
                <c:pt idx="43">
                  <c:v>2.4592833876221497E-3</c:v>
                </c:pt>
                <c:pt idx="44">
                  <c:v>1.1726384364820848E-3</c:v>
                </c:pt>
                <c:pt idx="45">
                  <c:v>1.4657980456026058E-3</c:v>
                </c:pt>
                <c:pt idx="46">
                  <c:v>3.0496742671009772E-3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7088"/>
        <c:axId val="100538624"/>
      </c:scatterChart>
      <c:valAx>
        <c:axId val="100537088"/>
        <c:scaling>
          <c:orientation val="minMax"/>
        </c:scaling>
        <c:delete val="0"/>
        <c:axPos val="b"/>
        <c:majorTickMark val="out"/>
        <c:minorTickMark val="none"/>
        <c:tickLblPos val="nextTo"/>
        <c:crossAx val="100538624"/>
        <c:crosses val="autoZero"/>
        <c:crossBetween val="midCat"/>
      </c:valAx>
      <c:valAx>
        <c:axId val="100538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537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all_ex_postcap!$M$1</c:f>
              <c:strCache>
                <c:ptCount val="1"/>
                <c:pt idx="0">
                  <c:v>M/(bd)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all_ex_postcap!$M$2:$M$53</c:f>
              <c:numCache>
                <c:formatCode>General</c:formatCode>
                <c:ptCount val="52"/>
                <c:pt idx="0">
                  <c:v>0.61388888888888893</c:v>
                </c:pt>
                <c:pt idx="1">
                  <c:v>0.63796296296296295</c:v>
                </c:pt>
                <c:pt idx="2">
                  <c:v>0.60185185185185186</c:v>
                </c:pt>
                <c:pt idx="3">
                  <c:v>0.75592592592592589</c:v>
                </c:pt>
                <c:pt idx="4">
                  <c:v>0.54166666666666663</c:v>
                </c:pt>
                <c:pt idx="5">
                  <c:v>0.61388888888888893</c:v>
                </c:pt>
                <c:pt idx="6">
                  <c:v>0.43333333333333335</c:v>
                </c:pt>
                <c:pt idx="7">
                  <c:v>0.41391509433962265</c:v>
                </c:pt>
                <c:pt idx="8">
                  <c:v>0.62160849056603773</c:v>
                </c:pt>
                <c:pt idx="9">
                  <c:v>0.50589622641509435</c:v>
                </c:pt>
                <c:pt idx="10">
                  <c:v>0.52429245283018866</c:v>
                </c:pt>
                <c:pt idx="11">
                  <c:v>0.62547169811320757</c:v>
                </c:pt>
                <c:pt idx="12">
                  <c:v>0.43231132075471695</c:v>
                </c:pt>
                <c:pt idx="13">
                  <c:v>0.60707547169811316</c:v>
                </c:pt>
                <c:pt idx="14">
                  <c:v>0.65306603773584904</c:v>
                </c:pt>
                <c:pt idx="15">
                  <c:v>0.58079136690647482</c:v>
                </c:pt>
                <c:pt idx="16">
                  <c:v>0.32266187050359713</c:v>
                </c:pt>
                <c:pt idx="17">
                  <c:v>0.48399280575539566</c:v>
                </c:pt>
                <c:pt idx="18">
                  <c:v>0.59341726618705037</c:v>
                </c:pt>
                <c:pt idx="19">
                  <c:v>0.35071942446043164</c:v>
                </c:pt>
                <c:pt idx="20">
                  <c:v>0.45593525179856115</c:v>
                </c:pt>
                <c:pt idx="21">
                  <c:v>0.60323741007194243</c:v>
                </c:pt>
                <c:pt idx="22">
                  <c:v>0.79964028776978413</c:v>
                </c:pt>
                <c:pt idx="23">
                  <c:v>0.59815950920245398</c:v>
                </c:pt>
                <c:pt idx="24">
                  <c:v>0.60653374233128832</c:v>
                </c:pt>
                <c:pt idx="25">
                  <c:v>0.5371472392638037</c:v>
                </c:pt>
                <c:pt idx="26">
                  <c:v>0.33103571428571427</c:v>
                </c:pt>
                <c:pt idx="27">
                  <c:v>0.39464285714285713</c:v>
                </c:pt>
                <c:pt idx="28">
                  <c:v>0.43642857142857144</c:v>
                </c:pt>
                <c:pt idx="29">
                  <c:v>0.57571428571428573</c:v>
                </c:pt>
                <c:pt idx="30">
                  <c:v>0.58732142857142855</c:v>
                </c:pt>
                <c:pt idx="31">
                  <c:v>0.48285714285714287</c:v>
                </c:pt>
                <c:pt idx="32">
                  <c:v>0.55714285714285716</c:v>
                </c:pt>
                <c:pt idx="33">
                  <c:v>0.57571428571428573</c:v>
                </c:pt>
                <c:pt idx="34">
                  <c:v>0.61750000000000005</c:v>
                </c:pt>
                <c:pt idx="35">
                  <c:v>0.6509285714285713</c:v>
                </c:pt>
                <c:pt idx="36">
                  <c:v>0.44571428571428573</c:v>
                </c:pt>
                <c:pt idx="37">
                  <c:v>0.55714285714285716</c:v>
                </c:pt>
                <c:pt idx="38">
                  <c:v>0.57571428571428573</c:v>
                </c:pt>
                <c:pt idx="39">
                  <c:v>0.41042345276872966</c:v>
                </c:pt>
                <c:pt idx="40">
                  <c:v>0.50447882736156346</c:v>
                </c:pt>
                <c:pt idx="41">
                  <c:v>0.51587947882736152</c:v>
                </c:pt>
                <c:pt idx="42">
                  <c:v>0.55863192182410426</c:v>
                </c:pt>
                <c:pt idx="43">
                  <c:v>0.86074918566775249</c:v>
                </c:pt>
                <c:pt idx="44">
                  <c:v>0.41042345276872966</c:v>
                </c:pt>
                <c:pt idx="45">
                  <c:v>0.51302931596091206</c:v>
                </c:pt>
                <c:pt idx="46">
                  <c:v>1.067385993485342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0912"/>
        <c:axId val="100564992"/>
      </c:scatterChart>
      <c:valAx>
        <c:axId val="100550912"/>
        <c:scaling>
          <c:orientation val="minMax"/>
        </c:scaling>
        <c:delete val="0"/>
        <c:axPos val="b"/>
        <c:majorTickMark val="out"/>
        <c:minorTickMark val="none"/>
        <c:tickLblPos val="nextTo"/>
        <c:crossAx val="100564992"/>
        <c:crosses val="autoZero"/>
        <c:crossBetween val="midCat"/>
      </c:valAx>
      <c:valAx>
        <c:axId val="100564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5509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all_ex_postcap!$W$1</c:f>
              <c:strCache>
                <c:ptCount val="1"/>
                <c:pt idx="0">
                  <c:v>M/M_fracture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all_ex_postcap!$W$2:$W$53</c:f>
              <c:numCache>
                <c:formatCode>General</c:formatCode>
                <c:ptCount val="52"/>
                <c:pt idx="0">
                  <c:v>0.96226415094339623</c:v>
                </c:pt>
                <c:pt idx="1">
                  <c:v>1</c:v>
                </c:pt>
                <c:pt idx="2">
                  <c:v>0.79617834394904463</c:v>
                </c:pt>
                <c:pt idx="3">
                  <c:v>1</c:v>
                </c:pt>
                <c:pt idx="4">
                  <c:v>0.88235294117647056</c:v>
                </c:pt>
                <c:pt idx="5">
                  <c:v>1</c:v>
                </c:pt>
                <c:pt idx="6">
                  <c:v>0.70588235294117652</c:v>
                </c:pt>
                <c:pt idx="7">
                  <c:v>0.66587747854394785</c:v>
                </c:pt>
                <c:pt idx="8">
                  <c:v>1</c:v>
                </c:pt>
                <c:pt idx="9">
                  <c:v>0.80882352941176472</c:v>
                </c:pt>
                <c:pt idx="10">
                  <c:v>0.83823529411764708</c:v>
                </c:pt>
                <c:pt idx="11">
                  <c:v>1</c:v>
                </c:pt>
                <c:pt idx="12">
                  <c:v>0.6619718309859155</c:v>
                </c:pt>
                <c:pt idx="13">
                  <c:v>0.92957746478873238</c:v>
                </c:pt>
                <c:pt idx="14">
                  <c:v>1</c:v>
                </c:pt>
                <c:pt idx="15">
                  <c:v>1</c:v>
                </c:pt>
                <c:pt idx="16">
                  <c:v>0.54373522458628842</c:v>
                </c:pt>
                <c:pt idx="17">
                  <c:v>0.81560283687943258</c:v>
                </c:pt>
                <c:pt idx="18">
                  <c:v>1</c:v>
                </c:pt>
                <c:pt idx="19">
                  <c:v>0.43859649122807015</c:v>
                </c:pt>
                <c:pt idx="20">
                  <c:v>0.57017543859649122</c:v>
                </c:pt>
                <c:pt idx="21">
                  <c:v>0.75438596491228072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0.5636363636363636</c:v>
                </c:pt>
                <c:pt idx="27">
                  <c:v>0.67193675889328064</c:v>
                </c:pt>
                <c:pt idx="28">
                  <c:v>0.74308300395256921</c:v>
                </c:pt>
                <c:pt idx="29">
                  <c:v>0.98023715415019763</c:v>
                </c:pt>
                <c:pt idx="30">
                  <c:v>1</c:v>
                </c:pt>
                <c:pt idx="31">
                  <c:v>0.74179743223965777</c:v>
                </c:pt>
                <c:pt idx="32">
                  <c:v>0.85592011412268199</c:v>
                </c:pt>
                <c:pt idx="33">
                  <c:v>0.88445078459343807</c:v>
                </c:pt>
                <c:pt idx="34">
                  <c:v>0.94864479315263917</c:v>
                </c:pt>
                <c:pt idx="35">
                  <c:v>1</c:v>
                </c:pt>
                <c:pt idx="36">
                  <c:v>0.77419354838709675</c:v>
                </c:pt>
                <c:pt idx="37">
                  <c:v>0.967741935483871</c:v>
                </c:pt>
                <c:pt idx="38">
                  <c:v>1</c:v>
                </c:pt>
                <c:pt idx="39">
                  <c:v>0.47682119205298013</c:v>
                </c:pt>
                <c:pt idx="40">
                  <c:v>0.58609271523178808</c:v>
                </c:pt>
                <c:pt idx="41">
                  <c:v>0.59933774834437081</c:v>
                </c:pt>
                <c:pt idx="42">
                  <c:v>0.64900662251655628</c:v>
                </c:pt>
                <c:pt idx="43">
                  <c:v>1</c:v>
                </c:pt>
                <c:pt idx="44">
                  <c:v>0.38451268357810414</c:v>
                </c:pt>
                <c:pt idx="45">
                  <c:v>0.48064085447263016</c:v>
                </c:pt>
                <c:pt idx="46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64928"/>
        <c:axId val="106366464"/>
      </c:scatterChart>
      <c:valAx>
        <c:axId val="106364928"/>
        <c:scaling>
          <c:orientation val="minMax"/>
        </c:scaling>
        <c:delete val="0"/>
        <c:axPos val="b"/>
        <c:majorTickMark val="out"/>
        <c:minorTickMark val="none"/>
        <c:tickLblPos val="nextTo"/>
        <c:crossAx val="106366464"/>
        <c:crosses val="autoZero"/>
        <c:crossBetween val="midCat"/>
      </c:valAx>
      <c:valAx>
        <c:axId val="106366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3649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all_ex_postcap!$D$1</c:f>
              <c:strCache>
                <c:ptCount val="1"/>
                <c:pt idx="0">
                  <c:v>d/a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all_ex_postcap!$D$2:$D$53</c:f>
              <c:numCache>
                <c:formatCode>General</c:formatCode>
                <c:ptCount val="52"/>
                <c:pt idx="0">
                  <c:v>4.8148148148148149</c:v>
                </c:pt>
                <c:pt idx="1">
                  <c:v>4.8148148148148149</c:v>
                </c:pt>
                <c:pt idx="2">
                  <c:v>4.8148148148148149</c:v>
                </c:pt>
                <c:pt idx="3">
                  <c:v>4.8148148148148149</c:v>
                </c:pt>
                <c:pt idx="4">
                  <c:v>4.8148148148148149</c:v>
                </c:pt>
                <c:pt idx="5">
                  <c:v>4.8148148148148149</c:v>
                </c:pt>
                <c:pt idx="6">
                  <c:v>4.8148148148148149</c:v>
                </c:pt>
                <c:pt idx="7">
                  <c:v>3.6792452830188678</c:v>
                </c:pt>
                <c:pt idx="8">
                  <c:v>3.6792452830188678</c:v>
                </c:pt>
                <c:pt idx="9">
                  <c:v>3.6792452830188678</c:v>
                </c:pt>
                <c:pt idx="10">
                  <c:v>3.6792452830188678</c:v>
                </c:pt>
                <c:pt idx="11">
                  <c:v>3.6792452830188678</c:v>
                </c:pt>
                <c:pt idx="12">
                  <c:v>3.6792452830188678</c:v>
                </c:pt>
                <c:pt idx="13">
                  <c:v>3.6792452830188678</c:v>
                </c:pt>
                <c:pt idx="14">
                  <c:v>3.6792452830188678</c:v>
                </c:pt>
                <c:pt idx="15">
                  <c:v>2.8057553956834531</c:v>
                </c:pt>
                <c:pt idx="16">
                  <c:v>2.8057553956834531</c:v>
                </c:pt>
                <c:pt idx="17">
                  <c:v>2.8057553956834531</c:v>
                </c:pt>
                <c:pt idx="18">
                  <c:v>2.8057553956834531</c:v>
                </c:pt>
                <c:pt idx="19">
                  <c:v>2.8057553956834531</c:v>
                </c:pt>
                <c:pt idx="20">
                  <c:v>2.8057553956834531</c:v>
                </c:pt>
                <c:pt idx="21">
                  <c:v>2.8057553956834531</c:v>
                </c:pt>
                <c:pt idx="22">
                  <c:v>2.8057553956834531</c:v>
                </c:pt>
                <c:pt idx="23">
                  <c:v>2.3926380368098159</c:v>
                </c:pt>
                <c:pt idx="24">
                  <c:v>2.3926380368098159</c:v>
                </c:pt>
                <c:pt idx="25">
                  <c:v>2.3926380368098159</c:v>
                </c:pt>
                <c:pt idx="26">
                  <c:v>1.8571428571428572</c:v>
                </c:pt>
                <c:pt idx="27">
                  <c:v>1.8571428571428572</c:v>
                </c:pt>
                <c:pt idx="28">
                  <c:v>1.8571428571428572</c:v>
                </c:pt>
                <c:pt idx="29">
                  <c:v>1.8571428571428572</c:v>
                </c:pt>
                <c:pt idx="30">
                  <c:v>1.8571428571428572</c:v>
                </c:pt>
                <c:pt idx="31">
                  <c:v>1.8571428571428572</c:v>
                </c:pt>
                <c:pt idx="32">
                  <c:v>1.8571428571428572</c:v>
                </c:pt>
                <c:pt idx="33">
                  <c:v>1.8571428571428572</c:v>
                </c:pt>
                <c:pt idx="34">
                  <c:v>1.8571428571428572</c:v>
                </c:pt>
                <c:pt idx="35">
                  <c:v>1.8571428571428572</c:v>
                </c:pt>
                <c:pt idx="36">
                  <c:v>1.8571428571428572</c:v>
                </c:pt>
                <c:pt idx="37">
                  <c:v>1.8571428571428572</c:v>
                </c:pt>
                <c:pt idx="38">
                  <c:v>1.8571428571428572</c:v>
                </c:pt>
                <c:pt idx="39">
                  <c:v>1.1400651465798046</c:v>
                </c:pt>
                <c:pt idx="40">
                  <c:v>1.1400651465798046</c:v>
                </c:pt>
                <c:pt idx="41">
                  <c:v>1.1400651465798046</c:v>
                </c:pt>
                <c:pt idx="42">
                  <c:v>1.1400651465798046</c:v>
                </c:pt>
                <c:pt idx="43">
                  <c:v>1.1400651465798046</c:v>
                </c:pt>
                <c:pt idx="44">
                  <c:v>1.1400651465798046</c:v>
                </c:pt>
                <c:pt idx="45">
                  <c:v>1.1400651465798046</c:v>
                </c:pt>
                <c:pt idx="46">
                  <c:v>1.1400651465798046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78752"/>
        <c:axId val="106380288"/>
      </c:scatterChart>
      <c:valAx>
        <c:axId val="106378752"/>
        <c:scaling>
          <c:orientation val="minMax"/>
        </c:scaling>
        <c:delete val="0"/>
        <c:axPos val="b"/>
        <c:majorTickMark val="out"/>
        <c:minorTickMark val="none"/>
        <c:tickLblPos val="nextTo"/>
        <c:crossAx val="106380288"/>
        <c:crosses val="autoZero"/>
        <c:crossBetween val="midCat"/>
      </c:valAx>
      <c:valAx>
        <c:axId val="106380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3787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all_ex_postcap!$AA$1</c:f>
              <c:strCache>
                <c:ptCount val="1"/>
                <c:pt idx="0">
                  <c:v>d (mm)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all_ex_postcap!$AA$2:$AA$53</c:f>
              <c:numCache>
                <c:formatCode>General</c:formatCode>
                <c:ptCount val="52"/>
                <c:pt idx="0">
                  <c:v>81</c:v>
                </c:pt>
                <c:pt idx="1">
                  <c:v>81</c:v>
                </c:pt>
                <c:pt idx="2">
                  <c:v>81</c:v>
                </c:pt>
                <c:pt idx="3">
                  <c:v>81</c:v>
                </c:pt>
                <c:pt idx="4">
                  <c:v>81</c:v>
                </c:pt>
                <c:pt idx="5">
                  <c:v>81</c:v>
                </c:pt>
                <c:pt idx="6">
                  <c:v>81</c:v>
                </c:pt>
                <c:pt idx="7">
                  <c:v>106</c:v>
                </c:pt>
                <c:pt idx="8">
                  <c:v>106</c:v>
                </c:pt>
                <c:pt idx="9">
                  <c:v>106</c:v>
                </c:pt>
                <c:pt idx="10">
                  <c:v>106</c:v>
                </c:pt>
                <c:pt idx="11">
                  <c:v>106</c:v>
                </c:pt>
                <c:pt idx="12">
                  <c:v>106</c:v>
                </c:pt>
                <c:pt idx="13">
                  <c:v>106</c:v>
                </c:pt>
                <c:pt idx="14">
                  <c:v>106</c:v>
                </c:pt>
                <c:pt idx="15">
                  <c:v>139</c:v>
                </c:pt>
                <c:pt idx="16">
                  <c:v>139</c:v>
                </c:pt>
                <c:pt idx="17">
                  <c:v>139</c:v>
                </c:pt>
                <c:pt idx="18">
                  <c:v>139</c:v>
                </c:pt>
                <c:pt idx="19">
                  <c:v>139</c:v>
                </c:pt>
                <c:pt idx="20">
                  <c:v>139</c:v>
                </c:pt>
                <c:pt idx="21">
                  <c:v>139</c:v>
                </c:pt>
                <c:pt idx="22">
                  <c:v>139</c:v>
                </c:pt>
                <c:pt idx="23">
                  <c:v>163</c:v>
                </c:pt>
                <c:pt idx="24">
                  <c:v>163</c:v>
                </c:pt>
                <c:pt idx="25">
                  <c:v>163</c:v>
                </c:pt>
                <c:pt idx="26">
                  <c:v>210</c:v>
                </c:pt>
                <c:pt idx="27">
                  <c:v>210</c:v>
                </c:pt>
                <c:pt idx="28">
                  <c:v>210</c:v>
                </c:pt>
                <c:pt idx="29">
                  <c:v>210</c:v>
                </c:pt>
                <c:pt idx="30">
                  <c:v>210</c:v>
                </c:pt>
                <c:pt idx="31">
                  <c:v>210</c:v>
                </c:pt>
                <c:pt idx="32">
                  <c:v>210</c:v>
                </c:pt>
                <c:pt idx="33">
                  <c:v>210</c:v>
                </c:pt>
                <c:pt idx="34">
                  <c:v>210</c:v>
                </c:pt>
                <c:pt idx="35">
                  <c:v>210</c:v>
                </c:pt>
                <c:pt idx="36">
                  <c:v>210</c:v>
                </c:pt>
                <c:pt idx="37">
                  <c:v>210</c:v>
                </c:pt>
                <c:pt idx="38">
                  <c:v>210</c:v>
                </c:pt>
                <c:pt idx="39">
                  <c:v>307</c:v>
                </c:pt>
                <c:pt idx="40">
                  <c:v>307</c:v>
                </c:pt>
                <c:pt idx="41">
                  <c:v>307</c:v>
                </c:pt>
                <c:pt idx="42">
                  <c:v>307</c:v>
                </c:pt>
                <c:pt idx="43">
                  <c:v>307</c:v>
                </c:pt>
                <c:pt idx="44">
                  <c:v>307</c:v>
                </c:pt>
                <c:pt idx="45">
                  <c:v>307</c:v>
                </c:pt>
                <c:pt idx="46">
                  <c:v>307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08192"/>
        <c:axId val="106409984"/>
      </c:scatterChart>
      <c:valAx>
        <c:axId val="106408192"/>
        <c:scaling>
          <c:orientation val="minMax"/>
        </c:scaling>
        <c:delete val="0"/>
        <c:axPos val="b"/>
        <c:majorTickMark val="out"/>
        <c:minorTickMark val="none"/>
        <c:tickLblPos val="nextTo"/>
        <c:crossAx val="106409984"/>
        <c:crosses val="autoZero"/>
        <c:crossBetween val="midCat"/>
      </c:valAx>
      <c:valAx>
        <c:axId val="106409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4081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all_ex_postcap!$AH$1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all_ex_postcap!$AH$2:$AH$53</c:f>
              <c:numCache>
                <c:formatCode>General</c:formatCode>
                <c:ptCount val="5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667200"/>
        <c:axId val="101668736"/>
      </c:scatterChart>
      <c:valAx>
        <c:axId val="101667200"/>
        <c:scaling>
          <c:orientation val="minMax"/>
        </c:scaling>
        <c:delete val="0"/>
        <c:axPos val="b"/>
        <c:majorTickMark val="out"/>
        <c:minorTickMark val="none"/>
        <c:tickLblPos val="nextTo"/>
        <c:crossAx val="101668736"/>
        <c:crosses val="autoZero"/>
        <c:crossBetween val="midCat"/>
      </c:valAx>
      <c:valAx>
        <c:axId val="101668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1667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shearstrength_DS5!$D$2</c:f>
              <c:strCache>
                <c:ptCount val="1"/>
                <c:pt idx="0">
                  <c:v>Vaci</c:v>
                </c:pt>
              </c:strCache>
            </c:strRef>
          </c:tx>
          <c:spPr>
            <a:ln w="28575">
              <a:noFill/>
            </a:ln>
          </c:spPr>
          <c:xVal>
            <c:numRef>
              <c:f>shearstrength_DS5!$C$3:$C$87</c:f>
              <c:numCache>
                <c:formatCode>General</c:formatCode>
                <c:ptCount val="85"/>
                <c:pt idx="17">
                  <c:v>324.7</c:v>
                </c:pt>
                <c:pt idx="18">
                  <c:v>293.55</c:v>
                </c:pt>
                <c:pt idx="19">
                  <c:v>75.599999999999994</c:v>
                </c:pt>
                <c:pt idx="20">
                  <c:v>88.95</c:v>
                </c:pt>
                <c:pt idx="21">
                  <c:v>97.85</c:v>
                </c:pt>
                <c:pt idx="22">
                  <c:v>86.7</c:v>
                </c:pt>
                <c:pt idx="23">
                  <c:v>48.924999999999997</c:v>
                </c:pt>
                <c:pt idx="24">
                  <c:v>51</c:v>
                </c:pt>
                <c:pt idx="25">
                  <c:v>133.5</c:v>
                </c:pt>
                <c:pt idx="26">
                  <c:v>136.6</c:v>
                </c:pt>
                <c:pt idx="27">
                  <c:v>146</c:v>
                </c:pt>
                <c:pt idx="28">
                  <c:v>160</c:v>
                </c:pt>
                <c:pt idx="29">
                  <c:v>58.6</c:v>
                </c:pt>
                <c:pt idx="30">
                  <c:v>153.6</c:v>
                </c:pt>
                <c:pt idx="31">
                  <c:v>253.7</c:v>
                </c:pt>
                <c:pt idx="32">
                  <c:v>330.09</c:v>
                </c:pt>
                <c:pt idx="33">
                  <c:v>422</c:v>
                </c:pt>
                <c:pt idx="34">
                  <c:v>406</c:v>
                </c:pt>
                <c:pt idx="35">
                  <c:v>60</c:v>
                </c:pt>
                <c:pt idx="36">
                  <c:v>66.7</c:v>
                </c:pt>
                <c:pt idx="37">
                  <c:v>68.900000000000006</c:v>
                </c:pt>
                <c:pt idx="38">
                  <c:v>64.5</c:v>
                </c:pt>
                <c:pt idx="39">
                  <c:v>289.12</c:v>
                </c:pt>
                <c:pt idx="40">
                  <c:v>300.2</c:v>
                </c:pt>
                <c:pt idx="41">
                  <c:v>60</c:v>
                </c:pt>
                <c:pt idx="42">
                  <c:v>64.5</c:v>
                </c:pt>
                <c:pt idx="43">
                  <c:v>1220.2</c:v>
                </c:pt>
                <c:pt idx="44">
                  <c:v>114.5</c:v>
                </c:pt>
                <c:pt idx="45">
                  <c:v>112</c:v>
                </c:pt>
                <c:pt idx="46">
                  <c:v>471</c:v>
                </c:pt>
                <c:pt idx="47">
                  <c:v>440</c:v>
                </c:pt>
                <c:pt idx="48">
                  <c:v>1282</c:v>
                </c:pt>
                <c:pt idx="49">
                  <c:v>237.5</c:v>
                </c:pt>
                <c:pt idx="50">
                  <c:v>253</c:v>
                </c:pt>
                <c:pt idx="51">
                  <c:v>258.5</c:v>
                </c:pt>
                <c:pt idx="52">
                  <c:v>248.5</c:v>
                </c:pt>
                <c:pt idx="53">
                  <c:v>249.5</c:v>
                </c:pt>
                <c:pt idx="54">
                  <c:v>227</c:v>
                </c:pt>
                <c:pt idx="55">
                  <c:v>260</c:v>
                </c:pt>
                <c:pt idx="56">
                  <c:v>694</c:v>
                </c:pt>
                <c:pt idx="57">
                  <c:v>249.5</c:v>
                </c:pt>
                <c:pt idx="58">
                  <c:v>250</c:v>
                </c:pt>
                <c:pt idx="59">
                  <c:v>226.5</c:v>
                </c:pt>
                <c:pt idx="60">
                  <c:v>272.5</c:v>
                </c:pt>
                <c:pt idx="61">
                  <c:v>36.35</c:v>
                </c:pt>
                <c:pt idx="62">
                  <c:v>38.049999999999997</c:v>
                </c:pt>
                <c:pt idx="63">
                  <c:v>38.85</c:v>
                </c:pt>
                <c:pt idx="64">
                  <c:v>37.950000000000003</c:v>
                </c:pt>
                <c:pt idx="65">
                  <c:v>41.5</c:v>
                </c:pt>
                <c:pt idx="66">
                  <c:v>34.5</c:v>
                </c:pt>
                <c:pt idx="67">
                  <c:v>38.25</c:v>
                </c:pt>
                <c:pt idx="68">
                  <c:v>40.299999999999997</c:v>
                </c:pt>
                <c:pt idx="69">
                  <c:v>24.75</c:v>
                </c:pt>
                <c:pt idx="70">
                  <c:v>37.450000000000003</c:v>
                </c:pt>
                <c:pt idx="71">
                  <c:v>66</c:v>
                </c:pt>
                <c:pt idx="72">
                  <c:v>171.5</c:v>
                </c:pt>
                <c:pt idx="74">
                  <c:v>230</c:v>
                </c:pt>
                <c:pt idx="75">
                  <c:v>200</c:v>
                </c:pt>
                <c:pt idx="76">
                  <c:v>380</c:v>
                </c:pt>
              </c:numCache>
            </c:numRef>
          </c:xVal>
          <c:yVal>
            <c:numRef>
              <c:f>shearstrength_DS5!$D$3:$D$87</c:f>
              <c:numCache>
                <c:formatCode>General</c:formatCode>
                <c:ptCount val="85"/>
                <c:pt idx="17">
                  <c:v>315.26072484614241</c:v>
                </c:pt>
                <c:pt idx="18">
                  <c:v>360.19815692107983</c:v>
                </c:pt>
                <c:pt idx="19">
                  <c:v>50.441715975382785</c:v>
                </c:pt>
                <c:pt idx="20">
                  <c:v>50.441715975382785</c:v>
                </c:pt>
                <c:pt idx="21">
                  <c:v>58.846249182011164</c:v>
                </c:pt>
                <c:pt idx="22">
                  <c:v>57.631705107372774</c:v>
                </c:pt>
                <c:pt idx="23">
                  <c:v>43.666203653414307</c:v>
                </c:pt>
                <c:pt idx="24">
                  <c:v>44.480290845592471</c:v>
                </c:pt>
                <c:pt idx="25">
                  <c:v>95.475820516409613</c:v>
                </c:pt>
                <c:pt idx="26">
                  <c:v>218.1128658349013</c:v>
                </c:pt>
                <c:pt idx="27">
                  <c:v>277.91275211563118</c:v>
                </c:pt>
                <c:pt idx="28">
                  <c:v>359.85480101280268</c:v>
                </c:pt>
                <c:pt idx="29">
                  <c:v>65.122551005708502</c:v>
                </c:pt>
                <c:pt idx="30">
                  <c:v>287.39988916950136</c:v>
                </c:pt>
                <c:pt idx="31">
                  <c:v>476.19309321559643</c:v>
                </c:pt>
                <c:pt idx="32">
                  <c:v>710.51011021012994</c:v>
                </c:pt>
                <c:pt idx="33">
                  <c:v>304.14091473389425</c:v>
                </c:pt>
                <c:pt idx="34">
                  <c:v>355.96518421728706</c:v>
                </c:pt>
                <c:pt idx="35">
                  <c:v>57.493854738296953</c:v>
                </c:pt>
                <c:pt idx="36">
                  <c:v>57.742956546489154</c:v>
                </c:pt>
                <c:pt idx="37">
                  <c:v>58.045099923767296</c:v>
                </c:pt>
                <c:pt idx="38">
                  <c:v>58.032851892469481</c:v>
                </c:pt>
                <c:pt idx="39">
                  <c:v>346.21389233163654</c:v>
                </c:pt>
                <c:pt idx="40">
                  <c:v>347.03430439877314</c:v>
                </c:pt>
                <c:pt idx="41">
                  <c:v>60.226251930410818</c:v>
                </c:pt>
                <c:pt idx="42">
                  <c:v>59.564424986120599</c:v>
                </c:pt>
                <c:pt idx="43">
                  <c:v>2453.385027333662</c:v>
                </c:pt>
                <c:pt idx="44">
                  <c:v>111.39914120993571</c:v>
                </c:pt>
                <c:pt idx="45">
                  <c:v>112.57489031020607</c:v>
                </c:pt>
                <c:pt idx="46">
                  <c:v>456.19893529712158</c:v>
                </c:pt>
                <c:pt idx="47">
                  <c:v>448.69492671021681</c:v>
                </c:pt>
                <c:pt idx="48">
                  <c:v>1399.1036567734952</c:v>
                </c:pt>
                <c:pt idx="49">
                  <c:v>217.6088277901716</c:v>
                </c:pt>
                <c:pt idx="50">
                  <c:v>218.7031752928074</c:v>
                </c:pt>
                <c:pt idx="51">
                  <c:v>218.52584307051055</c:v>
                </c:pt>
                <c:pt idx="52">
                  <c:v>218.52584307051055</c:v>
                </c:pt>
                <c:pt idx="53">
                  <c:v>432.21976677119284</c:v>
                </c:pt>
                <c:pt idx="54">
                  <c:v>442.78360878303693</c:v>
                </c:pt>
                <c:pt idx="55">
                  <c:v>598.38117144774571</c:v>
                </c:pt>
                <c:pt idx="56">
                  <c:v>588.5440985337824</c:v>
                </c:pt>
                <c:pt idx="57">
                  <c:v>390.84434845224735</c:v>
                </c:pt>
                <c:pt idx="58">
                  <c:v>401.89079055787931</c:v>
                </c:pt>
                <c:pt idx="59">
                  <c:v>369.73636943603475</c:v>
                </c:pt>
                <c:pt idx="60">
                  <c:v>372.35864604944913</c:v>
                </c:pt>
                <c:pt idx="61">
                  <c:v>36.721008118325614</c:v>
                </c:pt>
                <c:pt idx="62">
                  <c:v>36.721008118325614</c:v>
                </c:pt>
                <c:pt idx="63">
                  <c:v>35.51817294750655</c:v>
                </c:pt>
                <c:pt idx="64">
                  <c:v>35.016285286734792</c:v>
                </c:pt>
                <c:pt idx="65">
                  <c:v>30.602300724370938</c:v>
                </c:pt>
                <c:pt idx="66">
                  <c:v>30.602300724370938</c:v>
                </c:pt>
                <c:pt idx="67">
                  <c:v>37.415556800297637</c:v>
                </c:pt>
                <c:pt idx="68">
                  <c:v>37.415556800297637</c:v>
                </c:pt>
                <c:pt idx="69">
                  <c:v>36.14686198410422</c:v>
                </c:pt>
                <c:pt idx="70">
                  <c:v>48.668335277749989</c:v>
                </c:pt>
                <c:pt idx="71">
                  <c:v>49.876656311454809</c:v>
                </c:pt>
                <c:pt idx="72">
                  <c:v>422.65048463655484</c:v>
                </c:pt>
                <c:pt idx="74">
                  <c:v>530.9899984822747</c:v>
                </c:pt>
                <c:pt idx="75">
                  <c:v>509.13336600687688</c:v>
                </c:pt>
                <c:pt idx="76">
                  <c:v>489.8791857548851</c:v>
                </c:pt>
              </c:numCache>
            </c:numRef>
          </c:yVal>
          <c:smooth val="0"/>
        </c:ser>
        <c:ser>
          <c:idx val="1"/>
          <c:order val="1"/>
          <c:xVal>
            <c:numRef>
              <c:f>shearstrength_DS5!$G$6:$G$7</c:f>
              <c:numCache>
                <c:formatCode>General</c:formatCode>
                <c:ptCount val="2"/>
                <c:pt idx="0">
                  <c:v>0</c:v>
                </c:pt>
                <c:pt idx="1">
                  <c:v>1200</c:v>
                </c:pt>
              </c:numCache>
            </c:numRef>
          </c:xVal>
          <c:yVal>
            <c:numRef>
              <c:f>shearstrength_DS5!$H$6:$H$7</c:f>
              <c:numCache>
                <c:formatCode>General</c:formatCode>
                <c:ptCount val="2"/>
                <c:pt idx="0">
                  <c:v>0</c:v>
                </c:pt>
                <c:pt idx="1">
                  <c:v>1200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51808"/>
        <c:axId val="101753600"/>
      </c:scatterChart>
      <c:valAx>
        <c:axId val="101751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1753600"/>
        <c:crosses val="autoZero"/>
        <c:crossBetween val="midCat"/>
      </c:valAx>
      <c:valAx>
        <c:axId val="101753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17518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all_ex_postcap_2!$V$1</c:f>
              <c:strCache>
                <c:ptCount val="1"/>
                <c:pt idx="0">
                  <c:v>V/(2*sqrt(fc) bd)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all_ex_postcap_2!$V$2:$V$48</c:f>
              <c:numCache>
                <c:formatCode>General</c:formatCode>
                <c:ptCount val="47"/>
                <c:pt idx="0">
                  <c:v>1.6582671996803269</c:v>
                </c:pt>
                <c:pt idx="1">
                  <c:v>2.0827836027984907</c:v>
                </c:pt>
                <c:pt idx="2">
                  <c:v>1.4924404797122941</c:v>
                </c:pt>
                <c:pt idx="3">
                  <c:v>1.6914325436739335</c:v>
                </c:pt>
                <c:pt idx="4">
                  <c:v>1.1939523837698354</c:v>
                </c:pt>
                <c:pt idx="5">
                  <c:v>1.1404498005348664</c:v>
                </c:pt>
                <c:pt idx="6">
                  <c:v>1.7127021671143616</c:v>
                </c:pt>
                <c:pt idx="7">
                  <c:v>1.3938830895426144</c:v>
                </c:pt>
                <c:pt idx="8">
                  <c:v>1.4445697473441641</c:v>
                </c:pt>
                <c:pt idx="9">
                  <c:v>1.723346365252687</c:v>
                </c:pt>
                <c:pt idx="10">
                  <c:v>1.1911364583364159</c:v>
                </c:pt>
                <c:pt idx="11">
                  <c:v>1.6726597074511373</c:v>
                </c:pt>
                <c:pt idx="12">
                  <c:v>1.7993763519550114</c:v>
                </c:pt>
                <c:pt idx="13">
                  <c:v>1.6002397776713693</c:v>
                </c:pt>
                <c:pt idx="14">
                  <c:v>0.96632836815903944</c:v>
                </c:pt>
                <c:pt idx="15">
                  <c:v>1.2562268786067512</c:v>
                </c:pt>
                <c:pt idx="16">
                  <c:v>1.6620847932335479</c:v>
                </c:pt>
                <c:pt idx="17">
                  <c:v>2.2032286794026099</c:v>
                </c:pt>
                <c:pt idx="18">
                  <c:v>1.6480937812773802</c:v>
                </c:pt>
                <c:pt idx="19">
                  <c:v>1.6711670942152634</c:v>
                </c:pt>
                <c:pt idx="20">
                  <c:v>1.4799882155870874</c:v>
                </c:pt>
                <c:pt idx="21">
                  <c:v>0.91209433888702773</c:v>
                </c:pt>
                <c:pt idx="22">
                  <c:v>1.0873494923618143</c:v>
                </c:pt>
                <c:pt idx="23">
                  <c:v>1.2024806150824769</c:v>
                </c:pt>
                <c:pt idx="24">
                  <c:v>1.5862510241513528</c:v>
                </c:pt>
                <c:pt idx="25">
                  <c:v>1.618231891573759</c:v>
                </c:pt>
                <c:pt idx="26">
                  <c:v>1.3304040847721021</c:v>
                </c:pt>
                <c:pt idx="27">
                  <c:v>1.5350816362755026</c:v>
                </c:pt>
                <c:pt idx="28">
                  <c:v>1.5862510241513528</c:v>
                </c:pt>
                <c:pt idx="29">
                  <c:v>1.7013821468720154</c:v>
                </c:pt>
                <c:pt idx="30">
                  <c:v>1.7934870450485454</c:v>
                </c:pt>
                <c:pt idx="31">
                  <c:v>1.2280653090204021</c:v>
                </c:pt>
                <c:pt idx="32">
                  <c:v>1.5350816362755026</c:v>
                </c:pt>
                <c:pt idx="33">
                  <c:v>1.5862510241513528</c:v>
                </c:pt>
                <c:pt idx="34">
                  <c:v>1.2600670108841259</c:v>
                </c:pt>
                <c:pt idx="35">
                  <c:v>1.5488323675450713</c:v>
                </c:pt>
                <c:pt idx="36">
                  <c:v>1.5838342289585194</c:v>
                </c:pt>
                <c:pt idx="37">
                  <c:v>1.7150912092589492</c:v>
                </c:pt>
                <c:pt idx="38">
                  <c:v>2.6426405367153198</c:v>
                </c:pt>
                <c:pt idx="39">
                  <c:v>1.2600670108841259</c:v>
                </c:pt>
                <c:pt idx="40">
                  <c:v>1.5750837636051573</c:v>
                </c:pt>
                <c:pt idx="41">
                  <c:v>3.2770492748340638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33632"/>
        <c:axId val="112135168"/>
      </c:scatterChart>
      <c:valAx>
        <c:axId val="112133632"/>
        <c:scaling>
          <c:orientation val="minMax"/>
        </c:scaling>
        <c:delete val="0"/>
        <c:axPos val="b"/>
        <c:majorTickMark val="out"/>
        <c:minorTickMark val="none"/>
        <c:tickLblPos val="nextTo"/>
        <c:crossAx val="112135168"/>
        <c:crosses val="autoZero"/>
        <c:crossBetween val="midCat"/>
      </c:valAx>
      <c:valAx>
        <c:axId val="112135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21336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all_ex_postcap_2!$U$1</c:f>
              <c:strCache>
                <c:ptCount val="1"/>
                <c:pt idx="0">
                  <c:v>M/(pho  bd)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all_ex_postcap_2!$U$2:$U$48</c:f>
              <c:numCache>
                <c:formatCode>General</c:formatCode>
                <c:ptCount val="47"/>
                <c:pt idx="0">
                  <c:v>0.38793617952492737</c:v>
                </c:pt>
                <c:pt idx="1">
                  <c:v>0.4872478414833088</c:v>
                </c:pt>
                <c:pt idx="2">
                  <c:v>0.34914256157243467</c:v>
                </c:pt>
                <c:pt idx="3">
                  <c:v>0.39569490311542593</c:v>
                </c:pt>
                <c:pt idx="4">
                  <c:v>0.27931404925794773</c:v>
                </c:pt>
                <c:pt idx="5">
                  <c:v>0.27931627196333075</c:v>
                </c:pt>
                <c:pt idx="6">
                  <c:v>0.41947097020626428</c:v>
                </c:pt>
                <c:pt idx="7">
                  <c:v>0.34138655462184869</c:v>
                </c:pt>
                <c:pt idx="8">
                  <c:v>0.35380061115355227</c:v>
                </c:pt>
                <c:pt idx="9">
                  <c:v>0.42207792207792205</c:v>
                </c:pt>
                <c:pt idx="10">
                  <c:v>0.29173032849503433</c:v>
                </c:pt>
                <c:pt idx="11">
                  <c:v>0.40966386554621842</c:v>
                </c:pt>
                <c:pt idx="12">
                  <c:v>0.44069900687547742</c:v>
                </c:pt>
                <c:pt idx="13">
                  <c:v>0.41115355233002293</c:v>
                </c:pt>
                <c:pt idx="14">
                  <c:v>0.24828113063407181</c:v>
                </c:pt>
                <c:pt idx="15">
                  <c:v>0.32276546982429333</c:v>
                </c:pt>
                <c:pt idx="16">
                  <c:v>0.42704354469060352</c:v>
                </c:pt>
                <c:pt idx="17">
                  <c:v>0.56608097784568367</c:v>
                </c:pt>
                <c:pt idx="18">
                  <c:v>0.43104401069873344</c:v>
                </c:pt>
                <c:pt idx="19">
                  <c:v>0.43707862684851573</c:v>
                </c:pt>
                <c:pt idx="20">
                  <c:v>0.38707752160746267</c:v>
                </c:pt>
                <c:pt idx="21">
                  <c:v>0.24586641673592813</c:v>
                </c:pt>
                <c:pt idx="22">
                  <c:v>0.29310863145236876</c:v>
                </c:pt>
                <c:pt idx="23">
                  <c:v>0.32414366301791364</c:v>
                </c:pt>
                <c:pt idx="24">
                  <c:v>0.42759376823639678</c:v>
                </c:pt>
                <c:pt idx="25">
                  <c:v>0.43621461033793701</c:v>
                </c:pt>
                <c:pt idx="26">
                  <c:v>0.3586270314240747</c:v>
                </c:pt>
                <c:pt idx="27">
                  <c:v>0.41380042087393232</c:v>
                </c:pt>
                <c:pt idx="28">
                  <c:v>0.42759376823639678</c:v>
                </c:pt>
                <c:pt idx="29">
                  <c:v>0.45862879980194166</c:v>
                </c:pt>
                <c:pt idx="30">
                  <c:v>0.48345682505437754</c:v>
                </c:pt>
                <c:pt idx="31">
                  <c:v>0.3310403366991459</c:v>
                </c:pt>
                <c:pt idx="32">
                  <c:v>0.41380042087393232</c:v>
                </c:pt>
                <c:pt idx="33">
                  <c:v>0.42759376823639678</c:v>
                </c:pt>
                <c:pt idx="34">
                  <c:v>0.31333540565744483</c:v>
                </c:pt>
                <c:pt idx="35">
                  <c:v>0.38514143612060925</c:v>
                </c:pt>
                <c:pt idx="36">
                  <c:v>0.39384519738887164</c:v>
                </c:pt>
                <c:pt idx="37">
                  <c:v>0.42648430214485544</c:v>
                </c:pt>
                <c:pt idx="38">
                  <c:v>0.65713397575380794</c:v>
                </c:pt>
                <c:pt idx="39">
                  <c:v>0.31333540565744483</c:v>
                </c:pt>
                <c:pt idx="40">
                  <c:v>0.39166925707180605</c:v>
                </c:pt>
                <c:pt idx="41">
                  <c:v>0.81488964874106307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59744"/>
        <c:axId val="112169728"/>
      </c:scatterChart>
      <c:valAx>
        <c:axId val="112159744"/>
        <c:scaling>
          <c:orientation val="minMax"/>
        </c:scaling>
        <c:delete val="0"/>
        <c:axPos val="b"/>
        <c:majorTickMark val="out"/>
        <c:minorTickMark val="none"/>
        <c:tickLblPos val="nextTo"/>
        <c:crossAx val="112169728"/>
        <c:crosses val="autoZero"/>
        <c:crossBetween val="midCat"/>
      </c:valAx>
      <c:valAx>
        <c:axId val="112169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21597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all_ex_postcap_2!$L$1</c:f>
              <c:strCache>
                <c:ptCount val="1"/>
                <c:pt idx="0">
                  <c:v>V/(bd)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all_ex_postcap_2!$L$2:$L$48</c:f>
              <c:numCache>
                <c:formatCode>General</c:formatCode>
                <c:ptCount val="47"/>
                <c:pt idx="0">
                  <c:v>1.5432098765432098E-3</c:v>
                </c:pt>
                <c:pt idx="1">
                  <c:v>1.9382716049382714E-3</c:v>
                </c:pt>
                <c:pt idx="2">
                  <c:v>1.3888888888888889E-3</c:v>
                </c:pt>
                <c:pt idx="3">
                  <c:v>1.5740740740740741E-3</c:v>
                </c:pt>
                <c:pt idx="4">
                  <c:v>1.1111111111111111E-3</c:v>
                </c:pt>
                <c:pt idx="5">
                  <c:v>1.0613207547169811E-3</c:v>
                </c:pt>
                <c:pt idx="6">
                  <c:v>1.5938679245283019E-3</c:v>
                </c:pt>
                <c:pt idx="7">
                  <c:v>1.2971698113207546E-3</c:v>
                </c:pt>
                <c:pt idx="8">
                  <c:v>1.3443396226415095E-3</c:v>
                </c:pt>
                <c:pt idx="9">
                  <c:v>1.6037735849056603E-3</c:v>
                </c:pt>
                <c:pt idx="10">
                  <c:v>1.1084905660377359E-3</c:v>
                </c:pt>
                <c:pt idx="11">
                  <c:v>1.5566037735849057E-3</c:v>
                </c:pt>
                <c:pt idx="12">
                  <c:v>1.6745283018867925E-3</c:v>
                </c:pt>
                <c:pt idx="13">
                  <c:v>1.4892086330935252E-3</c:v>
                </c:pt>
                <c:pt idx="14">
                  <c:v>8.9928057553956839E-4</c:v>
                </c:pt>
                <c:pt idx="15">
                  <c:v>1.1690647482014388E-3</c:v>
                </c:pt>
                <c:pt idx="16">
                  <c:v>1.5467625899280575E-3</c:v>
                </c:pt>
                <c:pt idx="17">
                  <c:v>2.0503597122302156E-3</c:v>
                </c:pt>
                <c:pt idx="18">
                  <c:v>1.5337423312883436E-3</c:v>
                </c:pt>
                <c:pt idx="19">
                  <c:v>1.5552147239263805E-3</c:v>
                </c:pt>
                <c:pt idx="20">
                  <c:v>1.3773006134969324E-3</c:v>
                </c:pt>
                <c:pt idx="21">
                  <c:v>8.4880952380952382E-4</c:v>
                </c:pt>
                <c:pt idx="22">
                  <c:v>1.0119047619047618E-3</c:v>
                </c:pt>
                <c:pt idx="23">
                  <c:v>1.1190476190476191E-3</c:v>
                </c:pt>
                <c:pt idx="24">
                  <c:v>1.4761904761904762E-3</c:v>
                </c:pt>
                <c:pt idx="25">
                  <c:v>1.505952380952381E-3</c:v>
                </c:pt>
                <c:pt idx="26">
                  <c:v>1.238095238095238E-3</c:v>
                </c:pt>
                <c:pt idx="27">
                  <c:v>1.4285714285714286E-3</c:v>
                </c:pt>
                <c:pt idx="28">
                  <c:v>1.4761904761904762E-3</c:v>
                </c:pt>
                <c:pt idx="29">
                  <c:v>1.5833333333333333E-3</c:v>
                </c:pt>
                <c:pt idx="30">
                  <c:v>1.6690476190476188E-3</c:v>
                </c:pt>
                <c:pt idx="31">
                  <c:v>1.1428571428571429E-3</c:v>
                </c:pt>
                <c:pt idx="32">
                  <c:v>1.4285714285714286E-3</c:v>
                </c:pt>
                <c:pt idx="33">
                  <c:v>1.4761904761904762E-3</c:v>
                </c:pt>
                <c:pt idx="34">
                  <c:v>1.1726384364820848E-3</c:v>
                </c:pt>
                <c:pt idx="35">
                  <c:v>1.4413680781758958E-3</c:v>
                </c:pt>
                <c:pt idx="36">
                  <c:v>1.4739413680781759E-3</c:v>
                </c:pt>
                <c:pt idx="37">
                  <c:v>1.5960912052117263E-3</c:v>
                </c:pt>
                <c:pt idx="38">
                  <c:v>2.4592833876221497E-3</c:v>
                </c:pt>
                <c:pt idx="39">
                  <c:v>1.1726384364820848E-3</c:v>
                </c:pt>
                <c:pt idx="40">
                  <c:v>1.4657980456026058E-3</c:v>
                </c:pt>
                <c:pt idx="41">
                  <c:v>3.0496742671009772E-3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94688"/>
        <c:axId val="112196224"/>
      </c:scatterChart>
      <c:valAx>
        <c:axId val="112194688"/>
        <c:scaling>
          <c:orientation val="minMax"/>
        </c:scaling>
        <c:delete val="0"/>
        <c:axPos val="b"/>
        <c:majorTickMark val="out"/>
        <c:minorTickMark val="none"/>
        <c:tickLblPos val="nextTo"/>
        <c:crossAx val="112196224"/>
        <c:crosses val="autoZero"/>
        <c:crossBetween val="midCat"/>
      </c:valAx>
      <c:valAx>
        <c:axId val="112196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21946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all_ex_postcap_2!$M$1</c:f>
              <c:strCache>
                <c:ptCount val="1"/>
                <c:pt idx="0">
                  <c:v>M/(bd)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all_ex_postcap_2!$M$2:$M$48</c:f>
              <c:numCache>
                <c:formatCode>General</c:formatCode>
                <c:ptCount val="47"/>
                <c:pt idx="0">
                  <c:v>0.60185185185185186</c:v>
                </c:pt>
                <c:pt idx="1">
                  <c:v>0.75592592592592589</c:v>
                </c:pt>
                <c:pt idx="2">
                  <c:v>0.54166666666666663</c:v>
                </c:pt>
                <c:pt idx="3">
                  <c:v>0.61388888888888893</c:v>
                </c:pt>
                <c:pt idx="4">
                  <c:v>0.43333333333333335</c:v>
                </c:pt>
                <c:pt idx="5">
                  <c:v>0.41391509433962265</c:v>
                </c:pt>
                <c:pt idx="6">
                  <c:v>0.62160849056603773</c:v>
                </c:pt>
                <c:pt idx="7">
                  <c:v>0.50589622641509435</c:v>
                </c:pt>
                <c:pt idx="8">
                  <c:v>0.52429245283018866</c:v>
                </c:pt>
                <c:pt idx="9">
                  <c:v>0.62547169811320757</c:v>
                </c:pt>
                <c:pt idx="10">
                  <c:v>0.43231132075471695</c:v>
                </c:pt>
                <c:pt idx="11">
                  <c:v>0.60707547169811316</c:v>
                </c:pt>
                <c:pt idx="12">
                  <c:v>0.65306603773584904</c:v>
                </c:pt>
                <c:pt idx="13">
                  <c:v>0.58079136690647482</c:v>
                </c:pt>
                <c:pt idx="14">
                  <c:v>0.35071942446043164</c:v>
                </c:pt>
                <c:pt idx="15">
                  <c:v>0.45593525179856115</c:v>
                </c:pt>
                <c:pt idx="16">
                  <c:v>0.60323741007194243</c:v>
                </c:pt>
                <c:pt idx="17">
                  <c:v>0.79964028776978413</c:v>
                </c:pt>
                <c:pt idx="18">
                  <c:v>0.59815950920245398</c:v>
                </c:pt>
                <c:pt idx="19">
                  <c:v>0.60653374233128832</c:v>
                </c:pt>
                <c:pt idx="20">
                  <c:v>0.5371472392638037</c:v>
                </c:pt>
                <c:pt idx="21">
                  <c:v>0.33103571428571427</c:v>
                </c:pt>
                <c:pt idx="22">
                  <c:v>0.39464285714285713</c:v>
                </c:pt>
                <c:pt idx="23">
                  <c:v>0.43642857142857144</c:v>
                </c:pt>
                <c:pt idx="24">
                  <c:v>0.57571428571428573</c:v>
                </c:pt>
                <c:pt idx="25">
                  <c:v>0.58732142857142855</c:v>
                </c:pt>
                <c:pt idx="26">
                  <c:v>0.48285714285714287</c:v>
                </c:pt>
                <c:pt idx="27">
                  <c:v>0.55714285714285716</c:v>
                </c:pt>
                <c:pt idx="28">
                  <c:v>0.57571428571428573</c:v>
                </c:pt>
                <c:pt idx="29">
                  <c:v>0.61750000000000005</c:v>
                </c:pt>
                <c:pt idx="30">
                  <c:v>0.6509285714285713</c:v>
                </c:pt>
                <c:pt idx="31">
                  <c:v>0.44571428571428573</c:v>
                </c:pt>
                <c:pt idx="32">
                  <c:v>0.55714285714285716</c:v>
                </c:pt>
                <c:pt idx="33">
                  <c:v>0.57571428571428573</c:v>
                </c:pt>
                <c:pt idx="34">
                  <c:v>0.41042345276872966</c:v>
                </c:pt>
                <c:pt idx="35">
                  <c:v>0.50447882736156346</c:v>
                </c:pt>
                <c:pt idx="36">
                  <c:v>0.51587947882736152</c:v>
                </c:pt>
                <c:pt idx="37">
                  <c:v>0.55863192182410426</c:v>
                </c:pt>
                <c:pt idx="38">
                  <c:v>0.86074918566775249</c:v>
                </c:pt>
                <c:pt idx="39">
                  <c:v>0.41042345276872966</c:v>
                </c:pt>
                <c:pt idx="40">
                  <c:v>0.51302931596091206</c:v>
                </c:pt>
                <c:pt idx="41">
                  <c:v>1.067385993485342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90816"/>
        <c:axId val="112296704"/>
      </c:scatterChart>
      <c:valAx>
        <c:axId val="112290816"/>
        <c:scaling>
          <c:orientation val="minMax"/>
        </c:scaling>
        <c:delete val="0"/>
        <c:axPos val="b"/>
        <c:majorTickMark val="out"/>
        <c:minorTickMark val="none"/>
        <c:tickLblPos val="nextTo"/>
        <c:crossAx val="112296704"/>
        <c:crosses val="autoZero"/>
        <c:crossBetween val="midCat"/>
      </c:valAx>
      <c:valAx>
        <c:axId val="112296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22908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7321544173089701"/>
          <c:y val="0.6261060277655838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0588828773485799E-2"/>
          <c:y val="0.25630907388608426"/>
          <c:w val="0.87942336139311317"/>
          <c:h val="0.63452169872146624"/>
        </c:manualLayout>
      </c:layout>
      <c:scatterChart>
        <c:scatterStyle val="lineMarker"/>
        <c:varyColors val="0"/>
        <c:ser>
          <c:idx val="0"/>
          <c:order val="0"/>
          <c:tx>
            <c:strRef>
              <c:f>all_ex_postcap_2!$W$1</c:f>
              <c:strCache>
                <c:ptCount val="1"/>
                <c:pt idx="0">
                  <c:v>M/M_fracture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all_ex_postcap_2!$W$2:$W$48</c:f>
              <c:numCache>
                <c:formatCode>General</c:formatCode>
                <c:ptCount val="47"/>
                <c:pt idx="0">
                  <c:v>0.79617834394904463</c:v>
                </c:pt>
                <c:pt idx="1">
                  <c:v>1</c:v>
                </c:pt>
                <c:pt idx="2">
                  <c:v>0.88235294117647056</c:v>
                </c:pt>
                <c:pt idx="3">
                  <c:v>1</c:v>
                </c:pt>
                <c:pt idx="4">
                  <c:v>0.70588235294117652</c:v>
                </c:pt>
                <c:pt idx="5">
                  <c:v>0.66587747854394785</c:v>
                </c:pt>
                <c:pt idx="6">
                  <c:v>1</c:v>
                </c:pt>
                <c:pt idx="7">
                  <c:v>0.80882352941176472</c:v>
                </c:pt>
                <c:pt idx="8">
                  <c:v>0.83823529411764708</c:v>
                </c:pt>
                <c:pt idx="9">
                  <c:v>1</c:v>
                </c:pt>
                <c:pt idx="10">
                  <c:v>0.6619718309859155</c:v>
                </c:pt>
                <c:pt idx="11">
                  <c:v>0.92957746478873238</c:v>
                </c:pt>
                <c:pt idx="12">
                  <c:v>1</c:v>
                </c:pt>
                <c:pt idx="13">
                  <c:v>1</c:v>
                </c:pt>
                <c:pt idx="14">
                  <c:v>0.43859649122807015</c:v>
                </c:pt>
                <c:pt idx="15">
                  <c:v>0.57017543859649122</c:v>
                </c:pt>
                <c:pt idx="16">
                  <c:v>0.75438596491228072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0.5636363636363636</c:v>
                </c:pt>
                <c:pt idx="22">
                  <c:v>0.67193675889328064</c:v>
                </c:pt>
                <c:pt idx="23">
                  <c:v>0.74308300395256921</c:v>
                </c:pt>
                <c:pt idx="24">
                  <c:v>0.98023715415019763</c:v>
                </c:pt>
                <c:pt idx="25">
                  <c:v>1</c:v>
                </c:pt>
                <c:pt idx="26">
                  <c:v>0.74179743223965777</c:v>
                </c:pt>
                <c:pt idx="27">
                  <c:v>0.85592011412268199</c:v>
                </c:pt>
                <c:pt idx="28">
                  <c:v>0.88445078459343807</c:v>
                </c:pt>
                <c:pt idx="29">
                  <c:v>0.94864479315263917</c:v>
                </c:pt>
                <c:pt idx="30">
                  <c:v>1</c:v>
                </c:pt>
                <c:pt idx="31">
                  <c:v>0.77419354838709675</c:v>
                </c:pt>
                <c:pt idx="32">
                  <c:v>0.967741935483871</c:v>
                </c:pt>
                <c:pt idx="33">
                  <c:v>1</c:v>
                </c:pt>
                <c:pt idx="34">
                  <c:v>0.47682119205298013</c:v>
                </c:pt>
                <c:pt idx="35">
                  <c:v>0.58609271523178808</c:v>
                </c:pt>
                <c:pt idx="36">
                  <c:v>0.59933774834437081</c:v>
                </c:pt>
                <c:pt idx="37">
                  <c:v>0.64900662251655628</c:v>
                </c:pt>
                <c:pt idx="38">
                  <c:v>1</c:v>
                </c:pt>
                <c:pt idx="39">
                  <c:v>0.38451268357810414</c:v>
                </c:pt>
                <c:pt idx="40">
                  <c:v>0.48064085447263016</c:v>
                </c:pt>
                <c:pt idx="41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17568"/>
        <c:axId val="112319104"/>
      </c:scatterChart>
      <c:valAx>
        <c:axId val="112317568"/>
        <c:scaling>
          <c:orientation val="minMax"/>
        </c:scaling>
        <c:delete val="0"/>
        <c:axPos val="b"/>
        <c:majorTickMark val="out"/>
        <c:minorTickMark val="none"/>
        <c:tickLblPos val="nextTo"/>
        <c:crossAx val="112319104"/>
        <c:crosses val="autoZero"/>
        <c:crossBetween val="midCat"/>
      </c:valAx>
      <c:valAx>
        <c:axId val="112319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23175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all_ex_postcap_2!$D$1</c:f>
              <c:strCache>
                <c:ptCount val="1"/>
                <c:pt idx="0">
                  <c:v>d/a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all_ex_postcap_2!$D$2:$D$48</c:f>
              <c:numCache>
                <c:formatCode>General</c:formatCode>
                <c:ptCount val="47"/>
                <c:pt idx="0">
                  <c:v>4.8148148148148149</c:v>
                </c:pt>
                <c:pt idx="1">
                  <c:v>4.8148148148148149</c:v>
                </c:pt>
                <c:pt idx="2">
                  <c:v>4.8148148148148149</c:v>
                </c:pt>
                <c:pt idx="3">
                  <c:v>4.8148148148148149</c:v>
                </c:pt>
                <c:pt idx="4">
                  <c:v>4.8148148148148149</c:v>
                </c:pt>
                <c:pt idx="5">
                  <c:v>3.6792452830188678</c:v>
                </c:pt>
                <c:pt idx="6">
                  <c:v>3.6792452830188678</c:v>
                </c:pt>
                <c:pt idx="7">
                  <c:v>3.6792452830188678</c:v>
                </c:pt>
                <c:pt idx="8">
                  <c:v>3.6792452830188678</c:v>
                </c:pt>
                <c:pt idx="9">
                  <c:v>3.6792452830188678</c:v>
                </c:pt>
                <c:pt idx="10">
                  <c:v>3.6792452830188678</c:v>
                </c:pt>
                <c:pt idx="11">
                  <c:v>3.6792452830188678</c:v>
                </c:pt>
                <c:pt idx="12">
                  <c:v>3.6792452830188678</c:v>
                </c:pt>
                <c:pt idx="13">
                  <c:v>2.8057553956834531</c:v>
                </c:pt>
                <c:pt idx="14">
                  <c:v>2.8057553956834531</c:v>
                </c:pt>
                <c:pt idx="15">
                  <c:v>2.8057553956834531</c:v>
                </c:pt>
                <c:pt idx="16">
                  <c:v>2.8057553956834531</c:v>
                </c:pt>
                <c:pt idx="17">
                  <c:v>2.8057553956834531</c:v>
                </c:pt>
                <c:pt idx="18">
                  <c:v>2.3926380368098159</c:v>
                </c:pt>
                <c:pt idx="19">
                  <c:v>2.3926380368098159</c:v>
                </c:pt>
                <c:pt idx="20">
                  <c:v>2.3926380368098159</c:v>
                </c:pt>
                <c:pt idx="21">
                  <c:v>1.8571428571428572</c:v>
                </c:pt>
                <c:pt idx="22">
                  <c:v>1.8571428571428572</c:v>
                </c:pt>
                <c:pt idx="23">
                  <c:v>1.8571428571428572</c:v>
                </c:pt>
                <c:pt idx="24">
                  <c:v>1.8571428571428572</c:v>
                </c:pt>
                <c:pt idx="25">
                  <c:v>1.8571428571428572</c:v>
                </c:pt>
                <c:pt idx="26">
                  <c:v>1.8571428571428572</c:v>
                </c:pt>
                <c:pt idx="27">
                  <c:v>1.8571428571428572</c:v>
                </c:pt>
                <c:pt idx="28">
                  <c:v>1.8571428571428572</c:v>
                </c:pt>
                <c:pt idx="29">
                  <c:v>1.8571428571428572</c:v>
                </c:pt>
                <c:pt idx="30">
                  <c:v>1.8571428571428572</c:v>
                </c:pt>
                <c:pt idx="31">
                  <c:v>1.8571428571428572</c:v>
                </c:pt>
                <c:pt idx="32">
                  <c:v>1.8571428571428572</c:v>
                </c:pt>
                <c:pt idx="33">
                  <c:v>1.8571428571428572</c:v>
                </c:pt>
                <c:pt idx="34">
                  <c:v>1.1400651465798046</c:v>
                </c:pt>
                <c:pt idx="35">
                  <c:v>1.1400651465798046</c:v>
                </c:pt>
                <c:pt idx="36">
                  <c:v>1.1400651465798046</c:v>
                </c:pt>
                <c:pt idx="37">
                  <c:v>1.1400651465798046</c:v>
                </c:pt>
                <c:pt idx="38">
                  <c:v>1.1400651465798046</c:v>
                </c:pt>
                <c:pt idx="39">
                  <c:v>1.1400651465798046</c:v>
                </c:pt>
                <c:pt idx="40">
                  <c:v>1.1400651465798046</c:v>
                </c:pt>
                <c:pt idx="41">
                  <c:v>1.1400651465798046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51872"/>
        <c:axId val="112353664"/>
      </c:scatterChart>
      <c:valAx>
        <c:axId val="112351872"/>
        <c:scaling>
          <c:orientation val="minMax"/>
        </c:scaling>
        <c:delete val="0"/>
        <c:axPos val="b"/>
        <c:majorTickMark val="out"/>
        <c:minorTickMark val="none"/>
        <c:tickLblPos val="nextTo"/>
        <c:crossAx val="112353664"/>
        <c:crosses val="autoZero"/>
        <c:crossBetween val="midCat"/>
      </c:valAx>
      <c:valAx>
        <c:axId val="112353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23518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all_ex_postcap_2!$AE$1</c:f>
              <c:strCache>
                <c:ptCount val="1"/>
                <c:pt idx="0">
                  <c:v>d (mm)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all_ex_postcap_2!$AE$2:$AE$48</c:f>
              <c:numCache>
                <c:formatCode>General</c:formatCode>
                <c:ptCount val="47"/>
                <c:pt idx="0">
                  <c:v>81</c:v>
                </c:pt>
                <c:pt idx="1">
                  <c:v>81</c:v>
                </c:pt>
                <c:pt idx="2">
                  <c:v>81</c:v>
                </c:pt>
                <c:pt idx="3">
                  <c:v>81</c:v>
                </c:pt>
                <c:pt idx="4">
                  <c:v>81</c:v>
                </c:pt>
                <c:pt idx="5">
                  <c:v>106</c:v>
                </c:pt>
                <c:pt idx="6">
                  <c:v>106</c:v>
                </c:pt>
                <c:pt idx="7">
                  <c:v>106</c:v>
                </c:pt>
                <c:pt idx="8">
                  <c:v>106</c:v>
                </c:pt>
                <c:pt idx="9">
                  <c:v>106</c:v>
                </c:pt>
                <c:pt idx="10">
                  <c:v>106</c:v>
                </c:pt>
                <c:pt idx="11">
                  <c:v>106</c:v>
                </c:pt>
                <c:pt idx="12">
                  <c:v>106</c:v>
                </c:pt>
                <c:pt idx="13">
                  <c:v>139</c:v>
                </c:pt>
                <c:pt idx="14">
                  <c:v>139</c:v>
                </c:pt>
                <c:pt idx="15">
                  <c:v>139</c:v>
                </c:pt>
                <c:pt idx="16">
                  <c:v>139</c:v>
                </c:pt>
                <c:pt idx="17">
                  <c:v>139</c:v>
                </c:pt>
                <c:pt idx="18">
                  <c:v>163</c:v>
                </c:pt>
                <c:pt idx="19">
                  <c:v>163</c:v>
                </c:pt>
                <c:pt idx="20">
                  <c:v>163</c:v>
                </c:pt>
                <c:pt idx="21">
                  <c:v>210</c:v>
                </c:pt>
                <c:pt idx="22">
                  <c:v>210</c:v>
                </c:pt>
                <c:pt idx="23">
                  <c:v>210</c:v>
                </c:pt>
                <c:pt idx="24">
                  <c:v>210</c:v>
                </c:pt>
                <c:pt idx="25">
                  <c:v>210</c:v>
                </c:pt>
                <c:pt idx="26">
                  <c:v>210</c:v>
                </c:pt>
                <c:pt idx="27">
                  <c:v>210</c:v>
                </c:pt>
                <c:pt idx="28">
                  <c:v>210</c:v>
                </c:pt>
                <c:pt idx="29">
                  <c:v>210</c:v>
                </c:pt>
                <c:pt idx="30">
                  <c:v>210</c:v>
                </c:pt>
                <c:pt idx="31">
                  <c:v>210</c:v>
                </c:pt>
                <c:pt idx="32">
                  <c:v>210</c:v>
                </c:pt>
                <c:pt idx="33">
                  <c:v>210</c:v>
                </c:pt>
                <c:pt idx="34">
                  <c:v>307</c:v>
                </c:pt>
                <c:pt idx="35">
                  <c:v>307</c:v>
                </c:pt>
                <c:pt idx="36">
                  <c:v>307</c:v>
                </c:pt>
                <c:pt idx="37">
                  <c:v>307</c:v>
                </c:pt>
                <c:pt idx="38">
                  <c:v>307</c:v>
                </c:pt>
                <c:pt idx="39">
                  <c:v>307</c:v>
                </c:pt>
                <c:pt idx="40">
                  <c:v>307</c:v>
                </c:pt>
                <c:pt idx="41">
                  <c:v>307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86432"/>
        <c:axId val="112387968"/>
      </c:scatterChart>
      <c:valAx>
        <c:axId val="112386432"/>
        <c:scaling>
          <c:orientation val="minMax"/>
        </c:scaling>
        <c:delete val="0"/>
        <c:axPos val="b"/>
        <c:majorTickMark val="out"/>
        <c:minorTickMark val="none"/>
        <c:tickLblPos val="nextTo"/>
        <c:crossAx val="112387968"/>
        <c:crosses val="autoZero"/>
        <c:crossBetween val="midCat"/>
      </c:valAx>
      <c:valAx>
        <c:axId val="112387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23864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25164705894900075"/>
          <c:y val="0.2274278215223097"/>
          <c:w val="0.71836513121759815"/>
          <c:h val="0.67570428696412943"/>
        </c:manualLayout>
      </c:layout>
      <c:scatterChart>
        <c:scatterStyle val="lineMarker"/>
        <c:varyColors val="0"/>
        <c:ser>
          <c:idx val="0"/>
          <c:order val="0"/>
          <c:tx>
            <c:strRef>
              <c:f>all_ex_postcap_2!$AL$1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all_ex_postcap_2!$AL$2:$AL$48</c:f>
              <c:numCache>
                <c:formatCode>General</c:formatCode>
                <c:ptCount val="47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96928"/>
        <c:axId val="112411008"/>
      </c:scatterChart>
      <c:valAx>
        <c:axId val="112396928"/>
        <c:scaling>
          <c:orientation val="minMax"/>
        </c:scaling>
        <c:delete val="0"/>
        <c:axPos val="b"/>
        <c:majorTickMark val="out"/>
        <c:minorTickMark val="none"/>
        <c:tickLblPos val="nextTo"/>
        <c:crossAx val="112411008"/>
        <c:crosses val="autoZero"/>
        <c:crossBetween val="midCat"/>
      </c:valAx>
      <c:valAx>
        <c:axId val="112411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2396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Purdu!$W$1</c:f>
              <c:strCache>
                <c:ptCount val="1"/>
                <c:pt idx="0">
                  <c:v>M/M_fracture</c:v>
                </c:pt>
              </c:strCache>
            </c:strRef>
          </c:tx>
          <c:spPr>
            <a:ln w="28575">
              <a:noFill/>
            </a:ln>
          </c:spPr>
          <c:yVal>
            <c:numRef>
              <c:f>Purdu!$W$2:$W$57</c:f>
              <c:numCache>
                <c:formatCode>General</c:formatCode>
                <c:ptCount val="56"/>
                <c:pt idx="0">
                  <c:v>0.43181818181818182</c:v>
                </c:pt>
                <c:pt idx="1">
                  <c:v>0.58333333333333337</c:v>
                </c:pt>
                <c:pt idx="2">
                  <c:v>0.71969696969696972</c:v>
                </c:pt>
                <c:pt idx="3">
                  <c:v>0.78787878787878796</c:v>
                </c:pt>
                <c:pt idx="4">
                  <c:v>0.86363636363636365</c:v>
                </c:pt>
                <c:pt idx="5">
                  <c:v>0.93939393939393934</c:v>
                </c:pt>
                <c:pt idx="6">
                  <c:v>1.0151515151515151</c:v>
                </c:pt>
                <c:pt idx="7">
                  <c:v>1.053030303030303</c:v>
                </c:pt>
                <c:pt idx="8">
                  <c:v>1.106060606060606</c:v>
                </c:pt>
                <c:pt idx="9">
                  <c:v>0.43181818181818182</c:v>
                </c:pt>
                <c:pt idx="10">
                  <c:v>0.57575757575757569</c:v>
                </c:pt>
                <c:pt idx="11">
                  <c:v>0.71969696969696972</c:v>
                </c:pt>
                <c:pt idx="12">
                  <c:v>0.79545454545454541</c:v>
                </c:pt>
                <c:pt idx="13">
                  <c:v>0.86363636363636365</c:v>
                </c:pt>
                <c:pt idx="14">
                  <c:v>0.93939393939393934</c:v>
                </c:pt>
                <c:pt idx="15">
                  <c:v>1</c:v>
                </c:pt>
                <c:pt idx="16">
                  <c:v>0.46764705882352942</c:v>
                </c:pt>
                <c:pt idx="17">
                  <c:v>0.54999999999999993</c:v>
                </c:pt>
                <c:pt idx="18">
                  <c:v>0.62941176470588234</c:v>
                </c:pt>
                <c:pt idx="19">
                  <c:v>0.71176470588235285</c:v>
                </c:pt>
                <c:pt idx="20">
                  <c:v>0.79411764705882348</c:v>
                </c:pt>
                <c:pt idx="21">
                  <c:v>0.9323529411764705</c:v>
                </c:pt>
                <c:pt idx="22">
                  <c:v>1</c:v>
                </c:pt>
                <c:pt idx="23">
                  <c:v>0.51749999999999996</c:v>
                </c:pt>
                <c:pt idx="24">
                  <c:v>0.59250000000000003</c:v>
                </c:pt>
                <c:pt idx="25">
                  <c:v>0.66749999999999998</c:v>
                </c:pt>
                <c:pt idx="26">
                  <c:v>0.74500000000000011</c:v>
                </c:pt>
                <c:pt idx="27">
                  <c:v>0.87</c:v>
                </c:pt>
                <c:pt idx="28">
                  <c:v>1</c:v>
                </c:pt>
                <c:pt idx="29">
                  <c:v>0.4181818181818181</c:v>
                </c:pt>
                <c:pt idx="30">
                  <c:v>0.48636363636363633</c:v>
                </c:pt>
                <c:pt idx="31">
                  <c:v>0.55681818181818177</c:v>
                </c:pt>
                <c:pt idx="32">
                  <c:v>0.625</c:v>
                </c:pt>
                <c:pt idx="33">
                  <c:v>0.69318181818181812</c:v>
                </c:pt>
                <c:pt idx="34">
                  <c:v>0.80909090909090897</c:v>
                </c:pt>
                <c:pt idx="35">
                  <c:v>0.92272727272727273</c:v>
                </c:pt>
                <c:pt idx="36">
                  <c:v>1</c:v>
                </c:pt>
                <c:pt idx="37">
                  <c:v>0.46923076923076928</c:v>
                </c:pt>
                <c:pt idx="38">
                  <c:v>0.54615384615384632</c:v>
                </c:pt>
                <c:pt idx="39">
                  <c:v>0.62564102564102564</c:v>
                </c:pt>
                <c:pt idx="40">
                  <c:v>0.70256410256410262</c:v>
                </c:pt>
                <c:pt idx="41">
                  <c:v>0.78205128205128216</c:v>
                </c:pt>
                <c:pt idx="42">
                  <c:v>0.91025641025641035</c:v>
                </c:pt>
                <c:pt idx="43">
                  <c:v>1</c:v>
                </c:pt>
                <c:pt idx="44">
                  <c:v>0.69545454545454544</c:v>
                </c:pt>
                <c:pt idx="45">
                  <c:v>0.83181818181818179</c:v>
                </c:pt>
                <c:pt idx="46">
                  <c:v>0.96818181818181825</c:v>
                </c:pt>
                <c:pt idx="47">
                  <c:v>1</c:v>
                </c:pt>
                <c:pt idx="48">
                  <c:v>0.66521739130434787</c:v>
                </c:pt>
                <c:pt idx="49">
                  <c:v>0.79565217391304355</c:v>
                </c:pt>
                <c:pt idx="50">
                  <c:v>0.93043478260869572</c:v>
                </c:pt>
                <c:pt idx="51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93088"/>
        <c:axId val="118398976"/>
      </c:scatterChart>
      <c:valAx>
        <c:axId val="118393088"/>
        <c:scaling>
          <c:orientation val="minMax"/>
        </c:scaling>
        <c:delete val="0"/>
        <c:axPos val="b"/>
        <c:majorTickMark val="out"/>
        <c:minorTickMark val="none"/>
        <c:tickLblPos val="nextTo"/>
        <c:crossAx val="118398976"/>
        <c:crosses val="autoZero"/>
        <c:crossBetween val="midCat"/>
      </c:valAx>
      <c:valAx>
        <c:axId val="118398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8393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Purdu!$V$1</c:f>
              <c:strCache>
                <c:ptCount val="1"/>
                <c:pt idx="0">
                  <c:v>V/(2*sqrt(fc) bd)</c:v>
                </c:pt>
              </c:strCache>
            </c:strRef>
          </c:tx>
          <c:spPr>
            <a:ln w="28575">
              <a:noFill/>
            </a:ln>
          </c:spPr>
          <c:yVal>
            <c:numRef>
              <c:f>Purdu!$V$2:$V$57</c:f>
              <c:numCache>
                <c:formatCode>General</c:formatCode>
                <c:ptCount val="56"/>
                <c:pt idx="0">
                  <c:v>0.40209051758189951</c:v>
                </c:pt>
                <c:pt idx="1">
                  <c:v>0.54317490971589932</c:v>
                </c:pt>
                <c:pt idx="2">
                  <c:v>0.67015086263649914</c:v>
                </c:pt>
                <c:pt idx="3">
                  <c:v>0.73363883909679906</c:v>
                </c:pt>
                <c:pt idx="4">
                  <c:v>0.80418103516379902</c:v>
                </c:pt>
                <c:pt idx="5">
                  <c:v>0.87472323123079887</c:v>
                </c:pt>
                <c:pt idx="6">
                  <c:v>0.94526542729779883</c:v>
                </c:pt>
                <c:pt idx="7">
                  <c:v>0.98053652533129876</c:v>
                </c:pt>
                <c:pt idx="8">
                  <c:v>1.0299160625781987</c:v>
                </c:pt>
                <c:pt idx="9">
                  <c:v>0.35192669809913635</c:v>
                </c:pt>
                <c:pt idx="10">
                  <c:v>0.46923559746551508</c:v>
                </c:pt>
                <c:pt idx="11">
                  <c:v>0.58654449683189391</c:v>
                </c:pt>
                <c:pt idx="12">
                  <c:v>0.64828602281419845</c:v>
                </c:pt>
                <c:pt idx="13">
                  <c:v>0.7038533961982727</c:v>
                </c:pt>
                <c:pt idx="14">
                  <c:v>0.76559492218057723</c:v>
                </c:pt>
                <c:pt idx="15">
                  <c:v>0.81498814296642108</c:v>
                </c:pt>
                <c:pt idx="16">
                  <c:v>0.70101307341581176</c:v>
                </c:pt>
                <c:pt idx="17">
                  <c:v>0.82446191653306145</c:v>
                </c:pt>
                <c:pt idx="18">
                  <c:v>0.94350187239612393</c:v>
                </c:pt>
                <c:pt idx="19">
                  <c:v>1.0669507155133737</c:v>
                </c:pt>
                <c:pt idx="20">
                  <c:v>1.1903995586306237</c:v>
                </c:pt>
                <c:pt idx="21">
                  <c:v>1.3976172595774359</c:v>
                </c:pt>
                <c:pt idx="22">
                  <c:v>1.4990216664237486</c:v>
                </c:pt>
                <c:pt idx="23">
                  <c:v>0.91263966161681143</c:v>
                </c:pt>
                <c:pt idx="24">
                  <c:v>1.0449062792424364</c:v>
                </c:pt>
                <c:pt idx="25">
                  <c:v>1.177172896868061</c:v>
                </c:pt>
                <c:pt idx="26">
                  <c:v>1.3138484017478738</c:v>
                </c:pt>
                <c:pt idx="27">
                  <c:v>1.5342927644572482</c:v>
                </c:pt>
                <c:pt idx="28">
                  <c:v>1.7635549016749981</c:v>
                </c:pt>
                <c:pt idx="29">
                  <c:v>0.69537309308848461</c:v>
                </c:pt>
                <c:pt idx="30">
                  <c:v>0.80874914087465066</c:v>
                </c:pt>
                <c:pt idx="31">
                  <c:v>0.92590439025368898</c:v>
                </c:pt>
                <c:pt idx="32">
                  <c:v>1.0392804380398548</c:v>
                </c:pt>
                <c:pt idx="33">
                  <c:v>1.1526564858260209</c:v>
                </c:pt>
                <c:pt idx="34">
                  <c:v>1.3453957670625032</c:v>
                </c:pt>
                <c:pt idx="35">
                  <c:v>1.5343558467061131</c:v>
                </c:pt>
                <c:pt idx="36">
                  <c:v>1.6628487008637678</c:v>
                </c:pt>
                <c:pt idx="37">
                  <c:v>0.70616870342260918</c:v>
                </c:pt>
                <c:pt idx="38">
                  <c:v>0.82193406463943042</c:v>
                </c:pt>
                <c:pt idx="39">
                  <c:v>0.94155827123014546</c:v>
                </c:pt>
                <c:pt idx="40">
                  <c:v>1.0573236324469666</c:v>
                </c:pt>
                <c:pt idx="41">
                  <c:v>1.176947839037682</c:v>
                </c:pt>
                <c:pt idx="42">
                  <c:v>1.369890107732384</c:v>
                </c:pt>
                <c:pt idx="43">
                  <c:v>1.5049496958186752</c:v>
                </c:pt>
                <c:pt idx="44">
                  <c:v>0.77922852150099264</c:v>
                </c:pt>
                <c:pt idx="45">
                  <c:v>0.93201842767765775</c:v>
                </c:pt>
                <c:pt idx="46">
                  <c:v>1.0848083338543231</c:v>
                </c:pt>
                <c:pt idx="47">
                  <c:v>1.1204593119622115</c:v>
                </c:pt>
                <c:pt idx="48">
                  <c:v>0.76496692502591612</c:v>
                </c:pt>
                <c:pt idx="49">
                  <c:v>0.9149604397368799</c:v>
                </c:pt>
                <c:pt idx="50">
                  <c:v>1.0699537382715425</c:v>
                </c:pt>
                <c:pt idx="51">
                  <c:v>1.1499502794507233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59424"/>
        <c:axId val="118760960"/>
      </c:scatterChart>
      <c:valAx>
        <c:axId val="118759424"/>
        <c:scaling>
          <c:orientation val="minMax"/>
        </c:scaling>
        <c:delete val="0"/>
        <c:axPos val="b"/>
        <c:majorTickMark val="out"/>
        <c:minorTickMark val="none"/>
        <c:tickLblPos val="nextTo"/>
        <c:crossAx val="118760960"/>
        <c:crosses val="autoZero"/>
        <c:crossBetween val="midCat"/>
      </c:valAx>
      <c:valAx>
        <c:axId val="118760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87594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Purdu!$D$1</c:f>
              <c:strCache>
                <c:ptCount val="1"/>
                <c:pt idx="0">
                  <c:v>d/a</c:v>
                </c:pt>
              </c:strCache>
            </c:strRef>
          </c:tx>
          <c:spPr>
            <a:ln w="28575">
              <a:noFill/>
            </a:ln>
          </c:spPr>
          <c:yVal>
            <c:numRef>
              <c:f>Purdu!$D$2:$D$57</c:f>
              <c:numCache>
                <c:formatCode>General</c:formatCode>
                <c:ptCount val="56"/>
                <c:pt idx="0">
                  <c:v>2.2857142857142856</c:v>
                </c:pt>
                <c:pt idx="1">
                  <c:v>2.2857142857142856</c:v>
                </c:pt>
                <c:pt idx="2">
                  <c:v>2.2857142857142856</c:v>
                </c:pt>
                <c:pt idx="3">
                  <c:v>2.2857142857142856</c:v>
                </c:pt>
                <c:pt idx="4">
                  <c:v>2.2857142857142856</c:v>
                </c:pt>
                <c:pt idx="5">
                  <c:v>2.2857142857142856</c:v>
                </c:pt>
                <c:pt idx="6">
                  <c:v>2.2857142857142856</c:v>
                </c:pt>
                <c:pt idx="7">
                  <c:v>2.2857142857142856</c:v>
                </c:pt>
                <c:pt idx="8">
                  <c:v>2.2857142857142856</c:v>
                </c:pt>
                <c:pt idx="9">
                  <c:v>2.2857142857142856</c:v>
                </c:pt>
                <c:pt idx="10">
                  <c:v>2.2857142857142856</c:v>
                </c:pt>
                <c:pt idx="11">
                  <c:v>2.2857142857142856</c:v>
                </c:pt>
                <c:pt idx="12">
                  <c:v>2.2857142857142856</c:v>
                </c:pt>
                <c:pt idx="13">
                  <c:v>2.2857142857142856</c:v>
                </c:pt>
                <c:pt idx="14">
                  <c:v>2.2857142857142856</c:v>
                </c:pt>
                <c:pt idx="15">
                  <c:v>2.2857142857142856</c:v>
                </c:pt>
                <c:pt idx="16">
                  <c:v>2.2857142857142856</c:v>
                </c:pt>
                <c:pt idx="17">
                  <c:v>2.2857142857142856</c:v>
                </c:pt>
                <c:pt idx="18">
                  <c:v>2.2857142857142856</c:v>
                </c:pt>
                <c:pt idx="19">
                  <c:v>2.2857142857142856</c:v>
                </c:pt>
                <c:pt idx="20">
                  <c:v>2.2857142857142856</c:v>
                </c:pt>
                <c:pt idx="21">
                  <c:v>2.2857142857142856</c:v>
                </c:pt>
                <c:pt idx="22">
                  <c:v>2.2857142857142856</c:v>
                </c:pt>
                <c:pt idx="23">
                  <c:v>2.2857142857142856</c:v>
                </c:pt>
                <c:pt idx="24">
                  <c:v>2.2857142857142856</c:v>
                </c:pt>
                <c:pt idx="25">
                  <c:v>2.2857142857142856</c:v>
                </c:pt>
                <c:pt idx="26">
                  <c:v>2.2857142857142856</c:v>
                </c:pt>
                <c:pt idx="27">
                  <c:v>2.2857142857142856</c:v>
                </c:pt>
                <c:pt idx="28">
                  <c:v>2.2857142857142856</c:v>
                </c:pt>
                <c:pt idx="29">
                  <c:v>2.2857142857142856</c:v>
                </c:pt>
                <c:pt idx="30">
                  <c:v>2.2857142857142856</c:v>
                </c:pt>
                <c:pt idx="31">
                  <c:v>2.2857142857142856</c:v>
                </c:pt>
                <c:pt idx="32">
                  <c:v>2.2857142857142856</c:v>
                </c:pt>
                <c:pt idx="33">
                  <c:v>2.2857142857142856</c:v>
                </c:pt>
                <c:pt idx="34">
                  <c:v>2.2857142857142856</c:v>
                </c:pt>
                <c:pt idx="35">
                  <c:v>2.2857142857142856</c:v>
                </c:pt>
                <c:pt idx="36">
                  <c:v>2.2857142857142856</c:v>
                </c:pt>
                <c:pt idx="37">
                  <c:v>2.2857142857142856</c:v>
                </c:pt>
                <c:pt idx="38">
                  <c:v>2.2857142857142856</c:v>
                </c:pt>
                <c:pt idx="39">
                  <c:v>2.2857142857142856</c:v>
                </c:pt>
                <c:pt idx="40">
                  <c:v>2.2857142857142856</c:v>
                </c:pt>
                <c:pt idx="41">
                  <c:v>2.2857142857142856</c:v>
                </c:pt>
                <c:pt idx="42">
                  <c:v>2.2857142857142856</c:v>
                </c:pt>
                <c:pt idx="43">
                  <c:v>2.2857142857142856</c:v>
                </c:pt>
                <c:pt idx="44">
                  <c:v>2.2857142857142856</c:v>
                </c:pt>
                <c:pt idx="45">
                  <c:v>2.2857142857142856</c:v>
                </c:pt>
                <c:pt idx="46">
                  <c:v>2.2857142857142856</c:v>
                </c:pt>
                <c:pt idx="47">
                  <c:v>2.2857142857142856</c:v>
                </c:pt>
                <c:pt idx="48">
                  <c:v>2.2857142857142856</c:v>
                </c:pt>
                <c:pt idx="49">
                  <c:v>2.2857142857142856</c:v>
                </c:pt>
                <c:pt idx="50">
                  <c:v>2.2857142857142856</c:v>
                </c:pt>
                <c:pt idx="51">
                  <c:v>2.2857142857142856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76960"/>
        <c:axId val="118778496"/>
      </c:scatterChart>
      <c:valAx>
        <c:axId val="118776960"/>
        <c:scaling>
          <c:orientation val="minMax"/>
        </c:scaling>
        <c:delete val="0"/>
        <c:axPos val="b"/>
        <c:majorTickMark val="out"/>
        <c:minorTickMark val="none"/>
        <c:tickLblPos val="nextTo"/>
        <c:crossAx val="118778496"/>
        <c:crosses val="autoZero"/>
        <c:crossBetween val="midCat"/>
      </c:valAx>
      <c:valAx>
        <c:axId val="118778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87769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Purdu!$AC$1</c:f>
              <c:strCache>
                <c:ptCount val="1"/>
                <c:pt idx="0">
                  <c:v>d (mm)</c:v>
                </c:pt>
              </c:strCache>
            </c:strRef>
          </c:tx>
          <c:spPr>
            <a:ln w="28575">
              <a:noFill/>
            </a:ln>
          </c:spPr>
          <c:yVal>
            <c:numRef>
              <c:f>Purdu!$AC$2:$AC$57</c:f>
              <c:numCache>
                <c:formatCode>General</c:formatCode>
                <c:ptCount val="56"/>
                <c:pt idx="0">
                  <c:v>666.75</c:v>
                </c:pt>
                <c:pt idx="1">
                  <c:v>666.75</c:v>
                </c:pt>
                <c:pt idx="2">
                  <c:v>666.75</c:v>
                </c:pt>
                <c:pt idx="3">
                  <c:v>666.75</c:v>
                </c:pt>
                <c:pt idx="4">
                  <c:v>666.75</c:v>
                </c:pt>
                <c:pt idx="5">
                  <c:v>666.75</c:v>
                </c:pt>
                <c:pt idx="6">
                  <c:v>666.75</c:v>
                </c:pt>
                <c:pt idx="7">
                  <c:v>666.75</c:v>
                </c:pt>
                <c:pt idx="8">
                  <c:v>666.75</c:v>
                </c:pt>
                <c:pt idx="9">
                  <c:v>666.75</c:v>
                </c:pt>
                <c:pt idx="10">
                  <c:v>666.75</c:v>
                </c:pt>
                <c:pt idx="11">
                  <c:v>666.75</c:v>
                </c:pt>
                <c:pt idx="12">
                  <c:v>666.75</c:v>
                </c:pt>
                <c:pt idx="13">
                  <c:v>666.75</c:v>
                </c:pt>
                <c:pt idx="14">
                  <c:v>666.75</c:v>
                </c:pt>
                <c:pt idx="15">
                  <c:v>666.75</c:v>
                </c:pt>
                <c:pt idx="16">
                  <c:v>266.7</c:v>
                </c:pt>
                <c:pt idx="17">
                  <c:v>266.7</c:v>
                </c:pt>
                <c:pt idx="18">
                  <c:v>266.7</c:v>
                </c:pt>
                <c:pt idx="19">
                  <c:v>266.7</c:v>
                </c:pt>
                <c:pt idx="20">
                  <c:v>266.7</c:v>
                </c:pt>
                <c:pt idx="21">
                  <c:v>266.7</c:v>
                </c:pt>
                <c:pt idx="22">
                  <c:v>266.7</c:v>
                </c:pt>
                <c:pt idx="23">
                  <c:v>266.7</c:v>
                </c:pt>
                <c:pt idx="24">
                  <c:v>266.7</c:v>
                </c:pt>
                <c:pt idx="25">
                  <c:v>266.7</c:v>
                </c:pt>
                <c:pt idx="26">
                  <c:v>266.7</c:v>
                </c:pt>
                <c:pt idx="27">
                  <c:v>266.7</c:v>
                </c:pt>
                <c:pt idx="28">
                  <c:v>266.7</c:v>
                </c:pt>
                <c:pt idx="29">
                  <c:v>266.7</c:v>
                </c:pt>
                <c:pt idx="30">
                  <c:v>266.7</c:v>
                </c:pt>
                <c:pt idx="31">
                  <c:v>266.7</c:v>
                </c:pt>
                <c:pt idx="32">
                  <c:v>266.7</c:v>
                </c:pt>
                <c:pt idx="33">
                  <c:v>266.7</c:v>
                </c:pt>
                <c:pt idx="34">
                  <c:v>266.7</c:v>
                </c:pt>
                <c:pt idx="35">
                  <c:v>266.7</c:v>
                </c:pt>
                <c:pt idx="36">
                  <c:v>266.7</c:v>
                </c:pt>
                <c:pt idx="37">
                  <c:v>266.7</c:v>
                </c:pt>
                <c:pt idx="38">
                  <c:v>266.7</c:v>
                </c:pt>
                <c:pt idx="39">
                  <c:v>266.7</c:v>
                </c:pt>
                <c:pt idx="40">
                  <c:v>266.7</c:v>
                </c:pt>
                <c:pt idx="41">
                  <c:v>266.7</c:v>
                </c:pt>
                <c:pt idx="42">
                  <c:v>266.7</c:v>
                </c:pt>
                <c:pt idx="43">
                  <c:v>266.7</c:v>
                </c:pt>
                <c:pt idx="44">
                  <c:v>266.7</c:v>
                </c:pt>
                <c:pt idx="45">
                  <c:v>266.7</c:v>
                </c:pt>
                <c:pt idx="46">
                  <c:v>266.7</c:v>
                </c:pt>
                <c:pt idx="47">
                  <c:v>266.7</c:v>
                </c:pt>
                <c:pt idx="48">
                  <c:v>266.7</c:v>
                </c:pt>
                <c:pt idx="49">
                  <c:v>266.7</c:v>
                </c:pt>
                <c:pt idx="50">
                  <c:v>266.7</c:v>
                </c:pt>
                <c:pt idx="51">
                  <c:v>266.7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88384"/>
        <c:axId val="118690176"/>
      </c:scatterChart>
      <c:valAx>
        <c:axId val="118688384"/>
        <c:scaling>
          <c:orientation val="minMax"/>
        </c:scaling>
        <c:delete val="0"/>
        <c:axPos val="b"/>
        <c:majorTickMark val="out"/>
        <c:minorTickMark val="none"/>
        <c:tickLblPos val="nextTo"/>
        <c:crossAx val="118690176"/>
        <c:crosses val="autoZero"/>
        <c:crossBetween val="midCat"/>
      </c:valAx>
      <c:valAx>
        <c:axId val="118690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86883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Purdu!$AP$1</c:f>
              <c:strCache>
                <c:ptCount val="1"/>
                <c:pt idx="0">
                  <c:v>Column4</c:v>
                </c:pt>
              </c:strCache>
            </c:strRef>
          </c:tx>
          <c:spPr>
            <a:ln w="28575">
              <a:noFill/>
            </a:ln>
          </c:spPr>
          <c:yVal>
            <c:numRef>
              <c:f>Purdu!$AP$2:$AP$57</c:f>
              <c:numCache>
                <c:formatCode>General</c:formatCode>
                <c:ptCount val="56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15136"/>
        <c:axId val="118716672"/>
      </c:scatterChart>
      <c:valAx>
        <c:axId val="118715136"/>
        <c:scaling>
          <c:orientation val="minMax"/>
        </c:scaling>
        <c:delete val="0"/>
        <c:axPos val="b"/>
        <c:majorTickMark val="out"/>
        <c:minorTickMark val="none"/>
        <c:tickLblPos val="nextTo"/>
        <c:crossAx val="118716672"/>
        <c:crosses val="autoZero"/>
        <c:crossBetween val="midCat"/>
      </c:valAx>
      <c:valAx>
        <c:axId val="118716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87151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Purdu_ex_deep!$V$1</c:f>
              <c:strCache>
                <c:ptCount val="1"/>
                <c:pt idx="0">
                  <c:v>V/(2*sqrt(fc) bd)</c:v>
                </c:pt>
              </c:strCache>
            </c:strRef>
          </c:tx>
          <c:spPr>
            <a:ln w="28575">
              <a:noFill/>
            </a:ln>
          </c:spPr>
          <c:yVal>
            <c:numRef>
              <c:f>Purdu_ex_deep!$V$2:$V$57</c:f>
              <c:numCache>
                <c:formatCode>General</c:formatCode>
                <c:ptCount val="56"/>
                <c:pt idx="0">
                  <c:v>0.70101307341581176</c:v>
                </c:pt>
                <c:pt idx="1">
                  <c:v>0.82446191653306145</c:v>
                </c:pt>
                <c:pt idx="2">
                  <c:v>0.94350187239612393</c:v>
                </c:pt>
                <c:pt idx="3">
                  <c:v>1.0669507155133737</c:v>
                </c:pt>
                <c:pt idx="4">
                  <c:v>1.1903995586306237</c:v>
                </c:pt>
                <c:pt idx="5">
                  <c:v>1.3976172595774359</c:v>
                </c:pt>
                <c:pt idx="6">
                  <c:v>1.4990216664237486</c:v>
                </c:pt>
                <c:pt idx="7">
                  <c:v>0.91263966161681143</c:v>
                </c:pt>
                <c:pt idx="8">
                  <c:v>1.0449062792424364</c:v>
                </c:pt>
                <c:pt idx="9">
                  <c:v>1.177172896868061</c:v>
                </c:pt>
                <c:pt idx="10">
                  <c:v>1.3138484017478738</c:v>
                </c:pt>
                <c:pt idx="11">
                  <c:v>1.5342927644572482</c:v>
                </c:pt>
                <c:pt idx="12">
                  <c:v>1.7635549016749981</c:v>
                </c:pt>
                <c:pt idx="13">
                  <c:v>0.69537309308848461</c:v>
                </c:pt>
                <c:pt idx="14">
                  <c:v>0.80874914087465066</c:v>
                </c:pt>
                <c:pt idx="15">
                  <c:v>0.92590439025368898</c:v>
                </c:pt>
                <c:pt idx="16">
                  <c:v>1.0392804380398548</c:v>
                </c:pt>
                <c:pt idx="17">
                  <c:v>1.1526564858260209</c:v>
                </c:pt>
                <c:pt idx="18">
                  <c:v>1.3453957670625032</c:v>
                </c:pt>
                <c:pt idx="19">
                  <c:v>1.5343558467061131</c:v>
                </c:pt>
                <c:pt idx="20">
                  <c:v>1.6628487008637678</c:v>
                </c:pt>
                <c:pt idx="21">
                  <c:v>0.70616870342260918</c:v>
                </c:pt>
                <c:pt idx="22">
                  <c:v>0.82193406463943042</c:v>
                </c:pt>
                <c:pt idx="23">
                  <c:v>0.94155827123014546</c:v>
                </c:pt>
                <c:pt idx="24">
                  <c:v>1.0573236324469666</c:v>
                </c:pt>
                <c:pt idx="25">
                  <c:v>1.176947839037682</c:v>
                </c:pt>
                <c:pt idx="26">
                  <c:v>1.369890107732384</c:v>
                </c:pt>
                <c:pt idx="27">
                  <c:v>1.5049496958186752</c:v>
                </c:pt>
                <c:pt idx="28">
                  <c:v>0.77922852150099264</c:v>
                </c:pt>
                <c:pt idx="29">
                  <c:v>0.93201842767765775</c:v>
                </c:pt>
                <c:pt idx="30">
                  <c:v>1.0848083338543231</c:v>
                </c:pt>
                <c:pt idx="31">
                  <c:v>1.1204593119622115</c:v>
                </c:pt>
                <c:pt idx="32">
                  <c:v>0.76496692502591612</c:v>
                </c:pt>
                <c:pt idx="33">
                  <c:v>0.9149604397368799</c:v>
                </c:pt>
                <c:pt idx="34">
                  <c:v>1.0699537382715425</c:v>
                </c:pt>
                <c:pt idx="35">
                  <c:v>1.1499502794507233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31872"/>
        <c:axId val="119633408"/>
      </c:scatterChart>
      <c:valAx>
        <c:axId val="119631872"/>
        <c:scaling>
          <c:orientation val="minMax"/>
        </c:scaling>
        <c:delete val="0"/>
        <c:axPos val="b"/>
        <c:majorTickMark val="out"/>
        <c:minorTickMark val="none"/>
        <c:tickLblPos val="nextTo"/>
        <c:crossAx val="119633408"/>
        <c:crosses val="autoZero"/>
        <c:crossBetween val="midCat"/>
      </c:valAx>
      <c:valAx>
        <c:axId val="119633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96318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Purdu_ex_deep!$U$1</c:f>
              <c:strCache>
                <c:ptCount val="1"/>
                <c:pt idx="0">
                  <c:v>M/(rho  bd)</c:v>
                </c:pt>
              </c:strCache>
            </c:strRef>
          </c:tx>
          <c:spPr>
            <a:ln w="28575">
              <a:noFill/>
            </a:ln>
          </c:spPr>
          <c:yVal>
            <c:numRef>
              <c:f>Purdu_ex_deep!$U$2:$U$57</c:f>
              <c:numCache>
                <c:formatCode>General</c:formatCode>
                <c:ptCount val="56"/>
                <c:pt idx="0">
                  <c:v>0.41596682767595233</c:v>
                </c:pt>
                <c:pt idx="1">
                  <c:v>0.48921884764404444</c:v>
                </c:pt>
                <c:pt idx="2">
                  <c:v>0.55985472404184777</c:v>
                </c:pt>
                <c:pt idx="3">
                  <c:v>0.63310674400993994</c:v>
                </c:pt>
                <c:pt idx="4">
                  <c:v>0.70635876397803221</c:v>
                </c:pt>
                <c:pt idx="5">
                  <c:v>0.8293175117816155</c:v>
                </c:pt>
                <c:pt idx="6">
                  <c:v>0.88948881389826284</c:v>
                </c:pt>
                <c:pt idx="7">
                  <c:v>0.54154171904982462</c:v>
                </c:pt>
                <c:pt idx="8">
                  <c:v>0.620026026158495</c:v>
                </c:pt>
                <c:pt idx="9">
                  <c:v>0.69851033326716516</c:v>
                </c:pt>
                <c:pt idx="10">
                  <c:v>0.7796107839461246</c:v>
                </c:pt>
                <c:pt idx="11">
                  <c:v>0.91041796246057483</c:v>
                </c:pt>
                <c:pt idx="12">
                  <c:v>1.0464574281156034</c:v>
                </c:pt>
                <c:pt idx="13">
                  <c:v>0.74393609889672874</c:v>
                </c:pt>
                <c:pt idx="14">
                  <c:v>0.86523002806467364</c:v>
                </c:pt>
                <c:pt idx="15">
                  <c:v>0.99056708820488348</c:v>
                </c:pt>
                <c:pt idx="16">
                  <c:v>1.1118610173728285</c:v>
                </c:pt>
                <c:pt idx="17">
                  <c:v>1.2331549465407732</c:v>
                </c:pt>
                <c:pt idx="18">
                  <c:v>1.4393546261262795</c:v>
                </c:pt>
                <c:pt idx="19">
                  <c:v>1.6415111747395212</c:v>
                </c:pt>
                <c:pt idx="20">
                  <c:v>1.7789776277965255</c:v>
                </c:pt>
                <c:pt idx="21">
                  <c:v>0.73989296792446402</c:v>
                </c:pt>
                <c:pt idx="22">
                  <c:v>0.86118689709240903</c:v>
                </c:pt>
                <c:pt idx="23">
                  <c:v>0.98652395723261854</c:v>
                </c:pt>
                <c:pt idx="24">
                  <c:v>1.1078178864005634</c:v>
                </c:pt>
                <c:pt idx="25">
                  <c:v>1.2331549465407732</c:v>
                </c:pt>
                <c:pt idx="26">
                  <c:v>1.4353114951540149</c:v>
                </c:pt>
                <c:pt idx="27">
                  <c:v>1.5768210791832837</c:v>
                </c:pt>
                <c:pt idx="28">
                  <c:v>0.61859903875651912</c:v>
                </c:pt>
                <c:pt idx="29">
                  <c:v>0.73989296792446402</c:v>
                </c:pt>
                <c:pt idx="30">
                  <c:v>0.86118689709240903</c:v>
                </c:pt>
                <c:pt idx="31">
                  <c:v>0.88948881389826273</c:v>
                </c:pt>
                <c:pt idx="32">
                  <c:v>0.61859903875651912</c:v>
                </c:pt>
                <c:pt idx="33">
                  <c:v>0.73989296792446402</c:v>
                </c:pt>
                <c:pt idx="34">
                  <c:v>0.86523002806467364</c:v>
                </c:pt>
                <c:pt idx="35">
                  <c:v>0.92992012362091092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57984"/>
        <c:axId val="119659520"/>
      </c:scatterChart>
      <c:valAx>
        <c:axId val="119657984"/>
        <c:scaling>
          <c:orientation val="minMax"/>
        </c:scaling>
        <c:delete val="0"/>
        <c:axPos val="b"/>
        <c:majorTickMark val="out"/>
        <c:minorTickMark val="none"/>
        <c:tickLblPos val="nextTo"/>
        <c:crossAx val="119659520"/>
        <c:crosses val="autoZero"/>
        <c:crossBetween val="midCat"/>
      </c:valAx>
      <c:valAx>
        <c:axId val="119659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96579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Purdu_ex_deep!$L$1</c:f>
              <c:strCache>
                <c:ptCount val="1"/>
                <c:pt idx="0">
                  <c:v>V/(bd)</c:v>
                </c:pt>
              </c:strCache>
            </c:strRef>
          </c:tx>
          <c:spPr>
            <a:ln w="28575">
              <a:noFill/>
            </a:ln>
          </c:spPr>
          <c:yVal>
            <c:numRef>
              <c:f>Purdu_ex_deep!$L$2:$L$57</c:f>
              <c:numCache>
                <c:formatCode>General</c:formatCode>
                <c:ptCount val="56"/>
                <c:pt idx="0">
                  <c:v>5.8000623937755824E-4</c:v>
                </c:pt>
                <c:pt idx="1">
                  <c:v>6.8214570291574449E-4</c:v>
                </c:pt>
                <c:pt idx="2">
                  <c:v>7.8063732847042419E-4</c:v>
                </c:pt>
                <c:pt idx="3">
                  <c:v>8.8277679200861065E-4</c:v>
                </c:pt>
                <c:pt idx="4">
                  <c:v>9.8491625554679701E-4</c:v>
                </c:pt>
                <c:pt idx="5">
                  <c:v>1.1563646407716096E-3</c:v>
                </c:pt>
                <c:pt idx="6">
                  <c:v>1.2402649143922629E-3</c:v>
                </c:pt>
                <c:pt idx="7">
                  <c:v>7.551024625858776E-4</c:v>
                </c:pt>
                <c:pt idx="8">
                  <c:v>8.6453760209107737E-4</c:v>
                </c:pt>
                <c:pt idx="9">
                  <c:v>9.7397274159627693E-4</c:v>
                </c:pt>
                <c:pt idx="10">
                  <c:v>1.0870557190849834E-3</c:v>
                </c:pt>
                <c:pt idx="11">
                  <c:v>1.2694476182603159E-3</c:v>
                </c:pt>
                <c:pt idx="12">
                  <c:v>1.4591351934026622E-3</c:v>
                </c:pt>
                <c:pt idx="13">
                  <c:v>6.7120218896522452E-4</c:v>
                </c:pt>
                <c:pt idx="14">
                  <c:v>7.8063732847042419E-4</c:v>
                </c:pt>
                <c:pt idx="15">
                  <c:v>8.9372030595913062E-4</c:v>
                </c:pt>
                <c:pt idx="16">
                  <c:v>1.0031554454643303E-3</c:v>
                </c:pt>
                <c:pt idx="17">
                  <c:v>1.11259058496953E-3</c:v>
                </c:pt>
                <c:pt idx="18">
                  <c:v>1.2986303221283694E-3</c:v>
                </c:pt>
                <c:pt idx="19">
                  <c:v>1.4810222213037022E-3</c:v>
                </c:pt>
                <c:pt idx="20">
                  <c:v>1.6050487127429285E-3</c:v>
                </c:pt>
                <c:pt idx="21">
                  <c:v>6.6755435098171797E-4</c:v>
                </c:pt>
                <c:pt idx="22">
                  <c:v>7.7698949048691764E-4</c:v>
                </c:pt>
                <c:pt idx="23">
                  <c:v>8.9007246797562385E-4</c:v>
                </c:pt>
                <c:pt idx="24">
                  <c:v>9.9950760748082363E-4</c:v>
                </c:pt>
                <c:pt idx="25">
                  <c:v>1.11259058496953E-3</c:v>
                </c:pt>
                <c:pt idx="26">
                  <c:v>1.2949824841448627E-3</c:v>
                </c:pt>
                <c:pt idx="27">
                  <c:v>1.4226568135675955E-3</c:v>
                </c:pt>
                <c:pt idx="28">
                  <c:v>5.5811921147651841E-4</c:v>
                </c:pt>
                <c:pt idx="29">
                  <c:v>6.6755435098171797E-4</c:v>
                </c:pt>
                <c:pt idx="30">
                  <c:v>7.7698949048691764E-4</c:v>
                </c:pt>
                <c:pt idx="31">
                  <c:v>8.0252435637146423E-4</c:v>
                </c:pt>
                <c:pt idx="32">
                  <c:v>5.5811921147651841E-4</c:v>
                </c:pt>
                <c:pt idx="33">
                  <c:v>6.6755435098171797E-4</c:v>
                </c:pt>
                <c:pt idx="34">
                  <c:v>7.8063732847042419E-4</c:v>
                </c:pt>
                <c:pt idx="35">
                  <c:v>8.3900273620653068E-4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38048"/>
        <c:axId val="119956224"/>
      </c:scatterChart>
      <c:valAx>
        <c:axId val="119938048"/>
        <c:scaling>
          <c:orientation val="minMax"/>
        </c:scaling>
        <c:delete val="0"/>
        <c:axPos val="b"/>
        <c:majorTickMark val="out"/>
        <c:minorTickMark val="none"/>
        <c:tickLblPos val="nextTo"/>
        <c:crossAx val="119956224"/>
        <c:crosses val="autoZero"/>
        <c:crossBetween val="midCat"/>
      </c:valAx>
      <c:valAx>
        <c:axId val="119956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99380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Purdu_ex_deep!$M$1</c:f>
              <c:strCache>
                <c:ptCount val="1"/>
                <c:pt idx="0">
                  <c:v>M/(bd)</c:v>
                </c:pt>
              </c:strCache>
            </c:strRef>
          </c:tx>
          <c:spPr>
            <a:ln w="28575">
              <a:noFill/>
            </a:ln>
          </c:spPr>
          <c:yVal>
            <c:numRef>
              <c:f>Purdu_ex_deep!$M$2:$M$57</c:f>
              <c:numCache>
                <c:formatCode>General</c:formatCode>
                <c:ptCount val="56"/>
                <c:pt idx="0">
                  <c:v>0.35357180352455941</c:v>
                </c:pt>
                <c:pt idx="1">
                  <c:v>0.41583602049743779</c:v>
                </c:pt>
                <c:pt idx="2">
                  <c:v>0.47587651543557058</c:v>
                </c:pt>
                <c:pt idx="3">
                  <c:v>0.53814073240844895</c:v>
                </c:pt>
                <c:pt idx="4">
                  <c:v>0.60040494938132727</c:v>
                </c:pt>
                <c:pt idx="5">
                  <c:v>0.70491988501437319</c:v>
                </c:pt>
                <c:pt idx="6">
                  <c:v>0.75606549181352334</c:v>
                </c:pt>
                <c:pt idx="7">
                  <c:v>0.46031046119235092</c:v>
                </c:pt>
                <c:pt idx="8">
                  <c:v>0.52702212223472067</c:v>
                </c:pt>
                <c:pt idx="9">
                  <c:v>0.59373378327709025</c:v>
                </c:pt>
                <c:pt idx="10">
                  <c:v>0.66266916635420581</c:v>
                </c:pt>
                <c:pt idx="11">
                  <c:v>0.77385526809148852</c:v>
                </c:pt>
                <c:pt idx="12">
                  <c:v>0.88948881389826273</c:v>
                </c:pt>
                <c:pt idx="13">
                  <c:v>0.40916485439320083</c:v>
                </c:pt>
                <c:pt idx="14">
                  <c:v>0.47587651543557058</c:v>
                </c:pt>
                <c:pt idx="15">
                  <c:v>0.54481189851268597</c:v>
                </c:pt>
                <c:pt idx="16">
                  <c:v>0.61152355955505566</c:v>
                </c:pt>
                <c:pt idx="17">
                  <c:v>0.67823522059742536</c:v>
                </c:pt>
                <c:pt idx="18">
                  <c:v>0.79164504436945382</c:v>
                </c:pt>
                <c:pt idx="19">
                  <c:v>0.90283114610673676</c:v>
                </c:pt>
                <c:pt idx="20">
                  <c:v>0.9784376952880891</c:v>
                </c:pt>
                <c:pt idx="21">
                  <c:v>0.40694113235845519</c:v>
                </c:pt>
                <c:pt idx="22">
                  <c:v>0.47365279340082495</c:v>
                </c:pt>
                <c:pt idx="23">
                  <c:v>0.54258817647794022</c:v>
                </c:pt>
                <c:pt idx="24">
                  <c:v>0.60929983752030992</c:v>
                </c:pt>
                <c:pt idx="25">
                  <c:v>0.67823522059742536</c:v>
                </c:pt>
                <c:pt idx="26">
                  <c:v>0.78942132233470819</c:v>
                </c:pt>
                <c:pt idx="27">
                  <c:v>0.86725159355080605</c:v>
                </c:pt>
                <c:pt idx="28">
                  <c:v>0.3402294713160855</c:v>
                </c:pt>
                <c:pt idx="29">
                  <c:v>0.40694113235845519</c:v>
                </c:pt>
                <c:pt idx="30">
                  <c:v>0.47365279340082495</c:v>
                </c:pt>
                <c:pt idx="31">
                  <c:v>0.48921884764404455</c:v>
                </c:pt>
                <c:pt idx="32">
                  <c:v>0.3402294713160855</c:v>
                </c:pt>
                <c:pt idx="33">
                  <c:v>0.40694113235845519</c:v>
                </c:pt>
                <c:pt idx="34">
                  <c:v>0.47587651543557058</c:v>
                </c:pt>
                <c:pt idx="35">
                  <c:v>0.51145606799150101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01280"/>
        <c:axId val="120002816"/>
      </c:scatterChart>
      <c:valAx>
        <c:axId val="120001280"/>
        <c:scaling>
          <c:orientation val="minMax"/>
        </c:scaling>
        <c:delete val="0"/>
        <c:axPos val="b"/>
        <c:majorTickMark val="out"/>
        <c:minorTickMark val="none"/>
        <c:tickLblPos val="nextTo"/>
        <c:crossAx val="120002816"/>
        <c:crosses val="autoZero"/>
        <c:crossBetween val="midCat"/>
      </c:valAx>
      <c:valAx>
        <c:axId val="120002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0012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Purdu_ex_deep!$W$1</c:f>
              <c:strCache>
                <c:ptCount val="1"/>
                <c:pt idx="0">
                  <c:v>M/M_fracture</c:v>
                </c:pt>
              </c:strCache>
            </c:strRef>
          </c:tx>
          <c:spPr>
            <a:ln w="28575">
              <a:noFill/>
            </a:ln>
          </c:spPr>
          <c:yVal>
            <c:numRef>
              <c:f>Purdu_ex_deep!$W$2:$W$57</c:f>
              <c:numCache>
                <c:formatCode>General</c:formatCode>
                <c:ptCount val="56"/>
                <c:pt idx="0">
                  <c:v>0.46764705882352942</c:v>
                </c:pt>
                <c:pt idx="1">
                  <c:v>0.54999999999999993</c:v>
                </c:pt>
                <c:pt idx="2">
                  <c:v>0.62941176470588234</c:v>
                </c:pt>
                <c:pt idx="3">
                  <c:v>0.71176470588235285</c:v>
                </c:pt>
                <c:pt idx="4">
                  <c:v>0.79411764705882348</c:v>
                </c:pt>
                <c:pt idx="5">
                  <c:v>0.9323529411764705</c:v>
                </c:pt>
                <c:pt idx="6">
                  <c:v>1</c:v>
                </c:pt>
                <c:pt idx="7">
                  <c:v>0.51749999999999996</c:v>
                </c:pt>
                <c:pt idx="8">
                  <c:v>0.59250000000000003</c:v>
                </c:pt>
                <c:pt idx="9">
                  <c:v>0.66749999999999998</c:v>
                </c:pt>
                <c:pt idx="10">
                  <c:v>0.74500000000000011</c:v>
                </c:pt>
                <c:pt idx="11">
                  <c:v>0.87</c:v>
                </c:pt>
                <c:pt idx="12">
                  <c:v>1</c:v>
                </c:pt>
                <c:pt idx="13">
                  <c:v>0.4181818181818181</c:v>
                </c:pt>
                <c:pt idx="14">
                  <c:v>0.48636363636363633</c:v>
                </c:pt>
                <c:pt idx="15">
                  <c:v>0.55681818181818177</c:v>
                </c:pt>
                <c:pt idx="16">
                  <c:v>0.625</c:v>
                </c:pt>
                <c:pt idx="17">
                  <c:v>0.69318181818181812</c:v>
                </c:pt>
                <c:pt idx="18">
                  <c:v>0.80909090909090897</c:v>
                </c:pt>
                <c:pt idx="19">
                  <c:v>0.92272727272727273</c:v>
                </c:pt>
                <c:pt idx="20">
                  <c:v>1</c:v>
                </c:pt>
                <c:pt idx="21">
                  <c:v>0.46923076923076928</c:v>
                </c:pt>
                <c:pt idx="22">
                  <c:v>0.54615384615384632</c:v>
                </c:pt>
                <c:pt idx="23">
                  <c:v>0.62564102564102564</c:v>
                </c:pt>
                <c:pt idx="24">
                  <c:v>0.70256410256410262</c:v>
                </c:pt>
                <c:pt idx="25">
                  <c:v>0.78205128205128216</c:v>
                </c:pt>
                <c:pt idx="26">
                  <c:v>0.91025641025641035</c:v>
                </c:pt>
                <c:pt idx="27">
                  <c:v>1</c:v>
                </c:pt>
                <c:pt idx="28">
                  <c:v>0.69545454545454544</c:v>
                </c:pt>
                <c:pt idx="29">
                  <c:v>0.83181818181818179</c:v>
                </c:pt>
                <c:pt idx="30">
                  <c:v>0.96818181818181825</c:v>
                </c:pt>
                <c:pt idx="31">
                  <c:v>1</c:v>
                </c:pt>
                <c:pt idx="32">
                  <c:v>0.66521739130434787</c:v>
                </c:pt>
                <c:pt idx="33">
                  <c:v>0.79565217391304355</c:v>
                </c:pt>
                <c:pt idx="34">
                  <c:v>0.93043478260869572</c:v>
                </c:pt>
                <c:pt idx="35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10624"/>
        <c:axId val="120012160"/>
      </c:scatterChart>
      <c:valAx>
        <c:axId val="120010624"/>
        <c:scaling>
          <c:orientation val="minMax"/>
        </c:scaling>
        <c:delete val="0"/>
        <c:axPos val="b"/>
        <c:majorTickMark val="out"/>
        <c:minorTickMark val="none"/>
        <c:tickLblPos val="nextTo"/>
        <c:crossAx val="120012160"/>
        <c:crosses val="autoZero"/>
        <c:crossBetween val="midCat"/>
      </c:valAx>
      <c:valAx>
        <c:axId val="120012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0106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Purdu_ex_deep!$AE$1</c:f>
              <c:strCache>
                <c:ptCount val="1"/>
                <c:pt idx="0">
                  <c:v>d (mm)</c:v>
                </c:pt>
              </c:strCache>
            </c:strRef>
          </c:tx>
          <c:spPr>
            <a:ln w="28575">
              <a:noFill/>
            </a:ln>
          </c:spPr>
          <c:yVal>
            <c:numRef>
              <c:f>Purdu_ex_deep!$AE$2:$AE$57</c:f>
              <c:numCache>
                <c:formatCode>General</c:formatCode>
                <c:ptCount val="56"/>
                <c:pt idx="0">
                  <c:v>266.7</c:v>
                </c:pt>
                <c:pt idx="1">
                  <c:v>266.7</c:v>
                </c:pt>
                <c:pt idx="2">
                  <c:v>266.7</c:v>
                </c:pt>
                <c:pt idx="3">
                  <c:v>266.7</c:v>
                </c:pt>
                <c:pt idx="4">
                  <c:v>266.7</c:v>
                </c:pt>
                <c:pt idx="5">
                  <c:v>266.7</c:v>
                </c:pt>
                <c:pt idx="6">
                  <c:v>266.7</c:v>
                </c:pt>
                <c:pt idx="7">
                  <c:v>266.7</c:v>
                </c:pt>
                <c:pt idx="8">
                  <c:v>266.7</c:v>
                </c:pt>
                <c:pt idx="9">
                  <c:v>266.7</c:v>
                </c:pt>
                <c:pt idx="10">
                  <c:v>266.7</c:v>
                </c:pt>
                <c:pt idx="11">
                  <c:v>266.7</c:v>
                </c:pt>
                <c:pt idx="12">
                  <c:v>266.7</c:v>
                </c:pt>
                <c:pt idx="13">
                  <c:v>266.7</c:v>
                </c:pt>
                <c:pt idx="14">
                  <c:v>266.7</c:v>
                </c:pt>
                <c:pt idx="15">
                  <c:v>266.7</c:v>
                </c:pt>
                <c:pt idx="16">
                  <c:v>266.7</c:v>
                </c:pt>
                <c:pt idx="17">
                  <c:v>266.7</c:v>
                </c:pt>
                <c:pt idx="18">
                  <c:v>266.7</c:v>
                </c:pt>
                <c:pt idx="19">
                  <c:v>266.7</c:v>
                </c:pt>
                <c:pt idx="20">
                  <c:v>266.7</c:v>
                </c:pt>
                <c:pt idx="21">
                  <c:v>266.7</c:v>
                </c:pt>
                <c:pt idx="22">
                  <c:v>266.7</c:v>
                </c:pt>
                <c:pt idx="23">
                  <c:v>266.7</c:v>
                </c:pt>
                <c:pt idx="24">
                  <c:v>266.7</c:v>
                </c:pt>
                <c:pt idx="25">
                  <c:v>266.7</c:v>
                </c:pt>
                <c:pt idx="26">
                  <c:v>266.7</c:v>
                </c:pt>
                <c:pt idx="27">
                  <c:v>266.7</c:v>
                </c:pt>
                <c:pt idx="28">
                  <c:v>266.7</c:v>
                </c:pt>
                <c:pt idx="29">
                  <c:v>266.7</c:v>
                </c:pt>
                <c:pt idx="30">
                  <c:v>266.7</c:v>
                </c:pt>
                <c:pt idx="31">
                  <c:v>266.7</c:v>
                </c:pt>
                <c:pt idx="32">
                  <c:v>266.7</c:v>
                </c:pt>
                <c:pt idx="33">
                  <c:v>266.7</c:v>
                </c:pt>
                <c:pt idx="34">
                  <c:v>266.7</c:v>
                </c:pt>
                <c:pt idx="35">
                  <c:v>266.7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24064"/>
        <c:axId val="120050432"/>
      </c:scatterChart>
      <c:valAx>
        <c:axId val="120024064"/>
        <c:scaling>
          <c:orientation val="minMax"/>
        </c:scaling>
        <c:delete val="0"/>
        <c:axPos val="b"/>
        <c:majorTickMark val="out"/>
        <c:minorTickMark val="none"/>
        <c:tickLblPos val="nextTo"/>
        <c:crossAx val="120050432"/>
        <c:crosses val="autoZero"/>
        <c:crossBetween val="midCat"/>
      </c:valAx>
      <c:valAx>
        <c:axId val="120050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0240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PCA!$U$1</c:f>
              <c:strCache>
                <c:ptCount val="1"/>
                <c:pt idx="0">
                  <c:v>M/(rho  bd)</c:v>
                </c:pt>
              </c:strCache>
            </c:strRef>
          </c:tx>
          <c:spPr>
            <a:ln w="28575">
              <a:noFill/>
            </a:ln>
          </c:spPr>
          <c:yVal>
            <c:numRef>
              <c:f>PCA!$U$2:$U$89</c:f>
              <c:numCache>
                <c:formatCode>General</c:formatCode>
                <c:ptCount val="88"/>
                <c:pt idx="0">
                  <c:v>0.23960257923497266</c:v>
                </c:pt>
                <c:pt idx="1">
                  <c:v>0.25606382513661202</c:v>
                </c:pt>
                <c:pt idx="2">
                  <c:v>0.29264437158469947</c:v>
                </c:pt>
                <c:pt idx="3">
                  <c:v>0.32922491803278686</c:v>
                </c:pt>
                <c:pt idx="4">
                  <c:v>0.36580546448087431</c:v>
                </c:pt>
                <c:pt idx="5">
                  <c:v>0.40238601092896176</c:v>
                </c:pt>
                <c:pt idx="6">
                  <c:v>0.43896655737704915</c:v>
                </c:pt>
                <c:pt idx="7">
                  <c:v>0.47554710382513665</c:v>
                </c:pt>
                <c:pt idx="8">
                  <c:v>0.51212765027322404</c:v>
                </c:pt>
                <c:pt idx="9">
                  <c:v>1.0981364829396327</c:v>
                </c:pt>
                <c:pt idx="10">
                  <c:v>1.0981364829396327</c:v>
                </c:pt>
                <c:pt idx="11">
                  <c:v>0.35346773333333337</c:v>
                </c:pt>
                <c:pt idx="12">
                  <c:v>0.43317124183006545</c:v>
                </c:pt>
                <c:pt idx="13">
                  <c:v>0.51980549019607847</c:v>
                </c:pt>
                <c:pt idx="14">
                  <c:v>0.60643973856209155</c:v>
                </c:pt>
                <c:pt idx="15">
                  <c:v>0.69307398692810473</c:v>
                </c:pt>
                <c:pt idx="16">
                  <c:v>0.77970823529411781</c:v>
                </c:pt>
                <c:pt idx="17">
                  <c:v>0.86634248366013089</c:v>
                </c:pt>
                <c:pt idx="18">
                  <c:v>0.95297673202614386</c:v>
                </c:pt>
                <c:pt idx="19">
                  <c:v>1.0645780157480318</c:v>
                </c:pt>
                <c:pt idx="20">
                  <c:v>1.0645780157480318</c:v>
                </c:pt>
                <c:pt idx="21">
                  <c:v>0.49066779481755679</c:v>
                </c:pt>
                <c:pt idx="22">
                  <c:v>0.52571549444738219</c:v>
                </c:pt>
                <c:pt idx="23">
                  <c:v>0.61333474352194606</c:v>
                </c:pt>
                <c:pt idx="24">
                  <c:v>0.70095399259650981</c:v>
                </c:pt>
                <c:pt idx="25">
                  <c:v>0.78857324167107357</c:v>
                </c:pt>
                <c:pt idx="26">
                  <c:v>0.87619249074563721</c:v>
                </c:pt>
                <c:pt idx="27">
                  <c:v>0.96381173982020085</c:v>
                </c:pt>
                <c:pt idx="28">
                  <c:v>1.0514309888947644</c:v>
                </c:pt>
                <c:pt idx="29">
                  <c:v>1.1573329946659894</c:v>
                </c:pt>
                <c:pt idx="30">
                  <c:v>1.1573329946659894</c:v>
                </c:pt>
                <c:pt idx="31">
                  <c:v>0.42266063348416288</c:v>
                </c:pt>
                <c:pt idx="32">
                  <c:v>0.50316742081447952</c:v>
                </c:pt>
                <c:pt idx="33">
                  <c:v>0.58702865761689282</c:v>
                </c:pt>
                <c:pt idx="34">
                  <c:v>0.67088989441930613</c:v>
                </c:pt>
                <c:pt idx="35">
                  <c:v>0.75475113122171944</c:v>
                </c:pt>
                <c:pt idx="36">
                  <c:v>0.83861236802413286</c:v>
                </c:pt>
                <c:pt idx="37">
                  <c:v>0.92247360482654595</c:v>
                </c:pt>
                <c:pt idx="38">
                  <c:v>1.006334841628959</c:v>
                </c:pt>
                <c:pt idx="39">
                  <c:v>1.2123561477892186</c:v>
                </c:pt>
                <c:pt idx="40">
                  <c:v>1.2123561477892186</c:v>
                </c:pt>
                <c:pt idx="41">
                  <c:v>0.23398170302603805</c:v>
                </c:pt>
                <c:pt idx="42">
                  <c:v>0.25997967002893113</c:v>
                </c:pt>
                <c:pt idx="43">
                  <c:v>0.31197560403471741</c:v>
                </c:pt>
                <c:pt idx="44">
                  <c:v>0.36397153804050364</c:v>
                </c:pt>
                <c:pt idx="45">
                  <c:v>0.41596747204628987</c:v>
                </c:pt>
                <c:pt idx="46">
                  <c:v>0.46796340605207609</c:v>
                </c:pt>
                <c:pt idx="47">
                  <c:v>0.51995934005786226</c:v>
                </c:pt>
                <c:pt idx="48">
                  <c:v>0.57195527406364854</c:v>
                </c:pt>
                <c:pt idx="49">
                  <c:v>0.62395120806943483</c:v>
                </c:pt>
                <c:pt idx="50">
                  <c:v>0.6856707911511063</c:v>
                </c:pt>
                <c:pt idx="51">
                  <c:v>0.6856707911511063</c:v>
                </c:pt>
                <c:pt idx="52">
                  <c:v>0.33955065359477132</c:v>
                </c:pt>
                <c:pt idx="53">
                  <c:v>0.40746078431372551</c:v>
                </c:pt>
                <c:pt idx="54">
                  <c:v>0.47537091503267975</c:v>
                </c:pt>
                <c:pt idx="55">
                  <c:v>0.54328104575163405</c:v>
                </c:pt>
                <c:pt idx="56">
                  <c:v>0.6111911764705884</c:v>
                </c:pt>
                <c:pt idx="57">
                  <c:v>0.67910130718954265</c:v>
                </c:pt>
                <c:pt idx="58">
                  <c:v>0.74701143790849678</c:v>
                </c:pt>
                <c:pt idx="59">
                  <c:v>0.81492156862745102</c:v>
                </c:pt>
                <c:pt idx="60">
                  <c:v>0.9381223097112863</c:v>
                </c:pt>
                <c:pt idx="61">
                  <c:v>0.9381223097112863</c:v>
                </c:pt>
                <c:pt idx="62">
                  <c:v>0.46809070866141733</c:v>
                </c:pt>
                <c:pt idx="63">
                  <c:v>0.50009691096305275</c:v>
                </c:pt>
                <c:pt idx="64">
                  <c:v>0.55010660205935802</c:v>
                </c:pt>
                <c:pt idx="65">
                  <c:v>0.60011629315566317</c:v>
                </c:pt>
                <c:pt idx="66">
                  <c:v>0.65012598425196855</c:v>
                </c:pt>
                <c:pt idx="67">
                  <c:v>0.70013567534827381</c:v>
                </c:pt>
                <c:pt idx="68">
                  <c:v>0.75014536644457908</c:v>
                </c:pt>
                <c:pt idx="69">
                  <c:v>0.80015505754088434</c:v>
                </c:pt>
                <c:pt idx="70">
                  <c:v>0.8501647486371896</c:v>
                </c:pt>
                <c:pt idx="71">
                  <c:v>0.90017443973349509</c:v>
                </c:pt>
                <c:pt idx="72">
                  <c:v>0.95018413082980036</c:v>
                </c:pt>
                <c:pt idx="73">
                  <c:v>1.0001938219261055</c:v>
                </c:pt>
                <c:pt idx="74">
                  <c:v>1.0602054512416721</c:v>
                </c:pt>
                <c:pt idx="75">
                  <c:v>1.0602054512416721</c:v>
                </c:pt>
                <c:pt idx="76">
                  <c:v>0.66142301417994731</c:v>
                </c:pt>
                <c:pt idx="77">
                  <c:v>0.71165767348475351</c:v>
                </c:pt>
                <c:pt idx="78">
                  <c:v>0.75351988957209193</c:v>
                </c:pt>
                <c:pt idx="79">
                  <c:v>0.79538210565943035</c:v>
                </c:pt>
                <c:pt idx="80">
                  <c:v>0.83724432174676888</c:v>
                </c:pt>
                <c:pt idx="81">
                  <c:v>0.87910653783410719</c:v>
                </c:pt>
                <c:pt idx="82">
                  <c:v>0.9209687539214455</c:v>
                </c:pt>
                <c:pt idx="83">
                  <c:v>0.96283097000878404</c:v>
                </c:pt>
                <c:pt idx="84">
                  <c:v>1.0046931860961223</c:v>
                </c:pt>
                <c:pt idx="85">
                  <c:v>1.0465554021834609</c:v>
                </c:pt>
                <c:pt idx="86">
                  <c:v>1.2426650514839492</c:v>
                </c:pt>
                <c:pt idx="87">
                  <c:v>1.2426650514839492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20192"/>
        <c:axId val="121721984"/>
      </c:scatterChart>
      <c:valAx>
        <c:axId val="121720192"/>
        <c:scaling>
          <c:orientation val="minMax"/>
        </c:scaling>
        <c:delete val="0"/>
        <c:axPos val="b"/>
        <c:majorTickMark val="out"/>
        <c:minorTickMark val="none"/>
        <c:tickLblPos val="nextTo"/>
        <c:crossAx val="121721984"/>
        <c:crosses val="autoZero"/>
        <c:crossBetween val="midCat"/>
      </c:valAx>
      <c:valAx>
        <c:axId val="121721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17201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6847462817147857"/>
          <c:y val="0.17628499562554681"/>
          <c:w val="0.69070713035870512"/>
          <c:h val="0.68921660834062404"/>
        </c:manualLayout>
      </c:layout>
      <c:scatterChart>
        <c:scatterStyle val="lineMarker"/>
        <c:varyColors val="0"/>
        <c:ser>
          <c:idx val="0"/>
          <c:order val="0"/>
          <c:tx>
            <c:strRef>
              <c:f>PCA!$L$1</c:f>
              <c:strCache>
                <c:ptCount val="1"/>
                <c:pt idx="0">
                  <c:v>V/(bd)</c:v>
                </c:pt>
              </c:strCache>
            </c:strRef>
          </c:tx>
          <c:spPr>
            <a:ln w="28575">
              <a:noFill/>
            </a:ln>
          </c:spPr>
          <c:yVal>
            <c:numRef>
              <c:f>PCA!$L$2:$L$89</c:f>
              <c:numCache>
                <c:formatCode>General</c:formatCode>
                <c:ptCount val="88"/>
                <c:pt idx="0">
                  <c:v>4.1173544375353309E-4</c:v>
                </c:pt>
                <c:pt idx="1">
                  <c:v>4.4002261164499722E-4</c:v>
                </c:pt>
                <c:pt idx="2">
                  <c:v>5.0288298473713966E-4</c:v>
                </c:pt>
                <c:pt idx="3">
                  <c:v>5.6574335782928211E-4</c:v>
                </c:pt>
                <c:pt idx="4">
                  <c:v>6.2860373092142455E-4</c:v>
                </c:pt>
                <c:pt idx="5">
                  <c:v>6.91464104013567E-4</c:v>
                </c:pt>
                <c:pt idx="6">
                  <c:v>7.5432447710570955E-4</c:v>
                </c:pt>
                <c:pt idx="7">
                  <c:v>8.17184850197852E-4</c:v>
                </c:pt>
                <c:pt idx="8">
                  <c:v>8.8004522328999444E-4</c:v>
                </c:pt>
                <c:pt idx="9">
                  <c:v>1.8870486016834107E-3</c:v>
                </c:pt>
                <c:pt idx="10">
                  <c:v>1.8870486016834107E-3</c:v>
                </c:pt>
                <c:pt idx="11">
                  <c:v>2.7974842767295599E-4</c:v>
                </c:pt>
                <c:pt idx="12">
                  <c:v>3.4282895548156376E-4</c:v>
                </c:pt>
                <c:pt idx="13">
                  <c:v>4.1139474657787644E-4</c:v>
                </c:pt>
                <c:pt idx="14">
                  <c:v>4.7996053767418917E-4</c:v>
                </c:pt>
                <c:pt idx="15">
                  <c:v>5.4852632877050195E-4</c:v>
                </c:pt>
                <c:pt idx="16">
                  <c:v>6.1709211986681468E-4</c:v>
                </c:pt>
                <c:pt idx="17">
                  <c:v>6.8565791096312752E-4</c:v>
                </c:pt>
                <c:pt idx="18">
                  <c:v>7.5422370205944014E-4</c:v>
                </c:pt>
                <c:pt idx="19">
                  <c:v>8.4254939830634391E-4</c:v>
                </c:pt>
                <c:pt idx="20">
                  <c:v>8.4254939830634391E-4</c:v>
                </c:pt>
                <c:pt idx="21">
                  <c:v>2.998098264365326E-4</c:v>
                </c:pt>
                <c:pt idx="22">
                  <c:v>3.2122481403914203E-4</c:v>
                </c:pt>
                <c:pt idx="23">
                  <c:v>3.7476228304566574E-4</c:v>
                </c:pt>
                <c:pt idx="24">
                  <c:v>4.2829975205218944E-4</c:v>
                </c:pt>
                <c:pt idx="25">
                  <c:v>4.8183722105871315E-4</c:v>
                </c:pt>
                <c:pt idx="26">
                  <c:v>5.3537469006523686E-4</c:v>
                </c:pt>
                <c:pt idx="27">
                  <c:v>5.8891215907176046E-4</c:v>
                </c:pt>
                <c:pt idx="28">
                  <c:v>6.4244962807828406E-4</c:v>
                </c:pt>
                <c:pt idx="29">
                  <c:v>7.0715830124758639E-4</c:v>
                </c:pt>
                <c:pt idx="30">
                  <c:v>7.0715830124758639E-4</c:v>
                </c:pt>
                <c:pt idx="31">
                  <c:v>2.2281379705166738E-4</c:v>
                </c:pt>
                <c:pt idx="32">
                  <c:v>2.65254520299604E-4</c:v>
                </c:pt>
                <c:pt idx="33">
                  <c:v>3.0946360701620472E-4</c:v>
                </c:pt>
                <c:pt idx="34">
                  <c:v>3.5367269373280538E-4</c:v>
                </c:pt>
                <c:pt idx="35">
                  <c:v>3.978817804494061E-4</c:v>
                </c:pt>
                <c:pt idx="36">
                  <c:v>4.4209086716600677E-4</c:v>
                </c:pt>
                <c:pt idx="37">
                  <c:v>4.8629995388260744E-4</c:v>
                </c:pt>
                <c:pt idx="38">
                  <c:v>5.30509040599208E-4</c:v>
                </c:pt>
                <c:pt idx="39">
                  <c:v>6.3911719064314052E-4</c:v>
                </c:pt>
                <c:pt idx="40">
                  <c:v>6.3911719064314052E-4</c:v>
                </c:pt>
                <c:pt idx="41">
                  <c:v>4.2318019408444155E-4</c:v>
                </c:pt>
                <c:pt idx="42">
                  <c:v>4.7020021564937953E-4</c:v>
                </c:pt>
                <c:pt idx="43">
                  <c:v>5.6424025877925544E-4</c:v>
                </c:pt>
                <c:pt idx="44">
                  <c:v>6.5828030190913129E-4</c:v>
                </c:pt>
                <c:pt idx="45">
                  <c:v>7.5232034503900725E-4</c:v>
                </c:pt>
                <c:pt idx="46">
                  <c:v>8.463603881688831E-4</c:v>
                </c:pt>
                <c:pt idx="47">
                  <c:v>9.4040043129875906E-4</c:v>
                </c:pt>
                <c:pt idx="48">
                  <c:v>1.034440474428635E-3</c:v>
                </c:pt>
                <c:pt idx="49">
                  <c:v>1.1284805175585109E-3</c:v>
                </c:pt>
                <c:pt idx="50">
                  <c:v>1.2401067892264541E-3</c:v>
                </c:pt>
                <c:pt idx="51">
                  <c:v>1.2401067892264541E-3</c:v>
                </c:pt>
                <c:pt idx="52">
                  <c:v>2.5760776900552286E-4</c:v>
                </c:pt>
                <c:pt idx="53">
                  <c:v>3.0912932280662735E-4</c:v>
                </c:pt>
                <c:pt idx="54">
                  <c:v>3.6065087660773194E-4</c:v>
                </c:pt>
                <c:pt idx="55">
                  <c:v>4.1217243040883654E-4</c:v>
                </c:pt>
                <c:pt idx="56">
                  <c:v>4.6369398420994113E-4</c:v>
                </c:pt>
                <c:pt idx="57">
                  <c:v>5.1521553801104573E-4</c:v>
                </c:pt>
                <c:pt idx="58">
                  <c:v>5.6673709181215021E-4</c:v>
                </c:pt>
                <c:pt idx="59">
                  <c:v>6.182586456132547E-4</c:v>
                </c:pt>
                <c:pt idx="60">
                  <c:v>7.1172766920203038E-4</c:v>
                </c:pt>
                <c:pt idx="61">
                  <c:v>7.1172766920203038E-4</c:v>
                </c:pt>
                <c:pt idx="62">
                  <c:v>2.9954413593037715E-4</c:v>
                </c:pt>
                <c:pt idx="63">
                  <c:v>3.2002578625040293E-4</c:v>
                </c:pt>
                <c:pt idx="64">
                  <c:v>3.5202836487544323E-4</c:v>
                </c:pt>
                <c:pt idx="65">
                  <c:v>3.8403094350048346E-4</c:v>
                </c:pt>
                <c:pt idx="66">
                  <c:v>4.1603352212552381E-4</c:v>
                </c:pt>
                <c:pt idx="67">
                  <c:v>4.4803610075056411E-4</c:v>
                </c:pt>
                <c:pt idx="68">
                  <c:v>4.800386793756044E-4</c:v>
                </c:pt>
                <c:pt idx="69">
                  <c:v>5.1204125800064469E-4</c:v>
                </c:pt>
                <c:pt idx="70">
                  <c:v>5.4404383662568498E-4</c:v>
                </c:pt>
                <c:pt idx="71">
                  <c:v>5.7604641525072528E-4</c:v>
                </c:pt>
                <c:pt idx="72">
                  <c:v>6.0804899387576557E-4</c:v>
                </c:pt>
                <c:pt idx="73">
                  <c:v>6.4005157250080586E-4</c:v>
                </c:pt>
                <c:pt idx="74">
                  <c:v>6.7845466685085437E-4</c:v>
                </c:pt>
                <c:pt idx="75">
                  <c:v>6.7845466685085437E-4</c:v>
                </c:pt>
                <c:pt idx="76">
                  <c:v>3.4868204316055619E-4</c:v>
                </c:pt>
                <c:pt idx="77">
                  <c:v>3.7516422365376298E-4</c:v>
                </c:pt>
                <c:pt idx="78">
                  <c:v>3.9723270739810198E-4</c:v>
                </c:pt>
                <c:pt idx="79">
                  <c:v>4.1930119114244103E-4</c:v>
                </c:pt>
                <c:pt idx="80">
                  <c:v>4.4136967488678003E-4</c:v>
                </c:pt>
                <c:pt idx="81">
                  <c:v>4.6343815863111897E-4</c:v>
                </c:pt>
                <c:pt idx="82">
                  <c:v>4.8550664237545797E-4</c:v>
                </c:pt>
                <c:pt idx="83">
                  <c:v>5.0757512611979702E-4</c:v>
                </c:pt>
                <c:pt idx="84">
                  <c:v>5.2964360986413597E-4</c:v>
                </c:pt>
                <c:pt idx="85">
                  <c:v>5.5171209360847491E-4</c:v>
                </c:pt>
                <c:pt idx="86">
                  <c:v>6.5509512040921901E-4</c:v>
                </c:pt>
                <c:pt idx="87">
                  <c:v>6.5509512040921901E-4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63328"/>
        <c:axId val="121764864"/>
      </c:scatterChart>
      <c:valAx>
        <c:axId val="121763328"/>
        <c:scaling>
          <c:orientation val="minMax"/>
        </c:scaling>
        <c:delete val="0"/>
        <c:axPos val="b"/>
        <c:majorTickMark val="out"/>
        <c:minorTickMark val="none"/>
        <c:tickLblPos val="nextTo"/>
        <c:crossAx val="121764864"/>
        <c:crosses val="autoZero"/>
        <c:crossBetween val="midCat"/>
      </c:valAx>
      <c:valAx>
        <c:axId val="121764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17633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PCA!$W$1</c:f>
              <c:strCache>
                <c:ptCount val="1"/>
                <c:pt idx="0">
                  <c:v>M/M_fracture</c:v>
                </c:pt>
              </c:strCache>
            </c:strRef>
          </c:tx>
          <c:spPr>
            <a:ln w="28575">
              <a:noFill/>
            </a:ln>
          </c:spPr>
          <c:yVal>
            <c:numRef>
              <c:f>PCA!$W$2:$W$89</c:f>
              <c:numCache>
                <c:formatCode>General</c:formatCode>
                <c:ptCount val="88"/>
                <c:pt idx="0">
                  <c:v>0.2181901639344262</c:v>
                </c:pt>
                <c:pt idx="1">
                  <c:v>0.23318032786885245</c:v>
                </c:pt>
                <c:pt idx="2">
                  <c:v>0.26649180327868849</c:v>
                </c:pt>
                <c:pt idx="3">
                  <c:v>0.29980327868852452</c:v>
                </c:pt>
                <c:pt idx="4">
                  <c:v>0.33311475409836061</c:v>
                </c:pt>
                <c:pt idx="5">
                  <c:v>0.3664262295081967</c:v>
                </c:pt>
                <c:pt idx="6">
                  <c:v>0.39973770491803273</c:v>
                </c:pt>
                <c:pt idx="7">
                  <c:v>0.43304918032786888</c:v>
                </c:pt>
                <c:pt idx="8">
                  <c:v>0.46636065573770491</c:v>
                </c:pt>
                <c:pt idx="9">
                  <c:v>1</c:v>
                </c:pt>
                <c:pt idx="10">
                  <c:v>1</c:v>
                </c:pt>
                <c:pt idx="11">
                  <c:v>0.33202614379084966</c:v>
                </c:pt>
                <c:pt idx="12">
                  <c:v>0.40689478405741381</c:v>
                </c:pt>
                <c:pt idx="13">
                  <c:v>0.48827374086889647</c:v>
                </c:pt>
                <c:pt idx="14">
                  <c:v>0.56965269768037929</c:v>
                </c:pt>
                <c:pt idx="15">
                  <c:v>0.65103165449186207</c:v>
                </c:pt>
                <c:pt idx="16">
                  <c:v>0.73241061130334495</c:v>
                </c:pt>
                <c:pt idx="17">
                  <c:v>0.81378956811482761</c:v>
                </c:pt>
                <c:pt idx="18">
                  <c:v>0.89516852492631027</c:v>
                </c:pt>
                <c:pt idx="19">
                  <c:v>1</c:v>
                </c:pt>
                <c:pt idx="20">
                  <c:v>1</c:v>
                </c:pt>
                <c:pt idx="21">
                  <c:v>0.42396423248882265</c:v>
                </c:pt>
                <c:pt idx="22">
                  <c:v>0.4542473919523099</c:v>
                </c:pt>
                <c:pt idx="23">
                  <c:v>0.52995529061102831</c:v>
                </c:pt>
                <c:pt idx="24">
                  <c:v>0.60566318926974672</c:v>
                </c:pt>
                <c:pt idx="25">
                  <c:v>0.68137108792846501</c:v>
                </c:pt>
                <c:pt idx="26">
                  <c:v>0.75707898658718331</c:v>
                </c:pt>
                <c:pt idx="27">
                  <c:v>0.83278688524590161</c:v>
                </c:pt>
                <c:pt idx="28">
                  <c:v>0.9084947839046198</c:v>
                </c:pt>
                <c:pt idx="29">
                  <c:v>1</c:v>
                </c:pt>
                <c:pt idx="30">
                  <c:v>1</c:v>
                </c:pt>
                <c:pt idx="31">
                  <c:v>0.34862745098039211</c:v>
                </c:pt>
                <c:pt idx="32">
                  <c:v>0.415032679738562</c:v>
                </c:pt>
                <c:pt idx="33">
                  <c:v>0.48420479302832237</c:v>
                </c:pt>
                <c:pt idx="34">
                  <c:v>0.55337690631808278</c:v>
                </c:pt>
                <c:pt idx="35">
                  <c:v>0.62254901960784315</c:v>
                </c:pt>
                <c:pt idx="36">
                  <c:v>0.69172113289760351</c:v>
                </c:pt>
                <c:pt idx="37">
                  <c:v>0.76089324618736365</c:v>
                </c:pt>
                <c:pt idx="38">
                  <c:v>0.83006535947712401</c:v>
                </c:pt>
                <c:pt idx="39">
                  <c:v>1</c:v>
                </c:pt>
                <c:pt idx="40">
                  <c:v>1</c:v>
                </c:pt>
                <c:pt idx="41">
                  <c:v>0.34124496193461712</c:v>
                </c:pt>
                <c:pt idx="42">
                  <c:v>0.37916106881624123</c:v>
                </c:pt>
                <c:pt idx="43">
                  <c:v>0.45499328257948951</c:v>
                </c:pt>
                <c:pt idx="44">
                  <c:v>0.53082549634273768</c:v>
                </c:pt>
                <c:pt idx="45">
                  <c:v>0.60665771010598601</c:v>
                </c:pt>
                <c:pt idx="46">
                  <c:v>0.68248992386923424</c:v>
                </c:pt>
                <c:pt idx="47">
                  <c:v>0.75832213763248246</c:v>
                </c:pt>
                <c:pt idx="48">
                  <c:v>0.83415435139573069</c:v>
                </c:pt>
                <c:pt idx="49">
                  <c:v>0.90998656515897902</c:v>
                </c:pt>
                <c:pt idx="50">
                  <c:v>1</c:v>
                </c:pt>
                <c:pt idx="51">
                  <c:v>1</c:v>
                </c:pt>
                <c:pt idx="52">
                  <c:v>0.36194710442316463</c:v>
                </c:pt>
                <c:pt idx="53">
                  <c:v>0.43433652530779748</c:v>
                </c:pt>
                <c:pt idx="54">
                  <c:v>0.50672594619243039</c:v>
                </c:pt>
                <c:pt idx="55">
                  <c:v>0.57911536707706335</c:v>
                </c:pt>
                <c:pt idx="56">
                  <c:v>0.65150478796169631</c:v>
                </c:pt>
                <c:pt idx="57">
                  <c:v>0.72389420884632927</c:v>
                </c:pt>
                <c:pt idx="58">
                  <c:v>0.79628362973096201</c:v>
                </c:pt>
                <c:pt idx="59">
                  <c:v>0.86867305061559497</c:v>
                </c:pt>
                <c:pt idx="60">
                  <c:v>1</c:v>
                </c:pt>
                <c:pt idx="61">
                  <c:v>1</c:v>
                </c:pt>
                <c:pt idx="62">
                  <c:v>0.44150943396226405</c:v>
                </c:pt>
                <c:pt idx="63">
                  <c:v>0.47169811320754712</c:v>
                </c:pt>
                <c:pt idx="64">
                  <c:v>0.51886792452830177</c:v>
                </c:pt>
                <c:pt idx="65">
                  <c:v>0.56603773584905637</c:v>
                </c:pt>
                <c:pt idx="66">
                  <c:v>0.61320754716981118</c:v>
                </c:pt>
                <c:pt idx="67">
                  <c:v>0.66037735849056589</c:v>
                </c:pt>
                <c:pt idx="68">
                  <c:v>0.7075471698113206</c:v>
                </c:pt>
                <c:pt idx="69">
                  <c:v>0.7547169811320753</c:v>
                </c:pt>
                <c:pt idx="70">
                  <c:v>0.80188679245283001</c:v>
                </c:pt>
                <c:pt idx="71">
                  <c:v>0.84905660377358483</c:v>
                </c:pt>
                <c:pt idx="72">
                  <c:v>0.89622641509433953</c:v>
                </c:pt>
                <c:pt idx="73">
                  <c:v>0.94339622641509424</c:v>
                </c:pt>
                <c:pt idx="74">
                  <c:v>1</c:v>
                </c:pt>
                <c:pt idx="75">
                  <c:v>1</c:v>
                </c:pt>
                <c:pt idx="76">
                  <c:v>0.53226170108356874</c:v>
                </c:pt>
                <c:pt idx="77">
                  <c:v>0.57268664040637152</c:v>
                </c:pt>
                <c:pt idx="78">
                  <c:v>0.60637408984204033</c:v>
                </c:pt>
                <c:pt idx="79">
                  <c:v>0.64006153927770937</c:v>
                </c:pt>
                <c:pt idx="80">
                  <c:v>0.67374898871337829</c:v>
                </c:pt>
                <c:pt idx="81">
                  <c:v>0.70743643814904711</c:v>
                </c:pt>
                <c:pt idx="82">
                  <c:v>0.74112388758471592</c:v>
                </c:pt>
                <c:pt idx="83">
                  <c:v>0.77481133702038485</c:v>
                </c:pt>
                <c:pt idx="84">
                  <c:v>0.80849878645605366</c:v>
                </c:pt>
                <c:pt idx="85">
                  <c:v>0.84218623589172259</c:v>
                </c:pt>
                <c:pt idx="86">
                  <c:v>1</c:v>
                </c:pt>
                <c:pt idx="87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384320"/>
        <c:axId val="121386112"/>
      </c:scatterChart>
      <c:valAx>
        <c:axId val="121384320"/>
        <c:scaling>
          <c:orientation val="minMax"/>
        </c:scaling>
        <c:delete val="0"/>
        <c:axPos val="b"/>
        <c:majorTickMark val="out"/>
        <c:minorTickMark val="none"/>
        <c:tickLblPos val="nextTo"/>
        <c:crossAx val="121386112"/>
        <c:crosses val="autoZero"/>
        <c:crossBetween val="midCat"/>
      </c:valAx>
      <c:valAx>
        <c:axId val="121386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13843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PCA!$V$1</c:f>
              <c:strCache>
                <c:ptCount val="1"/>
                <c:pt idx="0">
                  <c:v>V/(2*sqrt(fc) bd)</c:v>
                </c:pt>
              </c:strCache>
            </c:strRef>
          </c:tx>
          <c:spPr>
            <a:ln w="28575">
              <a:noFill/>
            </a:ln>
          </c:spPr>
          <c:yVal>
            <c:numRef>
              <c:f>PCA!$V$2:$V$89</c:f>
              <c:numCache>
                <c:formatCode>General</c:formatCode>
                <c:ptCount val="88"/>
                <c:pt idx="0">
                  <c:v>0.30493822290577194</c:v>
                </c:pt>
                <c:pt idx="1">
                  <c:v>0.32588817715120666</c:v>
                </c:pt>
                <c:pt idx="2">
                  <c:v>0.37244363102995043</c:v>
                </c:pt>
                <c:pt idx="3">
                  <c:v>0.4189990849086942</c:v>
                </c:pt>
                <c:pt idx="4">
                  <c:v>0.46555453878743802</c:v>
                </c:pt>
                <c:pt idx="5">
                  <c:v>0.51210999266618185</c:v>
                </c:pt>
                <c:pt idx="6">
                  <c:v>0.55866544654492567</c:v>
                </c:pt>
                <c:pt idx="7">
                  <c:v>0.60522090042366949</c:v>
                </c:pt>
                <c:pt idx="8">
                  <c:v>0.65177635430241332</c:v>
                </c:pt>
                <c:pt idx="9">
                  <c:v>1.3975800623048091</c:v>
                </c:pt>
                <c:pt idx="10">
                  <c:v>1.3975800623048091</c:v>
                </c:pt>
                <c:pt idx="11">
                  <c:v>0.207186409840246</c:v>
                </c:pt>
                <c:pt idx="12">
                  <c:v>0.25390491401990933</c:v>
                </c:pt>
                <c:pt idx="13">
                  <c:v>0.30468589682389113</c:v>
                </c:pt>
                <c:pt idx="14">
                  <c:v>0.35546687962787299</c:v>
                </c:pt>
                <c:pt idx="15">
                  <c:v>0.4062478624318549</c:v>
                </c:pt>
                <c:pt idx="16">
                  <c:v>0.45702884523583676</c:v>
                </c:pt>
                <c:pt idx="17">
                  <c:v>0.50780982803981867</c:v>
                </c:pt>
                <c:pt idx="18">
                  <c:v>0.55859081084380047</c:v>
                </c:pt>
                <c:pt idx="19">
                  <c:v>0.62400631310152832</c:v>
                </c:pt>
                <c:pt idx="20">
                  <c:v>0.62400631310152832</c:v>
                </c:pt>
                <c:pt idx="21">
                  <c:v>0.2239151739043822</c:v>
                </c:pt>
                <c:pt idx="22">
                  <c:v>0.23990911489755234</c:v>
                </c:pt>
                <c:pt idx="23">
                  <c:v>0.27989396738047773</c:v>
                </c:pt>
                <c:pt idx="24">
                  <c:v>0.31987881986340316</c:v>
                </c:pt>
                <c:pt idx="25">
                  <c:v>0.35986367234632854</c:v>
                </c:pt>
                <c:pt idx="26">
                  <c:v>0.39984852482925398</c:v>
                </c:pt>
                <c:pt idx="27">
                  <c:v>0.43983337731217936</c:v>
                </c:pt>
                <c:pt idx="28">
                  <c:v>0.47981822979510469</c:v>
                </c:pt>
                <c:pt idx="29">
                  <c:v>0.5281463782685617</c:v>
                </c:pt>
                <c:pt idx="30">
                  <c:v>0.5281463782685617</c:v>
                </c:pt>
                <c:pt idx="31">
                  <c:v>0.15512636684825601</c:v>
                </c:pt>
                <c:pt idx="32">
                  <c:v>0.18467424624792381</c:v>
                </c:pt>
                <c:pt idx="33">
                  <c:v>0.21545328728924446</c:v>
                </c:pt>
                <c:pt idx="34">
                  <c:v>0.2462323283305651</c:v>
                </c:pt>
                <c:pt idx="35">
                  <c:v>0.27701136937188575</c:v>
                </c:pt>
                <c:pt idx="36">
                  <c:v>0.30779041041320643</c:v>
                </c:pt>
                <c:pt idx="37">
                  <c:v>0.33856945145452705</c:v>
                </c:pt>
                <c:pt idx="38">
                  <c:v>0.36934849249584761</c:v>
                </c:pt>
                <c:pt idx="39">
                  <c:v>0.44496314450287161</c:v>
                </c:pt>
                <c:pt idx="40">
                  <c:v>0.44496314450287161</c:v>
                </c:pt>
                <c:pt idx="41">
                  <c:v>0.30765049344442885</c:v>
                </c:pt>
                <c:pt idx="42">
                  <c:v>0.34183388160492095</c:v>
                </c:pt>
                <c:pt idx="43">
                  <c:v>0.41020065792590521</c:v>
                </c:pt>
                <c:pt idx="44">
                  <c:v>0.47856743424688936</c:v>
                </c:pt>
                <c:pt idx="45">
                  <c:v>0.5469342105678735</c:v>
                </c:pt>
                <c:pt idx="46">
                  <c:v>0.6153009868888577</c:v>
                </c:pt>
                <c:pt idx="47">
                  <c:v>0.68366776320984191</c:v>
                </c:pt>
                <c:pt idx="48">
                  <c:v>0.75203453953082611</c:v>
                </c:pt>
                <c:pt idx="49">
                  <c:v>0.82040131585181042</c:v>
                </c:pt>
                <c:pt idx="50">
                  <c:v>0.90155321766589192</c:v>
                </c:pt>
                <c:pt idx="51">
                  <c:v>0.90155321766589192</c:v>
                </c:pt>
                <c:pt idx="52">
                  <c:v>0.19269293598712878</c:v>
                </c:pt>
                <c:pt idx="53">
                  <c:v>0.23123152318455448</c:v>
                </c:pt>
                <c:pt idx="54">
                  <c:v>0.26977011038198023</c:v>
                </c:pt>
                <c:pt idx="55">
                  <c:v>0.30830869757940599</c:v>
                </c:pt>
                <c:pt idx="56">
                  <c:v>0.34684728477683174</c:v>
                </c:pt>
                <c:pt idx="57">
                  <c:v>0.38538587197425755</c:v>
                </c:pt>
                <c:pt idx="58">
                  <c:v>0.42392445917168325</c:v>
                </c:pt>
                <c:pt idx="59">
                  <c:v>0.46246304636910895</c:v>
                </c:pt>
                <c:pt idx="60">
                  <c:v>0.53237871952097438</c:v>
                </c:pt>
                <c:pt idx="61">
                  <c:v>0.53237871952097438</c:v>
                </c:pt>
                <c:pt idx="62">
                  <c:v>0.21856549783661133</c:v>
                </c:pt>
                <c:pt idx="63">
                  <c:v>0.2335101472613369</c:v>
                </c:pt>
                <c:pt idx="64">
                  <c:v>0.25686116198747055</c:v>
                </c:pt>
                <c:pt idx="65">
                  <c:v>0.28021217671360427</c:v>
                </c:pt>
                <c:pt idx="66">
                  <c:v>0.30356319143973792</c:v>
                </c:pt>
                <c:pt idx="67">
                  <c:v>0.32691420616587163</c:v>
                </c:pt>
                <c:pt idx="68">
                  <c:v>0.35026522089200535</c:v>
                </c:pt>
                <c:pt idx="69">
                  <c:v>0.373616235618139</c:v>
                </c:pt>
                <c:pt idx="70">
                  <c:v>0.39696725034427277</c:v>
                </c:pt>
                <c:pt idx="71">
                  <c:v>0.42031826507040643</c:v>
                </c:pt>
                <c:pt idx="72">
                  <c:v>0.44366927979654008</c:v>
                </c:pt>
                <c:pt idx="73">
                  <c:v>0.4670202945226738</c:v>
                </c:pt>
                <c:pt idx="74">
                  <c:v>0.49504151219403425</c:v>
                </c:pt>
                <c:pt idx="75">
                  <c:v>0.49504151219403425</c:v>
                </c:pt>
                <c:pt idx="76">
                  <c:v>0.24590092273718059</c:v>
                </c:pt>
                <c:pt idx="77">
                  <c:v>0.26457694218557404</c:v>
                </c:pt>
                <c:pt idx="78">
                  <c:v>0.28014029172590194</c:v>
                </c:pt>
                <c:pt idx="79">
                  <c:v>0.29570364126622978</c:v>
                </c:pt>
                <c:pt idx="80">
                  <c:v>0.31126699080655773</c:v>
                </c:pt>
                <c:pt idx="81">
                  <c:v>0.32683034034688552</c:v>
                </c:pt>
                <c:pt idx="82">
                  <c:v>0.34239368988721341</c:v>
                </c:pt>
                <c:pt idx="83">
                  <c:v>0.35795703942754131</c:v>
                </c:pt>
                <c:pt idx="84">
                  <c:v>0.37352038896786915</c:v>
                </c:pt>
                <c:pt idx="85">
                  <c:v>0.38908373850819705</c:v>
                </c:pt>
                <c:pt idx="86">
                  <c:v>0.46199251653196149</c:v>
                </c:pt>
                <c:pt idx="87">
                  <c:v>0.46199251653196149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15168"/>
        <c:axId val="121416704"/>
      </c:scatterChart>
      <c:valAx>
        <c:axId val="121415168"/>
        <c:scaling>
          <c:orientation val="minMax"/>
        </c:scaling>
        <c:delete val="0"/>
        <c:axPos val="b"/>
        <c:majorTickMark val="out"/>
        <c:minorTickMark val="none"/>
        <c:tickLblPos val="nextTo"/>
        <c:crossAx val="121416704"/>
        <c:crosses val="autoZero"/>
        <c:crossBetween val="midCat"/>
      </c:valAx>
      <c:valAx>
        <c:axId val="121416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14151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PCA!$D$1</c:f>
              <c:strCache>
                <c:ptCount val="1"/>
                <c:pt idx="0">
                  <c:v>d/a</c:v>
                </c:pt>
              </c:strCache>
            </c:strRef>
          </c:tx>
          <c:spPr>
            <a:ln w="28575">
              <a:noFill/>
            </a:ln>
          </c:spPr>
          <c:yVal>
            <c:numRef>
              <c:f>PCA!$D$2:$D$89</c:f>
              <c:numCache>
                <c:formatCode>General</c:formatCode>
                <c:ptCount val="88"/>
                <c:pt idx="0">
                  <c:v>3.01</c:v>
                </c:pt>
                <c:pt idx="1">
                  <c:v>3.01</c:v>
                </c:pt>
                <c:pt idx="2">
                  <c:v>3.01</c:v>
                </c:pt>
                <c:pt idx="3">
                  <c:v>3.01</c:v>
                </c:pt>
                <c:pt idx="4">
                  <c:v>3.01</c:v>
                </c:pt>
                <c:pt idx="5">
                  <c:v>3.01</c:v>
                </c:pt>
                <c:pt idx="6">
                  <c:v>3.01</c:v>
                </c:pt>
                <c:pt idx="7">
                  <c:v>3.01</c:v>
                </c:pt>
                <c:pt idx="8">
                  <c:v>3.01</c:v>
                </c:pt>
                <c:pt idx="9">
                  <c:v>3.01</c:v>
                </c:pt>
                <c:pt idx="10">
                  <c:v>3.01</c:v>
                </c:pt>
                <c:pt idx="11">
                  <c:v>2.98</c:v>
                </c:pt>
                <c:pt idx="12">
                  <c:v>2.98</c:v>
                </c:pt>
                <c:pt idx="13">
                  <c:v>2.98</c:v>
                </c:pt>
                <c:pt idx="14">
                  <c:v>2.98</c:v>
                </c:pt>
                <c:pt idx="15">
                  <c:v>2.98</c:v>
                </c:pt>
                <c:pt idx="16">
                  <c:v>2.98</c:v>
                </c:pt>
                <c:pt idx="17">
                  <c:v>2.98</c:v>
                </c:pt>
                <c:pt idx="18">
                  <c:v>2.98</c:v>
                </c:pt>
                <c:pt idx="19">
                  <c:v>2.98</c:v>
                </c:pt>
                <c:pt idx="20">
                  <c:v>2.98</c:v>
                </c:pt>
                <c:pt idx="21">
                  <c:v>2.98</c:v>
                </c:pt>
                <c:pt idx="22">
                  <c:v>2.98</c:v>
                </c:pt>
                <c:pt idx="23">
                  <c:v>2.98</c:v>
                </c:pt>
                <c:pt idx="24">
                  <c:v>2.98</c:v>
                </c:pt>
                <c:pt idx="25">
                  <c:v>2.98</c:v>
                </c:pt>
                <c:pt idx="26">
                  <c:v>2.98</c:v>
                </c:pt>
                <c:pt idx="27">
                  <c:v>2.98</c:v>
                </c:pt>
                <c:pt idx="28">
                  <c:v>2.98</c:v>
                </c:pt>
                <c:pt idx="29">
                  <c:v>2.98</c:v>
                </c:pt>
                <c:pt idx="30">
                  <c:v>2.98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2.99</c:v>
                </c:pt>
                <c:pt idx="42">
                  <c:v>2.99</c:v>
                </c:pt>
                <c:pt idx="43">
                  <c:v>2.99</c:v>
                </c:pt>
                <c:pt idx="44">
                  <c:v>2.99</c:v>
                </c:pt>
                <c:pt idx="45">
                  <c:v>2.99</c:v>
                </c:pt>
                <c:pt idx="46">
                  <c:v>2.99</c:v>
                </c:pt>
                <c:pt idx="47">
                  <c:v>2.99</c:v>
                </c:pt>
                <c:pt idx="48">
                  <c:v>2.99</c:v>
                </c:pt>
                <c:pt idx="49">
                  <c:v>2.99</c:v>
                </c:pt>
                <c:pt idx="50">
                  <c:v>2.99</c:v>
                </c:pt>
                <c:pt idx="51">
                  <c:v>2.99</c:v>
                </c:pt>
                <c:pt idx="52">
                  <c:v>2.99</c:v>
                </c:pt>
                <c:pt idx="53">
                  <c:v>2.99</c:v>
                </c:pt>
                <c:pt idx="54">
                  <c:v>2.99</c:v>
                </c:pt>
                <c:pt idx="55">
                  <c:v>2.99</c:v>
                </c:pt>
                <c:pt idx="56">
                  <c:v>2.99</c:v>
                </c:pt>
                <c:pt idx="57">
                  <c:v>2.99</c:v>
                </c:pt>
                <c:pt idx="58">
                  <c:v>2.99</c:v>
                </c:pt>
                <c:pt idx="59">
                  <c:v>2.99</c:v>
                </c:pt>
                <c:pt idx="60">
                  <c:v>2.99</c:v>
                </c:pt>
                <c:pt idx="61">
                  <c:v>2.99</c:v>
                </c:pt>
                <c:pt idx="62">
                  <c:v>2.97</c:v>
                </c:pt>
                <c:pt idx="63">
                  <c:v>2.97</c:v>
                </c:pt>
                <c:pt idx="64">
                  <c:v>2.97</c:v>
                </c:pt>
                <c:pt idx="65">
                  <c:v>2.97</c:v>
                </c:pt>
                <c:pt idx="66">
                  <c:v>2.97</c:v>
                </c:pt>
                <c:pt idx="67">
                  <c:v>2.97</c:v>
                </c:pt>
                <c:pt idx="68">
                  <c:v>2.97</c:v>
                </c:pt>
                <c:pt idx="69">
                  <c:v>2.97</c:v>
                </c:pt>
                <c:pt idx="70">
                  <c:v>2.97</c:v>
                </c:pt>
                <c:pt idx="71">
                  <c:v>2.97</c:v>
                </c:pt>
                <c:pt idx="72">
                  <c:v>2.97</c:v>
                </c:pt>
                <c:pt idx="73">
                  <c:v>2.97</c:v>
                </c:pt>
                <c:pt idx="74">
                  <c:v>2.97</c:v>
                </c:pt>
                <c:pt idx="75">
                  <c:v>2.97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834496"/>
        <c:axId val="121844480"/>
      </c:scatterChart>
      <c:valAx>
        <c:axId val="121834496"/>
        <c:scaling>
          <c:orientation val="minMax"/>
        </c:scaling>
        <c:delete val="0"/>
        <c:axPos val="b"/>
        <c:majorTickMark val="out"/>
        <c:minorTickMark val="none"/>
        <c:tickLblPos val="nextTo"/>
        <c:crossAx val="121844480"/>
        <c:crosses val="autoZero"/>
        <c:crossBetween val="midCat"/>
      </c:valAx>
      <c:valAx>
        <c:axId val="121844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18344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Toronto!$V$1</c:f>
              <c:strCache>
                <c:ptCount val="1"/>
                <c:pt idx="0">
                  <c:v>V/(2*sqrt(fc) bd)</c:v>
                </c:pt>
              </c:strCache>
            </c:strRef>
          </c:tx>
          <c:spPr>
            <a:ln w="28575">
              <a:noFill/>
            </a:ln>
          </c:spPr>
          <c:yVal>
            <c:numRef>
              <c:f>Toronto!$V$2:$V$327</c:f>
              <c:numCache>
                <c:formatCode>General</c:formatCode>
                <c:ptCount val="326"/>
                <c:pt idx="0">
                  <c:v>0.207868426266826</c:v>
                </c:pt>
                <c:pt idx="1">
                  <c:v>0.28449443438087163</c:v>
                </c:pt>
                <c:pt idx="2">
                  <c:v>0.34502082908797693</c:v>
                </c:pt>
                <c:pt idx="3">
                  <c:v>0.40656618666893907</c:v>
                </c:pt>
                <c:pt idx="4">
                  <c:v>0.44752849419799012</c:v>
                </c:pt>
                <c:pt idx="5">
                  <c:v>0.4653617890398179</c:v>
                </c:pt>
                <c:pt idx="6">
                  <c:v>0.49637388923263198</c:v>
                </c:pt>
                <c:pt idx="7">
                  <c:v>0.2540321332342847</c:v>
                </c:pt>
                <c:pt idx="8">
                  <c:v>0.45779642384977104</c:v>
                </c:pt>
                <c:pt idx="9">
                  <c:v>0.68220643554083515</c:v>
                </c:pt>
                <c:pt idx="10">
                  <c:v>0.80338784185401002</c:v>
                </c:pt>
                <c:pt idx="11">
                  <c:v>0.89315184653043567</c:v>
                </c:pt>
                <c:pt idx="12">
                  <c:v>0.98291585120686131</c:v>
                </c:pt>
                <c:pt idx="13">
                  <c:v>1.0277978535450742</c:v>
                </c:pt>
                <c:pt idx="14">
                  <c:v>0.4421090969026375</c:v>
                </c:pt>
                <c:pt idx="15">
                  <c:v>0.66316364535395633</c:v>
                </c:pt>
                <c:pt idx="16">
                  <c:v>0.80021746539377403</c:v>
                </c:pt>
                <c:pt idx="17">
                  <c:v>0.884218193805275</c:v>
                </c:pt>
                <c:pt idx="18">
                  <c:v>0.97264001318580251</c:v>
                </c:pt>
                <c:pt idx="19">
                  <c:v>0.99032437706190812</c:v>
                </c:pt>
                <c:pt idx="20">
                  <c:v>0.27728113345764938</c:v>
                </c:pt>
                <c:pt idx="21">
                  <c:v>0.4394851166660767</c:v>
                </c:pt>
                <c:pt idx="22">
                  <c:v>0.65758371570984042</c:v>
                </c:pt>
                <c:pt idx="23">
                  <c:v>0.79129240457084127</c:v>
                </c:pt>
                <c:pt idx="24">
                  <c:v>0.87787426047263706</c:v>
                </c:pt>
                <c:pt idx="25">
                  <c:v>0.96664806209346543</c:v>
                </c:pt>
                <c:pt idx="26">
                  <c:v>1.0324064336644494</c:v>
                </c:pt>
                <c:pt idx="27">
                  <c:v>0.28191840453559208</c:v>
                </c:pt>
                <c:pt idx="28">
                  <c:v>0.4501780056615779</c:v>
                </c:pt>
                <c:pt idx="29">
                  <c:v>0.6685811965270958</c:v>
                </c:pt>
                <c:pt idx="30">
                  <c:v>0.80452603982093862</c:v>
                </c:pt>
                <c:pt idx="31">
                  <c:v>0.89367019935788472</c:v>
                </c:pt>
                <c:pt idx="32">
                  <c:v>0.9805857549064072</c:v>
                </c:pt>
                <c:pt idx="33">
                  <c:v>0.26944834537515466</c:v>
                </c:pt>
                <c:pt idx="34">
                  <c:v>0.42632874805379245</c:v>
                </c:pt>
                <c:pt idx="35">
                  <c:v>0.64074387699953883</c:v>
                </c:pt>
                <c:pt idx="36">
                  <c:v>0.64145859409602457</c:v>
                </c:pt>
                <c:pt idx="37">
                  <c:v>0.7690355958187437</c:v>
                </c:pt>
                <c:pt idx="38">
                  <c:v>0.85551636449352819</c:v>
                </c:pt>
                <c:pt idx="39">
                  <c:v>0.91626731769482295</c:v>
                </c:pt>
                <c:pt idx="40">
                  <c:v>0.22470690194685131</c:v>
                </c:pt>
                <c:pt idx="41">
                  <c:v>0.45952331686472664</c:v>
                </c:pt>
                <c:pt idx="42">
                  <c:v>0.63184456068899919</c:v>
                </c:pt>
                <c:pt idx="43">
                  <c:v>0.80186818792894798</c:v>
                </c:pt>
                <c:pt idx="44">
                  <c:v>0.9167490171451298</c:v>
                </c:pt>
                <c:pt idx="45">
                  <c:v>1.0316298463613114</c:v>
                </c:pt>
                <c:pt idx="46">
                  <c:v>1.0913678775537259</c:v>
                </c:pt>
                <c:pt idx="47">
                  <c:v>0.45722395292755197</c:v>
                </c:pt>
                <c:pt idx="48">
                  <c:v>0.80242803738785373</c:v>
                </c:pt>
                <c:pt idx="49">
                  <c:v>0.91216178609046628</c:v>
                </c:pt>
                <c:pt idx="50">
                  <c:v>1.028753894086992</c:v>
                </c:pt>
                <c:pt idx="51">
                  <c:v>1.14305988231888</c:v>
                </c:pt>
                <c:pt idx="52">
                  <c:v>1.1567766009067064</c:v>
                </c:pt>
                <c:pt idx="53">
                  <c:v>0.4575949870282367</c:v>
                </c:pt>
                <c:pt idx="54">
                  <c:v>0.80536717716969664</c:v>
                </c:pt>
                <c:pt idx="55">
                  <c:v>0.9151899740564734</c:v>
                </c:pt>
                <c:pt idx="56">
                  <c:v>1.0295887208135326</c:v>
                </c:pt>
                <c:pt idx="57">
                  <c:v>1.1439874675705917</c:v>
                </c:pt>
                <c:pt idx="58">
                  <c:v>1.1828830414679918</c:v>
                </c:pt>
                <c:pt idx="59">
                  <c:v>0.45382392736315053</c:v>
                </c:pt>
                <c:pt idx="60">
                  <c:v>0.79590226457155533</c:v>
                </c:pt>
                <c:pt idx="61">
                  <c:v>0.91220889922241311</c:v>
                </c:pt>
                <c:pt idx="62">
                  <c:v>1.0353571006174389</c:v>
                </c:pt>
                <c:pt idx="63">
                  <c:v>1.1334195572838484</c:v>
                </c:pt>
                <c:pt idx="64">
                  <c:v>0.26027470343665604</c:v>
                </c:pt>
                <c:pt idx="65">
                  <c:v>0.40487176090146498</c:v>
                </c:pt>
                <c:pt idx="66">
                  <c:v>0.44882926637076692</c:v>
                </c:pt>
                <c:pt idx="67">
                  <c:v>0.49741387767894268</c:v>
                </c:pt>
                <c:pt idx="68">
                  <c:v>0.54946881836627393</c:v>
                </c:pt>
                <c:pt idx="69">
                  <c:v>0.57723145339951731</c:v>
                </c:pt>
                <c:pt idx="70">
                  <c:v>0.18066853124941709</c:v>
                </c:pt>
                <c:pt idx="71">
                  <c:v>0.25406512206949278</c:v>
                </c:pt>
                <c:pt idx="72">
                  <c:v>0.39521241210809988</c:v>
                </c:pt>
                <c:pt idx="73">
                  <c:v>0.47425489452971986</c:v>
                </c:pt>
                <c:pt idx="74">
                  <c:v>0.50813024413898555</c:v>
                </c:pt>
                <c:pt idx="75">
                  <c:v>0.51264695742022104</c:v>
                </c:pt>
                <c:pt idx="76">
                  <c:v>0.15624918248653885</c:v>
                </c:pt>
                <c:pt idx="77">
                  <c:v>0.18800035325920453</c:v>
                </c:pt>
                <c:pt idx="78">
                  <c:v>0.29244499395876256</c:v>
                </c:pt>
                <c:pt idx="79">
                  <c:v>0.35093399275051507</c:v>
                </c:pt>
                <c:pt idx="80">
                  <c:v>0.37516514939281259</c:v>
                </c:pt>
                <c:pt idx="81">
                  <c:v>0.43448970531016157</c:v>
                </c:pt>
                <c:pt idx="82">
                  <c:v>8.4952283587841432E-2</c:v>
                </c:pt>
                <c:pt idx="83">
                  <c:v>0.38228527614528646</c:v>
                </c:pt>
                <c:pt idx="84">
                  <c:v>0.59466598511488999</c:v>
                </c:pt>
                <c:pt idx="85">
                  <c:v>0.80025051139746628</c:v>
                </c:pt>
                <c:pt idx="86">
                  <c:v>1.0194274030540971</c:v>
                </c:pt>
                <c:pt idx="87">
                  <c:v>1.1791376961992392</c:v>
                </c:pt>
                <c:pt idx="88">
                  <c:v>0.1279234696896252</c:v>
                </c:pt>
                <c:pt idx="89">
                  <c:v>0.2852693374078642</c:v>
                </c:pt>
                <c:pt idx="90">
                  <c:v>0.44901137861058449</c:v>
                </c:pt>
                <c:pt idx="91">
                  <c:v>0.53727857269642587</c:v>
                </c:pt>
                <c:pt idx="92">
                  <c:v>0.63833811375122984</c:v>
                </c:pt>
                <c:pt idx="93">
                  <c:v>0.63833811375122984</c:v>
                </c:pt>
                <c:pt idx="94">
                  <c:v>0.27991652025584657</c:v>
                </c:pt>
                <c:pt idx="95">
                  <c:v>0.43542569817576132</c:v>
                </c:pt>
                <c:pt idx="96">
                  <c:v>0.55983304051169314</c:v>
                </c:pt>
                <c:pt idx="97">
                  <c:v>0.55983304051169314</c:v>
                </c:pt>
                <c:pt idx="98">
                  <c:v>0.62203671167965902</c:v>
                </c:pt>
                <c:pt idx="99">
                  <c:v>0.62203671167965902</c:v>
                </c:pt>
                <c:pt idx="100">
                  <c:v>0.30425968586056257</c:v>
                </c:pt>
                <c:pt idx="101">
                  <c:v>0.47329284467198623</c:v>
                </c:pt>
                <c:pt idx="102">
                  <c:v>0.56795141360638346</c:v>
                </c:pt>
                <c:pt idx="103">
                  <c:v>0.61257616753259936</c:v>
                </c:pt>
                <c:pt idx="104">
                  <c:v>0.16784276964241829</c:v>
                </c:pt>
                <c:pt idx="105">
                  <c:v>0.30211698535635295</c:v>
                </c:pt>
                <c:pt idx="106">
                  <c:v>0.46995975499877124</c:v>
                </c:pt>
                <c:pt idx="107">
                  <c:v>0.56395170599852551</c:v>
                </c:pt>
                <c:pt idx="108">
                  <c:v>0.6042339707127059</c:v>
                </c:pt>
                <c:pt idx="109">
                  <c:v>0.67137107856967315</c:v>
                </c:pt>
                <c:pt idx="110">
                  <c:v>0.7317944756409438</c:v>
                </c:pt>
                <c:pt idx="111">
                  <c:v>0.41255523256468446</c:v>
                </c:pt>
                <c:pt idx="112">
                  <c:v>0.55007364341957932</c:v>
                </c:pt>
                <c:pt idx="113">
                  <c:v>0.82102575985645121</c:v>
                </c:pt>
                <c:pt idx="114">
                  <c:v>0.98986024447038157</c:v>
                </c:pt>
                <c:pt idx="115">
                  <c:v>0.27912152698270731</c:v>
                </c:pt>
                <c:pt idx="116">
                  <c:v>0.40983209571607271</c:v>
                </c:pt>
                <c:pt idx="117">
                  <c:v>0.49697247487164964</c:v>
                </c:pt>
                <c:pt idx="118">
                  <c:v>0.58683599087583838</c:v>
                </c:pt>
                <c:pt idx="119">
                  <c:v>0.71754655960920366</c:v>
                </c:pt>
                <c:pt idx="120">
                  <c:v>0.85642653888840437</c:v>
                </c:pt>
                <c:pt idx="121">
                  <c:v>0.93948221277106359</c:v>
                </c:pt>
                <c:pt idx="122">
                  <c:v>1.0361535708967817</c:v>
                </c:pt>
                <c:pt idx="123">
                  <c:v>0.35051192368157791</c:v>
                </c:pt>
                <c:pt idx="124">
                  <c:v>0.33361978278126092</c:v>
                </c:pt>
                <c:pt idx="125">
                  <c:v>0.7812615166396617</c:v>
                </c:pt>
                <c:pt idx="126">
                  <c:v>0.91499096543383795</c:v>
                </c:pt>
                <c:pt idx="127">
                  <c:v>1.0557588062698131</c:v>
                </c:pt>
                <c:pt idx="128">
                  <c:v>1.0937661232955265</c:v>
                </c:pt>
                <c:pt idx="129">
                  <c:v>0.34268511182046946</c:v>
                </c:pt>
                <c:pt idx="130">
                  <c:v>0.48547057507899843</c:v>
                </c:pt>
                <c:pt idx="131">
                  <c:v>0.6496738578263066</c:v>
                </c:pt>
                <c:pt idx="132">
                  <c:v>0.78532004792190913</c:v>
                </c:pt>
                <c:pt idx="133">
                  <c:v>0.92953336581302337</c:v>
                </c:pt>
                <c:pt idx="134">
                  <c:v>0.92810551118043805</c:v>
                </c:pt>
                <c:pt idx="135">
                  <c:v>1.0666074105412111</c:v>
                </c:pt>
                <c:pt idx="136">
                  <c:v>1.0694631198063818</c:v>
                </c:pt>
                <c:pt idx="137">
                  <c:v>1.070890974438967</c:v>
                </c:pt>
                <c:pt idx="138">
                  <c:v>1.0837416661322348</c:v>
                </c:pt>
                <c:pt idx="139">
                  <c:v>0.31532419615416635</c:v>
                </c:pt>
                <c:pt idx="140">
                  <c:v>0.45419754679201163</c:v>
                </c:pt>
                <c:pt idx="141">
                  <c:v>0.59960611393046148</c:v>
                </c:pt>
                <c:pt idx="142">
                  <c:v>0.702535773814982</c:v>
                </c:pt>
                <c:pt idx="143">
                  <c:v>0.86428238220494291</c:v>
                </c:pt>
                <c:pt idx="144">
                  <c:v>1.026028990594904</c:v>
                </c:pt>
                <c:pt idx="145">
                  <c:v>1.1616347329824468</c:v>
                </c:pt>
                <c:pt idx="146">
                  <c:v>1.1943108154854694</c:v>
                </c:pt>
                <c:pt idx="147">
                  <c:v>1.2498601557406075</c:v>
                </c:pt>
                <c:pt idx="148">
                  <c:v>1.3560574238754304</c:v>
                </c:pt>
                <c:pt idx="149">
                  <c:v>0.32676082503022419</c:v>
                </c:pt>
                <c:pt idx="150">
                  <c:v>0.49014123754533628</c:v>
                </c:pt>
                <c:pt idx="151">
                  <c:v>0.60940893868136803</c:v>
                </c:pt>
                <c:pt idx="152">
                  <c:v>0.70090196968983087</c:v>
                </c:pt>
                <c:pt idx="153">
                  <c:v>0.86591618633009415</c:v>
                </c:pt>
                <c:pt idx="154">
                  <c:v>1.0292965988452063</c:v>
                </c:pt>
                <c:pt idx="155">
                  <c:v>1.1273248463542735</c:v>
                </c:pt>
                <c:pt idx="156">
                  <c:v>0.24855059006279989</c:v>
                </c:pt>
                <c:pt idx="157">
                  <c:v>0.41291468994303843</c:v>
                </c:pt>
                <c:pt idx="158">
                  <c:v>0.70422667184459964</c:v>
                </c:pt>
                <c:pt idx="159">
                  <c:v>0.73629771572367064</c:v>
                </c:pt>
                <c:pt idx="160">
                  <c:v>0.88863517414925752</c:v>
                </c:pt>
                <c:pt idx="161">
                  <c:v>0.97014907734189615</c:v>
                </c:pt>
                <c:pt idx="162">
                  <c:v>1.0222645236453864</c:v>
                </c:pt>
                <c:pt idx="163">
                  <c:v>0.33674596073024499</c:v>
                </c:pt>
                <c:pt idx="164">
                  <c:v>0.47037531022637397</c:v>
                </c:pt>
                <c:pt idx="165">
                  <c:v>0.60534095321746417</c:v>
                </c:pt>
                <c:pt idx="166">
                  <c:v>0.7389703027135931</c:v>
                </c:pt>
                <c:pt idx="167">
                  <c:v>0.87393594570468347</c:v>
                </c:pt>
                <c:pt idx="168">
                  <c:v>1.0022201212209672</c:v>
                </c:pt>
                <c:pt idx="169">
                  <c:v>1.0770525569387994</c:v>
                </c:pt>
                <c:pt idx="170">
                  <c:v>0.59592790611597513</c:v>
                </c:pt>
                <c:pt idx="171">
                  <c:v>0.71549920119426147</c:v>
                </c:pt>
                <c:pt idx="172">
                  <c:v>0.82735621917072277</c:v>
                </c:pt>
                <c:pt idx="173">
                  <c:v>0.91799897511716577</c:v>
                </c:pt>
                <c:pt idx="174">
                  <c:v>0.95464179135083405</c:v>
                </c:pt>
                <c:pt idx="175">
                  <c:v>0.20148967354439598</c:v>
                </c:pt>
                <c:pt idx="176">
                  <c:v>0.30273572840998797</c:v>
                </c:pt>
                <c:pt idx="177">
                  <c:v>0.34684292062866173</c:v>
                </c:pt>
                <c:pt idx="178">
                  <c:v>0.37290626148515083</c:v>
                </c:pt>
                <c:pt idx="179">
                  <c:v>0.43104756031885705</c:v>
                </c:pt>
                <c:pt idx="180">
                  <c:v>0.5312911789976611</c:v>
                </c:pt>
                <c:pt idx="181">
                  <c:v>0.63153479767646503</c:v>
                </c:pt>
                <c:pt idx="182">
                  <c:v>0.74280521440993741</c:v>
                </c:pt>
                <c:pt idx="183">
                  <c:v>0.75082470390424172</c:v>
                </c:pt>
                <c:pt idx="184">
                  <c:v>0.22655057821409699</c:v>
                </c:pt>
                <c:pt idx="185">
                  <c:v>0.34483804825508563</c:v>
                </c:pt>
                <c:pt idx="186">
                  <c:v>0.54532528561269356</c:v>
                </c:pt>
                <c:pt idx="187">
                  <c:v>0.74581252297030165</c:v>
                </c:pt>
                <c:pt idx="188">
                  <c:v>0.95632412219578988</c:v>
                </c:pt>
                <c:pt idx="189">
                  <c:v>0.98840208017300701</c:v>
                </c:pt>
                <c:pt idx="190">
                  <c:v>1.0625823579953222</c:v>
                </c:pt>
                <c:pt idx="191">
                  <c:v>1.2029234241456475</c:v>
                </c:pt>
                <c:pt idx="192">
                  <c:v>1.3232157665602124</c:v>
                </c:pt>
                <c:pt idx="193">
                  <c:v>0.22226631138939956</c:v>
                </c:pt>
                <c:pt idx="194">
                  <c:v>0.26321010559271002</c:v>
                </c:pt>
                <c:pt idx="195">
                  <c:v>0.35094680745694667</c:v>
                </c:pt>
                <c:pt idx="196">
                  <c:v>0.40124918319244246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46560"/>
        <c:axId val="120148352"/>
      </c:scatterChart>
      <c:valAx>
        <c:axId val="120146560"/>
        <c:scaling>
          <c:orientation val="minMax"/>
          <c:max val="210"/>
          <c:min val="0"/>
        </c:scaling>
        <c:delete val="0"/>
        <c:axPos val="b"/>
        <c:majorTickMark val="out"/>
        <c:minorTickMark val="none"/>
        <c:tickLblPos val="nextTo"/>
        <c:crossAx val="120148352"/>
        <c:crosses val="autoZero"/>
        <c:crossBetween val="midCat"/>
      </c:valAx>
      <c:valAx>
        <c:axId val="120148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1465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Toronto!$W$1</c:f>
              <c:strCache>
                <c:ptCount val="1"/>
                <c:pt idx="0">
                  <c:v>M/M_fracture</c:v>
                </c:pt>
              </c:strCache>
            </c:strRef>
          </c:tx>
          <c:spPr>
            <a:ln w="28575">
              <a:noFill/>
            </a:ln>
          </c:spPr>
          <c:yVal>
            <c:numRef>
              <c:f>Toronto!$W$2:$W$327</c:f>
              <c:numCache>
                <c:formatCode>General</c:formatCode>
                <c:ptCount val="326"/>
                <c:pt idx="0">
                  <c:v>0.41695115845054398</c:v>
                </c:pt>
                <c:pt idx="1">
                  <c:v>0.57065080117348954</c:v>
                </c:pt>
                <c:pt idx="2">
                  <c:v>0.69205716789879501</c:v>
                </c:pt>
                <c:pt idx="3">
                  <c:v>0.81550741285179928</c:v>
                </c:pt>
                <c:pt idx="4">
                  <c:v>0.89767131760528873</c:v>
                </c:pt>
                <c:pt idx="5">
                  <c:v>0.93548127977122841</c:v>
                </c:pt>
                <c:pt idx="6">
                  <c:v>1</c:v>
                </c:pt>
                <c:pt idx="7">
                  <c:v>0.24716157205240177</c:v>
                </c:pt>
                <c:pt idx="8">
                  <c:v>0.44541484716157204</c:v>
                </c:pt>
                <c:pt idx="9">
                  <c:v>0.66375545851528384</c:v>
                </c:pt>
                <c:pt idx="10">
                  <c:v>0.78165938864628814</c:v>
                </c:pt>
                <c:pt idx="11">
                  <c:v>0.86899563318777284</c:v>
                </c:pt>
                <c:pt idx="12">
                  <c:v>0.95633187772925765</c:v>
                </c:pt>
                <c:pt idx="13">
                  <c:v>1</c:v>
                </c:pt>
                <c:pt idx="14">
                  <c:v>0.4464285714285714</c:v>
                </c:pt>
                <c:pt idx="15">
                  <c:v>0.6696428571428571</c:v>
                </c:pt>
                <c:pt idx="16">
                  <c:v>0.8080357142857143</c:v>
                </c:pt>
                <c:pt idx="17">
                  <c:v>0.89285714285714279</c:v>
                </c:pt>
                <c:pt idx="18">
                  <c:v>0.9821428571428571</c:v>
                </c:pt>
                <c:pt idx="19">
                  <c:v>1</c:v>
                </c:pt>
                <c:pt idx="20">
                  <c:v>0.26857749469214437</c:v>
                </c:pt>
                <c:pt idx="21">
                  <c:v>0.42569002123142252</c:v>
                </c:pt>
                <c:pt idx="22">
                  <c:v>0.63694267515923575</c:v>
                </c:pt>
                <c:pt idx="23">
                  <c:v>0.76645435244161364</c:v>
                </c:pt>
                <c:pt idx="24">
                  <c:v>0.85031847133757965</c:v>
                </c:pt>
                <c:pt idx="25">
                  <c:v>0.93630573248407645</c:v>
                </c:pt>
                <c:pt idx="26">
                  <c:v>1</c:v>
                </c:pt>
                <c:pt idx="27">
                  <c:v>0.28749999999999998</c:v>
                </c:pt>
                <c:pt idx="28">
                  <c:v>0.45909090909090905</c:v>
                </c:pt>
                <c:pt idx="29">
                  <c:v>0.68181818181818177</c:v>
                </c:pt>
                <c:pt idx="30">
                  <c:v>0.82045454545454533</c:v>
                </c:pt>
                <c:pt idx="31">
                  <c:v>0.91136363636363626</c:v>
                </c:pt>
                <c:pt idx="32">
                  <c:v>1</c:v>
                </c:pt>
                <c:pt idx="33">
                  <c:v>0.29407176287051484</c:v>
                </c:pt>
                <c:pt idx="34">
                  <c:v>0.46528861154446177</c:v>
                </c:pt>
                <c:pt idx="35">
                  <c:v>0.69929797191887677</c:v>
                </c:pt>
                <c:pt idx="36">
                  <c:v>0.7000780031201248</c:v>
                </c:pt>
                <c:pt idx="37">
                  <c:v>0.83931357254290173</c:v>
                </c:pt>
                <c:pt idx="38">
                  <c:v>0.93369734789391579</c:v>
                </c:pt>
                <c:pt idx="39">
                  <c:v>1</c:v>
                </c:pt>
                <c:pt idx="40">
                  <c:v>0.20589473684210527</c:v>
                </c:pt>
                <c:pt idx="41">
                  <c:v>0.42105263157894735</c:v>
                </c:pt>
                <c:pt idx="42">
                  <c:v>0.57894736842105265</c:v>
                </c:pt>
                <c:pt idx="43">
                  <c:v>0.73473684210526313</c:v>
                </c:pt>
                <c:pt idx="44">
                  <c:v>0.84</c:v>
                </c:pt>
                <c:pt idx="45">
                  <c:v>0.94526315789473681</c:v>
                </c:pt>
                <c:pt idx="46">
                  <c:v>1</c:v>
                </c:pt>
                <c:pt idx="47">
                  <c:v>0.39525691699604742</c:v>
                </c:pt>
                <c:pt idx="48">
                  <c:v>0.69367588932806323</c:v>
                </c:pt>
                <c:pt idx="49">
                  <c:v>0.78853754940711462</c:v>
                </c:pt>
                <c:pt idx="50">
                  <c:v>0.88932806324110669</c:v>
                </c:pt>
                <c:pt idx="51">
                  <c:v>0.98814229249011853</c:v>
                </c:pt>
                <c:pt idx="52">
                  <c:v>1</c:v>
                </c:pt>
                <c:pt idx="53">
                  <c:v>0.38684719535783363</c:v>
                </c:pt>
                <c:pt idx="54">
                  <c:v>0.68085106382978722</c:v>
                </c:pt>
                <c:pt idx="55">
                  <c:v>0.77369439071566726</c:v>
                </c:pt>
                <c:pt idx="56">
                  <c:v>0.87040618955512572</c:v>
                </c:pt>
                <c:pt idx="57">
                  <c:v>0.96711798839458418</c:v>
                </c:pt>
                <c:pt idx="58">
                  <c:v>1</c:v>
                </c:pt>
                <c:pt idx="59">
                  <c:v>0.40040241448692154</c:v>
                </c:pt>
                <c:pt idx="60">
                  <c:v>0.70221327967806846</c:v>
                </c:pt>
                <c:pt idx="61">
                  <c:v>0.8048289738430584</c:v>
                </c:pt>
                <c:pt idx="62">
                  <c:v>0.91348088531187122</c:v>
                </c:pt>
                <c:pt idx="63">
                  <c:v>1</c:v>
                </c:pt>
                <c:pt idx="64">
                  <c:v>0.45090180360721444</c:v>
                </c:pt>
                <c:pt idx="65">
                  <c:v>0.70140280561122248</c:v>
                </c:pt>
                <c:pt idx="66">
                  <c:v>0.77755511022044088</c:v>
                </c:pt>
                <c:pt idx="67">
                  <c:v>0.86172344689378755</c:v>
                </c:pt>
                <c:pt idx="68">
                  <c:v>0.95190380761523041</c:v>
                </c:pt>
                <c:pt idx="69">
                  <c:v>1</c:v>
                </c:pt>
                <c:pt idx="70">
                  <c:v>0.3524229074889868</c:v>
                </c:pt>
                <c:pt idx="71">
                  <c:v>0.49559471365638769</c:v>
                </c:pt>
                <c:pt idx="72">
                  <c:v>0.77092511013215859</c:v>
                </c:pt>
                <c:pt idx="73">
                  <c:v>0.92511013215859028</c:v>
                </c:pt>
                <c:pt idx="74">
                  <c:v>0.99118942731277537</c:v>
                </c:pt>
                <c:pt idx="75">
                  <c:v>1</c:v>
                </c:pt>
                <c:pt idx="76">
                  <c:v>0.35961538461538461</c:v>
                </c:pt>
                <c:pt idx="77">
                  <c:v>0.43269230769230771</c:v>
                </c:pt>
                <c:pt idx="78">
                  <c:v>0.67307692307692313</c:v>
                </c:pt>
                <c:pt idx="79">
                  <c:v>0.80769230769230771</c:v>
                </c:pt>
                <c:pt idx="80">
                  <c:v>0.8634615384615385</c:v>
                </c:pt>
                <c:pt idx="81">
                  <c:v>1</c:v>
                </c:pt>
                <c:pt idx="82">
                  <c:v>7.2046109510086456E-2</c:v>
                </c:pt>
                <c:pt idx="83">
                  <c:v>0.32420749279538907</c:v>
                </c:pt>
                <c:pt idx="84">
                  <c:v>0.50432276657060515</c:v>
                </c:pt>
                <c:pt idx="85">
                  <c:v>0.67867435158501443</c:v>
                </c:pt>
                <c:pt idx="86">
                  <c:v>0.86455331412103742</c:v>
                </c:pt>
                <c:pt idx="87">
                  <c:v>1</c:v>
                </c:pt>
                <c:pt idx="88">
                  <c:v>0.20040080160320642</c:v>
                </c:pt>
                <c:pt idx="89">
                  <c:v>0.4468937875751503</c:v>
                </c:pt>
                <c:pt idx="90">
                  <c:v>0.70340681362725455</c:v>
                </c:pt>
                <c:pt idx="91">
                  <c:v>0.84168336673346689</c:v>
                </c:pt>
                <c:pt idx="92">
                  <c:v>1</c:v>
                </c:pt>
                <c:pt idx="93">
                  <c:v>1</c:v>
                </c:pt>
                <c:pt idx="94">
                  <c:v>0.45</c:v>
                </c:pt>
                <c:pt idx="95">
                  <c:v>0.7</c:v>
                </c:pt>
                <c:pt idx="96">
                  <c:v>0.9</c:v>
                </c:pt>
                <c:pt idx="97">
                  <c:v>0.9</c:v>
                </c:pt>
                <c:pt idx="98">
                  <c:v>1</c:v>
                </c:pt>
                <c:pt idx="99">
                  <c:v>1</c:v>
                </c:pt>
                <c:pt idx="100">
                  <c:v>0.49668874172185429</c:v>
                </c:pt>
                <c:pt idx="101">
                  <c:v>0.77262693156732887</c:v>
                </c:pt>
                <c:pt idx="102">
                  <c:v>0.92715231788079466</c:v>
                </c:pt>
                <c:pt idx="103">
                  <c:v>1</c:v>
                </c:pt>
                <c:pt idx="104">
                  <c:v>0.22935779816513763</c:v>
                </c:pt>
                <c:pt idx="105">
                  <c:v>0.41284403669724773</c:v>
                </c:pt>
                <c:pt idx="106">
                  <c:v>0.64220183486238536</c:v>
                </c:pt>
                <c:pt idx="107">
                  <c:v>0.77064220183486243</c:v>
                </c:pt>
                <c:pt idx="108">
                  <c:v>0.82568807339449546</c:v>
                </c:pt>
                <c:pt idx="109">
                  <c:v>0.91743119266055051</c:v>
                </c:pt>
                <c:pt idx="110">
                  <c:v>1</c:v>
                </c:pt>
                <c:pt idx="111">
                  <c:v>0.41678129298486932</c:v>
                </c:pt>
                <c:pt idx="112">
                  <c:v>0.55570839064649247</c:v>
                </c:pt>
                <c:pt idx="113">
                  <c:v>0.82943603851444292</c:v>
                </c:pt>
                <c:pt idx="114">
                  <c:v>1</c:v>
                </c:pt>
                <c:pt idx="115">
                  <c:v>0.26938239159001315</c:v>
                </c:pt>
                <c:pt idx="116">
                  <c:v>0.39553219448094618</c:v>
                </c:pt>
                <c:pt idx="117">
                  <c:v>0.47963206307490153</c:v>
                </c:pt>
                <c:pt idx="118">
                  <c:v>0.56636005256241795</c:v>
                </c:pt>
                <c:pt idx="119">
                  <c:v>0.69250985545335098</c:v>
                </c:pt>
                <c:pt idx="120">
                  <c:v>0.82654402102496727</c:v>
                </c:pt>
                <c:pt idx="121">
                  <c:v>0.90670170827858088</c:v>
                </c:pt>
                <c:pt idx="122">
                  <c:v>1</c:v>
                </c:pt>
                <c:pt idx="123">
                  <c:v>0.32046332046332049</c:v>
                </c:pt>
                <c:pt idx="124">
                  <c:v>0.30501930501930502</c:v>
                </c:pt>
                <c:pt idx="125">
                  <c:v>0.7142857142857143</c:v>
                </c:pt>
                <c:pt idx="126">
                  <c:v>0.83655083655083651</c:v>
                </c:pt>
                <c:pt idx="127">
                  <c:v>0.96525096525096521</c:v>
                </c:pt>
                <c:pt idx="128">
                  <c:v>1</c:v>
                </c:pt>
                <c:pt idx="129">
                  <c:v>0.3162055335968379</c:v>
                </c:pt>
                <c:pt idx="130">
                  <c:v>0.44795783926218702</c:v>
                </c:pt>
                <c:pt idx="131">
                  <c:v>0.59947299077733851</c:v>
                </c:pt>
                <c:pt idx="132">
                  <c:v>0.72463768115942018</c:v>
                </c:pt>
                <c:pt idx="133">
                  <c:v>0.85770750988142275</c:v>
                </c:pt>
                <c:pt idx="134">
                  <c:v>0.8563899868247693</c:v>
                </c:pt>
                <c:pt idx="135">
                  <c:v>0.98418972332015797</c:v>
                </c:pt>
                <c:pt idx="136">
                  <c:v>0.98682476943346509</c:v>
                </c:pt>
                <c:pt idx="137">
                  <c:v>0.98814229249011842</c:v>
                </c:pt>
                <c:pt idx="138">
                  <c:v>1</c:v>
                </c:pt>
                <c:pt idx="139">
                  <c:v>0.2325301204819277</c:v>
                </c:pt>
                <c:pt idx="140">
                  <c:v>0.33493975903614459</c:v>
                </c:pt>
                <c:pt idx="141">
                  <c:v>0.44216867469879523</c:v>
                </c:pt>
                <c:pt idx="142">
                  <c:v>0.51807228915662651</c:v>
                </c:pt>
                <c:pt idx="143">
                  <c:v>0.63734939759036147</c:v>
                </c:pt>
                <c:pt idx="144">
                  <c:v>0.75662650602409642</c:v>
                </c:pt>
                <c:pt idx="145">
                  <c:v>0.85662650602409629</c:v>
                </c:pt>
                <c:pt idx="146">
                  <c:v>0.88072289156626493</c:v>
                </c:pt>
                <c:pt idx="147">
                  <c:v>0.92168674698795183</c:v>
                </c:pt>
                <c:pt idx="148">
                  <c:v>1</c:v>
                </c:pt>
                <c:pt idx="149">
                  <c:v>0.28985507246376813</c:v>
                </c:pt>
                <c:pt idx="150">
                  <c:v>0.43478260869565216</c:v>
                </c:pt>
                <c:pt idx="151">
                  <c:v>0.54057971014492745</c:v>
                </c:pt>
                <c:pt idx="152">
                  <c:v>0.62173913043478257</c:v>
                </c:pt>
                <c:pt idx="153">
                  <c:v>0.76811594202898548</c:v>
                </c:pt>
                <c:pt idx="154">
                  <c:v>0.91304347826086951</c:v>
                </c:pt>
                <c:pt idx="155">
                  <c:v>1</c:v>
                </c:pt>
                <c:pt idx="156">
                  <c:v>0.24313725490196081</c:v>
                </c:pt>
                <c:pt idx="157">
                  <c:v>0.40392156862745099</c:v>
                </c:pt>
                <c:pt idx="158">
                  <c:v>0.68888888888888888</c:v>
                </c:pt>
                <c:pt idx="159">
                  <c:v>0.72026143790849673</c:v>
                </c:pt>
                <c:pt idx="160">
                  <c:v>0.86928104575163401</c:v>
                </c:pt>
                <c:pt idx="161">
                  <c:v>0.9490196078431371</c:v>
                </c:pt>
                <c:pt idx="162">
                  <c:v>1</c:v>
                </c:pt>
                <c:pt idx="163">
                  <c:v>0.31265508684863524</c:v>
                </c:pt>
                <c:pt idx="164">
                  <c:v>0.43672456575682395</c:v>
                </c:pt>
                <c:pt idx="165">
                  <c:v>0.56203473945409432</c:v>
                </c:pt>
                <c:pt idx="166">
                  <c:v>0.68610421836228297</c:v>
                </c:pt>
                <c:pt idx="167">
                  <c:v>0.81141439205955357</c:v>
                </c:pt>
                <c:pt idx="168">
                  <c:v>0.93052109181141451</c:v>
                </c:pt>
                <c:pt idx="169">
                  <c:v>1</c:v>
                </c:pt>
                <c:pt idx="170">
                  <c:v>0.62424242424242427</c:v>
                </c:pt>
                <c:pt idx="171">
                  <c:v>0.74949494949494955</c:v>
                </c:pt>
                <c:pt idx="172">
                  <c:v>0.8666666666666667</c:v>
                </c:pt>
                <c:pt idx="173">
                  <c:v>0.96161616161616159</c:v>
                </c:pt>
                <c:pt idx="174">
                  <c:v>1</c:v>
                </c:pt>
                <c:pt idx="175">
                  <c:v>0.26835781041388518</c:v>
                </c:pt>
                <c:pt idx="176">
                  <c:v>0.40320427236315082</c:v>
                </c:pt>
                <c:pt idx="177">
                  <c:v>0.46194926568758338</c:v>
                </c:pt>
                <c:pt idx="178">
                  <c:v>0.49666221628838453</c:v>
                </c:pt>
                <c:pt idx="179">
                  <c:v>0.57409879839786371</c:v>
                </c:pt>
                <c:pt idx="180">
                  <c:v>0.70761014686248325</c:v>
                </c:pt>
                <c:pt idx="181">
                  <c:v>0.84112149532710268</c:v>
                </c:pt>
                <c:pt idx="182">
                  <c:v>0.9893190921228302</c:v>
                </c:pt>
                <c:pt idx="183">
                  <c:v>1</c:v>
                </c:pt>
                <c:pt idx="184">
                  <c:v>0.1712121212121212</c:v>
                </c:pt>
                <c:pt idx="185">
                  <c:v>0.26060606060606062</c:v>
                </c:pt>
                <c:pt idx="186">
                  <c:v>0.41212121212121211</c:v>
                </c:pt>
                <c:pt idx="187">
                  <c:v>0.56363636363636371</c:v>
                </c:pt>
                <c:pt idx="188">
                  <c:v>0.72272727272727277</c:v>
                </c:pt>
                <c:pt idx="189">
                  <c:v>0.74696969696969695</c:v>
                </c:pt>
                <c:pt idx="190">
                  <c:v>0.80303030303030298</c:v>
                </c:pt>
                <c:pt idx="191">
                  <c:v>0.90909090909090906</c:v>
                </c:pt>
                <c:pt idx="192">
                  <c:v>1</c:v>
                </c:pt>
                <c:pt idx="193">
                  <c:v>0.55393586005830908</c:v>
                </c:pt>
                <c:pt idx="194">
                  <c:v>0.6559766763848397</c:v>
                </c:pt>
                <c:pt idx="195">
                  <c:v>0.87463556851311952</c:v>
                </c:pt>
                <c:pt idx="196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80736"/>
        <c:axId val="120182272"/>
      </c:scatterChart>
      <c:valAx>
        <c:axId val="120180736"/>
        <c:scaling>
          <c:orientation val="minMax"/>
          <c:max val="210"/>
          <c:min val="0"/>
        </c:scaling>
        <c:delete val="0"/>
        <c:axPos val="b"/>
        <c:majorTickMark val="out"/>
        <c:minorTickMark val="none"/>
        <c:tickLblPos val="nextTo"/>
        <c:crossAx val="120182272"/>
        <c:crosses val="autoZero"/>
        <c:crossBetween val="midCat"/>
      </c:valAx>
      <c:valAx>
        <c:axId val="120182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1807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Toronto!$D$1</c:f>
              <c:strCache>
                <c:ptCount val="1"/>
                <c:pt idx="0">
                  <c:v>d/a</c:v>
                </c:pt>
              </c:strCache>
            </c:strRef>
          </c:tx>
          <c:spPr>
            <a:ln w="28575">
              <a:noFill/>
            </a:ln>
          </c:spPr>
          <c:yVal>
            <c:numRef>
              <c:f>Toronto!$D$2:$D$327</c:f>
              <c:numCache>
                <c:formatCode>General</c:formatCode>
                <c:ptCount val="326"/>
                <c:pt idx="0">
                  <c:v>2.95</c:v>
                </c:pt>
                <c:pt idx="1">
                  <c:v>2.95</c:v>
                </c:pt>
                <c:pt idx="2">
                  <c:v>2.95</c:v>
                </c:pt>
                <c:pt idx="3">
                  <c:v>2.95</c:v>
                </c:pt>
                <c:pt idx="4">
                  <c:v>2.95</c:v>
                </c:pt>
                <c:pt idx="5">
                  <c:v>2.95</c:v>
                </c:pt>
                <c:pt idx="6">
                  <c:v>2.95</c:v>
                </c:pt>
                <c:pt idx="7">
                  <c:v>2.95</c:v>
                </c:pt>
                <c:pt idx="8">
                  <c:v>2.95</c:v>
                </c:pt>
                <c:pt idx="9">
                  <c:v>2.95</c:v>
                </c:pt>
                <c:pt idx="10">
                  <c:v>2.95</c:v>
                </c:pt>
                <c:pt idx="11">
                  <c:v>2.95</c:v>
                </c:pt>
                <c:pt idx="12">
                  <c:v>2.95</c:v>
                </c:pt>
                <c:pt idx="13">
                  <c:v>2.95</c:v>
                </c:pt>
                <c:pt idx="14">
                  <c:v>2.9500000000000006</c:v>
                </c:pt>
                <c:pt idx="15">
                  <c:v>2.9500000000000006</c:v>
                </c:pt>
                <c:pt idx="16">
                  <c:v>2.9500000000000006</c:v>
                </c:pt>
                <c:pt idx="17">
                  <c:v>2.9500000000000006</c:v>
                </c:pt>
                <c:pt idx="18">
                  <c:v>2.9500000000000006</c:v>
                </c:pt>
                <c:pt idx="19">
                  <c:v>2.9500000000000006</c:v>
                </c:pt>
                <c:pt idx="20">
                  <c:v>2.9500000000000006</c:v>
                </c:pt>
                <c:pt idx="21">
                  <c:v>2.9500000000000006</c:v>
                </c:pt>
                <c:pt idx="22">
                  <c:v>2.9500000000000006</c:v>
                </c:pt>
                <c:pt idx="23">
                  <c:v>2.9500000000000006</c:v>
                </c:pt>
                <c:pt idx="24">
                  <c:v>2.9500000000000006</c:v>
                </c:pt>
                <c:pt idx="25">
                  <c:v>2.9500000000000006</c:v>
                </c:pt>
                <c:pt idx="26">
                  <c:v>2.9500000000000006</c:v>
                </c:pt>
                <c:pt idx="27">
                  <c:v>2.95</c:v>
                </c:pt>
                <c:pt idx="28">
                  <c:v>2.95</c:v>
                </c:pt>
                <c:pt idx="29">
                  <c:v>2.95</c:v>
                </c:pt>
                <c:pt idx="30">
                  <c:v>2.95</c:v>
                </c:pt>
                <c:pt idx="31">
                  <c:v>2.95</c:v>
                </c:pt>
                <c:pt idx="32">
                  <c:v>2.95</c:v>
                </c:pt>
                <c:pt idx="33">
                  <c:v>2.95</c:v>
                </c:pt>
                <c:pt idx="34">
                  <c:v>2.95</c:v>
                </c:pt>
                <c:pt idx="35">
                  <c:v>2.95</c:v>
                </c:pt>
                <c:pt idx="36">
                  <c:v>2.95</c:v>
                </c:pt>
                <c:pt idx="37">
                  <c:v>2.95</c:v>
                </c:pt>
                <c:pt idx="38">
                  <c:v>2.95</c:v>
                </c:pt>
                <c:pt idx="39">
                  <c:v>2.95</c:v>
                </c:pt>
                <c:pt idx="40">
                  <c:v>3.3876221498371337</c:v>
                </c:pt>
                <c:pt idx="41">
                  <c:v>3.3876221498371337</c:v>
                </c:pt>
                <c:pt idx="42">
                  <c:v>3.3876221498371337</c:v>
                </c:pt>
                <c:pt idx="43">
                  <c:v>3.3876221498371337</c:v>
                </c:pt>
                <c:pt idx="44">
                  <c:v>3.3876221498371337</c:v>
                </c:pt>
                <c:pt idx="45">
                  <c:v>3.3876221498371337</c:v>
                </c:pt>
                <c:pt idx="46">
                  <c:v>3.3876221498371337</c:v>
                </c:pt>
                <c:pt idx="47">
                  <c:v>3.3986928104575163</c:v>
                </c:pt>
                <c:pt idx="48">
                  <c:v>3.3986928104575163</c:v>
                </c:pt>
                <c:pt idx="49">
                  <c:v>3.3986928104575163</c:v>
                </c:pt>
                <c:pt idx="50">
                  <c:v>3.3986928104575163</c:v>
                </c:pt>
                <c:pt idx="51">
                  <c:v>3.3986928104575163</c:v>
                </c:pt>
                <c:pt idx="52">
                  <c:v>3.3986928104575163</c:v>
                </c:pt>
                <c:pt idx="53">
                  <c:v>3.3986928104575163</c:v>
                </c:pt>
                <c:pt idx="54">
                  <c:v>3.3986928104575163</c:v>
                </c:pt>
                <c:pt idx="55">
                  <c:v>3.3986928104575163</c:v>
                </c:pt>
                <c:pt idx="56">
                  <c:v>3.3986928104575163</c:v>
                </c:pt>
                <c:pt idx="57">
                  <c:v>3.3986928104575163</c:v>
                </c:pt>
                <c:pt idx="58">
                  <c:v>3.3986928104575163</c:v>
                </c:pt>
                <c:pt idx="59">
                  <c:v>3.3876221498371337</c:v>
                </c:pt>
                <c:pt idx="60">
                  <c:v>3.3876221498371337</c:v>
                </c:pt>
                <c:pt idx="61">
                  <c:v>3.3876221498371337</c:v>
                </c:pt>
                <c:pt idx="62">
                  <c:v>3.3876221498371337</c:v>
                </c:pt>
                <c:pt idx="63">
                  <c:v>3.3876221498371337</c:v>
                </c:pt>
                <c:pt idx="64">
                  <c:v>2.8928571428571428</c:v>
                </c:pt>
                <c:pt idx="65">
                  <c:v>2.8928571428571428</c:v>
                </c:pt>
                <c:pt idx="66">
                  <c:v>2.8928571428571428</c:v>
                </c:pt>
                <c:pt idx="67">
                  <c:v>2.8928571428571428</c:v>
                </c:pt>
                <c:pt idx="68">
                  <c:v>2.8928571428571428</c:v>
                </c:pt>
                <c:pt idx="69">
                  <c:v>2.8928571428571428</c:v>
                </c:pt>
                <c:pt idx="70">
                  <c:v>2.8928571428571428</c:v>
                </c:pt>
                <c:pt idx="71">
                  <c:v>2.8928571428571428</c:v>
                </c:pt>
                <c:pt idx="72">
                  <c:v>2.8928571428571428</c:v>
                </c:pt>
                <c:pt idx="73">
                  <c:v>2.8928571428571428</c:v>
                </c:pt>
                <c:pt idx="74">
                  <c:v>2.8928571428571428</c:v>
                </c:pt>
                <c:pt idx="75">
                  <c:v>2.8928571428571428</c:v>
                </c:pt>
                <c:pt idx="76">
                  <c:v>2.8928571428571428</c:v>
                </c:pt>
                <c:pt idx="77">
                  <c:v>2.8928571428571428</c:v>
                </c:pt>
                <c:pt idx="78">
                  <c:v>2.8928571428571428</c:v>
                </c:pt>
                <c:pt idx="79">
                  <c:v>2.8928571428571428</c:v>
                </c:pt>
                <c:pt idx="80">
                  <c:v>2.8928571428571428</c:v>
                </c:pt>
                <c:pt idx="81">
                  <c:v>2.8928571428571428</c:v>
                </c:pt>
                <c:pt idx="82">
                  <c:v>2.8928571428571428</c:v>
                </c:pt>
                <c:pt idx="83">
                  <c:v>2.8928571428571428</c:v>
                </c:pt>
                <c:pt idx="84">
                  <c:v>2.8928571428571428</c:v>
                </c:pt>
                <c:pt idx="85">
                  <c:v>2.8928571428571428</c:v>
                </c:pt>
                <c:pt idx="86">
                  <c:v>2.8928571428571428</c:v>
                </c:pt>
                <c:pt idx="87">
                  <c:v>2.8928571428571428</c:v>
                </c:pt>
                <c:pt idx="88">
                  <c:v>2.8928571428571428</c:v>
                </c:pt>
                <c:pt idx="89">
                  <c:v>2.8928571428571428</c:v>
                </c:pt>
                <c:pt idx="90">
                  <c:v>2.8928571428571428</c:v>
                </c:pt>
                <c:pt idx="91">
                  <c:v>2.8928571428571428</c:v>
                </c:pt>
                <c:pt idx="92">
                  <c:v>2.8928571428571428</c:v>
                </c:pt>
                <c:pt idx="93">
                  <c:v>2.8928571428571428</c:v>
                </c:pt>
                <c:pt idx="94">
                  <c:v>2.8928571428571428</c:v>
                </c:pt>
                <c:pt idx="95">
                  <c:v>2.8928571428571428</c:v>
                </c:pt>
                <c:pt idx="96">
                  <c:v>2.8928571428571428</c:v>
                </c:pt>
                <c:pt idx="97">
                  <c:v>2.8928571428571428</c:v>
                </c:pt>
                <c:pt idx="98">
                  <c:v>2.8928571428571428</c:v>
                </c:pt>
                <c:pt idx="99">
                  <c:v>2.8928571428571428</c:v>
                </c:pt>
                <c:pt idx="100">
                  <c:v>2.8928571428571428</c:v>
                </c:pt>
                <c:pt idx="101">
                  <c:v>2.8928571428571428</c:v>
                </c:pt>
                <c:pt idx="102">
                  <c:v>2.8928571428571428</c:v>
                </c:pt>
                <c:pt idx="103">
                  <c:v>2.8928571428571428</c:v>
                </c:pt>
                <c:pt idx="104">
                  <c:v>2.8928571428571428</c:v>
                </c:pt>
                <c:pt idx="105">
                  <c:v>2.8928571428571428</c:v>
                </c:pt>
                <c:pt idx="106">
                  <c:v>2.8928571428571428</c:v>
                </c:pt>
                <c:pt idx="107">
                  <c:v>2.8928571428571428</c:v>
                </c:pt>
                <c:pt idx="108">
                  <c:v>2.8928571428571428</c:v>
                </c:pt>
                <c:pt idx="109">
                  <c:v>2.8928571428571428</c:v>
                </c:pt>
                <c:pt idx="110">
                  <c:v>2.8928571428571428</c:v>
                </c:pt>
                <c:pt idx="111">
                  <c:v>2.8928571428571428</c:v>
                </c:pt>
                <c:pt idx="112">
                  <c:v>2.8928571428571428</c:v>
                </c:pt>
                <c:pt idx="113">
                  <c:v>2.8928571428571428</c:v>
                </c:pt>
                <c:pt idx="114">
                  <c:v>2.8928571428571428</c:v>
                </c:pt>
                <c:pt idx="115">
                  <c:v>2.8928571428571428</c:v>
                </c:pt>
                <c:pt idx="116">
                  <c:v>2.8928571428571428</c:v>
                </c:pt>
                <c:pt idx="117">
                  <c:v>2.8928571428571428</c:v>
                </c:pt>
                <c:pt idx="118">
                  <c:v>2.8928571428571428</c:v>
                </c:pt>
                <c:pt idx="119">
                  <c:v>2.8928571428571428</c:v>
                </c:pt>
                <c:pt idx="120">
                  <c:v>2.8928571428571428</c:v>
                </c:pt>
                <c:pt idx="121">
                  <c:v>2.8928571428571428</c:v>
                </c:pt>
                <c:pt idx="122">
                  <c:v>2.8928571428571428</c:v>
                </c:pt>
                <c:pt idx="123">
                  <c:v>2.8928571428571428</c:v>
                </c:pt>
                <c:pt idx="124">
                  <c:v>2.8928571428571428</c:v>
                </c:pt>
                <c:pt idx="125">
                  <c:v>2.8928571428571428</c:v>
                </c:pt>
                <c:pt idx="126">
                  <c:v>2.8928571428571428</c:v>
                </c:pt>
                <c:pt idx="127">
                  <c:v>2.8928571428571428</c:v>
                </c:pt>
                <c:pt idx="128">
                  <c:v>2.8928571428571428</c:v>
                </c:pt>
                <c:pt idx="129">
                  <c:v>2.8928571428571428</c:v>
                </c:pt>
                <c:pt idx="130">
                  <c:v>2.8928571428571428</c:v>
                </c:pt>
                <c:pt idx="131">
                  <c:v>2.8928571428571428</c:v>
                </c:pt>
                <c:pt idx="132">
                  <c:v>2.8928571428571428</c:v>
                </c:pt>
                <c:pt idx="133">
                  <c:v>2.8928571428571428</c:v>
                </c:pt>
                <c:pt idx="134">
                  <c:v>2.8928571428571428</c:v>
                </c:pt>
                <c:pt idx="135">
                  <c:v>2.8928571428571428</c:v>
                </c:pt>
                <c:pt idx="136">
                  <c:v>2.8928571428571428</c:v>
                </c:pt>
                <c:pt idx="137">
                  <c:v>2.8928571428571428</c:v>
                </c:pt>
                <c:pt idx="138">
                  <c:v>2.8928571428571428</c:v>
                </c:pt>
                <c:pt idx="139">
                  <c:v>2.8928571428571428</c:v>
                </c:pt>
                <c:pt idx="140">
                  <c:v>2.8928571428571428</c:v>
                </c:pt>
                <c:pt idx="141">
                  <c:v>2.8928571428571428</c:v>
                </c:pt>
                <c:pt idx="142">
                  <c:v>2.8928571428571428</c:v>
                </c:pt>
                <c:pt idx="143">
                  <c:v>2.8928571428571428</c:v>
                </c:pt>
                <c:pt idx="144">
                  <c:v>2.8928571428571428</c:v>
                </c:pt>
                <c:pt idx="145">
                  <c:v>2.8928571428571428</c:v>
                </c:pt>
                <c:pt idx="146">
                  <c:v>2.8928571428571428</c:v>
                </c:pt>
                <c:pt idx="147">
                  <c:v>2.8928571428571428</c:v>
                </c:pt>
                <c:pt idx="148">
                  <c:v>2.8928571428571428</c:v>
                </c:pt>
                <c:pt idx="149">
                  <c:v>2.8928571428571428</c:v>
                </c:pt>
                <c:pt idx="150">
                  <c:v>2.8928571428571428</c:v>
                </c:pt>
                <c:pt idx="151">
                  <c:v>2.8928571428571428</c:v>
                </c:pt>
                <c:pt idx="152">
                  <c:v>2.8928571428571428</c:v>
                </c:pt>
                <c:pt idx="153">
                  <c:v>2.8928571428571428</c:v>
                </c:pt>
                <c:pt idx="154">
                  <c:v>2.8928571428571428</c:v>
                </c:pt>
                <c:pt idx="155">
                  <c:v>2.8928571428571428</c:v>
                </c:pt>
                <c:pt idx="156">
                  <c:v>2.8928571428571428</c:v>
                </c:pt>
                <c:pt idx="157">
                  <c:v>2.8928571428571428</c:v>
                </c:pt>
                <c:pt idx="158">
                  <c:v>2.8928571428571428</c:v>
                </c:pt>
                <c:pt idx="159">
                  <c:v>2.8928571428571428</c:v>
                </c:pt>
                <c:pt idx="160">
                  <c:v>2.8928571428571428</c:v>
                </c:pt>
                <c:pt idx="161">
                  <c:v>2.8928571428571428</c:v>
                </c:pt>
                <c:pt idx="162">
                  <c:v>2.8928571428571428</c:v>
                </c:pt>
                <c:pt idx="163">
                  <c:v>2.8928571428571428</c:v>
                </c:pt>
                <c:pt idx="164">
                  <c:v>2.8928571428571428</c:v>
                </c:pt>
                <c:pt idx="165">
                  <c:v>2.8928571428571428</c:v>
                </c:pt>
                <c:pt idx="166">
                  <c:v>2.8928571428571428</c:v>
                </c:pt>
                <c:pt idx="167">
                  <c:v>2.8928571428571428</c:v>
                </c:pt>
                <c:pt idx="168">
                  <c:v>2.8928571428571428</c:v>
                </c:pt>
                <c:pt idx="169">
                  <c:v>2.8928571428571428</c:v>
                </c:pt>
                <c:pt idx="170">
                  <c:v>2.94</c:v>
                </c:pt>
                <c:pt idx="171">
                  <c:v>2.94</c:v>
                </c:pt>
                <c:pt idx="172">
                  <c:v>2.94</c:v>
                </c:pt>
                <c:pt idx="173">
                  <c:v>2.94</c:v>
                </c:pt>
                <c:pt idx="174">
                  <c:v>2.94</c:v>
                </c:pt>
                <c:pt idx="175">
                  <c:v>2.8928571428571428</c:v>
                </c:pt>
                <c:pt idx="176">
                  <c:v>2.8928571428571428</c:v>
                </c:pt>
                <c:pt idx="177">
                  <c:v>2.8928571428571428</c:v>
                </c:pt>
                <c:pt idx="178">
                  <c:v>2.8928571428571428</c:v>
                </c:pt>
                <c:pt idx="179">
                  <c:v>2.8928571428571428</c:v>
                </c:pt>
                <c:pt idx="180">
                  <c:v>2.8928571428571428</c:v>
                </c:pt>
                <c:pt idx="181">
                  <c:v>2.8928571428571428</c:v>
                </c:pt>
                <c:pt idx="182">
                  <c:v>2.8928571428571428</c:v>
                </c:pt>
                <c:pt idx="183">
                  <c:v>2.8928571428571428</c:v>
                </c:pt>
                <c:pt idx="184">
                  <c:v>2.8928571428571428</c:v>
                </c:pt>
                <c:pt idx="185">
                  <c:v>2.8928571428571428</c:v>
                </c:pt>
                <c:pt idx="186">
                  <c:v>2.8928571428571428</c:v>
                </c:pt>
                <c:pt idx="187">
                  <c:v>2.8928571428571428</c:v>
                </c:pt>
                <c:pt idx="188">
                  <c:v>2.8928571428571428</c:v>
                </c:pt>
                <c:pt idx="189">
                  <c:v>2.8928571428571428</c:v>
                </c:pt>
                <c:pt idx="190">
                  <c:v>2.8928571428571428</c:v>
                </c:pt>
                <c:pt idx="191">
                  <c:v>2.8928571428571428</c:v>
                </c:pt>
                <c:pt idx="192">
                  <c:v>2.8928571428571428</c:v>
                </c:pt>
                <c:pt idx="193">
                  <c:v>2.79</c:v>
                </c:pt>
                <c:pt idx="194">
                  <c:v>2.79</c:v>
                </c:pt>
                <c:pt idx="195">
                  <c:v>2.79</c:v>
                </c:pt>
                <c:pt idx="196">
                  <c:v>2.79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06464"/>
        <c:axId val="120208000"/>
      </c:scatterChart>
      <c:valAx>
        <c:axId val="120206464"/>
        <c:scaling>
          <c:orientation val="minMax"/>
          <c:max val="210"/>
          <c:min val="0"/>
        </c:scaling>
        <c:delete val="0"/>
        <c:axPos val="b"/>
        <c:majorTickMark val="out"/>
        <c:minorTickMark val="none"/>
        <c:tickLblPos val="nextTo"/>
        <c:crossAx val="120208000"/>
        <c:crosses val="autoZero"/>
        <c:crossBetween val="midCat"/>
      </c:valAx>
      <c:valAx>
        <c:axId val="120208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2064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Toronto!$AE$1</c:f>
              <c:strCache>
                <c:ptCount val="1"/>
                <c:pt idx="0">
                  <c:v>d (mm)</c:v>
                </c:pt>
              </c:strCache>
            </c:strRef>
          </c:tx>
          <c:spPr>
            <a:ln w="28575">
              <a:noFill/>
            </a:ln>
          </c:spPr>
          <c:yVal>
            <c:numRef>
              <c:f>Toronto!$AE$2:$AE$327</c:f>
              <c:numCache>
                <c:formatCode>General</c:formatCode>
                <c:ptCount val="326"/>
                <c:pt idx="0">
                  <c:v>916</c:v>
                </c:pt>
                <c:pt idx="1">
                  <c:v>916</c:v>
                </c:pt>
                <c:pt idx="2">
                  <c:v>916</c:v>
                </c:pt>
                <c:pt idx="3">
                  <c:v>916</c:v>
                </c:pt>
                <c:pt idx="4">
                  <c:v>916</c:v>
                </c:pt>
                <c:pt idx="5">
                  <c:v>917</c:v>
                </c:pt>
                <c:pt idx="6">
                  <c:v>918</c:v>
                </c:pt>
                <c:pt idx="7">
                  <c:v>437</c:v>
                </c:pt>
                <c:pt idx="8">
                  <c:v>437</c:v>
                </c:pt>
                <c:pt idx="9">
                  <c:v>437</c:v>
                </c:pt>
                <c:pt idx="10">
                  <c:v>437</c:v>
                </c:pt>
                <c:pt idx="11">
                  <c:v>437</c:v>
                </c:pt>
                <c:pt idx="12">
                  <c:v>437</c:v>
                </c:pt>
                <c:pt idx="13">
                  <c:v>437</c:v>
                </c:pt>
                <c:pt idx="14">
                  <c:v>439</c:v>
                </c:pt>
                <c:pt idx="15">
                  <c:v>439</c:v>
                </c:pt>
                <c:pt idx="16">
                  <c:v>439</c:v>
                </c:pt>
                <c:pt idx="17">
                  <c:v>439</c:v>
                </c:pt>
                <c:pt idx="18">
                  <c:v>439</c:v>
                </c:pt>
                <c:pt idx="19">
                  <c:v>439</c:v>
                </c:pt>
                <c:pt idx="20">
                  <c:v>439</c:v>
                </c:pt>
                <c:pt idx="21">
                  <c:v>439</c:v>
                </c:pt>
                <c:pt idx="22">
                  <c:v>439</c:v>
                </c:pt>
                <c:pt idx="23">
                  <c:v>439</c:v>
                </c:pt>
                <c:pt idx="24">
                  <c:v>439</c:v>
                </c:pt>
                <c:pt idx="25">
                  <c:v>439</c:v>
                </c:pt>
                <c:pt idx="26">
                  <c:v>439</c:v>
                </c:pt>
                <c:pt idx="27">
                  <c:v>438</c:v>
                </c:pt>
                <c:pt idx="28">
                  <c:v>438</c:v>
                </c:pt>
                <c:pt idx="29">
                  <c:v>438</c:v>
                </c:pt>
                <c:pt idx="30">
                  <c:v>438</c:v>
                </c:pt>
                <c:pt idx="31">
                  <c:v>438</c:v>
                </c:pt>
                <c:pt idx="32">
                  <c:v>438</c:v>
                </c:pt>
                <c:pt idx="33">
                  <c:v>440</c:v>
                </c:pt>
                <c:pt idx="34">
                  <c:v>440</c:v>
                </c:pt>
                <c:pt idx="35">
                  <c:v>440</c:v>
                </c:pt>
                <c:pt idx="36">
                  <c:v>440</c:v>
                </c:pt>
                <c:pt idx="37">
                  <c:v>440</c:v>
                </c:pt>
                <c:pt idx="38">
                  <c:v>440</c:v>
                </c:pt>
                <c:pt idx="39">
                  <c:v>440</c:v>
                </c:pt>
                <c:pt idx="40">
                  <c:v>307</c:v>
                </c:pt>
                <c:pt idx="41">
                  <c:v>307</c:v>
                </c:pt>
                <c:pt idx="42">
                  <c:v>307</c:v>
                </c:pt>
                <c:pt idx="43">
                  <c:v>307</c:v>
                </c:pt>
                <c:pt idx="44">
                  <c:v>307</c:v>
                </c:pt>
                <c:pt idx="45">
                  <c:v>307</c:v>
                </c:pt>
                <c:pt idx="46">
                  <c:v>307</c:v>
                </c:pt>
                <c:pt idx="47">
                  <c:v>306</c:v>
                </c:pt>
                <c:pt idx="48">
                  <c:v>306</c:v>
                </c:pt>
                <c:pt idx="49">
                  <c:v>306</c:v>
                </c:pt>
                <c:pt idx="50">
                  <c:v>306</c:v>
                </c:pt>
                <c:pt idx="51">
                  <c:v>306</c:v>
                </c:pt>
                <c:pt idx="52">
                  <c:v>306</c:v>
                </c:pt>
                <c:pt idx="53">
                  <c:v>306</c:v>
                </c:pt>
                <c:pt idx="54">
                  <c:v>306</c:v>
                </c:pt>
                <c:pt idx="55">
                  <c:v>306</c:v>
                </c:pt>
                <c:pt idx="56">
                  <c:v>306</c:v>
                </c:pt>
                <c:pt idx="57">
                  <c:v>306</c:v>
                </c:pt>
                <c:pt idx="58">
                  <c:v>306</c:v>
                </c:pt>
                <c:pt idx="59">
                  <c:v>307</c:v>
                </c:pt>
                <c:pt idx="60">
                  <c:v>307</c:v>
                </c:pt>
                <c:pt idx="61">
                  <c:v>307</c:v>
                </c:pt>
                <c:pt idx="62">
                  <c:v>307</c:v>
                </c:pt>
                <c:pt idx="63">
                  <c:v>307</c:v>
                </c:pt>
                <c:pt idx="64">
                  <c:v>1400</c:v>
                </c:pt>
                <c:pt idx="65">
                  <c:v>1400</c:v>
                </c:pt>
                <c:pt idx="66">
                  <c:v>1400</c:v>
                </c:pt>
                <c:pt idx="67">
                  <c:v>1400</c:v>
                </c:pt>
                <c:pt idx="68">
                  <c:v>1400</c:v>
                </c:pt>
                <c:pt idx="69">
                  <c:v>1400</c:v>
                </c:pt>
                <c:pt idx="70">
                  <c:v>1400</c:v>
                </c:pt>
                <c:pt idx="71">
                  <c:v>1400</c:v>
                </c:pt>
                <c:pt idx="72">
                  <c:v>1400</c:v>
                </c:pt>
                <c:pt idx="73">
                  <c:v>1400</c:v>
                </c:pt>
                <c:pt idx="74">
                  <c:v>1400</c:v>
                </c:pt>
                <c:pt idx="75">
                  <c:v>1400</c:v>
                </c:pt>
                <c:pt idx="76">
                  <c:v>1400</c:v>
                </c:pt>
                <c:pt idx="77">
                  <c:v>1400</c:v>
                </c:pt>
                <c:pt idx="78">
                  <c:v>1400</c:v>
                </c:pt>
                <c:pt idx="79">
                  <c:v>1400</c:v>
                </c:pt>
                <c:pt idx="80">
                  <c:v>1400</c:v>
                </c:pt>
                <c:pt idx="81">
                  <c:v>1400</c:v>
                </c:pt>
                <c:pt idx="82">
                  <c:v>1400</c:v>
                </c:pt>
                <c:pt idx="83">
                  <c:v>1400</c:v>
                </c:pt>
                <c:pt idx="84">
                  <c:v>1400</c:v>
                </c:pt>
                <c:pt idx="85">
                  <c:v>1400</c:v>
                </c:pt>
                <c:pt idx="86">
                  <c:v>1400</c:v>
                </c:pt>
                <c:pt idx="87">
                  <c:v>1400</c:v>
                </c:pt>
                <c:pt idx="88">
                  <c:v>1400</c:v>
                </c:pt>
                <c:pt idx="89">
                  <c:v>1400</c:v>
                </c:pt>
                <c:pt idx="90">
                  <c:v>1400</c:v>
                </c:pt>
                <c:pt idx="91">
                  <c:v>1400</c:v>
                </c:pt>
                <c:pt idx="92">
                  <c:v>1400</c:v>
                </c:pt>
                <c:pt idx="93">
                  <c:v>1400</c:v>
                </c:pt>
                <c:pt idx="94">
                  <c:v>1400</c:v>
                </c:pt>
                <c:pt idx="95">
                  <c:v>1400</c:v>
                </c:pt>
                <c:pt idx="96">
                  <c:v>1400</c:v>
                </c:pt>
                <c:pt idx="97">
                  <c:v>1400</c:v>
                </c:pt>
                <c:pt idx="98">
                  <c:v>1400</c:v>
                </c:pt>
                <c:pt idx="99">
                  <c:v>1400</c:v>
                </c:pt>
                <c:pt idx="100">
                  <c:v>1400</c:v>
                </c:pt>
                <c:pt idx="101">
                  <c:v>1400</c:v>
                </c:pt>
                <c:pt idx="102">
                  <c:v>1400</c:v>
                </c:pt>
                <c:pt idx="103">
                  <c:v>1400</c:v>
                </c:pt>
                <c:pt idx="104">
                  <c:v>1400</c:v>
                </c:pt>
                <c:pt idx="105">
                  <c:v>1400</c:v>
                </c:pt>
                <c:pt idx="106">
                  <c:v>1400</c:v>
                </c:pt>
                <c:pt idx="107">
                  <c:v>1400</c:v>
                </c:pt>
                <c:pt idx="108">
                  <c:v>1400</c:v>
                </c:pt>
                <c:pt idx="109">
                  <c:v>1400</c:v>
                </c:pt>
                <c:pt idx="110">
                  <c:v>1400</c:v>
                </c:pt>
                <c:pt idx="111">
                  <c:v>280</c:v>
                </c:pt>
                <c:pt idx="112">
                  <c:v>280</c:v>
                </c:pt>
                <c:pt idx="113">
                  <c:v>280</c:v>
                </c:pt>
                <c:pt idx="114">
                  <c:v>280</c:v>
                </c:pt>
                <c:pt idx="115">
                  <c:v>280</c:v>
                </c:pt>
                <c:pt idx="116">
                  <c:v>280</c:v>
                </c:pt>
                <c:pt idx="117">
                  <c:v>280</c:v>
                </c:pt>
                <c:pt idx="118">
                  <c:v>280</c:v>
                </c:pt>
                <c:pt idx="119">
                  <c:v>280</c:v>
                </c:pt>
                <c:pt idx="120">
                  <c:v>280</c:v>
                </c:pt>
                <c:pt idx="121">
                  <c:v>280</c:v>
                </c:pt>
                <c:pt idx="122">
                  <c:v>280</c:v>
                </c:pt>
                <c:pt idx="123">
                  <c:v>280</c:v>
                </c:pt>
                <c:pt idx="124">
                  <c:v>280</c:v>
                </c:pt>
                <c:pt idx="125">
                  <c:v>280</c:v>
                </c:pt>
                <c:pt idx="126">
                  <c:v>280</c:v>
                </c:pt>
                <c:pt idx="127">
                  <c:v>280</c:v>
                </c:pt>
                <c:pt idx="128">
                  <c:v>280</c:v>
                </c:pt>
                <c:pt idx="129">
                  <c:v>280</c:v>
                </c:pt>
                <c:pt idx="130">
                  <c:v>280</c:v>
                </c:pt>
                <c:pt idx="131">
                  <c:v>280</c:v>
                </c:pt>
                <c:pt idx="132">
                  <c:v>280</c:v>
                </c:pt>
                <c:pt idx="133">
                  <c:v>280</c:v>
                </c:pt>
                <c:pt idx="134">
                  <c:v>280</c:v>
                </c:pt>
                <c:pt idx="135">
                  <c:v>280</c:v>
                </c:pt>
                <c:pt idx="136">
                  <c:v>280</c:v>
                </c:pt>
                <c:pt idx="137">
                  <c:v>280</c:v>
                </c:pt>
                <c:pt idx="138">
                  <c:v>280</c:v>
                </c:pt>
                <c:pt idx="139">
                  <c:v>280</c:v>
                </c:pt>
                <c:pt idx="140">
                  <c:v>280</c:v>
                </c:pt>
                <c:pt idx="141">
                  <c:v>280</c:v>
                </c:pt>
                <c:pt idx="142">
                  <c:v>280</c:v>
                </c:pt>
                <c:pt idx="143">
                  <c:v>280</c:v>
                </c:pt>
                <c:pt idx="144">
                  <c:v>280</c:v>
                </c:pt>
                <c:pt idx="145">
                  <c:v>280</c:v>
                </c:pt>
                <c:pt idx="146">
                  <c:v>280</c:v>
                </c:pt>
                <c:pt idx="147">
                  <c:v>280</c:v>
                </c:pt>
                <c:pt idx="148">
                  <c:v>280</c:v>
                </c:pt>
                <c:pt idx="149">
                  <c:v>280</c:v>
                </c:pt>
                <c:pt idx="150">
                  <c:v>280</c:v>
                </c:pt>
                <c:pt idx="151">
                  <c:v>280</c:v>
                </c:pt>
                <c:pt idx="152">
                  <c:v>280</c:v>
                </c:pt>
                <c:pt idx="153">
                  <c:v>280</c:v>
                </c:pt>
                <c:pt idx="154">
                  <c:v>280</c:v>
                </c:pt>
                <c:pt idx="155">
                  <c:v>280</c:v>
                </c:pt>
                <c:pt idx="156">
                  <c:v>280</c:v>
                </c:pt>
                <c:pt idx="157">
                  <c:v>280</c:v>
                </c:pt>
                <c:pt idx="158">
                  <c:v>280</c:v>
                </c:pt>
                <c:pt idx="159">
                  <c:v>280</c:v>
                </c:pt>
                <c:pt idx="160">
                  <c:v>280</c:v>
                </c:pt>
                <c:pt idx="161">
                  <c:v>280</c:v>
                </c:pt>
                <c:pt idx="162">
                  <c:v>280</c:v>
                </c:pt>
                <c:pt idx="163">
                  <c:v>280</c:v>
                </c:pt>
                <c:pt idx="164">
                  <c:v>280</c:v>
                </c:pt>
                <c:pt idx="165">
                  <c:v>280</c:v>
                </c:pt>
                <c:pt idx="166">
                  <c:v>280</c:v>
                </c:pt>
                <c:pt idx="167">
                  <c:v>280</c:v>
                </c:pt>
                <c:pt idx="168">
                  <c:v>280</c:v>
                </c:pt>
                <c:pt idx="169">
                  <c:v>280</c:v>
                </c:pt>
                <c:pt idx="170">
                  <c:v>250</c:v>
                </c:pt>
                <c:pt idx="171">
                  <c:v>250</c:v>
                </c:pt>
                <c:pt idx="172">
                  <c:v>250</c:v>
                </c:pt>
                <c:pt idx="173">
                  <c:v>250</c:v>
                </c:pt>
                <c:pt idx="174">
                  <c:v>250</c:v>
                </c:pt>
                <c:pt idx="175">
                  <c:v>280</c:v>
                </c:pt>
                <c:pt idx="176">
                  <c:v>280</c:v>
                </c:pt>
                <c:pt idx="177">
                  <c:v>280</c:v>
                </c:pt>
                <c:pt idx="178">
                  <c:v>280</c:v>
                </c:pt>
                <c:pt idx="179">
                  <c:v>280</c:v>
                </c:pt>
                <c:pt idx="180">
                  <c:v>280</c:v>
                </c:pt>
                <c:pt idx="181">
                  <c:v>280</c:v>
                </c:pt>
                <c:pt idx="182">
                  <c:v>280</c:v>
                </c:pt>
                <c:pt idx="183">
                  <c:v>280</c:v>
                </c:pt>
                <c:pt idx="184">
                  <c:v>280</c:v>
                </c:pt>
                <c:pt idx="185">
                  <c:v>280</c:v>
                </c:pt>
                <c:pt idx="186">
                  <c:v>280</c:v>
                </c:pt>
                <c:pt idx="187">
                  <c:v>280</c:v>
                </c:pt>
                <c:pt idx="188">
                  <c:v>280</c:v>
                </c:pt>
                <c:pt idx="189">
                  <c:v>280</c:v>
                </c:pt>
                <c:pt idx="190">
                  <c:v>280</c:v>
                </c:pt>
                <c:pt idx="191">
                  <c:v>280</c:v>
                </c:pt>
                <c:pt idx="192">
                  <c:v>280</c:v>
                </c:pt>
                <c:pt idx="193">
                  <c:v>1450</c:v>
                </c:pt>
                <c:pt idx="194">
                  <c:v>1450</c:v>
                </c:pt>
                <c:pt idx="195">
                  <c:v>1450</c:v>
                </c:pt>
                <c:pt idx="196">
                  <c:v>1450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36288"/>
        <c:axId val="120238080"/>
      </c:scatterChart>
      <c:valAx>
        <c:axId val="120236288"/>
        <c:scaling>
          <c:orientation val="minMax"/>
        </c:scaling>
        <c:delete val="0"/>
        <c:axPos val="b"/>
        <c:majorTickMark val="out"/>
        <c:minorTickMark val="none"/>
        <c:tickLblPos val="nextTo"/>
        <c:crossAx val="120238080"/>
        <c:crosses val="autoZero"/>
        <c:crossBetween val="midCat"/>
      </c:valAx>
      <c:valAx>
        <c:axId val="120238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2362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Toronto!$AO$1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>
              <a:noFill/>
            </a:ln>
          </c:spPr>
          <c:yVal>
            <c:numRef>
              <c:f>Toronto!$AO$2:$AO$327</c:f>
              <c:numCache>
                <c:formatCode>General</c:formatCode>
                <c:ptCount val="326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04832"/>
        <c:axId val="125306368"/>
      </c:scatterChart>
      <c:valAx>
        <c:axId val="125304832"/>
        <c:scaling>
          <c:orientation val="minMax"/>
        </c:scaling>
        <c:delete val="0"/>
        <c:axPos val="b"/>
        <c:majorTickMark val="out"/>
        <c:minorTickMark val="none"/>
        <c:tickLblPos val="nextTo"/>
        <c:crossAx val="125306368"/>
        <c:crosses val="autoZero"/>
        <c:crossBetween val="midCat"/>
      </c:valAx>
      <c:valAx>
        <c:axId val="125306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53048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9.3050938662043975E-2"/>
          <c:y val="0.21862142551034885"/>
          <c:w val="0.87614621410836968"/>
          <c:h val="0.68826157417225997"/>
        </c:manualLayout>
      </c:layout>
      <c:scatterChart>
        <c:scatterStyle val="lineMarker"/>
        <c:varyColors val="0"/>
        <c:ser>
          <c:idx val="0"/>
          <c:order val="0"/>
          <c:tx>
            <c:strRef>
              <c:f>deep!$V$1</c:f>
              <c:strCache>
                <c:ptCount val="1"/>
                <c:pt idx="0">
                  <c:v>V/(2*sqrt(fc) bd)</c:v>
                </c:pt>
              </c:strCache>
            </c:strRef>
          </c:tx>
          <c:spPr>
            <a:ln w="28575">
              <a:noFill/>
            </a:ln>
          </c:spPr>
          <c:yVal>
            <c:numRef>
              <c:f>deep!$V$2:$V$27</c:f>
              <c:numCache>
                <c:formatCode>General</c:formatCode>
                <c:ptCount val="26"/>
                <c:pt idx="0">
                  <c:v>0.1572151803746186</c:v>
                </c:pt>
                <c:pt idx="1">
                  <c:v>0.37388191800245457</c:v>
                </c:pt>
                <c:pt idx="2">
                  <c:v>0.31317765014864268</c:v>
                </c:pt>
                <c:pt idx="3">
                  <c:v>0.39147206268580337</c:v>
                </c:pt>
                <c:pt idx="4">
                  <c:v>0.42905338070364046</c:v>
                </c:pt>
                <c:pt idx="5">
                  <c:v>0.62635530029728537</c:v>
                </c:pt>
                <c:pt idx="6">
                  <c:v>0.86123853790876737</c:v>
                </c:pt>
                <c:pt idx="7">
                  <c:v>1.0961217755202495</c:v>
                </c:pt>
                <c:pt idx="8">
                  <c:v>1.2646113513002191</c:v>
                </c:pt>
                <c:pt idx="9">
                  <c:v>1.3541801592427309</c:v>
                </c:pt>
                <c:pt idx="10">
                  <c:v>0.18455414226027525</c:v>
                </c:pt>
                <c:pt idx="11">
                  <c:v>0.22033504739236945</c:v>
                </c:pt>
                <c:pt idx="12">
                  <c:v>0.32956096832192006</c:v>
                </c:pt>
                <c:pt idx="13">
                  <c:v>0.43313727265166641</c:v>
                </c:pt>
                <c:pt idx="14">
                  <c:v>0.12957951902145631</c:v>
                </c:pt>
                <c:pt idx="15">
                  <c:v>0.21596586503576051</c:v>
                </c:pt>
                <c:pt idx="16">
                  <c:v>0.27486564640914973</c:v>
                </c:pt>
                <c:pt idx="17">
                  <c:v>0.32002214546208152</c:v>
                </c:pt>
                <c:pt idx="18">
                  <c:v>0.36910529660657254</c:v>
                </c:pt>
                <c:pt idx="19">
                  <c:v>0.39266520915592823</c:v>
                </c:pt>
                <c:pt idx="20">
                  <c:v>0.30607387310702622</c:v>
                </c:pt>
                <c:pt idx="21">
                  <c:v>0.4591108096605393</c:v>
                </c:pt>
                <c:pt idx="22">
                  <c:v>0.53052804671884546</c:v>
                </c:pt>
                <c:pt idx="23">
                  <c:v>0.63255267108785418</c:v>
                </c:pt>
                <c:pt idx="24">
                  <c:v>0.7345772954568629</c:v>
                </c:pt>
                <c:pt idx="25">
                  <c:v>0.77538714520446639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96032"/>
        <c:axId val="125597568"/>
      </c:scatterChart>
      <c:valAx>
        <c:axId val="125596032"/>
        <c:scaling>
          <c:orientation val="minMax"/>
        </c:scaling>
        <c:delete val="0"/>
        <c:axPos val="b"/>
        <c:majorTickMark val="out"/>
        <c:minorTickMark val="none"/>
        <c:tickLblPos val="nextTo"/>
        <c:crossAx val="125597568"/>
        <c:crosses val="autoZero"/>
        <c:crossBetween val="midCat"/>
      </c:valAx>
      <c:valAx>
        <c:axId val="125597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55960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deep!$W$1</c:f>
              <c:strCache>
                <c:ptCount val="1"/>
                <c:pt idx="0">
                  <c:v>M/M_fracture</c:v>
                </c:pt>
              </c:strCache>
            </c:strRef>
          </c:tx>
          <c:spPr>
            <a:ln w="28575">
              <a:noFill/>
            </a:ln>
          </c:spPr>
          <c:yVal>
            <c:numRef>
              <c:f>deep!$W$2:$W$12</c:f>
              <c:numCache>
                <c:formatCode>General</c:formatCode>
                <c:ptCount val="11"/>
                <c:pt idx="0">
                  <c:v>0.11609620721554116</c:v>
                </c:pt>
                <c:pt idx="1">
                  <c:v>0.27609466543324085</c:v>
                </c:pt>
                <c:pt idx="2">
                  <c:v>0.23126734505087881</c:v>
                </c:pt>
                <c:pt idx="3">
                  <c:v>0.28908418131359853</c:v>
                </c:pt>
                <c:pt idx="4">
                  <c:v>0.316836262719704</c:v>
                </c:pt>
                <c:pt idx="5">
                  <c:v>0.46253469010175763</c:v>
                </c:pt>
                <c:pt idx="6">
                  <c:v>0.63598519888991678</c:v>
                </c:pt>
                <c:pt idx="7">
                  <c:v>0.80943570767807593</c:v>
                </c:pt>
                <c:pt idx="8">
                  <c:v>0.93385753931544868</c:v>
                </c:pt>
                <c:pt idx="9">
                  <c:v>1</c:v>
                </c:pt>
                <c:pt idx="10">
                  <c:v>0.42608695652173911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29952"/>
        <c:axId val="125631488"/>
      </c:scatterChart>
      <c:valAx>
        <c:axId val="125629952"/>
        <c:scaling>
          <c:orientation val="minMax"/>
        </c:scaling>
        <c:delete val="0"/>
        <c:axPos val="b"/>
        <c:majorTickMark val="out"/>
        <c:minorTickMark val="none"/>
        <c:tickLblPos val="nextTo"/>
        <c:crossAx val="125631488"/>
        <c:crosses val="autoZero"/>
        <c:crossBetween val="midCat"/>
      </c:valAx>
      <c:valAx>
        <c:axId val="125631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56299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deep!$D$1</c:f>
              <c:strCache>
                <c:ptCount val="1"/>
                <c:pt idx="0">
                  <c:v>d/a</c:v>
                </c:pt>
              </c:strCache>
            </c:strRef>
          </c:tx>
          <c:spPr>
            <a:ln w="28575">
              <a:noFill/>
            </a:ln>
          </c:spPr>
          <c:yVal>
            <c:numRef>
              <c:f>deep!$D$2:$D$12</c:f>
              <c:numCache>
                <c:formatCode>General</c:formatCode>
                <c:ptCount val="11"/>
                <c:pt idx="0">
                  <c:v>3.1</c:v>
                </c:pt>
                <c:pt idx="1">
                  <c:v>3.1</c:v>
                </c:pt>
                <c:pt idx="2">
                  <c:v>3.1</c:v>
                </c:pt>
                <c:pt idx="3">
                  <c:v>3.1</c:v>
                </c:pt>
                <c:pt idx="4">
                  <c:v>3.1</c:v>
                </c:pt>
                <c:pt idx="5">
                  <c:v>3.1</c:v>
                </c:pt>
                <c:pt idx="6">
                  <c:v>3.1</c:v>
                </c:pt>
                <c:pt idx="7">
                  <c:v>3.1</c:v>
                </c:pt>
                <c:pt idx="8">
                  <c:v>3.1</c:v>
                </c:pt>
                <c:pt idx="9">
                  <c:v>3.1</c:v>
                </c:pt>
                <c:pt idx="10">
                  <c:v>2.86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39296"/>
        <c:axId val="125665664"/>
      </c:scatterChart>
      <c:valAx>
        <c:axId val="125639296"/>
        <c:scaling>
          <c:orientation val="minMax"/>
        </c:scaling>
        <c:delete val="0"/>
        <c:axPos val="b"/>
        <c:majorTickMark val="out"/>
        <c:minorTickMark val="none"/>
        <c:tickLblPos val="nextTo"/>
        <c:crossAx val="125665664"/>
        <c:crosses val="autoZero"/>
        <c:crossBetween val="midCat"/>
      </c:valAx>
      <c:valAx>
        <c:axId val="125665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56392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deep!$AO$1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>
              <a:noFill/>
            </a:ln>
          </c:spPr>
          <c:yVal>
            <c:numRef>
              <c:f>deep!$AO$2:$AO$331</c:f>
              <c:numCache>
                <c:formatCode>General</c:formatCode>
                <c:ptCount val="330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81664"/>
        <c:axId val="125683200"/>
      </c:scatterChart>
      <c:valAx>
        <c:axId val="125681664"/>
        <c:scaling>
          <c:orientation val="minMax"/>
        </c:scaling>
        <c:delete val="0"/>
        <c:axPos val="b"/>
        <c:majorTickMark val="out"/>
        <c:minorTickMark val="none"/>
        <c:tickLblPos val="nextTo"/>
        <c:crossAx val="125683200"/>
        <c:crosses val="autoZero"/>
        <c:crossBetween val="midCat"/>
      </c:valAx>
      <c:valAx>
        <c:axId val="125683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56816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9.3050938662043975E-2"/>
          <c:y val="0.21862142551034885"/>
          <c:w val="0.87614621410836968"/>
          <c:h val="0.68826157417225997"/>
        </c:manualLayout>
      </c:layout>
      <c:scatterChart>
        <c:scatterStyle val="lineMarker"/>
        <c:varyColors val="0"/>
        <c:ser>
          <c:idx val="0"/>
          <c:order val="0"/>
          <c:tx>
            <c:strRef>
              <c:f>deep_2!$V$1</c:f>
              <c:strCache>
                <c:ptCount val="1"/>
                <c:pt idx="0">
                  <c:v>V/(2*sqrt(fc) bd)</c:v>
                </c:pt>
              </c:strCache>
            </c:strRef>
          </c:tx>
          <c:spPr>
            <a:ln w="28575">
              <a:noFill/>
            </a:ln>
          </c:spPr>
          <c:yVal>
            <c:numRef>
              <c:f>deep_2!$V$2:$V$17</c:f>
              <c:numCache>
                <c:formatCode>General</c:formatCode>
                <c:ptCount val="16"/>
                <c:pt idx="0">
                  <c:v>0.18455414226027525</c:v>
                </c:pt>
                <c:pt idx="1">
                  <c:v>0.22033504739236945</c:v>
                </c:pt>
                <c:pt idx="2">
                  <c:v>0.32956096832192006</c:v>
                </c:pt>
                <c:pt idx="3">
                  <c:v>0.43313727265166641</c:v>
                </c:pt>
                <c:pt idx="4">
                  <c:v>0.12957951902145631</c:v>
                </c:pt>
                <c:pt idx="5">
                  <c:v>0.21596586503576051</c:v>
                </c:pt>
                <c:pt idx="6">
                  <c:v>0.27486564640914973</c:v>
                </c:pt>
                <c:pt idx="7">
                  <c:v>0.32002214546208152</c:v>
                </c:pt>
                <c:pt idx="8">
                  <c:v>0.36910529660657254</c:v>
                </c:pt>
                <c:pt idx="9">
                  <c:v>0.39266520915592823</c:v>
                </c:pt>
                <c:pt idx="10">
                  <c:v>0.30607387310702622</c:v>
                </c:pt>
                <c:pt idx="11">
                  <c:v>0.4591108096605393</c:v>
                </c:pt>
                <c:pt idx="12">
                  <c:v>0.53052804671884546</c:v>
                </c:pt>
                <c:pt idx="13">
                  <c:v>0.63255267108785418</c:v>
                </c:pt>
                <c:pt idx="14">
                  <c:v>0.7345772954568629</c:v>
                </c:pt>
                <c:pt idx="15">
                  <c:v>0.77538714520446639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13984"/>
        <c:axId val="126315520"/>
      </c:scatterChart>
      <c:valAx>
        <c:axId val="126313984"/>
        <c:scaling>
          <c:orientation val="minMax"/>
        </c:scaling>
        <c:delete val="0"/>
        <c:axPos val="b"/>
        <c:majorTickMark val="out"/>
        <c:minorTickMark val="none"/>
        <c:tickLblPos val="nextTo"/>
        <c:crossAx val="126315520"/>
        <c:crosses val="autoZero"/>
        <c:crossBetween val="midCat"/>
      </c:valAx>
      <c:valAx>
        <c:axId val="126315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63139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deep_2!$W$1</c:f>
              <c:strCache>
                <c:ptCount val="1"/>
                <c:pt idx="0">
                  <c:v>M/M_fracture</c:v>
                </c:pt>
              </c:strCache>
            </c:strRef>
          </c:tx>
          <c:spPr>
            <a:ln w="28575">
              <a:noFill/>
            </a:ln>
          </c:spPr>
          <c:yVal>
            <c:numRef>
              <c:f>deep_2!$W$2:$W$2</c:f>
              <c:numCache>
                <c:formatCode>General</c:formatCode>
                <c:ptCount val="1"/>
                <c:pt idx="0">
                  <c:v>0.42608695652173911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31520"/>
        <c:axId val="126353792"/>
      </c:scatterChart>
      <c:valAx>
        <c:axId val="126331520"/>
        <c:scaling>
          <c:orientation val="minMax"/>
        </c:scaling>
        <c:delete val="0"/>
        <c:axPos val="b"/>
        <c:majorTickMark val="out"/>
        <c:minorTickMark val="none"/>
        <c:tickLblPos val="nextTo"/>
        <c:crossAx val="126353792"/>
        <c:crosses val="autoZero"/>
        <c:crossBetween val="midCat"/>
      </c:valAx>
      <c:valAx>
        <c:axId val="126353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63315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deep_2!$D$1</c:f>
              <c:strCache>
                <c:ptCount val="1"/>
                <c:pt idx="0">
                  <c:v>d/a</c:v>
                </c:pt>
              </c:strCache>
            </c:strRef>
          </c:tx>
          <c:spPr>
            <a:ln w="28575">
              <a:noFill/>
            </a:ln>
          </c:spPr>
          <c:yVal>
            <c:numRef>
              <c:f>deep_2!$D$2:$D$2</c:f>
              <c:numCache>
                <c:formatCode>General</c:formatCode>
                <c:ptCount val="1"/>
                <c:pt idx="0">
                  <c:v>2.86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82080"/>
        <c:axId val="126383616"/>
      </c:scatterChart>
      <c:valAx>
        <c:axId val="126382080"/>
        <c:scaling>
          <c:orientation val="minMax"/>
        </c:scaling>
        <c:delete val="0"/>
        <c:axPos val="b"/>
        <c:majorTickMark val="out"/>
        <c:minorTickMark val="none"/>
        <c:tickLblPos val="nextTo"/>
        <c:crossAx val="126383616"/>
        <c:crosses val="autoZero"/>
        <c:crossBetween val="midCat"/>
      </c:valAx>
      <c:valAx>
        <c:axId val="126383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63820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deep_2!$AM$1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>
              <a:noFill/>
            </a:ln>
          </c:spPr>
          <c:yVal>
            <c:numRef>
              <c:f>deep_2!$AM$2:$AM$321</c:f>
              <c:numCache>
                <c:formatCode>General</c:formatCode>
                <c:ptCount val="320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99616"/>
        <c:axId val="126401152"/>
      </c:scatterChart>
      <c:valAx>
        <c:axId val="126399616"/>
        <c:scaling>
          <c:orientation val="minMax"/>
        </c:scaling>
        <c:delete val="0"/>
        <c:axPos val="b"/>
        <c:majorTickMark val="out"/>
        <c:minorTickMark val="none"/>
        <c:tickLblPos val="nextTo"/>
        <c:crossAx val="126401152"/>
        <c:crosses val="autoZero"/>
        <c:crossBetween val="midCat"/>
      </c:valAx>
      <c:valAx>
        <c:axId val="126401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63996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7.0034889191162547E-2"/>
          <c:y val="0.17440830765719503"/>
          <c:w val="0.8796678395735813"/>
          <c:h val="0.67570428696412943"/>
        </c:manualLayout>
      </c:layout>
      <c:scatterChart>
        <c:scatterStyle val="lineMarker"/>
        <c:varyColors val="0"/>
        <c:ser>
          <c:idx val="0"/>
          <c:order val="0"/>
          <c:tx>
            <c:strRef>
              <c:f>Purdu_2!$W$1</c:f>
              <c:strCache>
                <c:ptCount val="1"/>
                <c:pt idx="0">
                  <c:v>M/M_fracture</c:v>
                </c:pt>
              </c:strCache>
            </c:strRef>
          </c:tx>
          <c:spPr>
            <a:ln w="28575">
              <a:noFill/>
            </a:ln>
          </c:spPr>
          <c:yVal>
            <c:numRef>
              <c:f>Purdu_2!$W$2:$W$83</c:f>
              <c:numCache>
                <c:formatCode>General</c:formatCode>
                <c:ptCount val="81"/>
                <c:pt idx="0">
                  <c:v>0.31578947368421051</c:v>
                </c:pt>
                <c:pt idx="1">
                  <c:v>0.36842105263157893</c:v>
                </c:pt>
                <c:pt idx="2">
                  <c:v>0.42105263157894735</c:v>
                </c:pt>
                <c:pt idx="3">
                  <c:v>0.47368421052631576</c:v>
                </c:pt>
                <c:pt idx="4">
                  <c:v>0.52631578947368418</c:v>
                </c:pt>
                <c:pt idx="5">
                  <c:v>0.57894736842105265</c:v>
                </c:pt>
                <c:pt idx="6">
                  <c:v>0.63157894736842102</c:v>
                </c:pt>
                <c:pt idx="7">
                  <c:v>0.68421052631578938</c:v>
                </c:pt>
                <c:pt idx="8">
                  <c:v>1</c:v>
                </c:pt>
                <c:pt idx="9">
                  <c:v>0.16393442622950818</c:v>
                </c:pt>
                <c:pt idx="10">
                  <c:v>0.21857923497267759</c:v>
                </c:pt>
                <c:pt idx="11">
                  <c:v>0.27322404371584696</c:v>
                </c:pt>
                <c:pt idx="12">
                  <c:v>0.32786885245901637</c:v>
                </c:pt>
                <c:pt idx="13">
                  <c:v>0.38251366120218577</c:v>
                </c:pt>
                <c:pt idx="14">
                  <c:v>0.43715846994535518</c:v>
                </c:pt>
                <c:pt idx="15">
                  <c:v>0.49180327868852458</c:v>
                </c:pt>
                <c:pt idx="16">
                  <c:v>0.54644808743169393</c:v>
                </c:pt>
                <c:pt idx="17">
                  <c:v>0.60109289617486339</c:v>
                </c:pt>
                <c:pt idx="18">
                  <c:v>0.65573770491803274</c:v>
                </c:pt>
                <c:pt idx="19">
                  <c:v>0.71038251366120209</c:v>
                </c:pt>
                <c:pt idx="20">
                  <c:v>0.76502732240437155</c:v>
                </c:pt>
                <c:pt idx="21">
                  <c:v>1</c:v>
                </c:pt>
                <c:pt idx="22">
                  <c:v>0.33333333333333337</c:v>
                </c:pt>
                <c:pt idx="23">
                  <c:v>0.37037037037037041</c:v>
                </c:pt>
                <c:pt idx="24">
                  <c:v>0.66666666666666674</c:v>
                </c:pt>
                <c:pt idx="25">
                  <c:v>0.77777777777777779</c:v>
                </c:pt>
                <c:pt idx="26">
                  <c:v>0.88888888888888895</c:v>
                </c:pt>
                <c:pt idx="27">
                  <c:v>1</c:v>
                </c:pt>
                <c:pt idx="28">
                  <c:v>0.4</c:v>
                </c:pt>
                <c:pt idx="29">
                  <c:v>0.5</c:v>
                </c:pt>
                <c:pt idx="30">
                  <c:v>0.60000000000000009</c:v>
                </c:pt>
                <c:pt idx="31">
                  <c:v>0.70000000000000007</c:v>
                </c:pt>
                <c:pt idx="32">
                  <c:v>0.8</c:v>
                </c:pt>
                <c:pt idx="33">
                  <c:v>0.9</c:v>
                </c:pt>
                <c:pt idx="34">
                  <c:v>1</c:v>
                </c:pt>
                <c:pt idx="35">
                  <c:v>0.38709677419354843</c:v>
                </c:pt>
                <c:pt idx="36">
                  <c:v>0.4838709677419355</c:v>
                </c:pt>
                <c:pt idx="37">
                  <c:v>0.58064516129032273</c:v>
                </c:pt>
                <c:pt idx="38">
                  <c:v>0.67741935483870974</c:v>
                </c:pt>
                <c:pt idx="39">
                  <c:v>0.77419354838709686</c:v>
                </c:pt>
                <c:pt idx="40">
                  <c:v>0.87096774193548399</c:v>
                </c:pt>
                <c:pt idx="41">
                  <c:v>1</c:v>
                </c:pt>
                <c:pt idx="42">
                  <c:v>0.41379310344827586</c:v>
                </c:pt>
                <c:pt idx="43">
                  <c:v>0.51724137931034475</c:v>
                </c:pt>
                <c:pt idx="44">
                  <c:v>0.62068965517241381</c:v>
                </c:pt>
                <c:pt idx="45">
                  <c:v>0.72413793103448276</c:v>
                </c:pt>
                <c:pt idx="46">
                  <c:v>0.82758620689655171</c:v>
                </c:pt>
                <c:pt idx="47">
                  <c:v>0.93103448275862066</c:v>
                </c:pt>
                <c:pt idx="48">
                  <c:v>1</c:v>
                </c:pt>
                <c:pt idx="49">
                  <c:v>0.23076923076923075</c:v>
                </c:pt>
                <c:pt idx="50">
                  <c:v>0.30769230769230771</c:v>
                </c:pt>
                <c:pt idx="51">
                  <c:v>0.38461538461538469</c:v>
                </c:pt>
                <c:pt idx="52">
                  <c:v>0.46153846153846151</c:v>
                </c:pt>
                <c:pt idx="53">
                  <c:v>0.53846153846153855</c:v>
                </c:pt>
                <c:pt idx="54">
                  <c:v>0.61538461538461542</c:v>
                </c:pt>
                <c:pt idx="55">
                  <c:v>0.6923076923076924</c:v>
                </c:pt>
                <c:pt idx="56">
                  <c:v>0.76923076923076938</c:v>
                </c:pt>
                <c:pt idx="57">
                  <c:v>0.84615384615384626</c:v>
                </c:pt>
                <c:pt idx="58">
                  <c:v>1</c:v>
                </c:pt>
                <c:pt idx="59">
                  <c:v>0.22222222222222218</c:v>
                </c:pt>
                <c:pt idx="60">
                  <c:v>0.29629629629629628</c:v>
                </c:pt>
                <c:pt idx="61">
                  <c:v>0.37037037037037035</c:v>
                </c:pt>
                <c:pt idx="62">
                  <c:v>0.44444444444444436</c:v>
                </c:pt>
                <c:pt idx="63">
                  <c:v>0.51851851851851849</c:v>
                </c:pt>
                <c:pt idx="64">
                  <c:v>0.59259259259259256</c:v>
                </c:pt>
                <c:pt idx="65">
                  <c:v>0.66666666666666663</c:v>
                </c:pt>
                <c:pt idx="66">
                  <c:v>0.7407407407407407</c:v>
                </c:pt>
                <c:pt idx="67">
                  <c:v>0.81481481481481477</c:v>
                </c:pt>
                <c:pt idx="68">
                  <c:v>1</c:v>
                </c:pt>
                <c:pt idx="69">
                  <c:v>0.44444444444444448</c:v>
                </c:pt>
                <c:pt idx="70">
                  <c:v>0.55555555555555558</c:v>
                </c:pt>
                <c:pt idx="71">
                  <c:v>0.7777777777777779</c:v>
                </c:pt>
                <c:pt idx="72">
                  <c:v>0.88888888888888895</c:v>
                </c:pt>
                <c:pt idx="73">
                  <c:v>1</c:v>
                </c:pt>
                <c:pt idx="74">
                  <c:v>0.41379310344827586</c:v>
                </c:pt>
                <c:pt idx="75">
                  <c:v>0.51724137931034475</c:v>
                </c:pt>
                <c:pt idx="76">
                  <c:v>0.62068965517241381</c:v>
                </c:pt>
                <c:pt idx="77">
                  <c:v>0.72413793103448276</c:v>
                </c:pt>
                <c:pt idx="78">
                  <c:v>0.82758620689655171</c:v>
                </c:pt>
                <c:pt idx="79">
                  <c:v>0.93103448275862066</c:v>
                </c:pt>
                <c:pt idx="8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56832"/>
        <c:axId val="128858368"/>
      </c:scatterChart>
      <c:valAx>
        <c:axId val="128856832"/>
        <c:scaling>
          <c:orientation val="minMax"/>
        </c:scaling>
        <c:delete val="0"/>
        <c:axPos val="b"/>
        <c:majorTickMark val="out"/>
        <c:minorTickMark val="none"/>
        <c:tickLblPos val="nextTo"/>
        <c:crossAx val="128858368"/>
        <c:crosses val="autoZero"/>
        <c:crossBetween val="midCat"/>
      </c:valAx>
      <c:valAx>
        <c:axId val="128858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88568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Purdu_2!$V$1</c:f>
              <c:strCache>
                <c:ptCount val="1"/>
                <c:pt idx="0">
                  <c:v>V/(2*sqrt(fc) bd)</c:v>
                </c:pt>
              </c:strCache>
            </c:strRef>
          </c:tx>
          <c:spPr>
            <a:ln w="28575">
              <a:noFill/>
            </a:ln>
          </c:spPr>
          <c:yVal>
            <c:numRef>
              <c:f>Purdu_2!$V$2:$V$83</c:f>
              <c:numCache>
                <c:formatCode>General</c:formatCode>
                <c:ptCount val="81"/>
                <c:pt idx="0">
                  <c:v>0.40030406141752073</c:v>
                </c:pt>
                <c:pt idx="1">
                  <c:v>0.46702140498710754</c:v>
                </c:pt>
                <c:pt idx="2">
                  <c:v>0.53373874855669434</c:v>
                </c:pt>
                <c:pt idx="3">
                  <c:v>0.60045609212628115</c:v>
                </c:pt>
                <c:pt idx="4">
                  <c:v>0.66717343569586796</c:v>
                </c:pt>
                <c:pt idx="5">
                  <c:v>0.73389077926545476</c:v>
                </c:pt>
                <c:pt idx="6">
                  <c:v>0.80060812283504146</c:v>
                </c:pt>
                <c:pt idx="7">
                  <c:v>0.86732546640462826</c:v>
                </c:pt>
                <c:pt idx="8">
                  <c:v>1.267629527822149</c:v>
                </c:pt>
                <c:pt idx="9">
                  <c:v>0.18876594822233123</c:v>
                </c:pt>
                <c:pt idx="10">
                  <c:v>0.25168793096310832</c:v>
                </c:pt>
                <c:pt idx="11">
                  <c:v>0.31460991370388541</c:v>
                </c:pt>
                <c:pt idx="12">
                  <c:v>0.37753189644466245</c:v>
                </c:pt>
                <c:pt idx="13">
                  <c:v>0.44045387918543949</c:v>
                </c:pt>
                <c:pt idx="14">
                  <c:v>0.50337586192621664</c:v>
                </c:pt>
                <c:pt idx="15">
                  <c:v>0.56629784466699373</c:v>
                </c:pt>
                <c:pt idx="16">
                  <c:v>0.62921982740777083</c:v>
                </c:pt>
                <c:pt idx="17">
                  <c:v>0.69214181014854792</c:v>
                </c:pt>
                <c:pt idx="18">
                  <c:v>0.7550637928893249</c:v>
                </c:pt>
                <c:pt idx="19">
                  <c:v>0.817985775630102</c:v>
                </c:pt>
                <c:pt idx="20">
                  <c:v>0.88090775837087898</c:v>
                </c:pt>
                <c:pt idx="21">
                  <c:v>1.1514722841562204</c:v>
                </c:pt>
                <c:pt idx="22">
                  <c:v>0.26639456800250316</c:v>
                </c:pt>
                <c:pt idx="23">
                  <c:v>0.29599396444722575</c:v>
                </c:pt>
                <c:pt idx="24">
                  <c:v>0.53278913600500633</c:v>
                </c:pt>
                <c:pt idx="25">
                  <c:v>0.62158732533917405</c:v>
                </c:pt>
                <c:pt idx="26">
                  <c:v>0.71038551467334188</c:v>
                </c:pt>
                <c:pt idx="27">
                  <c:v>0.79918370400750949</c:v>
                </c:pt>
                <c:pt idx="28">
                  <c:v>0.47317331021064357</c:v>
                </c:pt>
                <c:pt idx="29">
                  <c:v>0.59146663776330444</c:v>
                </c:pt>
                <c:pt idx="30">
                  <c:v>0.7097599653159653</c:v>
                </c:pt>
                <c:pt idx="31">
                  <c:v>0.82805329286862628</c:v>
                </c:pt>
                <c:pt idx="32">
                  <c:v>0.94634662042128714</c:v>
                </c:pt>
                <c:pt idx="33">
                  <c:v>1.0646399479739479</c:v>
                </c:pt>
                <c:pt idx="34">
                  <c:v>1.1829332755266089</c:v>
                </c:pt>
                <c:pt idx="35">
                  <c:v>0.47003971212977846</c:v>
                </c:pt>
                <c:pt idx="36">
                  <c:v>0.587549640162223</c:v>
                </c:pt>
                <c:pt idx="37">
                  <c:v>0.70505956819466753</c:v>
                </c:pt>
                <c:pt idx="38">
                  <c:v>0.82256949622711217</c:v>
                </c:pt>
                <c:pt idx="39">
                  <c:v>0.94007942425955693</c:v>
                </c:pt>
                <c:pt idx="40">
                  <c:v>1.0575893522920015</c:v>
                </c:pt>
                <c:pt idx="41">
                  <c:v>1.2142692563352608</c:v>
                </c:pt>
                <c:pt idx="42">
                  <c:v>0.4680723709299538</c:v>
                </c:pt>
                <c:pt idx="43">
                  <c:v>0.58509046366244211</c:v>
                </c:pt>
                <c:pt idx="44">
                  <c:v>0.70210855639493053</c:v>
                </c:pt>
                <c:pt idx="45">
                  <c:v>0.81912664912741906</c:v>
                </c:pt>
                <c:pt idx="46">
                  <c:v>0.93614474185990759</c:v>
                </c:pt>
                <c:pt idx="47">
                  <c:v>1.053162834592396</c:v>
                </c:pt>
                <c:pt idx="48">
                  <c:v>1.1311748964140549</c:v>
                </c:pt>
                <c:pt idx="49">
                  <c:v>0.19362381378787558</c:v>
                </c:pt>
                <c:pt idx="50">
                  <c:v>0.25816508505050079</c:v>
                </c:pt>
                <c:pt idx="51">
                  <c:v>0.32270635631312605</c:v>
                </c:pt>
                <c:pt idx="52">
                  <c:v>0.38724762757575115</c:v>
                </c:pt>
                <c:pt idx="53">
                  <c:v>0.45178889883837636</c:v>
                </c:pt>
                <c:pt idx="54">
                  <c:v>0.51633017010100157</c:v>
                </c:pt>
                <c:pt idx="55">
                  <c:v>0.58087144136362678</c:v>
                </c:pt>
                <c:pt idx="56">
                  <c:v>0.64541271262625211</c:v>
                </c:pt>
                <c:pt idx="57">
                  <c:v>0.7099539838888772</c:v>
                </c:pt>
                <c:pt idx="58">
                  <c:v>0.83903652641412751</c:v>
                </c:pt>
                <c:pt idx="59">
                  <c:v>0.19362381378787558</c:v>
                </c:pt>
                <c:pt idx="60">
                  <c:v>0.25816508505050079</c:v>
                </c:pt>
                <c:pt idx="61">
                  <c:v>0.32270635631312605</c:v>
                </c:pt>
                <c:pt idx="62">
                  <c:v>0.38724762757575115</c:v>
                </c:pt>
                <c:pt idx="63">
                  <c:v>0.45178889883837636</c:v>
                </c:pt>
                <c:pt idx="64">
                  <c:v>0.51633017010100157</c:v>
                </c:pt>
                <c:pt idx="65">
                  <c:v>0.58087144136362678</c:v>
                </c:pt>
                <c:pt idx="66">
                  <c:v>0.64541271262625211</c:v>
                </c:pt>
                <c:pt idx="67">
                  <c:v>0.7099539838888772</c:v>
                </c:pt>
                <c:pt idx="68">
                  <c:v>0.87130716204544012</c:v>
                </c:pt>
                <c:pt idx="69">
                  <c:v>0.45036754813223839</c:v>
                </c:pt>
                <c:pt idx="70">
                  <c:v>0.56295943516529789</c:v>
                </c:pt>
                <c:pt idx="71">
                  <c:v>0.78814320923141712</c:v>
                </c:pt>
                <c:pt idx="72">
                  <c:v>0.90073509626447679</c:v>
                </c:pt>
                <c:pt idx="73">
                  <c:v>1.0133269832975362</c:v>
                </c:pt>
                <c:pt idx="74">
                  <c:v>0.45036754813223839</c:v>
                </c:pt>
                <c:pt idx="75">
                  <c:v>0.56295943516529789</c:v>
                </c:pt>
                <c:pt idx="76">
                  <c:v>0.67555132219835745</c:v>
                </c:pt>
                <c:pt idx="77">
                  <c:v>0.78814320923141712</c:v>
                </c:pt>
                <c:pt idx="78">
                  <c:v>0.90073509626447679</c:v>
                </c:pt>
                <c:pt idx="79">
                  <c:v>1.0133269832975362</c:v>
                </c:pt>
                <c:pt idx="80">
                  <c:v>1.088388241319576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87040"/>
        <c:axId val="128892928"/>
      </c:scatterChart>
      <c:valAx>
        <c:axId val="128887040"/>
        <c:scaling>
          <c:orientation val="minMax"/>
        </c:scaling>
        <c:delete val="0"/>
        <c:axPos val="b"/>
        <c:majorTickMark val="out"/>
        <c:minorTickMark val="none"/>
        <c:tickLblPos val="nextTo"/>
        <c:crossAx val="128892928"/>
        <c:crosses val="autoZero"/>
        <c:crossBetween val="midCat"/>
      </c:valAx>
      <c:valAx>
        <c:axId val="128892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88870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Purdu_2!$D$1</c:f>
              <c:strCache>
                <c:ptCount val="1"/>
                <c:pt idx="0">
                  <c:v>d/a</c:v>
                </c:pt>
              </c:strCache>
            </c:strRef>
          </c:tx>
          <c:spPr>
            <a:ln w="28575">
              <a:noFill/>
            </a:ln>
          </c:spPr>
          <c:yVal>
            <c:numRef>
              <c:f>Purdu_2!$D$2:$D$83</c:f>
              <c:numCache>
                <c:formatCode>General</c:formatCode>
                <c:ptCount val="81"/>
                <c:pt idx="0">
                  <c:v>2.2857142857142856</c:v>
                </c:pt>
                <c:pt idx="1">
                  <c:v>2.2857142857142856</c:v>
                </c:pt>
                <c:pt idx="2">
                  <c:v>2.2857142857142856</c:v>
                </c:pt>
                <c:pt idx="3">
                  <c:v>2.2857142857142856</c:v>
                </c:pt>
                <c:pt idx="4">
                  <c:v>2.2857142857142856</c:v>
                </c:pt>
                <c:pt idx="5">
                  <c:v>2.2857142857142856</c:v>
                </c:pt>
                <c:pt idx="6">
                  <c:v>2.2857142857142856</c:v>
                </c:pt>
                <c:pt idx="7">
                  <c:v>2.2857142857142856</c:v>
                </c:pt>
                <c:pt idx="8">
                  <c:v>2.2857142857142856</c:v>
                </c:pt>
                <c:pt idx="9">
                  <c:v>2.2857142857142856</c:v>
                </c:pt>
                <c:pt idx="10">
                  <c:v>2.2857142857142856</c:v>
                </c:pt>
                <c:pt idx="11">
                  <c:v>2.2857142857142856</c:v>
                </c:pt>
                <c:pt idx="12">
                  <c:v>2.2857142857142856</c:v>
                </c:pt>
                <c:pt idx="13">
                  <c:v>2.2857142857142856</c:v>
                </c:pt>
                <c:pt idx="14">
                  <c:v>2.2857142857142856</c:v>
                </c:pt>
                <c:pt idx="15">
                  <c:v>2.2857142857142856</c:v>
                </c:pt>
                <c:pt idx="16">
                  <c:v>2.2857142857142856</c:v>
                </c:pt>
                <c:pt idx="17">
                  <c:v>2.2857142857142856</c:v>
                </c:pt>
                <c:pt idx="18">
                  <c:v>2.2857142857142856</c:v>
                </c:pt>
                <c:pt idx="19">
                  <c:v>2.2857142857142856</c:v>
                </c:pt>
                <c:pt idx="20">
                  <c:v>2.2857142857142856</c:v>
                </c:pt>
                <c:pt idx="21">
                  <c:v>2.2857142857142856</c:v>
                </c:pt>
                <c:pt idx="22">
                  <c:v>2.2857142857142856</c:v>
                </c:pt>
                <c:pt idx="23">
                  <c:v>2.2857142857142856</c:v>
                </c:pt>
                <c:pt idx="24">
                  <c:v>2.2857142857142856</c:v>
                </c:pt>
                <c:pt idx="25">
                  <c:v>2.2857142857142856</c:v>
                </c:pt>
                <c:pt idx="26">
                  <c:v>2.2857142857142856</c:v>
                </c:pt>
                <c:pt idx="27">
                  <c:v>2.2857142857142856</c:v>
                </c:pt>
                <c:pt idx="28">
                  <c:v>2.2857142857142856</c:v>
                </c:pt>
                <c:pt idx="29">
                  <c:v>2.2857142857142856</c:v>
                </c:pt>
                <c:pt idx="30">
                  <c:v>2.2857142857142856</c:v>
                </c:pt>
                <c:pt idx="31">
                  <c:v>2.2857142857142856</c:v>
                </c:pt>
                <c:pt idx="32">
                  <c:v>2.2857142857142856</c:v>
                </c:pt>
                <c:pt idx="33">
                  <c:v>2.2857142857142856</c:v>
                </c:pt>
                <c:pt idx="34">
                  <c:v>2.2857142857142856</c:v>
                </c:pt>
                <c:pt idx="35">
                  <c:v>2.2857142857142856</c:v>
                </c:pt>
                <c:pt idx="36">
                  <c:v>2.2857142857142856</c:v>
                </c:pt>
                <c:pt idx="37">
                  <c:v>2.2857142857142856</c:v>
                </c:pt>
                <c:pt idx="38">
                  <c:v>2.2857142857142856</c:v>
                </c:pt>
                <c:pt idx="39">
                  <c:v>2.2857142857142856</c:v>
                </c:pt>
                <c:pt idx="40">
                  <c:v>2.2857142857142856</c:v>
                </c:pt>
                <c:pt idx="41">
                  <c:v>2.2857142857142856</c:v>
                </c:pt>
                <c:pt idx="42">
                  <c:v>2.2857142857142856</c:v>
                </c:pt>
                <c:pt idx="43">
                  <c:v>2.2857142857142856</c:v>
                </c:pt>
                <c:pt idx="44">
                  <c:v>2.2857142857142856</c:v>
                </c:pt>
                <c:pt idx="45">
                  <c:v>2.2857142857142856</c:v>
                </c:pt>
                <c:pt idx="46">
                  <c:v>2.2857142857142856</c:v>
                </c:pt>
                <c:pt idx="47">
                  <c:v>2.2857142857142856</c:v>
                </c:pt>
                <c:pt idx="48">
                  <c:v>2.2857142857142856</c:v>
                </c:pt>
                <c:pt idx="49">
                  <c:v>2.8571428571428572</c:v>
                </c:pt>
                <c:pt idx="50">
                  <c:v>2.8571428571428572</c:v>
                </c:pt>
                <c:pt idx="51">
                  <c:v>2.8571428571428572</c:v>
                </c:pt>
                <c:pt idx="52">
                  <c:v>2.8571428571428572</c:v>
                </c:pt>
                <c:pt idx="53">
                  <c:v>2.8571428571428572</c:v>
                </c:pt>
                <c:pt idx="54">
                  <c:v>2.8571428571428572</c:v>
                </c:pt>
                <c:pt idx="55">
                  <c:v>2.8571428571428572</c:v>
                </c:pt>
                <c:pt idx="56">
                  <c:v>2.8571428571428572</c:v>
                </c:pt>
                <c:pt idx="57">
                  <c:v>2.8571428571428572</c:v>
                </c:pt>
                <c:pt idx="58">
                  <c:v>2.8571428571428572</c:v>
                </c:pt>
                <c:pt idx="59">
                  <c:v>2.8571428571428572</c:v>
                </c:pt>
                <c:pt idx="60">
                  <c:v>2.8571428571428572</c:v>
                </c:pt>
                <c:pt idx="61">
                  <c:v>2.8571428571428572</c:v>
                </c:pt>
                <c:pt idx="62">
                  <c:v>2.8571428571428572</c:v>
                </c:pt>
                <c:pt idx="63">
                  <c:v>2.8571428571428572</c:v>
                </c:pt>
                <c:pt idx="64">
                  <c:v>2.8571428571428572</c:v>
                </c:pt>
                <c:pt idx="65">
                  <c:v>2.8571428571428572</c:v>
                </c:pt>
                <c:pt idx="66">
                  <c:v>2.8571428571428572</c:v>
                </c:pt>
                <c:pt idx="67">
                  <c:v>2.8571428571428572</c:v>
                </c:pt>
                <c:pt idx="68">
                  <c:v>2.8571428571428572</c:v>
                </c:pt>
                <c:pt idx="69">
                  <c:v>2.8571428571428572</c:v>
                </c:pt>
                <c:pt idx="70">
                  <c:v>2.8571428571428572</c:v>
                </c:pt>
                <c:pt idx="71">
                  <c:v>2.8571428571428572</c:v>
                </c:pt>
                <c:pt idx="72">
                  <c:v>2.8571428571428572</c:v>
                </c:pt>
                <c:pt idx="73">
                  <c:v>2.8571428571428572</c:v>
                </c:pt>
                <c:pt idx="74">
                  <c:v>2.8571428571428572</c:v>
                </c:pt>
                <c:pt idx="75">
                  <c:v>2.8571428571428572</c:v>
                </c:pt>
                <c:pt idx="76">
                  <c:v>2.8571428571428572</c:v>
                </c:pt>
                <c:pt idx="77">
                  <c:v>2.8571428571428572</c:v>
                </c:pt>
                <c:pt idx="78">
                  <c:v>2.8571428571428572</c:v>
                </c:pt>
                <c:pt idx="79">
                  <c:v>2.8571428571428572</c:v>
                </c:pt>
                <c:pt idx="80">
                  <c:v>2.8571428571428572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93184"/>
        <c:axId val="131294720"/>
      </c:scatterChart>
      <c:valAx>
        <c:axId val="131293184"/>
        <c:scaling>
          <c:orientation val="minMax"/>
        </c:scaling>
        <c:delete val="0"/>
        <c:axPos val="b"/>
        <c:majorTickMark val="out"/>
        <c:minorTickMark val="none"/>
        <c:tickLblPos val="nextTo"/>
        <c:crossAx val="131294720"/>
        <c:crosses val="autoZero"/>
        <c:crossBetween val="midCat"/>
      </c:valAx>
      <c:valAx>
        <c:axId val="131294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12931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Purdu_2!$AE$1</c:f>
              <c:strCache>
                <c:ptCount val="1"/>
                <c:pt idx="0">
                  <c:v>d (mm)</c:v>
                </c:pt>
              </c:strCache>
            </c:strRef>
          </c:tx>
          <c:spPr>
            <a:ln w="28575">
              <a:noFill/>
            </a:ln>
          </c:spPr>
          <c:yVal>
            <c:numRef>
              <c:f>Purdu_2!$AE$2:$AE$83</c:f>
              <c:numCache>
                <c:formatCode>General</c:formatCode>
                <c:ptCount val="81"/>
                <c:pt idx="0">
                  <c:v>666.75</c:v>
                </c:pt>
                <c:pt idx="1">
                  <c:v>666.75</c:v>
                </c:pt>
                <c:pt idx="2">
                  <c:v>666.75</c:v>
                </c:pt>
                <c:pt idx="3">
                  <c:v>666.75</c:v>
                </c:pt>
                <c:pt idx="4">
                  <c:v>666.75</c:v>
                </c:pt>
                <c:pt idx="5">
                  <c:v>666.75</c:v>
                </c:pt>
                <c:pt idx="6">
                  <c:v>666.75</c:v>
                </c:pt>
                <c:pt idx="7">
                  <c:v>666.75</c:v>
                </c:pt>
                <c:pt idx="8">
                  <c:v>666.75</c:v>
                </c:pt>
                <c:pt idx="9">
                  <c:v>666.75</c:v>
                </c:pt>
                <c:pt idx="10">
                  <c:v>666.75</c:v>
                </c:pt>
                <c:pt idx="11">
                  <c:v>666.75</c:v>
                </c:pt>
                <c:pt idx="12">
                  <c:v>666.75</c:v>
                </c:pt>
                <c:pt idx="13">
                  <c:v>666.75</c:v>
                </c:pt>
                <c:pt idx="14">
                  <c:v>666.75</c:v>
                </c:pt>
                <c:pt idx="15">
                  <c:v>666.75</c:v>
                </c:pt>
                <c:pt idx="16">
                  <c:v>666.75</c:v>
                </c:pt>
                <c:pt idx="17">
                  <c:v>666.75</c:v>
                </c:pt>
                <c:pt idx="18">
                  <c:v>666.75</c:v>
                </c:pt>
                <c:pt idx="19">
                  <c:v>666.75</c:v>
                </c:pt>
                <c:pt idx="20">
                  <c:v>666.75</c:v>
                </c:pt>
                <c:pt idx="21">
                  <c:v>666.75</c:v>
                </c:pt>
                <c:pt idx="22">
                  <c:v>266.7</c:v>
                </c:pt>
                <c:pt idx="23">
                  <c:v>266.7</c:v>
                </c:pt>
                <c:pt idx="24">
                  <c:v>266.7</c:v>
                </c:pt>
                <c:pt idx="25">
                  <c:v>266.7</c:v>
                </c:pt>
                <c:pt idx="26">
                  <c:v>266.7</c:v>
                </c:pt>
                <c:pt idx="27">
                  <c:v>266.7</c:v>
                </c:pt>
                <c:pt idx="28">
                  <c:v>266.7</c:v>
                </c:pt>
                <c:pt idx="29">
                  <c:v>266.7</c:v>
                </c:pt>
                <c:pt idx="30">
                  <c:v>266.7</c:v>
                </c:pt>
                <c:pt idx="31">
                  <c:v>266.7</c:v>
                </c:pt>
                <c:pt idx="32">
                  <c:v>266.7</c:v>
                </c:pt>
                <c:pt idx="33">
                  <c:v>266.7</c:v>
                </c:pt>
                <c:pt idx="34">
                  <c:v>266.7</c:v>
                </c:pt>
                <c:pt idx="35">
                  <c:v>266.7</c:v>
                </c:pt>
                <c:pt idx="36">
                  <c:v>266.7</c:v>
                </c:pt>
                <c:pt idx="37">
                  <c:v>266.7</c:v>
                </c:pt>
                <c:pt idx="38">
                  <c:v>266.7</c:v>
                </c:pt>
                <c:pt idx="39">
                  <c:v>266.7</c:v>
                </c:pt>
                <c:pt idx="40">
                  <c:v>266.7</c:v>
                </c:pt>
                <c:pt idx="41">
                  <c:v>266.7</c:v>
                </c:pt>
                <c:pt idx="42">
                  <c:v>266.7</c:v>
                </c:pt>
                <c:pt idx="43">
                  <c:v>266.7</c:v>
                </c:pt>
                <c:pt idx="44">
                  <c:v>266.7</c:v>
                </c:pt>
                <c:pt idx="45">
                  <c:v>266.7</c:v>
                </c:pt>
                <c:pt idx="46">
                  <c:v>266.7</c:v>
                </c:pt>
                <c:pt idx="47">
                  <c:v>266.7</c:v>
                </c:pt>
                <c:pt idx="48">
                  <c:v>266.7</c:v>
                </c:pt>
                <c:pt idx="49">
                  <c:v>666.75</c:v>
                </c:pt>
                <c:pt idx="50">
                  <c:v>666.75</c:v>
                </c:pt>
                <c:pt idx="51">
                  <c:v>666.75</c:v>
                </c:pt>
                <c:pt idx="52">
                  <c:v>666.75</c:v>
                </c:pt>
                <c:pt idx="53">
                  <c:v>666.75</c:v>
                </c:pt>
                <c:pt idx="54">
                  <c:v>666.75</c:v>
                </c:pt>
                <c:pt idx="55">
                  <c:v>666.75</c:v>
                </c:pt>
                <c:pt idx="56">
                  <c:v>666.75</c:v>
                </c:pt>
                <c:pt idx="57">
                  <c:v>666.75</c:v>
                </c:pt>
                <c:pt idx="58">
                  <c:v>666.75</c:v>
                </c:pt>
                <c:pt idx="59">
                  <c:v>666.75</c:v>
                </c:pt>
                <c:pt idx="60">
                  <c:v>666.75</c:v>
                </c:pt>
                <c:pt idx="61">
                  <c:v>666.75</c:v>
                </c:pt>
                <c:pt idx="62">
                  <c:v>666.75</c:v>
                </c:pt>
                <c:pt idx="63">
                  <c:v>666.75</c:v>
                </c:pt>
                <c:pt idx="64">
                  <c:v>666.75</c:v>
                </c:pt>
                <c:pt idx="65">
                  <c:v>666.75</c:v>
                </c:pt>
                <c:pt idx="66">
                  <c:v>666.75</c:v>
                </c:pt>
                <c:pt idx="67">
                  <c:v>666.75</c:v>
                </c:pt>
                <c:pt idx="68">
                  <c:v>666.75</c:v>
                </c:pt>
                <c:pt idx="69">
                  <c:v>266.7</c:v>
                </c:pt>
                <c:pt idx="70">
                  <c:v>266.7</c:v>
                </c:pt>
                <c:pt idx="71">
                  <c:v>266.7</c:v>
                </c:pt>
                <c:pt idx="72">
                  <c:v>266.7</c:v>
                </c:pt>
                <c:pt idx="73">
                  <c:v>266.7</c:v>
                </c:pt>
                <c:pt idx="74">
                  <c:v>266.7</c:v>
                </c:pt>
                <c:pt idx="75">
                  <c:v>266.7</c:v>
                </c:pt>
                <c:pt idx="76">
                  <c:v>266.7</c:v>
                </c:pt>
                <c:pt idx="77">
                  <c:v>266.7</c:v>
                </c:pt>
                <c:pt idx="78">
                  <c:v>266.7</c:v>
                </c:pt>
                <c:pt idx="79">
                  <c:v>266.7</c:v>
                </c:pt>
                <c:pt idx="80">
                  <c:v>266.7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07008"/>
        <c:axId val="131308544"/>
      </c:scatterChart>
      <c:valAx>
        <c:axId val="131307008"/>
        <c:scaling>
          <c:orientation val="minMax"/>
        </c:scaling>
        <c:delete val="0"/>
        <c:axPos val="b"/>
        <c:majorTickMark val="out"/>
        <c:minorTickMark val="none"/>
        <c:tickLblPos val="nextTo"/>
        <c:crossAx val="131308544"/>
        <c:crosses val="autoZero"/>
        <c:crossBetween val="midCat"/>
      </c:valAx>
      <c:valAx>
        <c:axId val="131308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13070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PCA_ex_postcap!$U$1</c:f>
              <c:strCache>
                <c:ptCount val="1"/>
                <c:pt idx="0">
                  <c:v>M/(rho  bd)</c:v>
                </c:pt>
              </c:strCache>
            </c:strRef>
          </c:tx>
          <c:spPr>
            <a:ln w="28575">
              <a:noFill/>
            </a:ln>
          </c:spPr>
          <c:yVal>
            <c:numRef>
              <c:f>PCA_ex_postcap!$U$2:$U$73</c:f>
              <c:numCache>
                <c:formatCode>General</c:formatCode>
                <c:ptCount val="72"/>
                <c:pt idx="0">
                  <c:v>0.23960257923497266</c:v>
                </c:pt>
                <c:pt idx="1">
                  <c:v>0.25606382513661202</c:v>
                </c:pt>
                <c:pt idx="2">
                  <c:v>0.29264437158469947</c:v>
                </c:pt>
                <c:pt idx="3">
                  <c:v>0.32922491803278686</c:v>
                </c:pt>
                <c:pt idx="4">
                  <c:v>0.36580546448087431</c:v>
                </c:pt>
                <c:pt idx="5">
                  <c:v>0.40238601092896176</c:v>
                </c:pt>
                <c:pt idx="6">
                  <c:v>0.43896655737704915</c:v>
                </c:pt>
                <c:pt idx="7">
                  <c:v>0.47554710382513665</c:v>
                </c:pt>
                <c:pt idx="8">
                  <c:v>0.51212765027322404</c:v>
                </c:pt>
                <c:pt idx="9">
                  <c:v>0.35346773333333337</c:v>
                </c:pt>
                <c:pt idx="10">
                  <c:v>0.43317124183006545</c:v>
                </c:pt>
                <c:pt idx="11">
                  <c:v>0.51980549019607847</c:v>
                </c:pt>
                <c:pt idx="12">
                  <c:v>0.60643973856209155</c:v>
                </c:pt>
                <c:pt idx="13">
                  <c:v>0.69307398692810473</c:v>
                </c:pt>
                <c:pt idx="14">
                  <c:v>0.77970823529411781</c:v>
                </c:pt>
                <c:pt idx="15">
                  <c:v>0.86634248366013089</c:v>
                </c:pt>
                <c:pt idx="16">
                  <c:v>0.95297673202614386</c:v>
                </c:pt>
                <c:pt idx="17">
                  <c:v>0.49066779481755679</c:v>
                </c:pt>
                <c:pt idx="18">
                  <c:v>0.52571549444738219</c:v>
                </c:pt>
                <c:pt idx="19">
                  <c:v>0.61333474352194606</c:v>
                </c:pt>
                <c:pt idx="20">
                  <c:v>0.70095399259650981</c:v>
                </c:pt>
                <c:pt idx="21">
                  <c:v>0.78857324167107357</c:v>
                </c:pt>
                <c:pt idx="22">
                  <c:v>0.87619249074563721</c:v>
                </c:pt>
                <c:pt idx="23">
                  <c:v>0.96381173982020085</c:v>
                </c:pt>
                <c:pt idx="24">
                  <c:v>1.0514309888947644</c:v>
                </c:pt>
                <c:pt idx="25">
                  <c:v>0.42266063348416288</c:v>
                </c:pt>
                <c:pt idx="26">
                  <c:v>0.50316742081447952</c:v>
                </c:pt>
                <c:pt idx="27">
                  <c:v>0.58702865761689282</c:v>
                </c:pt>
                <c:pt idx="28">
                  <c:v>0.67088989441930613</c:v>
                </c:pt>
                <c:pt idx="29">
                  <c:v>0.75475113122171944</c:v>
                </c:pt>
                <c:pt idx="30">
                  <c:v>0.83861236802413286</c:v>
                </c:pt>
                <c:pt idx="31">
                  <c:v>0.92247360482654595</c:v>
                </c:pt>
                <c:pt idx="32">
                  <c:v>1.006334841628959</c:v>
                </c:pt>
                <c:pt idx="33">
                  <c:v>0.23398170302603805</c:v>
                </c:pt>
                <c:pt idx="34">
                  <c:v>0.25997967002893113</c:v>
                </c:pt>
                <c:pt idx="35">
                  <c:v>0.31197560403471741</c:v>
                </c:pt>
                <c:pt idx="36">
                  <c:v>0.36397153804050364</c:v>
                </c:pt>
                <c:pt idx="37">
                  <c:v>0.41596747204628987</c:v>
                </c:pt>
                <c:pt idx="38">
                  <c:v>0.46796340605207609</c:v>
                </c:pt>
                <c:pt idx="39">
                  <c:v>0.51995934005786226</c:v>
                </c:pt>
                <c:pt idx="40">
                  <c:v>0.57195527406364854</c:v>
                </c:pt>
                <c:pt idx="41">
                  <c:v>0.62395120806943483</c:v>
                </c:pt>
                <c:pt idx="42">
                  <c:v>0.33955065359477132</c:v>
                </c:pt>
                <c:pt idx="43">
                  <c:v>0.40746078431372551</c:v>
                </c:pt>
                <c:pt idx="44">
                  <c:v>0.47537091503267975</c:v>
                </c:pt>
                <c:pt idx="45">
                  <c:v>0.54328104575163405</c:v>
                </c:pt>
                <c:pt idx="46">
                  <c:v>0.6111911764705884</c:v>
                </c:pt>
                <c:pt idx="47">
                  <c:v>0.67910130718954265</c:v>
                </c:pt>
                <c:pt idx="48">
                  <c:v>0.74701143790849678</c:v>
                </c:pt>
                <c:pt idx="49">
                  <c:v>0.81492156862745102</c:v>
                </c:pt>
                <c:pt idx="50">
                  <c:v>0.46809070866141733</c:v>
                </c:pt>
                <c:pt idx="51">
                  <c:v>0.50009691096305275</c:v>
                </c:pt>
                <c:pt idx="52">
                  <c:v>0.55010660205935802</c:v>
                </c:pt>
                <c:pt idx="53">
                  <c:v>0.60011629315566317</c:v>
                </c:pt>
                <c:pt idx="54">
                  <c:v>0.65012598425196855</c:v>
                </c:pt>
                <c:pt idx="55">
                  <c:v>0.70013567534827381</c:v>
                </c:pt>
                <c:pt idx="56">
                  <c:v>0.75014536644457908</c:v>
                </c:pt>
                <c:pt idx="57">
                  <c:v>0.80015505754088434</c:v>
                </c:pt>
                <c:pt idx="58">
                  <c:v>0.8501647486371896</c:v>
                </c:pt>
                <c:pt idx="59">
                  <c:v>0.90017443973349509</c:v>
                </c:pt>
                <c:pt idx="60">
                  <c:v>0.95018413082980036</c:v>
                </c:pt>
                <c:pt idx="61">
                  <c:v>1.0001938219261055</c:v>
                </c:pt>
                <c:pt idx="62">
                  <c:v>0.66142301417994731</c:v>
                </c:pt>
                <c:pt idx="63">
                  <c:v>0.71165767348475351</c:v>
                </c:pt>
                <c:pt idx="64">
                  <c:v>0.75351988957209193</c:v>
                </c:pt>
                <c:pt idx="65">
                  <c:v>0.79538210565943035</c:v>
                </c:pt>
                <c:pt idx="66">
                  <c:v>0.83724432174676888</c:v>
                </c:pt>
                <c:pt idx="67">
                  <c:v>0.87910653783410719</c:v>
                </c:pt>
                <c:pt idx="68">
                  <c:v>0.9209687539214455</c:v>
                </c:pt>
                <c:pt idx="69">
                  <c:v>0.96283097000878404</c:v>
                </c:pt>
                <c:pt idx="70">
                  <c:v>1.0046931860961223</c:v>
                </c:pt>
                <c:pt idx="71">
                  <c:v>1.0465554021834609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22496"/>
        <c:axId val="132124032"/>
      </c:scatterChart>
      <c:valAx>
        <c:axId val="132122496"/>
        <c:scaling>
          <c:orientation val="minMax"/>
        </c:scaling>
        <c:delete val="0"/>
        <c:axPos val="b"/>
        <c:majorTickMark val="out"/>
        <c:minorTickMark val="none"/>
        <c:tickLblPos val="nextTo"/>
        <c:crossAx val="132124032"/>
        <c:crosses val="autoZero"/>
        <c:crossBetween val="midCat"/>
      </c:valAx>
      <c:valAx>
        <c:axId val="132124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1224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6847462817147857"/>
          <c:y val="0.17628499562554681"/>
          <c:w val="0.69070713035870512"/>
          <c:h val="0.68921660834062404"/>
        </c:manualLayout>
      </c:layout>
      <c:scatterChart>
        <c:scatterStyle val="lineMarker"/>
        <c:varyColors val="0"/>
        <c:ser>
          <c:idx val="0"/>
          <c:order val="0"/>
          <c:tx>
            <c:strRef>
              <c:f>PCA_ex_postcap!$L$1</c:f>
              <c:strCache>
                <c:ptCount val="1"/>
                <c:pt idx="0">
                  <c:v>V/(bd)</c:v>
                </c:pt>
              </c:strCache>
            </c:strRef>
          </c:tx>
          <c:spPr>
            <a:ln w="28575">
              <a:noFill/>
            </a:ln>
          </c:spPr>
          <c:yVal>
            <c:numRef>
              <c:f>PCA_ex_postcap!$L$2:$L$73</c:f>
              <c:numCache>
                <c:formatCode>General</c:formatCode>
                <c:ptCount val="72"/>
                <c:pt idx="0">
                  <c:v>4.1173544375353309E-4</c:v>
                </c:pt>
                <c:pt idx="1">
                  <c:v>4.4002261164499722E-4</c:v>
                </c:pt>
                <c:pt idx="2">
                  <c:v>5.0288298473713966E-4</c:v>
                </c:pt>
                <c:pt idx="3">
                  <c:v>5.6574335782928211E-4</c:v>
                </c:pt>
                <c:pt idx="4">
                  <c:v>6.2860373092142455E-4</c:v>
                </c:pt>
                <c:pt idx="5">
                  <c:v>6.91464104013567E-4</c:v>
                </c:pt>
                <c:pt idx="6">
                  <c:v>7.5432447710570955E-4</c:v>
                </c:pt>
                <c:pt idx="7">
                  <c:v>8.17184850197852E-4</c:v>
                </c:pt>
                <c:pt idx="8">
                  <c:v>8.8004522328999444E-4</c:v>
                </c:pt>
                <c:pt idx="9">
                  <c:v>2.7974842767295599E-4</c:v>
                </c:pt>
                <c:pt idx="10">
                  <c:v>3.4282895548156376E-4</c:v>
                </c:pt>
                <c:pt idx="11">
                  <c:v>4.1139474657787644E-4</c:v>
                </c:pt>
                <c:pt idx="12">
                  <c:v>4.7996053767418917E-4</c:v>
                </c:pt>
                <c:pt idx="13">
                  <c:v>5.4852632877050195E-4</c:v>
                </c:pt>
                <c:pt idx="14">
                  <c:v>6.1709211986681468E-4</c:v>
                </c:pt>
                <c:pt idx="15">
                  <c:v>6.8565791096312752E-4</c:v>
                </c:pt>
                <c:pt idx="16">
                  <c:v>7.5422370205944014E-4</c:v>
                </c:pt>
                <c:pt idx="17">
                  <c:v>2.998098264365326E-4</c:v>
                </c:pt>
                <c:pt idx="18">
                  <c:v>3.2122481403914203E-4</c:v>
                </c:pt>
                <c:pt idx="19">
                  <c:v>3.7476228304566574E-4</c:v>
                </c:pt>
                <c:pt idx="20">
                  <c:v>4.2829975205218944E-4</c:v>
                </c:pt>
                <c:pt idx="21">
                  <c:v>4.8183722105871315E-4</c:v>
                </c:pt>
                <c:pt idx="22">
                  <c:v>5.3537469006523686E-4</c:v>
                </c:pt>
                <c:pt idx="23">
                  <c:v>5.8891215907176046E-4</c:v>
                </c:pt>
                <c:pt idx="24">
                  <c:v>6.4244962807828406E-4</c:v>
                </c:pt>
                <c:pt idx="25">
                  <c:v>2.2281379705166738E-4</c:v>
                </c:pt>
                <c:pt idx="26">
                  <c:v>2.65254520299604E-4</c:v>
                </c:pt>
                <c:pt idx="27">
                  <c:v>3.0946360701620472E-4</c:v>
                </c:pt>
                <c:pt idx="28">
                  <c:v>3.5367269373280538E-4</c:v>
                </c:pt>
                <c:pt idx="29">
                  <c:v>3.978817804494061E-4</c:v>
                </c:pt>
                <c:pt idx="30">
                  <c:v>4.4209086716600677E-4</c:v>
                </c:pt>
                <c:pt idx="31">
                  <c:v>4.8629995388260744E-4</c:v>
                </c:pt>
                <c:pt idx="32">
                  <c:v>5.30509040599208E-4</c:v>
                </c:pt>
                <c:pt idx="33">
                  <c:v>4.2318019408444155E-4</c:v>
                </c:pt>
                <c:pt idx="34">
                  <c:v>4.7020021564937953E-4</c:v>
                </c:pt>
                <c:pt idx="35">
                  <c:v>5.6424025877925544E-4</c:v>
                </c:pt>
                <c:pt idx="36">
                  <c:v>6.5828030190913129E-4</c:v>
                </c:pt>
                <c:pt idx="37">
                  <c:v>7.5232034503900725E-4</c:v>
                </c:pt>
                <c:pt idx="38">
                  <c:v>8.463603881688831E-4</c:v>
                </c:pt>
                <c:pt idx="39">
                  <c:v>9.4040043129875906E-4</c:v>
                </c:pt>
                <c:pt idx="40">
                  <c:v>1.034440474428635E-3</c:v>
                </c:pt>
                <c:pt idx="41">
                  <c:v>1.1284805175585109E-3</c:v>
                </c:pt>
                <c:pt idx="42">
                  <c:v>2.5760776900552286E-4</c:v>
                </c:pt>
                <c:pt idx="43">
                  <c:v>3.0912932280662735E-4</c:v>
                </c:pt>
                <c:pt idx="44">
                  <c:v>3.6065087660773194E-4</c:v>
                </c:pt>
                <c:pt idx="45">
                  <c:v>4.1217243040883654E-4</c:v>
                </c:pt>
                <c:pt idx="46">
                  <c:v>4.6369398420994113E-4</c:v>
                </c:pt>
                <c:pt idx="47">
                  <c:v>5.1521553801104573E-4</c:v>
                </c:pt>
                <c:pt idx="48">
                  <c:v>5.6673709181215021E-4</c:v>
                </c:pt>
                <c:pt idx="49">
                  <c:v>6.182586456132547E-4</c:v>
                </c:pt>
                <c:pt idx="50">
                  <c:v>2.9954413593037715E-4</c:v>
                </c:pt>
                <c:pt idx="51">
                  <c:v>3.2002578625040293E-4</c:v>
                </c:pt>
                <c:pt idx="52">
                  <c:v>3.5202836487544323E-4</c:v>
                </c:pt>
                <c:pt idx="53">
                  <c:v>3.8403094350048346E-4</c:v>
                </c:pt>
                <c:pt idx="54">
                  <c:v>4.1603352212552381E-4</c:v>
                </c:pt>
                <c:pt idx="55">
                  <c:v>4.4803610075056411E-4</c:v>
                </c:pt>
                <c:pt idx="56">
                  <c:v>4.800386793756044E-4</c:v>
                </c:pt>
                <c:pt idx="57">
                  <c:v>5.1204125800064469E-4</c:v>
                </c:pt>
                <c:pt idx="58">
                  <c:v>5.4404383662568498E-4</c:v>
                </c:pt>
                <c:pt idx="59">
                  <c:v>5.7604641525072528E-4</c:v>
                </c:pt>
                <c:pt idx="60">
                  <c:v>6.0804899387576557E-4</c:v>
                </c:pt>
                <c:pt idx="61">
                  <c:v>6.4005157250080586E-4</c:v>
                </c:pt>
                <c:pt idx="62">
                  <c:v>3.4868204316055619E-4</c:v>
                </c:pt>
                <c:pt idx="63">
                  <c:v>3.7516422365376298E-4</c:v>
                </c:pt>
                <c:pt idx="64">
                  <c:v>3.9723270739810198E-4</c:v>
                </c:pt>
                <c:pt idx="65">
                  <c:v>4.1930119114244103E-4</c:v>
                </c:pt>
                <c:pt idx="66">
                  <c:v>4.4136967488678003E-4</c:v>
                </c:pt>
                <c:pt idx="67">
                  <c:v>4.6343815863111897E-4</c:v>
                </c:pt>
                <c:pt idx="68">
                  <c:v>4.8550664237545797E-4</c:v>
                </c:pt>
                <c:pt idx="69">
                  <c:v>5.0757512611979702E-4</c:v>
                </c:pt>
                <c:pt idx="70">
                  <c:v>5.2964360986413597E-4</c:v>
                </c:pt>
                <c:pt idx="71">
                  <c:v>5.5171209360847491E-4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40416"/>
        <c:axId val="132154496"/>
      </c:scatterChart>
      <c:valAx>
        <c:axId val="132140416"/>
        <c:scaling>
          <c:orientation val="minMax"/>
        </c:scaling>
        <c:delete val="0"/>
        <c:axPos val="b"/>
        <c:majorTickMark val="out"/>
        <c:minorTickMark val="none"/>
        <c:tickLblPos val="nextTo"/>
        <c:crossAx val="132154496"/>
        <c:crosses val="autoZero"/>
        <c:crossBetween val="midCat"/>
      </c:valAx>
      <c:valAx>
        <c:axId val="132154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140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PCA_ex_postcap!$M$1</c:f>
              <c:strCache>
                <c:ptCount val="1"/>
                <c:pt idx="0">
                  <c:v>M/(bd)</c:v>
                </c:pt>
              </c:strCache>
            </c:strRef>
          </c:tx>
          <c:spPr>
            <a:ln w="28575">
              <a:noFill/>
            </a:ln>
          </c:spPr>
          <c:yVal>
            <c:numRef>
              <c:f>PCA_ex_postcap!$M$2:$M$73</c:f>
              <c:numCache>
                <c:formatCode>General</c:formatCode>
                <c:ptCount val="72"/>
                <c:pt idx="0">
                  <c:v>0.28752309508196722</c:v>
                </c:pt>
                <c:pt idx="1">
                  <c:v>0.30727659016393444</c:v>
                </c:pt>
                <c:pt idx="2">
                  <c:v>0.35117324590163934</c:v>
                </c:pt>
                <c:pt idx="3">
                  <c:v>0.39506990163934425</c:v>
                </c:pt>
                <c:pt idx="4">
                  <c:v>0.4389665573770492</c:v>
                </c:pt>
                <c:pt idx="5">
                  <c:v>0.48286321311475411</c:v>
                </c:pt>
                <c:pt idx="6">
                  <c:v>0.52675986885245896</c:v>
                </c:pt>
                <c:pt idx="7">
                  <c:v>0.57065652459016403</c:v>
                </c:pt>
                <c:pt idx="8">
                  <c:v>0.61455318032786888</c:v>
                </c:pt>
                <c:pt idx="9">
                  <c:v>0.44183466666666671</c:v>
                </c:pt>
                <c:pt idx="10">
                  <c:v>0.54146405228758177</c:v>
                </c:pt>
                <c:pt idx="11">
                  <c:v>0.64975686274509803</c:v>
                </c:pt>
                <c:pt idx="12">
                  <c:v>0.75804967320261452</c:v>
                </c:pt>
                <c:pt idx="13">
                  <c:v>0.86634248366013089</c:v>
                </c:pt>
                <c:pt idx="14">
                  <c:v>0.97463529411764727</c:v>
                </c:pt>
                <c:pt idx="15">
                  <c:v>1.0829281045751635</c:v>
                </c:pt>
                <c:pt idx="16">
                  <c:v>1.1912209150326798</c:v>
                </c:pt>
                <c:pt idx="17">
                  <c:v>0.60842806557377049</c:v>
                </c:pt>
                <c:pt idx="18">
                  <c:v>0.65188721311475395</c:v>
                </c:pt>
                <c:pt idx="19">
                  <c:v>0.76053508196721309</c:v>
                </c:pt>
                <c:pt idx="20">
                  <c:v>0.86918295081967223</c:v>
                </c:pt>
                <c:pt idx="21">
                  <c:v>0.97783081967213126</c:v>
                </c:pt>
                <c:pt idx="22">
                  <c:v>1.0864786885245903</c:v>
                </c:pt>
                <c:pt idx="23">
                  <c:v>1.1951265573770491</c:v>
                </c:pt>
                <c:pt idx="24">
                  <c:v>1.3037744262295079</c:v>
                </c:pt>
                <c:pt idx="25">
                  <c:v>0.54945882352941178</c:v>
                </c:pt>
                <c:pt idx="26">
                  <c:v>0.65411764705882347</c:v>
                </c:pt>
                <c:pt idx="27">
                  <c:v>0.76313725490196083</c:v>
                </c:pt>
                <c:pt idx="28">
                  <c:v>0.87215686274509807</c:v>
                </c:pt>
                <c:pt idx="29">
                  <c:v>0.98117647058823543</c:v>
                </c:pt>
                <c:pt idx="30">
                  <c:v>1.0901960784313729</c:v>
                </c:pt>
                <c:pt idx="31">
                  <c:v>1.1992156862745098</c:v>
                </c:pt>
                <c:pt idx="32">
                  <c:v>1.3082352941176469</c:v>
                </c:pt>
                <c:pt idx="33">
                  <c:v>0.29481694581280793</c:v>
                </c:pt>
                <c:pt idx="34">
                  <c:v>0.32757438423645324</c:v>
                </c:pt>
                <c:pt idx="35">
                  <c:v>0.39308926108374392</c:v>
                </c:pt>
                <c:pt idx="36">
                  <c:v>0.45860413793103455</c:v>
                </c:pt>
                <c:pt idx="37">
                  <c:v>0.52411901477832523</c:v>
                </c:pt>
                <c:pt idx="38">
                  <c:v>0.58963389162561586</c:v>
                </c:pt>
                <c:pt idx="39">
                  <c:v>0.65514876847290648</c:v>
                </c:pt>
                <c:pt idx="40">
                  <c:v>0.72066364532019711</c:v>
                </c:pt>
                <c:pt idx="41">
                  <c:v>0.78617852216748785</c:v>
                </c:pt>
                <c:pt idx="42">
                  <c:v>0.40746078431372557</c:v>
                </c:pt>
                <c:pt idx="43">
                  <c:v>0.48895294117647059</c:v>
                </c:pt>
                <c:pt idx="44">
                  <c:v>0.57044509803921573</c:v>
                </c:pt>
                <c:pt idx="45">
                  <c:v>0.65193725490196075</c:v>
                </c:pt>
                <c:pt idx="46">
                  <c:v>0.733429411764706</c:v>
                </c:pt>
                <c:pt idx="47">
                  <c:v>0.81492156862745113</c:v>
                </c:pt>
                <c:pt idx="48">
                  <c:v>0.89641372549019604</c:v>
                </c:pt>
                <c:pt idx="49">
                  <c:v>0.97790588235294118</c:v>
                </c:pt>
                <c:pt idx="50">
                  <c:v>0.60851792125984261</c:v>
                </c:pt>
                <c:pt idx="51">
                  <c:v>0.65012598425196866</c:v>
                </c:pt>
                <c:pt idx="52">
                  <c:v>0.71513858267716557</c:v>
                </c:pt>
                <c:pt idx="53">
                  <c:v>0.78015118110236226</c:v>
                </c:pt>
                <c:pt idx="54">
                  <c:v>0.84516377952755928</c:v>
                </c:pt>
                <c:pt idx="55">
                  <c:v>0.91017637795275608</c:v>
                </c:pt>
                <c:pt idx="56">
                  <c:v>0.97518897637795288</c:v>
                </c:pt>
                <c:pt idx="57">
                  <c:v>1.0402015748031497</c:v>
                </c:pt>
                <c:pt idx="58">
                  <c:v>1.1052141732283467</c:v>
                </c:pt>
                <c:pt idx="59">
                  <c:v>1.1702267716535437</c:v>
                </c:pt>
                <c:pt idx="60">
                  <c:v>1.2352393700787405</c:v>
                </c:pt>
                <c:pt idx="61">
                  <c:v>1.3002519685039373</c:v>
                </c:pt>
                <c:pt idx="62">
                  <c:v>0.85984991843393166</c:v>
                </c:pt>
                <c:pt idx="63">
                  <c:v>0.92515497553017956</c:v>
                </c:pt>
                <c:pt idx="64">
                  <c:v>0.97957585644371947</c:v>
                </c:pt>
                <c:pt idx="65">
                  <c:v>1.0339967373572596</c:v>
                </c:pt>
                <c:pt idx="66">
                  <c:v>1.0884176182707996</c:v>
                </c:pt>
                <c:pt idx="67">
                  <c:v>1.1428384991843394</c:v>
                </c:pt>
                <c:pt idx="68">
                  <c:v>1.1972593800978792</c:v>
                </c:pt>
                <c:pt idx="69">
                  <c:v>1.2516802610114193</c:v>
                </c:pt>
                <c:pt idx="70">
                  <c:v>1.3061011419249591</c:v>
                </c:pt>
                <c:pt idx="71">
                  <c:v>1.3605220228384991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57600"/>
        <c:axId val="132459136"/>
      </c:scatterChart>
      <c:valAx>
        <c:axId val="132457600"/>
        <c:scaling>
          <c:orientation val="minMax"/>
        </c:scaling>
        <c:delete val="0"/>
        <c:axPos val="b"/>
        <c:majorTickMark val="out"/>
        <c:minorTickMark val="none"/>
        <c:tickLblPos val="nextTo"/>
        <c:crossAx val="132459136"/>
        <c:crosses val="autoZero"/>
        <c:crossBetween val="midCat"/>
      </c:valAx>
      <c:valAx>
        <c:axId val="132459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4576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PCA_ex_postcap!$D$1</c:f>
              <c:strCache>
                <c:ptCount val="1"/>
                <c:pt idx="0">
                  <c:v>d/a</c:v>
                </c:pt>
              </c:strCache>
            </c:strRef>
          </c:tx>
          <c:spPr>
            <a:ln w="28575">
              <a:noFill/>
            </a:ln>
          </c:spPr>
          <c:yVal>
            <c:numRef>
              <c:f>PCA_ex_postcap!$D$2:$D$73</c:f>
              <c:numCache>
                <c:formatCode>General</c:formatCode>
                <c:ptCount val="72"/>
                <c:pt idx="0">
                  <c:v>3.01</c:v>
                </c:pt>
                <c:pt idx="1">
                  <c:v>3.01</c:v>
                </c:pt>
                <c:pt idx="2">
                  <c:v>3.01</c:v>
                </c:pt>
                <c:pt idx="3">
                  <c:v>3.01</c:v>
                </c:pt>
                <c:pt idx="4">
                  <c:v>3.01</c:v>
                </c:pt>
                <c:pt idx="5">
                  <c:v>3.01</c:v>
                </c:pt>
                <c:pt idx="6">
                  <c:v>3.01</c:v>
                </c:pt>
                <c:pt idx="7">
                  <c:v>3.01</c:v>
                </c:pt>
                <c:pt idx="8">
                  <c:v>3.01</c:v>
                </c:pt>
                <c:pt idx="9">
                  <c:v>2.98</c:v>
                </c:pt>
                <c:pt idx="10">
                  <c:v>2.98</c:v>
                </c:pt>
                <c:pt idx="11">
                  <c:v>2.98</c:v>
                </c:pt>
                <c:pt idx="12">
                  <c:v>2.98</c:v>
                </c:pt>
                <c:pt idx="13">
                  <c:v>2.98</c:v>
                </c:pt>
                <c:pt idx="14">
                  <c:v>2.98</c:v>
                </c:pt>
                <c:pt idx="15">
                  <c:v>2.98</c:v>
                </c:pt>
                <c:pt idx="16">
                  <c:v>2.98</c:v>
                </c:pt>
                <c:pt idx="17">
                  <c:v>2.98</c:v>
                </c:pt>
                <c:pt idx="18">
                  <c:v>2.98</c:v>
                </c:pt>
                <c:pt idx="19">
                  <c:v>2.98</c:v>
                </c:pt>
                <c:pt idx="20">
                  <c:v>2.98</c:v>
                </c:pt>
                <c:pt idx="21">
                  <c:v>2.98</c:v>
                </c:pt>
                <c:pt idx="22">
                  <c:v>2.98</c:v>
                </c:pt>
                <c:pt idx="23">
                  <c:v>2.98</c:v>
                </c:pt>
                <c:pt idx="24">
                  <c:v>2.98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2.99</c:v>
                </c:pt>
                <c:pt idx="34">
                  <c:v>2.99</c:v>
                </c:pt>
                <c:pt idx="35">
                  <c:v>2.99</c:v>
                </c:pt>
                <c:pt idx="36">
                  <c:v>2.99</c:v>
                </c:pt>
                <c:pt idx="37">
                  <c:v>2.99</c:v>
                </c:pt>
                <c:pt idx="38">
                  <c:v>2.99</c:v>
                </c:pt>
                <c:pt idx="39">
                  <c:v>2.99</c:v>
                </c:pt>
                <c:pt idx="40">
                  <c:v>2.99</c:v>
                </c:pt>
                <c:pt idx="41">
                  <c:v>2.99</c:v>
                </c:pt>
                <c:pt idx="42">
                  <c:v>2.99</c:v>
                </c:pt>
                <c:pt idx="43">
                  <c:v>2.99</c:v>
                </c:pt>
                <c:pt idx="44">
                  <c:v>2.99</c:v>
                </c:pt>
                <c:pt idx="45">
                  <c:v>2.99</c:v>
                </c:pt>
                <c:pt idx="46">
                  <c:v>2.99</c:v>
                </c:pt>
                <c:pt idx="47">
                  <c:v>2.99</c:v>
                </c:pt>
                <c:pt idx="48">
                  <c:v>2.99</c:v>
                </c:pt>
                <c:pt idx="49">
                  <c:v>2.99</c:v>
                </c:pt>
                <c:pt idx="50">
                  <c:v>2.97</c:v>
                </c:pt>
                <c:pt idx="51">
                  <c:v>2.97</c:v>
                </c:pt>
                <c:pt idx="52">
                  <c:v>2.97</c:v>
                </c:pt>
                <c:pt idx="53">
                  <c:v>2.97</c:v>
                </c:pt>
                <c:pt idx="54">
                  <c:v>2.97</c:v>
                </c:pt>
                <c:pt idx="55">
                  <c:v>2.97</c:v>
                </c:pt>
                <c:pt idx="56">
                  <c:v>2.97</c:v>
                </c:pt>
                <c:pt idx="57">
                  <c:v>2.97</c:v>
                </c:pt>
                <c:pt idx="58">
                  <c:v>2.97</c:v>
                </c:pt>
                <c:pt idx="59">
                  <c:v>2.97</c:v>
                </c:pt>
                <c:pt idx="60">
                  <c:v>2.97</c:v>
                </c:pt>
                <c:pt idx="61">
                  <c:v>2.97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71424"/>
        <c:axId val="132485504"/>
      </c:scatterChart>
      <c:valAx>
        <c:axId val="132471424"/>
        <c:scaling>
          <c:orientation val="minMax"/>
        </c:scaling>
        <c:delete val="0"/>
        <c:axPos val="b"/>
        <c:majorTickMark val="out"/>
        <c:minorTickMark val="none"/>
        <c:tickLblPos val="nextTo"/>
        <c:crossAx val="132485504"/>
        <c:crosses val="autoZero"/>
        <c:crossBetween val="midCat"/>
      </c:valAx>
      <c:valAx>
        <c:axId val="132485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471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PCA_ex_postcap!$X$1</c:f>
              <c:strCache>
                <c:ptCount val="1"/>
                <c:pt idx="0">
                  <c:v>d (mm)</c:v>
                </c:pt>
              </c:strCache>
            </c:strRef>
          </c:tx>
          <c:spPr>
            <a:ln w="28575">
              <a:noFill/>
            </a:ln>
          </c:spPr>
          <c:yVal>
            <c:numRef>
              <c:f>PCA_ex_postcap!$X$2:$X$73</c:f>
              <c:numCache>
                <c:formatCode>General</c:formatCode>
                <c:ptCount val="72"/>
                <c:pt idx="0">
                  <c:v>232</c:v>
                </c:pt>
                <c:pt idx="1">
                  <c:v>232</c:v>
                </c:pt>
                <c:pt idx="2">
                  <c:v>232</c:v>
                </c:pt>
                <c:pt idx="3">
                  <c:v>232</c:v>
                </c:pt>
                <c:pt idx="4">
                  <c:v>232</c:v>
                </c:pt>
                <c:pt idx="5">
                  <c:v>232</c:v>
                </c:pt>
                <c:pt idx="6">
                  <c:v>232</c:v>
                </c:pt>
                <c:pt idx="7">
                  <c:v>232</c:v>
                </c:pt>
                <c:pt idx="8">
                  <c:v>232</c:v>
                </c:pt>
                <c:pt idx="9">
                  <c:v>530</c:v>
                </c:pt>
                <c:pt idx="10">
                  <c:v>530</c:v>
                </c:pt>
                <c:pt idx="11">
                  <c:v>530</c:v>
                </c:pt>
                <c:pt idx="12">
                  <c:v>530</c:v>
                </c:pt>
                <c:pt idx="13">
                  <c:v>530</c:v>
                </c:pt>
                <c:pt idx="14">
                  <c:v>530</c:v>
                </c:pt>
                <c:pt idx="15">
                  <c:v>530</c:v>
                </c:pt>
                <c:pt idx="16">
                  <c:v>530</c:v>
                </c:pt>
                <c:pt idx="17">
                  <c:v>681</c:v>
                </c:pt>
                <c:pt idx="18">
                  <c:v>681</c:v>
                </c:pt>
                <c:pt idx="19">
                  <c:v>681</c:v>
                </c:pt>
                <c:pt idx="20">
                  <c:v>681</c:v>
                </c:pt>
                <c:pt idx="21">
                  <c:v>681</c:v>
                </c:pt>
                <c:pt idx="22">
                  <c:v>681</c:v>
                </c:pt>
                <c:pt idx="23">
                  <c:v>681</c:v>
                </c:pt>
                <c:pt idx="24">
                  <c:v>681</c:v>
                </c:pt>
                <c:pt idx="25">
                  <c:v>822</c:v>
                </c:pt>
                <c:pt idx="26">
                  <c:v>822</c:v>
                </c:pt>
                <c:pt idx="27">
                  <c:v>822</c:v>
                </c:pt>
                <c:pt idx="28">
                  <c:v>822</c:v>
                </c:pt>
                <c:pt idx="29">
                  <c:v>822</c:v>
                </c:pt>
                <c:pt idx="30">
                  <c:v>822</c:v>
                </c:pt>
                <c:pt idx="31">
                  <c:v>822</c:v>
                </c:pt>
                <c:pt idx="32">
                  <c:v>822</c:v>
                </c:pt>
                <c:pt idx="33">
                  <c:v>233</c:v>
                </c:pt>
                <c:pt idx="34">
                  <c:v>233</c:v>
                </c:pt>
                <c:pt idx="35">
                  <c:v>233</c:v>
                </c:pt>
                <c:pt idx="36">
                  <c:v>233</c:v>
                </c:pt>
                <c:pt idx="37">
                  <c:v>233</c:v>
                </c:pt>
                <c:pt idx="38">
                  <c:v>233</c:v>
                </c:pt>
                <c:pt idx="39">
                  <c:v>233</c:v>
                </c:pt>
                <c:pt idx="40">
                  <c:v>233</c:v>
                </c:pt>
                <c:pt idx="41">
                  <c:v>233</c:v>
                </c:pt>
                <c:pt idx="42">
                  <c:v>529</c:v>
                </c:pt>
                <c:pt idx="43">
                  <c:v>529</c:v>
                </c:pt>
                <c:pt idx="44">
                  <c:v>529</c:v>
                </c:pt>
                <c:pt idx="45">
                  <c:v>529</c:v>
                </c:pt>
                <c:pt idx="46">
                  <c:v>529</c:v>
                </c:pt>
                <c:pt idx="47">
                  <c:v>529</c:v>
                </c:pt>
                <c:pt idx="48">
                  <c:v>529</c:v>
                </c:pt>
                <c:pt idx="49">
                  <c:v>529</c:v>
                </c:pt>
                <c:pt idx="50">
                  <c:v>684</c:v>
                </c:pt>
                <c:pt idx="51">
                  <c:v>684</c:v>
                </c:pt>
                <c:pt idx="52">
                  <c:v>684</c:v>
                </c:pt>
                <c:pt idx="53">
                  <c:v>684</c:v>
                </c:pt>
                <c:pt idx="54">
                  <c:v>684</c:v>
                </c:pt>
                <c:pt idx="55">
                  <c:v>684</c:v>
                </c:pt>
                <c:pt idx="56">
                  <c:v>684</c:v>
                </c:pt>
                <c:pt idx="57">
                  <c:v>684</c:v>
                </c:pt>
                <c:pt idx="58">
                  <c:v>684</c:v>
                </c:pt>
                <c:pt idx="59">
                  <c:v>684</c:v>
                </c:pt>
                <c:pt idx="60">
                  <c:v>684</c:v>
                </c:pt>
                <c:pt idx="61">
                  <c:v>684</c:v>
                </c:pt>
                <c:pt idx="62">
                  <c:v>822</c:v>
                </c:pt>
                <c:pt idx="63">
                  <c:v>822</c:v>
                </c:pt>
                <c:pt idx="64">
                  <c:v>822</c:v>
                </c:pt>
                <c:pt idx="65">
                  <c:v>822</c:v>
                </c:pt>
                <c:pt idx="66">
                  <c:v>822</c:v>
                </c:pt>
                <c:pt idx="67">
                  <c:v>822</c:v>
                </c:pt>
                <c:pt idx="68">
                  <c:v>822</c:v>
                </c:pt>
                <c:pt idx="69">
                  <c:v>822</c:v>
                </c:pt>
                <c:pt idx="70">
                  <c:v>822</c:v>
                </c:pt>
                <c:pt idx="71">
                  <c:v>822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25760"/>
        <c:axId val="132327296"/>
      </c:scatterChart>
      <c:valAx>
        <c:axId val="132325760"/>
        <c:scaling>
          <c:orientation val="minMax"/>
        </c:scaling>
        <c:delete val="0"/>
        <c:axPos val="b"/>
        <c:majorTickMark val="out"/>
        <c:minorTickMark val="none"/>
        <c:tickLblPos val="nextTo"/>
        <c:crossAx val="132327296"/>
        <c:crosses val="autoZero"/>
        <c:crossBetween val="midCat"/>
      </c:valAx>
      <c:valAx>
        <c:axId val="132327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3257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table_paper!$J$1</c:f>
              <c:strCache>
                <c:ptCount val="1"/>
                <c:pt idx="0">
                  <c:v>d (in)</c:v>
                </c:pt>
              </c:strCache>
            </c:strRef>
          </c:tx>
          <c:spPr>
            <a:ln w="28575">
              <a:noFill/>
            </a:ln>
          </c:spPr>
          <c:yVal>
            <c:numRef>
              <c:f>table_paper!$J$2:$J$87</c:f>
              <c:numCache>
                <c:formatCode>0.0</c:formatCode>
                <c:ptCount val="86"/>
                <c:pt idx="0">
                  <c:v>3.188976377952756</c:v>
                </c:pt>
                <c:pt idx="1">
                  <c:v>3.188976377952756</c:v>
                </c:pt>
                <c:pt idx="2">
                  <c:v>3.188976377952756</c:v>
                </c:pt>
                <c:pt idx="3">
                  <c:v>4.9606299212598426</c:v>
                </c:pt>
                <c:pt idx="4">
                  <c:v>4.9606299212598426</c:v>
                </c:pt>
                <c:pt idx="5">
                  <c:v>4.9606299212598426</c:v>
                </c:pt>
                <c:pt idx="6">
                  <c:v>5.4724409448818898</c:v>
                </c:pt>
                <c:pt idx="7">
                  <c:v>5.4724409448818898</c:v>
                </c:pt>
                <c:pt idx="8">
                  <c:v>5.4724409448818898</c:v>
                </c:pt>
                <c:pt idx="9">
                  <c:v>6.4173228346456694</c:v>
                </c:pt>
                <c:pt idx="10">
                  <c:v>6.4173228346456694</c:v>
                </c:pt>
                <c:pt idx="11">
                  <c:v>6.4173228346456694</c:v>
                </c:pt>
                <c:pt idx="12">
                  <c:v>8.2677165354330722</c:v>
                </c:pt>
                <c:pt idx="13">
                  <c:v>8.2677165354330722</c:v>
                </c:pt>
                <c:pt idx="14">
                  <c:v>8.2677165354330722</c:v>
                </c:pt>
                <c:pt idx="15">
                  <c:v>12.086614173228346</c:v>
                </c:pt>
                <c:pt idx="16">
                  <c:v>12.086614173228346</c:v>
                </c:pt>
                <c:pt idx="17">
                  <c:v>26.25</c:v>
                </c:pt>
                <c:pt idx="18">
                  <c:v>26.25</c:v>
                </c:pt>
                <c:pt idx="19">
                  <c:v>10.5</c:v>
                </c:pt>
                <c:pt idx="20">
                  <c:v>10.5</c:v>
                </c:pt>
                <c:pt idx="21">
                  <c:v>10.5</c:v>
                </c:pt>
                <c:pt idx="22">
                  <c:v>10.5</c:v>
                </c:pt>
                <c:pt idx="23">
                  <c:v>10.5</c:v>
                </c:pt>
                <c:pt idx="24">
                  <c:v>10.5</c:v>
                </c:pt>
                <c:pt idx="25" formatCode="General">
                  <c:v>9.1338582677165352</c:v>
                </c:pt>
                <c:pt idx="26" formatCode="General">
                  <c:v>20.866141732283467</c:v>
                </c:pt>
                <c:pt idx="27" formatCode="General">
                  <c:v>26.811023622047244</c:v>
                </c:pt>
                <c:pt idx="28" formatCode="General">
                  <c:v>32.362204724409452</c:v>
                </c:pt>
                <c:pt idx="29" formatCode="General">
                  <c:v>9.1732283464566926</c:v>
                </c:pt>
                <c:pt idx="30" formatCode="General">
                  <c:v>20.826771653543307</c:v>
                </c:pt>
                <c:pt idx="31" formatCode="General">
                  <c:v>26.929133858267718</c:v>
                </c:pt>
                <c:pt idx="32" formatCode="General">
                  <c:v>32.362204724409452</c:v>
                </c:pt>
                <c:pt idx="33">
                  <c:v>26.375</c:v>
                </c:pt>
                <c:pt idx="34">
                  <c:v>26.4375</c:v>
                </c:pt>
                <c:pt idx="35">
                  <c:v>10.75</c:v>
                </c:pt>
                <c:pt idx="36">
                  <c:v>10.75</c:v>
                </c:pt>
                <c:pt idx="37">
                  <c:v>10.6875</c:v>
                </c:pt>
                <c:pt idx="38">
                  <c:v>10.6875</c:v>
                </c:pt>
                <c:pt idx="39">
                  <c:v>26.375</c:v>
                </c:pt>
                <c:pt idx="40">
                  <c:v>26.4375</c:v>
                </c:pt>
                <c:pt idx="41">
                  <c:v>10.625</c:v>
                </c:pt>
                <c:pt idx="42">
                  <c:v>10.625</c:v>
                </c:pt>
                <c:pt idx="43">
                  <c:v>36.062992125984252</c:v>
                </c:pt>
                <c:pt idx="44">
                  <c:v>17.204724409448819</c:v>
                </c:pt>
                <c:pt idx="45">
                  <c:v>17.204724409448819</c:v>
                </c:pt>
                <c:pt idx="46">
                  <c:v>17.283464566929133</c:v>
                </c:pt>
                <c:pt idx="47">
                  <c:v>17.244094488188978</c:v>
                </c:pt>
                <c:pt idx="48">
                  <c:v>17.322834645669293</c:v>
                </c:pt>
                <c:pt idx="49">
                  <c:v>12.086614173228346</c:v>
                </c:pt>
                <c:pt idx="50">
                  <c:v>12.047244094488189</c:v>
                </c:pt>
                <c:pt idx="51">
                  <c:v>12.047244094488189</c:v>
                </c:pt>
                <c:pt idx="52">
                  <c:v>12.047244094488189</c:v>
                </c:pt>
                <c:pt idx="53">
                  <c:v>55.118110236220474</c:v>
                </c:pt>
                <c:pt idx="54">
                  <c:v>55.118110236220474</c:v>
                </c:pt>
                <c:pt idx="55">
                  <c:v>55.118110236220474</c:v>
                </c:pt>
                <c:pt idx="56">
                  <c:v>55.118110236220474</c:v>
                </c:pt>
                <c:pt idx="57">
                  <c:v>55.118110236220474</c:v>
                </c:pt>
                <c:pt idx="58">
                  <c:v>55.118110236220474</c:v>
                </c:pt>
                <c:pt idx="59">
                  <c:v>55.118110236220474</c:v>
                </c:pt>
                <c:pt idx="60">
                  <c:v>55.118110236220474</c:v>
                </c:pt>
                <c:pt idx="61">
                  <c:v>11.023622047244094</c:v>
                </c:pt>
                <c:pt idx="62">
                  <c:v>11.023622047244094</c:v>
                </c:pt>
                <c:pt idx="63">
                  <c:v>11.023622047244094</c:v>
                </c:pt>
                <c:pt idx="64">
                  <c:v>11.023622047244094</c:v>
                </c:pt>
                <c:pt idx="65">
                  <c:v>11.023622047244094</c:v>
                </c:pt>
                <c:pt idx="66">
                  <c:v>11.023622047244094</c:v>
                </c:pt>
                <c:pt idx="67">
                  <c:v>11.023622047244094</c:v>
                </c:pt>
                <c:pt idx="68">
                  <c:v>11.023622047244094</c:v>
                </c:pt>
                <c:pt idx="69">
                  <c:v>11.023622047244094</c:v>
                </c:pt>
                <c:pt idx="70">
                  <c:v>11.023622047244094</c:v>
                </c:pt>
                <c:pt idx="71">
                  <c:v>11.023622047244094</c:v>
                </c:pt>
                <c:pt idx="72">
                  <c:v>57.086614173228348</c:v>
                </c:pt>
                <c:pt idx="73">
                  <c:v>151.18110236220474</c:v>
                </c:pt>
                <c:pt idx="74">
                  <c:v>74.409448818897644</c:v>
                </c:pt>
                <c:pt idx="75">
                  <c:v>75.629921259842519</c:v>
                </c:pt>
                <c:pt idx="76">
                  <c:v>75.629921259842519</c:v>
                </c:pt>
                <c:pt idx="77" formatCode="General">
                  <c:v>36.417322834645674</c:v>
                </c:pt>
                <c:pt idx="78" formatCode="General">
                  <c:v>36.417322834645674</c:v>
                </c:pt>
                <c:pt idx="79" formatCode="General">
                  <c:v>36.417322834645674</c:v>
                </c:pt>
                <c:pt idx="80" formatCode="General">
                  <c:v>36.417322834645674</c:v>
                </c:pt>
                <c:pt idx="81" formatCode="General">
                  <c:v>36.417322834645674</c:v>
                </c:pt>
                <c:pt idx="82" formatCode="General">
                  <c:v>36.417322834645674</c:v>
                </c:pt>
                <c:pt idx="83" formatCode="General">
                  <c:v>11.811023622047244</c:v>
                </c:pt>
                <c:pt idx="84" formatCode="General">
                  <c:v>11.811023622047244</c:v>
                </c:pt>
                <c:pt idx="85" formatCode="General">
                  <c:v>11.811023622047244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6752"/>
        <c:axId val="132432640"/>
      </c:scatterChart>
      <c:valAx>
        <c:axId val="132426752"/>
        <c:scaling>
          <c:orientation val="minMax"/>
          <c:max val="90"/>
        </c:scaling>
        <c:delete val="0"/>
        <c:axPos val="b"/>
        <c:majorTickMark val="out"/>
        <c:minorTickMark val="none"/>
        <c:tickLblPos val="nextTo"/>
        <c:crossAx val="132432640"/>
        <c:crosses val="autoZero"/>
        <c:crossBetween val="midCat"/>
      </c:valAx>
      <c:valAx>
        <c:axId val="132432640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324267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table_paper!$I$1</c:f>
              <c:strCache>
                <c:ptCount val="1"/>
                <c:pt idx="0">
                  <c:v>a/d</c:v>
                </c:pt>
              </c:strCache>
            </c:strRef>
          </c:tx>
          <c:spPr>
            <a:ln w="28575">
              <a:noFill/>
            </a:ln>
          </c:spPr>
          <c:yVal>
            <c:numRef>
              <c:f>table_paper!$I$2:$I$87</c:f>
              <c:numCache>
                <c:formatCode>0.0</c:formatCode>
                <c:ptCount val="86"/>
                <c:pt idx="0">
                  <c:v>4.8099999999999996</c:v>
                </c:pt>
                <c:pt idx="1">
                  <c:v>4.8099999999999996</c:v>
                </c:pt>
                <c:pt idx="2">
                  <c:v>4.8099999999999996</c:v>
                </c:pt>
                <c:pt idx="3">
                  <c:v>3.68</c:v>
                </c:pt>
                <c:pt idx="4">
                  <c:v>3.68</c:v>
                </c:pt>
                <c:pt idx="5">
                  <c:v>3.68</c:v>
                </c:pt>
                <c:pt idx="6">
                  <c:v>2.81</c:v>
                </c:pt>
                <c:pt idx="7">
                  <c:v>2.81</c:v>
                </c:pt>
                <c:pt idx="8">
                  <c:v>2.81</c:v>
                </c:pt>
                <c:pt idx="9">
                  <c:v>2.39</c:v>
                </c:pt>
                <c:pt idx="10">
                  <c:v>2.39</c:v>
                </c:pt>
                <c:pt idx="11">
                  <c:v>2.39</c:v>
                </c:pt>
                <c:pt idx="12">
                  <c:v>1.86</c:v>
                </c:pt>
                <c:pt idx="13">
                  <c:v>1.86</c:v>
                </c:pt>
                <c:pt idx="14">
                  <c:v>1.86</c:v>
                </c:pt>
                <c:pt idx="15">
                  <c:v>1.1399999999999999</c:v>
                </c:pt>
                <c:pt idx="16">
                  <c:v>1.1399999999999999</c:v>
                </c:pt>
                <c:pt idx="17">
                  <c:v>2.2799999999999998</c:v>
                </c:pt>
                <c:pt idx="18">
                  <c:v>2.2799999999999998</c:v>
                </c:pt>
                <c:pt idx="19">
                  <c:v>2.2799999999999998</c:v>
                </c:pt>
                <c:pt idx="20">
                  <c:v>2.2799999999999998</c:v>
                </c:pt>
                <c:pt idx="21">
                  <c:v>2.2799999999999998</c:v>
                </c:pt>
                <c:pt idx="22">
                  <c:v>2.2799999999999998</c:v>
                </c:pt>
                <c:pt idx="23">
                  <c:v>2.2799999999999998</c:v>
                </c:pt>
                <c:pt idx="24">
                  <c:v>2.2799999999999998</c:v>
                </c:pt>
                <c:pt idx="25" formatCode="General">
                  <c:v>3.01</c:v>
                </c:pt>
                <c:pt idx="26" formatCode="General">
                  <c:v>2.98</c:v>
                </c:pt>
                <c:pt idx="27" formatCode="General">
                  <c:v>2.98</c:v>
                </c:pt>
                <c:pt idx="28" formatCode="General">
                  <c:v>3</c:v>
                </c:pt>
                <c:pt idx="29" formatCode="General">
                  <c:v>2.99</c:v>
                </c:pt>
                <c:pt idx="30" formatCode="General">
                  <c:v>2.99</c:v>
                </c:pt>
                <c:pt idx="31" formatCode="General">
                  <c:v>2.97</c:v>
                </c:pt>
                <c:pt idx="32" formatCode="General">
                  <c:v>3</c:v>
                </c:pt>
                <c:pt idx="33">
                  <c:v>2.2799999999999998</c:v>
                </c:pt>
                <c:pt idx="34">
                  <c:v>2.2799999999999998</c:v>
                </c:pt>
                <c:pt idx="35">
                  <c:v>2.2799999999999998</c:v>
                </c:pt>
                <c:pt idx="36">
                  <c:v>2.2799999999999998</c:v>
                </c:pt>
                <c:pt idx="37">
                  <c:v>2.2799999999999998</c:v>
                </c:pt>
                <c:pt idx="38">
                  <c:v>2.2799999999999998</c:v>
                </c:pt>
                <c:pt idx="39">
                  <c:v>2.85</c:v>
                </c:pt>
                <c:pt idx="40">
                  <c:v>2.85</c:v>
                </c:pt>
                <c:pt idx="41">
                  <c:v>2.85</c:v>
                </c:pt>
                <c:pt idx="42">
                  <c:v>2.85</c:v>
                </c:pt>
                <c:pt idx="43">
                  <c:v>2.95</c:v>
                </c:pt>
                <c:pt idx="44">
                  <c:v>2.95</c:v>
                </c:pt>
                <c:pt idx="45">
                  <c:v>2.95</c:v>
                </c:pt>
                <c:pt idx="46">
                  <c:v>2.95</c:v>
                </c:pt>
                <c:pt idx="47">
                  <c:v>2.95</c:v>
                </c:pt>
                <c:pt idx="48">
                  <c:v>2.95</c:v>
                </c:pt>
                <c:pt idx="49">
                  <c:v>3.39</c:v>
                </c:pt>
                <c:pt idx="50">
                  <c:v>3.39</c:v>
                </c:pt>
                <c:pt idx="51">
                  <c:v>3.39</c:v>
                </c:pt>
                <c:pt idx="52">
                  <c:v>3.39</c:v>
                </c:pt>
                <c:pt idx="53">
                  <c:v>2.89</c:v>
                </c:pt>
                <c:pt idx="54">
                  <c:v>2.89</c:v>
                </c:pt>
                <c:pt idx="55">
                  <c:v>2.89</c:v>
                </c:pt>
                <c:pt idx="56">
                  <c:v>2.89</c:v>
                </c:pt>
                <c:pt idx="57">
                  <c:v>2.89</c:v>
                </c:pt>
                <c:pt idx="58">
                  <c:v>2.89</c:v>
                </c:pt>
                <c:pt idx="59">
                  <c:v>2.89</c:v>
                </c:pt>
                <c:pt idx="60">
                  <c:v>2.89</c:v>
                </c:pt>
                <c:pt idx="61">
                  <c:v>2.89</c:v>
                </c:pt>
                <c:pt idx="62">
                  <c:v>2.89</c:v>
                </c:pt>
                <c:pt idx="63">
                  <c:v>2.89</c:v>
                </c:pt>
                <c:pt idx="64">
                  <c:v>2.89</c:v>
                </c:pt>
                <c:pt idx="65">
                  <c:v>2.89</c:v>
                </c:pt>
                <c:pt idx="66">
                  <c:v>2.89</c:v>
                </c:pt>
                <c:pt idx="67">
                  <c:v>2.89</c:v>
                </c:pt>
                <c:pt idx="68">
                  <c:v>2.89</c:v>
                </c:pt>
                <c:pt idx="69">
                  <c:v>2.94</c:v>
                </c:pt>
                <c:pt idx="70">
                  <c:v>2.89</c:v>
                </c:pt>
                <c:pt idx="71" formatCode="0.00">
                  <c:v>2.89</c:v>
                </c:pt>
                <c:pt idx="72" formatCode="0.00">
                  <c:v>2.79</c:v>
                </c:pt>
                <c:pt idx="73">
                  <c:v>3.1</c:v>
                </c:pt>
                <c:pt idx="74">
                  <c:v>2.86</c:v>
                </c:pt>
                <c:pt idx="75">
                  <c:v>2.81</c:v>
                </c:pt>
                <c:pt idx="76">
                  <c:v>2.92</c:v>
                </c:pt>
                <c:pt idx="77" formatCode="General">
                  <c:v>2.5945945945945943</c:v>
                </c:pt>
                <c:pt idx="78" formatCode="General">
                  <c:v>1.9459459459459458</c:v>
                </c:pt>
                <c:pt idx="79" formatCode="General">
                  <c:v>1.9459459459459458</c:v>
                </c:pt>
                <c:pt idx="80" formatCode="General">
                  <c:v>1.9459459459459458</c:v>
                </c:pt>
                <c:pt idx="81" formatCode="General">
                  <c:v>2.5945945945945943</c:v>
                </c:pt>
                <c:pt idx="82" formatCode="General">
                  <c:v>3.243243243243243</c:v>
                </c:pt>
                <c:pt idx="83" formatCode="General">
                  <c:v>5</c:v>
                </c:pt>
                <c:pt idx="84" formatCode="General">
                  <c:v>5</c:v>
                </c:pt>
                <c:pt idx="85" formatCode="General">
                  <c:v>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50432"/>
        <c:axId val="132851968"/>
      </c:scatterChart>
      <c:valAx>
        <c:axId val="132850432"/>
        <c:scaling>
          <c:orientation val="minMax"/>
          <c:max val="90"/>
        </c:scaling>
        <c:delete val="0"/>
        <c:axPos val="b"/>
        <c:majorTickMark val="out"/>
        <c:minorTickMark val="none"/>
        <c:tickLblPos val="nextTo"/>
        <c:crossAx val="132851968"/>
        <c:crosses val="autoZero"/>
        <c:crossBetween val="midCat"/>
      </c:valAx>
      <c:valAx>
        <c:axId val="132851968"/>
        <c:scaling>
          <c:orientation val="minMax"/>
        </c:scaling>
        <c:delete val="0"/>
        <c:axPos val="l"/>
        <c:majorGridlines/>
        <c:minorGridlines/>
        <c:numFmt formatCode="0.0" sourceLinked="1"/>
        <c:majorTickMark val="out"/>
        <c:minorTickMark val="none"/>
        <c:tickLblPos val="nextTo"/>
        <c:crossAx val="132850432"/>
        <c:crosses val="autoZero"/>
        <c:crossBetween val="midCat"/>
        <c:majorUnit val="0.5"/>
        <c:minorUnit val="0.1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table_paper!$G$1</c:f>
              <c:strCache>
                <c:ptCount val="1"/>
                <c:pt idx="0">
                  <c:v>Width (in)</c:v>
                </c:pt>
              </c:strCache>
            </c:strRef>
          </c:tx>
          <c:spPr>
            <a:ln w="28575">
              <a:noFill/>
            </a:ln>
          </c:spPr>
          <c:yVal>
            <c:numRef>
              <c:f>table_paper!$G$2:$G$87</c:f>
              <c:numCache>
                <c:formatCode>0.0</c:formatCode>
                <c:ptCount val="86"/>
                <c:pt idx="0">
                  <c:v>7.87</c:v>
                </c:pt>
                <c:pt idx="1">
                  <c:v>7.87</c:v>
                </c:pt>
                <c:pt idx="2">
                  <c:v>7.87</c:v>
                </c:pt>
                <c:pt idx="3">
                  <c:v>7.87</c:v>
                </c:pt>
                <c:pt idx="4">
                  <c:v>7.87</c:v>
                </c:pt>
                <c:pt idx="5">
                  <c:v>7.87</c:v>
                </c:pt>
                <c:pt idx="6">
                  <c:v>7.87</c:v>
                </c:pt>
                <c:pt idx="7">
                  <c:v>7.87</c:v>
                </c:pt>
                <c:pt idx="8">
                  <c:v>7.87</c:v>
                </c:pt>
                <c:pt idx="9">
                  <c:v>7.87</c:v>
                </c:pt>
                <c:pt idx="10">
                  <c:v>7.87</c:v>
                </c:pt>
                <c:pt idx="11">
                  <c:v>7.87</c:v>
                </c:pt>
                <c:pt idx="12">
                  <c:v>7.87</c:v>
                </c:pt>
                <c:pt idx="13">
                  <c:v>7.87</c:v>
                </c:pt>
                <c:pt idx="14">
                  <c:v>7.87</c:v>
                </c:pt>
                <c:pt idx="15">
                  <c:v>7.87</c:v>
                </c:pt>
                <c:pt idx="16">
                  <c:v>7.87</c:v>
                </c:pt>
                <c:pt idx="17">
                  <c:v>22.5</c:v>
                </c:pt>
                <c:pt idx="18">
                  <c:v>22.5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 formatCode="General">
                  <c:v>12</c:v>
                </c:pt>
                <c:pt idx="26" formatCode="General">
                  <c:v>12</c:v>
                </c:pt>
                <c:pt idx="27" formatCode="General">
                  <c:v>12</c:v>
                </c:pt>
                <c:pt idx="28" formatCode="General">
                  <c:v>12</c:v>
                </c:pt>
                <c:pt idx="29" formatCode="General">
                  <c:v>8</c:v>
                </c:pt>
                <c:pt idx="30" formatCode="General">
                  <c:v>16</c:v>
                </c:pt>
                <c:pt idx="31" formatCode="General">
                  <c:v>20</c:v>
                </c:pt>
                <c:pt idx="32" formatCode="General">
                  <c:v>24</c:v>
                </c:pt>
                <c:pt idx="33">
                  <c:v>22.56</c:v>
                </c:pt>
                <c:pt idx="34">
                  <c:v>22.56</c:v>
                </c:pt>
                <c:pt idx="35">
                  <c:v>9.0625</c:v>
                </c:pt>
                <c:pt idx="36">
                  <c:v>9</c:v>
                </c:pt>
                <c:pt idx="37">
                  <c:v>9.1</c:v>
                </c:pt>
                <c:pt idx="38">
                  <c:v>9</c:v>
                </c:pt>
                <c:pt idx="39" formatCode="General">
                  <c:v>22.5</c:v>
                </c:pt>
                <c:pt idx="40">
                  <c:v>22.5</c:v>
                </c:pt>
                <c:pt idx="41">
                  <c:v>9.1</c:v>
                </c:pt>
                <c:pt idx="42">
                  <c:v>9</c:v>
                </c:pt>
                <c:pt idx="43">
                  <c:v>79.370078740157481</c:v>
                </c:pt>
                <c:pt idx="44">
                  <c:v>9.8425196850393704</c:v>
                </c:pt>
                <c:pt idx="45">
                  <c:v>9.8425196850393704</c:v>
                </c:pt>
                <c:pt idx="46">
                  <c:v>39.4488188976378</c:v>
                </c:pt>
                <c:pt idx="47">
                  <c:v>39.4488188976378</c:v>
                </c:pt>
                <c:pt idx="48">
                  <c:v>118.30708661417323</c:v>
                </c:pt>
                <c:pt idx="49">
                  <c:v>27.440944881889767</c:v>
                </c:pt>
                <c:pt idx="50">
                  <c:v>27.559055118110237</c:v>
                </c:pt>
                <c:pt idx="51">
                  <c:v>27.795275590551181</c:v>
                </c:pt>
                <c:pt idx="52">
                  <c:v>27.795275590551181</c:v>
                </c:pt>
                <c:pt idx="53" formatCode="General">
                  <c:v>11.811023622047244</c:v>
                </c:pt>
                <c:pt idx="54">
                  <c:v>11.811023622047244</c:v>
                </c:pt>
                <c:pt idx="55">
                  <c:v>11.811023622047244</c:v>
                </c:pt>
                <c:pt idx="56">
                  <c:v>11.811023622047244</c:v>
                </c:pt>
                <c:pt idx="57">
                  <c:v>11.811023622047244</c:v>
                </c:pt>
                <c:pt idx="58">
                  <c:v>11.811023622047244</c:v>
                </c:pt>
                <c:pt idx="59">
                  <c:v>11.811023622047244</c:v>
                </c:pt>
                <c:pt idx="60">
                  <c:v>11.811023622047244</c:v>
                </c:pt>
                <c:pt idx="61">
                  <c:v>4.8031496062992129</c:v>
                </c:pt>
                <c:pt idx="62">
                  <c:v>4.8031496062992129</c:v>
                </c:pt>
                <c:pt idx="63">
                  <c:v>4.8031496062992129</c:v>
                </c:pt>
                <c:pt idx="64">
                  <c:v>4.8031496062992129</c:v>
                </c:pt>
                <c:pt idx="65">
                  <c:v>4.8031496062992129</c:v>
                </c:pt>
                <c:pt idx="66">
                  <c:v>4.8031496062992129</c:v>
                </c:pt>
                <c:pt idx="67">
                  <c:v>4.8031496062992129</c:v>
                </c:pt>
                <c:pt idx="68">
                  <c:v>4.8031496062992129</c:v>
                </c:pt>
                <c:pt idx="69">
                  <c:v>4.8031496062992129</c:v>
                </c:pt>
                <c:pt idx="70">
                  <c:v>4.8031496062992129</c:v>
                </c:pt>
                <c:pt idx="71">
                  <c:v>4.8031496062992129</c:v>
                </c:pt>
                <c:pt idx="72">
                  <c:v>11.614173228346457</c:v>
                </c:pt>
                <c:pt idx="73">
                  <c:v>9.8425196850393704</c:v>
                </c:pt>
                <c:pt idx="74">
                  <c:v>11.811023622047244</c:v>
                </c:pt>
                <c:pt idx="75">
                  <c:v>11.811023622047244</c:v>
                </c:pt>
                <c:pt idx="76">
                  <c:v>11.811023622047244</c:v>
                </c:pt>
                <c:pt idx="77" formatCode="General">
                  <c:v>11.811023622047244</c:v>
                </c:pt>
                <c:pt idx="78" formatCode="General">
                  <c:v>11.811023622047244</c:v>
                </c:pt>
                <c:pt idx="79" formatCode="General">
                  <c:v>11.811023622047244</c:v>
                </c:pt>
                <c:pt idx="80" formatCode="General">
                  <c:v>11.811023622047244</c:v>
                </c:pt>
                <c:pt idx="81" formatCode="General">
                  <c:v>11.811023622047244</c:v>
                </c:pt>
                <c:pt idx="82" formatCode="General">
                  <c:v>11.811023622047244</c:v>
                </c:pt>
                <c:pt idx="83" formatCode="General">
                  <c:v>7.8740157480314963</c:v>
                </c:pt>
                <c:pt idx="84" formatCode="General">
                  <c:v>7.8740157480314963</c:v>
                </c:pt>
                <c:pt idx="85" formatCode="General">
                  <c:v>7.8740157480314963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80640"/>
        <c:axId val="132882432"/>
      </c:scatterChart>
      <c:valAx>
        <c:axId val="132880640"/>
        <c:scaling>
          <c:orientation val="minMax"/>
          <c:max val="90"/>
        </c:scaling>
        <c:delete val="0"/>
        <c:axPos val="b"/>
        <c:majorTickMark val="out"/>
        <c:minorTickMark val="none"/>
        <c:tickLblPos val="nextTo"/>
        <c:crossAx val="132882432"/>
        <c:crosses val="autoZero"/>
        <c:crossBetween val="midCat"/>
      </c:valAx>
      <c:valAx>
        <c:axId val="132882432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32880640"/>
        <c:crosses val="autoZero"/>
        <c:crossBetween val="midCat"/>
        <c:majorUnit val="10"/>
        <c:minorUnit val="4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7.7388643461226814E-2"/>
          <c:y val="7.6109287687367772E-2"/>
          <c:w val="0.90295382425546167"/>
          <c:h val="0.87857763927828025"/>
        </c:manualLayout>
      </c:layout>
      <c:scatterChart>
        <c:scatterStyle val="lineMarker"/>
        <c:varyColors val="0"/>
        <c:ser>
          <c:idx val="0"/>
          <c:order val="0"/>
          <c:tx>
            <c:strRef>
              <c:f>table_paper!$M$1</c:f>
              <c:strCache>
                <c:ptCount val="1"/>
                <c:pt idx="0">
                  <c:v>a (in)</c:v>
                </c:pt>
              </c:strCache>
            </c:strRef>
          </c:tx>
          <c:spPr>
            <a:ln w="28575">
              <a:noFill/>
            </a:ln>
          </c:spPr>
          <c:yVal>
            <c:numRef>
              <c:f>table_paper!$M$2:$M$92</c:f>
              <c:numCache>
                <c:formatCode>0.0</c:formatCode>
                <c:ptCount val="91"/>
                <c:pt idx="0">
                  <c:v>15.338976377952756</c:v>
                </c:pt>
                <c:pt idx="1">
                  <c:v>15.338976377952756</c:v>
                </c:pt>
                <c:pt idx="2">
                  <c:v>15.338976377952756</c:v>
                </c:pt>
                <c:pt idx="3">
                  <c:v>18.255118110236221</c:v>
                </c:pt>
                <c:pt idx="4">
                  <c:v>18.255118110236221</c:v>
                </c:pt>
                <c:pt idx="5">
                  <c:v>18.255118110236221</c:v>
                </c:pt>
                <c:pt idx="6">
                  <c:v>15.377559055118111</c:v>
                </c:pt>
                <c:pt idx="7">
                  <c:v>15.377559055118111</c:v>
                </c:pt>
                <c:pt idx="8">
                  <c:v>15.377559055118111</c:v>
                </c:pt>
                <c:pt idx="9">
                  <c:v>15.337401574803151</c:v>
                </c:pt>
                <c:pt idx="10">
                  <c:v>15.337401574803151</c:v>
                </c:pt>
                <c:pt idx="11">
                  <c:v>15.337401574803151</c:v>
                </c:pt>
                <c:pt idx="12">
                  <c:v>15.377952755905515</c:v>
                </c:pt>
                <c:pt idx="13">
                  <c:v>15.377952755905515</c:v>
                </c:pt>
                <c:pt idx="14">
                  <c:v>15.377952755905515</c:v>
                </c:pt>
                <c:pt idx="15">
                  <c:v>13.778740157480314</c:v>
                </c:pt>
                <c:pt idx="16">
                  <c:v>13.778740157480314</c:v>
                </c:pt>
                <c:pt idx="17">
                  <c:v>59.849999999999994</c:v>
                </c:pt>
                <c:pt idx="18">
                  <c:v>59.849999999999994</c:v>
                </c:pt>
                <c:pt idx="19">
                  <c:v>23.939999999999998</c:v>
                </c:pt>
                <c:pt idx="20">
                  <c:v>23.939999999999998</c:v>
                </c:pt>
                <c:pt idx="21">
                  <c:v>23.939999999999998</c:v>
                </c:pt>
                <c:pt idx="22">
                  <c:v>23.939999999999998</c:v>
                </c:pt>
                <c:pt idx="23">
                  <c:v>23.939999999999998</c:v>
                </c:pt>
                <c:pt idx="24">
                  <c:v>23.939999999999998</c:v>
                </c:pt>
                <c:pt idx="25">
                  <c:v>27.492913385826768</c:v>
                </c:pt>
                <c:pt idx="26">
                  <c:v>62.181102362204733</c:v>
                </c:pt>
                <c:pt idx="27">
                  <c:v>79.896850393700788</c:v>
                </c:pt>
                <c:pt idx="28">
                  <c:v>97.086614173228355</c:v>
                </c:pt>
                <c:pt idx="29">
                  <c:v>27.427952755905512</c:v>
                </c:pt>
                <c:pt idx="30">
                  <c:v>62.272047244094495</c:v>
                </c:pt>
                <c:pt idx="31">
                  <c:v>79.979527559055128</c:v>
                </c:pt>
                <c:pt idx="32">
                  <c:v>97.086614173228355</c:v>
                </c:pt>
                <c:pt idx="33">
                  <c:v>60.134999999999998</c:v>
                </c:pt>
                <c:pt idx="34">
                  <c:v>60.277499999999996</c:v>
                </c:pt>
                <c:pt idx="35">
                  <c:v>24.509999999999998</c:v>
                </c:pt>
                <c:pt idx="36">
                  <c:v>24.509999999999998</c:v>
                </c:pt>
                <c:pt idx="37">
                  <c:v>24.367499999999996</c:v>
                </c:pt>
                <c:pt idx="38">
                  <c:v>24.367499999999996</c:v>
                </c:pt>
                <c:pt idx="39">
                  <c:v>75.168750000000003</c:v>
                </c:pt>
                <c:pt idx="40">
                  <c:v>75.346874999999997</c:v>
                </c:pt>
                <c:pt idx="41">
                  <c:v>30.28125</c:v>
                </c:pt>
                <c:pt idx="42">
                  <c:v>30.28125</c:v>
                </c:pt>
                <c:pt idx="43">
                  <c:v>106.38582677165356</c:v>
                </c:pt>
                <c:pt idx="44">
                  <c:v>50.753937007874015</c:v>
                </c:pt>
                <c:pt idx="45">
                  <c:v>50.753937007874015</c:v>
                </c:pt>
                <c:pt idx="46">
                  <c:v>50.986220472440948</c:v>
                </c:pt>
                <c:pt idx="47">
                  <c:v>50.870078740157489</c:v>
                </c:pt>
                <c:pt idx="48">
                  <c:v>51.102362204724415</c:v>
                </c:pt>
                <c:pt idx="49">
                  <c:v>40.973622047244092</c:v>
                </c:pt>
                <c:pt idx="50">
                  <c:v>40.840157480314964</c:v>
                </c:pt>
                <c:pt idx="51">
                  <c:v>40.840157480314964</c:v>
                </c:pt>
                <c:pt idx="52">
                  <c:v>40.840157480314964</c:v>
                </c:pt>
                <c:pt idx="53">
                  <c:v>159.29133858267718</c:v>
                </c:pt>
                <c:pt idx="54">
                  <c:v>159.29133858267718</c:v>
                </c:pt>
                <c:pt idx="55">
                  <c:v>159.29133858267718</c:v>
                </c:pt>
                <c:pt idx="56">
                  <c:v>159.29133858267718</c:v>
                </c:pt>
                <c:pt idx="57">
                  <c:v>159.29133858267718</c:v>
                </c:pt>
                <c:pt idx="58">
                  <c:v>159.29133858267718</c:v>
                </c:pt>
                <c:pt idx="59">
                  <c:v>159.29133858267718</c:v>
                </c:pt>
                <c:pt idx="60">
                  <c:v>159.29133858267718</c:v>
                </c:pt>
                <c:pt idx="61">
                  <c:v>31.858267716535433</c:v>
                </c:pt>
                <c:pt idx="62">
                  <c:v>31.858267716535433</c:v>
                </c:pt>
                <c:pt idx="63">
                  <c:v>31.858267716535433</c:v>
                </c:pt>
                <c:pt idx="64">
                  <c:v>31.858267716535433</c:v>
                </c:pt>
                <c:pt idx="65">
                  <c:v>31.858267716535433</c:v>
                </c:pt>
                <c:pt idx="66">
                  <c:v>31.858267716535433</c:v>
                </c:pt>
                <c:pt idx="67">
                  <c:v>31.858267716535433</c:v>
                </c:pt>
                <c:pt idx="68">
                  <c:v>31.858267716535433</c:v>
                </c:pt>
                <c:pt idx="69">
                  <c:v>32.409448818897637</c:v>
                </c:pt>
                <c:pt idx="70">
                  <c:v>31.858267716535433</c:v>
                </c:pt>
                <c:pt idx="71">
                  <c:v>31.858267716535433</c:v>
                </c:pt>
                <c:pt idx="72">
                  <c:v>159.27165354330708</c:v>
                </c:pt>
                <c:pt idx="73">
                  <c:v>468.66141732283472</c:v>
                </c:pt>
                <c:pt idx="74">
                  <c:v>212.81102362204726</c:v>
                </c:pt>
                <c:pt idx="75">
                  <c:v>212.52007874015749</c:v>
                </c:pt>
                <c:pt idx="76">
                  <c:v>220.83937007874016</c:v>
                </c:pt>
                <c:pt idx="77">
                  <c:v>94.488188976377955</c:v>
                </c:pt>
                <c:pt idx="78">
                  <c:v>70.866141732283467</c:v>
                </c:pt>
                <c:pt idx="79">
                  <c:v>70.866141732283467</c:v>
                </c:pt>
                <c:pt idx="80">
                  <c:v>70.866141732283467</c:v>
                </c:pt>
                <c:pt idx="81">
                  <c:v>94.488188976377955</c:v>
                </c:pt>
                <c:pt idx="82">
                  <c:v>118.11023622047244</c:v>
                </c:pt>
                <c:pt idx="83">
                  <c:v>59.055118110236222</c:v>
                </c:pt>
                <c:pt idx="84">
                  <c:v>59.055118110236222</c:v>
                </c:pt>
                <c:pt idx="85">
                  <c:v>35.433070866141733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07008"/>
        <c:axId val="132908544"/>
      </c:scatterChart>
      <c:valAx>
        <c:axId val="132907008"/>
        <c:scaling>
          <c:orientation val="minMax"/>
          <c:max val="90"/>
        </c:scaling>
        <c:delete val="0"/>
        <c:axPos val="b"/>
        <c:majorTickMark val="out"/>
        <c:minorTickMark val="none"/>
        <c:tickLblPos val="nextTo"/>
        <c:crossAx val="132908544"/>
        <c:crosses val="autoZero"/>
        <c:crossBetween val="midCat"/>
      </c:valAx>
      <c:valAx>
        <c:axId val="132908544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329070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</c:title>
    <c:autoTitleDeleted val="0"/>
    <c:plotArea>
      <c:layout>
        <c:manualLayout>
          <c:layoutTarget val="inner"/>
          <c:xMode val="edge"/>
          <c:yMode val="edge"/>
          <c:x val="6.1018179590145147E-2"/>
          <c:y val="5.1328607299082465E-2"/>
          <c:w val="0.91930969603383816"/>
          <c:h val="0.8847544734514474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table_paper!$AC$1</c:f>
              <c:strCache>
                <c:ptCount val="1"/>
                <c:pt idx="0">
                  <c:v>a/d</c:v>
                </c:pt>
              </c:strCache>
            </c:strRef>
          </c:tx>
          <c:invertIfNegative val="0"/>
          <c:cat>
            <c:strRef>
              <c:f>table_paper!$AB$2:$AB$8</c:f>
              <c:strCache>
                <c:ptCount val="7"/>
                <c:pt idx="0">
                  <c:v>&lt;1.5</c:v>
                </c:pt>
                <c:pt idx="1">
                  <c:v>1.5-2</c:v>
                </c:pt>
                <c:pt idx="2">
                  <c:v>2-2.5</c:v>
                </c:pt>
                <c:pt idx="3">
                  <c:v>2.5-3</c:v>
                </c:pt>
                <c:pt idx="4">
                  <c:v>3-3.5</c:v>
                </c:pt>
                <c:pt idx="5">
                  <c:v>3.5-4</c:v>
                </c:pt>
                <c:pt idx="6">
                  <c:v>4-5</c:v>
                </c:pt>
              </c:strCache>
            </c:strRef>
          </c:cat>
          <c:val>
            <c:numRef>
              <c:f>table_paper!$AD$2:$AD$8</c:f>
              <c:numCache>
                <c:formatCode>General</c:formatCode>
                <c:ptCount val="7"/>
                <c:pt idx="0">
                  <c:v>2</c:v>
                </c:pt>
                <c:pt idx="1">
                  <c:v>6</c:v>
                </c:pt>
                <c:pt idx="2">
                  <c:v>17</c:v>
                </c:pt>
                <c:pt idx="3">
                  <c:v>46</c:v>
                </c:pt>
                <c:pt idx="4">
                  <c:v>7</c:v>
                </c:pt>
                <c:pt idx="5">
                  <c:v>3</c:v>
                </c:pt>
                <c:pt idx="6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940928"/>
        <c:axId val="132942464"/>
      </c:barChart>
      <c:catAx>
        <c:axId val="132940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2942464"/>
        <c:crosses val="autoZero"/>
        <c:auto val="1"/>
        <c:lblAlgn val="ctr"/>
        <c:lblOffset val="100"/>
        <c:noMultiLvlLbl val="0"/>
      </c:catAx>
      <c:valAx>
        <c:axId val="132942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940928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</c:title>
    <c:autoTitleDeleted val="0"/>
    <c:plotArea>
      <c:layout>
        <c:manualLayout>
          <c:layoutTarget val="inner"/>
          <c:xMode val="edge"/>
          <c:yMode val="edge"/>
          <c:x val="4.5717638408798791E-2"/>
          <c:y val="1.945247343739176E-2"/>
          <c:w val="0.91930969603383816"/>
          <c:h val="0.8847544734514474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table_paper!$AC$23</c:f>
              <c:strCache>
                <c:ptCount val="1"/>
                <c:pt idx="0">
                  <c:v>d (in)</c:v>
                </c:pt>
              </c:strCache>
            </c:strRef>
          </c:tx>
          <c:invertIfNegative val="0"/>
          <c:cat>
            <c:strRef>
              <c:f>table_paper!$AB$24:$AB$35</c:f>
              <c:strCache>
                <c:ptCount val="12"/>
                <c:pt idx="0">
                  <c:v>&lt;5</c:v>
                </c:pt>
                <c:pt idx="1">
                  <c:v>5-10</c:v>
                </c:pt>
                <c:pt idx="2">
                  <c:v>10-15</c:v>
                </c:pt>
                <c:pt idx="3">
                  <c:v>15-20</c:v>
                </c:pt>
                <c:pt idx="4">
                  <c:v>20-25</c:v>
                </c:pt>
                <c:pt idx="5">
                  <c:v>25-30</c:v>
                </c:pt>
                <c:pt idx="6">
                  <c:v>30-35</c:v>
                </c:pt>
                <c:pt idx="7">
                  <c:v>35-40</c:v>
                </c:pt>
                <c:pt idx="8">
                  <c:v>40-45</c:v>
                </c:pt>
                <c:pt idx="9">
                  <c:v>45-50</c:v>
                </c:pt>
                <c:pt idx="10">
                  <c:v>50-55</c:v>
                </c:pt>
                <c:pt idx="11">
                  <c:v>55-60</c:v>
                </c:pt>
              </c:strCache>
            </c:strRef>
          </c:cat>
          <c:val>
            <c:numRef>
              <c:f>table_paper!$AD$24:$AD$35</c:f>
              <c:numCache>
                <c:formatCode>General</c:formatCode>
                <c:ptCount val="12"/>
                <c:pt idx="0">
                  <c:v>6</c:v>
                </c:pt>
                <c:pt idx="1">
                  <c:v>11</c:v>
                </c:pt>
                <c:pt idx="2">
                  <c:v>32</c:v>
                </c:pt>
                <c:pt idx="3">
                  <c:v>5</c:v>
                </c:pt>
                <c:pt idx="4">
                  <c:v>2</c:v>
                </c:pt>
                <c:pt idx="5">
                  <c:v>8</c:v>
                </c:pt>
                <c:pt idx="6">
                  <c:v>2</c:v>
                </c:pt>
                <c:pt idx="7">
                  <c:v>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967040"/>
        <c:axId val="132972928"/>
      </c:barChart>
      <c:catAx>
        <c:axId val="132967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2972928"/>
        <c:crosses val="autoZero"/>
        <c:auto val="1"/>
        <c:lblAlgn val="ctr"/>
        <c:lblOffset val="100"/>
        <c:noMultiLvlLbl val="0"/>
      </c:catAx>
      <c:valAx>
        <c:axId val="132972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967040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</c:title>
    <c:autoTitleDeleted val="0"/>
    <c:plotArea>
      <c:layout>
        <c:manualLayout>
          <c:layoutTarget val="inner"/>
          <c:xMode val="edge"/>
          <c:yMode val="edge"/>
          <c:x val="4.5717638408798791E-2"/>
          <c:y val="1.945247343739176E-2"/>
          <c:w val="0.91930969603383816"/>
          <c:h val="0.8847544734514474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table_paper!$AC$45</c:f>
              <c:strCache>
                <c:ptCount val="1"/>
                <c:pt idx="0">
                  <c:v>Width (in)</c:v>
                </c:pt>
              </c:strCache>
            </c:strRef>
          </c:tx>
          <c:invertIfNegative val="0"/>
          <c:cat>
            <c:strRef>
              <c:f>table_paper!$AB$46:$AB$54</c:f>
              <c:strCache>
                <c:ptCount val="9"/>
                <c:pt idx="0">
                  <c:v>&lt;5</c:v>
                </c:pt>
                <c:pt idx="1">
                  <c:v>5-10</c:v>
                </c:pt>
                <c:pt idx="2">
                  <c:v>10-15</c:v>
                </c:pt>
                <c:pt idx="3">
                  <c:v>15-20</c:v>
                </c:pt>
                <c:pt idx="4">
                  <c:v>20-25</c:v>
                </c:pt>
                <c:pt idx="5">
                  <c:v>25-30</c:v>
                </c:pt>
                <c:pt idx="6">
                  <c:v>30-35</c:v>
                </c:pt>
                <c:pt idx="7">
                  <c:v>35-80</c:v>
                </c:pt>
                <c:pt idx="8">
                  <c:v>80-120</c:v>
                </c:pt>
              </c:strCache>
            </c:strRef>
          </c:cat>
          <c:val>
            <c:numRef>
              <c:f>table_paper!$AD$46:$AD$54</c:f>
              <c:numCache>
                <c:formatCode>General</c:formatCode>
                <c:ptCount val="9"/>
                <c:pt idx="0">
                  <c:v>11</c:v>
                </c:pt>
                <c:pt idx="1">
                  <c:v>36</c:v>
                </c:pt>
                <c:pt idx="2">
                  <c:v>22</c:v>
                </c:pt>
                <c:pt idx="3">
                  <c:v>2</c:v>
                </c:pt>
                <c:pt idx="4">
                  <c:v>7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997120"/>
        <c:axId val="132998656"/>
      </c:barChart>
      <c:catAx>
        <c:axId val="132997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2998656"/>
        <c:crosses val="autoZero"/>
        <c:auto val="1"/>
        <c:lblAlgn val="ctr"/>
        <c:lblOffset val="100"/>
        <c:noMultiLvlLbl val="0"/>
      </c:catAx>
      <c:valAx>
        <c:axId val="132998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997120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166881497391056"/>
          <c:y val="4.2652015929381469E-2"/>
          <c:w val="0.81946480227435581"/>
          <c:h val="0.90423558532384551"/>
        </c:manualLayout>
      </c:layout>
      <c:scatterChart>
        <c:scatterStyle val="lineMarker"/>
        <c:varyColors val="0"/>
        <c:ser>
          <c:idx val="0"/>
          <c:order val="0"/>
          <c:tx>
            <c:strRef>
              <c:f>table_paper!$O$1</c:f>
              <c:strCache>
                <c:ptCount val="1"/>
                <c:pt idx="0">
                  <c:v>Vaci</c:v>
                </c:pt>
              </c:strCache>
            </c:strRef>
          </c:tx>
          <c:spPr>
            <a:ln w="28575">
              <a:noFill/>
            </a:ln>
          </c:spPr>
          <c:xVal>
            <c:numRef>
              <c:f>table_paper!$N$2:$N$269</c:f>
              <c:numCache>
                <c:formatCode>0.0</c:formatCode>
                <c:ptCount val="268"/>
                <c:pt idx="0">
                  <c:v>26.5</c:v>
                </c:pt>
                <c:pt idx="1">
                  <c:v>31.4</c:v>
                </c:pt>
                <c:pt idx="2">
                  <c:v>25.5</c:v>
                </c:pt>
                <c:pt idx="3">
                  <c:v>33.79</c:v>
                </c:pt>
                <c:pt idx="4">
                  <c:v>34</c:v>
                </c:pt>
                <c:pt idx="5">
                  <c:v>35.5</c:v>
                </c:pt>
                <c:pt idx="6">
                  <c:v>41.4</c:v>
                </c:pt>
                <c:pt idx="7">
                  <c:v>42.3</c:v>
                </c:pt>
                <c:pt idx="8">
                  <c:v>57</c:v>
                </c:pt>
                <c:pt idx="9">
                  <c:v>50</c:v>
                </c:pt>
                <c:pt idx="10">
                  <c:v>50.7</c:v>
                </c:pt>
                <c:pt idx="11">
                  <c:v>44.9</c:v>
                </c:pt>
                <c:pt idx="12">
                  <c:v>63.25</c:v>
                </c:pt>
                <c:pt idx="13">
                  <c:v>70.099999999999994</c:v>
                </c:pt>
                <c:pt idx="14">
                  <c:v>62</c:v>
                </c:pt>
                <c:pt idx="15">
                  <c:v>151</c:v>
                </c:pt>
                <c:pt idx="16">
                  <c:v>187.25</c:v>
                </c:pt>
                <c:pt idx="17">
                  <c:v>324.7</c:v>
                </c:pt>
                <c:pt idx="18">
                  <c:v>293.55</c:v>
                </c:pt>
                <c:pt idx="19">
                  <c:v>75.599999999999994</c:v>
                </c:pt>
                <c:pt idx="20">
                  <c:v>88.95</c:v>
                </c:pt>
                <c:pt idx="21">
                  <c:v>97.85</c:v>
                </c:pt>
                <c:pt idx="22">
                  <c:v>86.7</c:v>
                </c:pt>
                <c:pt idx="23">
                  <c:v>48.924999999999997</c:v>
                </c:pt>
                <c:pt idx="24">
                  <c:v>51</c:v>
                </c:pt>
                <c:pt idx="25" formatCode="General">
                  <c:v>133.5</c:v>
                </c:pt>
                <c:pt idx="26" formatCode="General">
                  <c:v>136.6</c:v>
                </c:pt>
                <c:pt idx="27" formatCode="General">
                  <c:v>146</c:v>
                </c:pt>
                <c:pt idx="28" formatCode="General">
                  <c:v>160</c:v>
                </c:pt>
                <c:pt idx="29" formatCode="General">
                  <c:v>58.6</c:v>
                </c:pt>
                <c:pt idx="30" formatCode="General">
                  <c:v>153.6</c:v>
                </c:pt>
                <c:pt idx="31" formatCode="General">
                  <c:v>253.7</c:v>
                </c:pt>
                <c:pt idx="32" formatCode="General">
                  <c:v>330.09</c:v>
                </c:pt>
                <c:pt idx="33">
                  <c:v>422</c:v>
                </c:pt>
                <c:pt idx="34">
                  <c:v>406</c:v>
                </c:pt>
                <c:pt idx="35">
                  <c:v>60</c:v>
                </c:pt>
                <c:pt idx="36">
                  <c:v>66.7</c:v>
                </c:pt>
                <c:pt idx="37">
                  <c:v>68.900000000000006</c:v>
                </c:pt>
                <c:pt idx="38">
                  <c:v>64.5</c:v>
                </c:pt>
                <c:pt idx="39">
                  <c:v>289.12</c:v>
                </c:pt>
                <c:pt idx="40">
                  <c:v>300.2</c:v>
                </c:pt>
                <c:pt idx="41">
                  <c:v>60</c:v>
                </c:pt>
                <c:pt idx="42">
                  <c:v>64.5</c:v>
                </c:pt>
                <c:pt idx="43" formatCode="General">
                  <c:v>1220.2</c:v>
                </c:pt>
                <c:pt idx="44" formatCode="General">
                  <c:v>114.5</c:v>
                </c:pt>
                <c:pt idx="45" formatCode="General">
                  <c:v>112</c:v>
                </c:pt>
                <c:pt idx="46" formatCode="General">
                  <c:v>471</c:v>
                </c:pt>
                <c:pt idx="47" formatCode="General">
                  <c:v>440</c:v>
                </c:pt>
                <c:pt idx="48" formatCode="General">
                  <c:v>1282</c:v>
                </c:pt>
                <c:pt idx="49" formatCode="General">
                  <c:v>237.5</c:v>
                </c:pt>
                <c:pt idx="50" formatCode="General">
                  <c:v>253</c:v>
                </c:pt>
                <c:pt idx="51" formatCode="General">
                  <c:v>258.5</c:v>
                </c:pt>
                <c:pt idx="52" formatCode="General">
                  <c:v>248.5</c:v>
                </c:pt>
                <c:pt idx="53" formatCode="General">
                  <c:v>249.5</c:v>
                </c:pt>
                <c:pt idx="54" formatCode="General">
                  <c:v>227</c:v>
                </c:pt>
                <c:pt idx="55" formatCode="General">
                  <c:v>260</c:v>
                </c:pt>
                <c:pt idx="56" formatCode="General">
                  <c:v>694</c:v>
                </c:pt>
                <c:pt idx="57" formatCode="General">
                  <c:v>249.5</c:v>
                </c:pt>
                <c:pt idx="58" formatCode="General">
                  <c:v>250</c:v>
                </c:pt>
                <c:pt idx="59" formatCode="General">
                  <c:v>226.5</c:v>
                </c:pt>
                <c:pt idx="60" formatCode="General">
                  <c:v>272.5</c:v>
                </c:pt>
                <c:pt idx="61" formatCode="General">
                  <c:v>36.35</c:v>
                </c:pt>
                <c:pt idx="62" formatCode="General">
                  <c:v>38.049999999999997</c:v>
                </c:pt>
                <c:pt idx="63" formatCode="General">
                  <c:v>38.85</c:v>
                </c:pt>
                <c:pt idx="64" formatCode="General">
                  <c:v>37.950000000000003</c:v>
                </c:pt>
                <c:pt idx="65" formatCode="General">
                  <c:v>41.5</c:v>
                </c:pt>
                <c:pt idx="66" formatCode="General">
                  <c:v>34.5</c:v>
                </c:pt>
                <c:pt idx="67" formatCode="General">
                  <c:v>38.25</c:v>
                </c:pt>
                <c:pt idx="68" formatCode="General">
                  <c:v>40.299999999999997</c:v>
                </c:pt>
                <c:pt idx="69" formatCode="General">
                  <c:v>24.75</c:v>
                </c:pt>
                <c:pt idx="70" formatCode="General">
                  <c:v>37.450000000000003</c:v>
                </c:pt>
                <c:pt idx="71" formatCode="General">
                  <c:v>66</c:v>
                </c:pt>
                <c:pt idx="72" formatCode="General">
                  <c:v>171.5</c:v>
                </c:pt>
                <c:pt idx="73" formatCode="General">
                  <c:v>1365</c:v>
                </c:pt>
                <c:pt idx="74" formatCode="General">
                  <c:v>230</c:v>
                </c:pt>
                <c:pt idx="75" formatCode="General">
                  <c:v>200</c:v>
                </c:pt>
                <c:pt idx="76" formatCode="General">
                  <c:v>380</c:v>
                </c:pt>
                <c:pt idx="77" formatCode="General">
                  <c:v>353</c:v>
                </c:pt>
                <c:pt idx="78" formatCode="General">
                  <c:v>779.75</c:v>
                </c:pt>
                <c:pt idx="80" formatCode="General">
                  <c:v>1107</c:v>
                </c:pt>
                <c:pt idx="81" formatCode="General">
                  <c:v>826.5</c:v>
                </c:pt>
                <c:pt idx="82" formatCode="General">
                  <c:v>675.5</c:v>
                </c:pt>
                <c:pt idx="83" formatCode="General">
                  <c:v>79.2</c:v>
                </c:pt>
                <c:pt idx="84" formatCode="General">
                  <c:v>75</c:v>
                </c:pt>
                <c:pt idx="85" formatCode="General">
                  <c:v>84.5</c:v>
                </c:pt>
              </c:numCache>
            </c:numRef>
          </c:xVal>
          <c:yVal>
            <c:numRef>
              <c:f>table_paper!$O$2:$O$269</c:f>
              <c:numCache>
                <c:formatCode>0.00</c:formatCode>
                <c:ptCount val="268"/>
                <c:pt idx="0">
                  <c:v>15.14</c:v>
                </c:pt>
                <c:pt idx="1">
                  <c:v>15.14</c:v>
                </c:pt>
                <c:pt idx="2">
                  <c:v>15.14</c:v>
                </c:pt>
                <c:pt idx="3">
                  <c:v>19.809999999999999</c:v>
                </c:pt>
                <c:pt idx="4">
                  <c:v>19.809999999999999</c:v>
                </c:pt>
                <c:pt idx="5">
                  <c:v>19.809999999999999</c:v>
                </c:pt>
                <c:pt idx="6">
                  <c:v>25.98</c:v>
                </c:pt>
                <c:pt idx="7">
                  <c:v>25.98</c:v>
                </c:pt>
                <c:pt idx="8">
                  <c:v>25.98</c:v>
                </c:pt>
                <c:pt idx="9">
                  <c:v>30.46</c:v>
                </c:pt>
                <c:pt idx="10">
                  <c:v>30.46</c:v>
                </c:pt>
                <c:pt idx="11">
                  <c:v>30.46</c:v>
                </c:pt>
                <c:pt idx="12">
                  <c:v>39.25</c:v>
                </c:pt>
                <c:pt idx="13">
                  <c:v>39.25</c:v>
                </c:pt>
                <c:pt idx="14">
                  <c:v>39.25</c:v>
                </c:pt>
                <c:pt idx="15">
                  <c:v>57.37</c:v>
                </c:pt>
                <c:pt idx="16">
                  <c:v>57.37</c:v>
                </c:pt>
                <c:pt idx="17" formatCode="0.0">
                  <c:v>315.26072484614241</c:v>
                </c:pt>
                <c:pt idx="18" formatCode="0.0">
                  <c:v>360.19815692107983</c:v>
                </c:pt>
                <c:pt idx="19" formatCode="0.0">
                  <c:v>50.441715975382785</c:v>
                </c:pt>
                <c:pt idx="20" formatCode="0.0">
                  <c:v>50.441715975382785</c:v>
                </c:pt>
                <c:pt idx="21" formatCode="0.0">
                  <c:v>58.846249182011164</c:v>
                </c:pt>
                <c:pt idx="22" formatCode="0.0">
                  <c:v>57.631705107372774</c:v>
                </c:pt>
                <c:pt idx="23" formatCode="0.0">
                  <c:v>43.666203653414307</c:v>
                </c:pt>
                <c:pt idx="24" formatCode="0.0">
                  <c:v>44.480290845592471</c:v>
                </c:pt>
                <c:pt idx="25">
                  <c:v>95.475820516409613</c:v>
                </c:pt>
                <c:pt idx="26">
                  <c:v>218.1128658349013</c:v>
                </c:pt>
                <c:pt idx="27">
                  <c:v>277.91275211563118</c:v>
                </c:pt>
                <c:pt idx="28">
                  <c:v>359.85480101280268</c:v>
                </c:pt>
                <c:pt idx="29">
                  <c:v>65.122551005708502</c:v>
                </c:pt>
                <c:pt idx="30">
                  <c:v>287.39988916950136</c:v>
                </c:pt>
                <c:pt idx="31">
                  <c:v>476.19309321559643</c:v>
                </c:pt>
                <c:pt idx="32">
                  <c:v>710.51011021012994</c:v>
                </c:pt>
                <c:pt idx="33" formatCode="0.0">
                  <c:v>304.14091473389425</c:v>
                </c:pt>
                <c:pt idx="34" formatCode="0.0">
                  <c:v>355.96518421728706</c:v>
                </c:pt>
                <c:pt idx="35" formatCode="0.0">
                  <c:v>57.493854738296953</c:v>
                </c:pt>
                <c:pt idx="36" formatCode="0.0">
                  <c:v>57.742956546489154</c:v>
                </c:pt>
                <c:pt idx="37" formatCode="0.0">
                  <c:v>58.045099923767296</c:v>
                </c:pt>
                <c:pt idx="38" formatCode="0.0">
                  <c:v>58.032851892469481</c:v>
                </c:pt>
                <c:pt idx="39" formatCode="0.0">
                  <c:v>346.21389233163654</c:v>
                </c:pt>
                <c:pt idx="40" formatCode="0.0">
                  <c:v>347.03430439877314</c:v>
                </c:pt>
                <c:pt idx="41" formatCode="0.0">
                  <c:v>60.226251930410818</c:v>
                </c:pt>
                <c:pt idx="42" formatCode="0.0">
                  <c:v>59.564424986120599</c:v>
                </c:pt>
                <c:pt idx="43" formatCode="General">
                  <c:v>2453.385027333662</c:v>
                </c:pt>
                <c:pt idx="44" formatCode="General">
                  <c:v>111.39914120993571</c:v>
                </c:pt>
                <c:pt idx="45" formatCode="General">
                  <c:v>112.57489031020607</c:v>
                </c:pt>
                <c:pt idx="46" formatCode="General">
                  <c:v>456.19893529712158</c:v>
                </c:pt>
                <c:pt idx="47" formatCode="General">
                  <c:v>448.69492671021681</c:v>
                </c:pt>
                <c:pt idx="48" formatCode="General">
                  <c:v>1399.1036567734952</c:v>
                </c:pt>
                <c:pt idx="49" formatCode="General">
                  <c:v>217.6088277901716</c:v>
                </c:pt>
                <c:pt idx="50" formatCode="General">
                  <c:v>218.7031752928074</c:v>
                </c:pt>
                <c:pt idx="51" formatCode="General">
                  <c:v>218.52584307051055</c:v>
                </c:pt>
                <c:pt idx="52" formatCode="General">
                  <c:v>218.52584307051055</c:v>
                </c:pt>
                <c:pt idx="53" formatCode="General">
                  <c:v>432.21976677119284</c:v>
                </c:pt>
                <c:pt idx="54" formatCode="General">
                  <c:v>442.78360878303693</c:v>
                </c:pt>
                <c:pt idx="55" formatCode="General">
                  <c:v>598.38117144774571</c:v>
                </c:pt>
                <c:pt idx="56" formatCode="General">
                  <c:v>588.5440985337824</c:v>
                </c:pt>
                <c:pt idx="57" formatCode="General">
                  <c:v>390.84434845224735</c:v>
                </c:pt>
                <c:pt idx="58" formatCode="General">
                  <c:v>401.89079055787931</c:v>
                </c:pt>
                <c:pt idx="59" formatCode="General">
                  <c:v>369.73636943603475</c:v>
                </c:pt>
                <c:pt idx="60" formatCode="General">
                  <c:v>372.35864604944913</c:v>
                </c:pt>
                <c:pt idx="61" formatCode="General">
                  <c:v>36.721008118325614</c:v>
                </c:pt>
                <c:pt idx="62" formatCode="General">
                  <c:v>36.721008118325614</c:v>
                </c:pt>
                <c:pt idx="63" formatCode="General">
                  <c:v>35.51817294750655</c:v>
                </c:pt>
                <c:pt idx="64" formatCode="General">
                  <c:v>35.016285286734792</c:v>
                </c:pt>
                <c:pt idx="65" formatCode="General">
                  <c:v>30.602300724370938</c:v>
                </c:pt>
                <c:pt idx="66" formatCode="General">
                  <c:v>30.602300724370938</c:v>
                </c:pt>
                <c:pt idx="67" formatCode="General">
                  <c:v>37.415556800297637</c:v>
                </c:pt>
                <c:pt idx="68" formatCode="General">
                  <c:v>37.415556800297637</c:v>
                </c:pt>
                <c:pt idx="69" formatCode="General">
                  <c:v>36.14686198410422</c:v>
                </c:pt>
                <c:pt idx="70" formatCode="General">
                  <c:v>48.668335277749989</c:v>
                </c:pt>
                <c:pt idx="71" formatCode="General">
                  <c:v>49.876656311454809</c:v>
                </c:pt>
                <c:pt idx="72" formatCode="General">
                  <c:v>422.65048463655484</c:v>
                </c:pt>
                <c:pt idx="73" formatCode="General">
                  <c:v>1008.3027479373087</c:v>
                </c:pt>
                <c:pt idx="74" formatCode="General">
                  <c:v>530.9899984822747</c:v>
                </c:pt>
                <c:pt idx="75" formatCode="General">
                  <c:v>509.13336600687688</c:v>
                </c:pt>
                <c:pt idx="76" formatCode="General">
                  <c:v>489.8791857548851</c:v>
                </c:pt>
                <c:pt idx="77" formatCode="General">
                  <c:v>368.67415755023751</c:v>
                </c:pt>
                <c:pt idx="78" formatCode="General">
                  <c:v>287.79617199530611</c:v>
                </c:pt>
                <c:pt idx="79" formatCode="General">
                  <c:v>309.14267918617435</c:v>
                </c:pt>
                <c:pt idx="80" formatCode="General">
                  <c:v>287.79617199530611</c:v>
                </c:pt>
                <c:pt idx="81" formatCode="General">
                  <c:v>309.14267918617435</c:v>
                </c:pt>
                <c:pt idx="82" formatCode="General">
                  <c:v>350.96734173726651</c:v>
                </c:pt>
                <c:pt idx="83" formatCode="General">
                  <c:v>69.891365221947837</c:v>
                </c:pt>
                <c:pt idx="84" formatCode="General">
                  <c:v>70.068709747650161</c:v>
                </c:pt>
                <c:pt idx="85" formatCode="General">
                  <c:v>73.761756773501048</c:v>
                </c:pt>
              </c:numCache>
            </c:numRef>
          </c:yVal>
          <c:smooth val="0"/>
        </c:ser>
        <c:ser>
          <c:idx val="1"/>
          <c:order val="1"/>
          <c:tx>
            <c:v>l</c:v>
          </c:tx>
          <c:xVal>
            <c:numRef>
              <c:f>table_paper!$T$2:$T$3</c:f>
              <c:numCache>
                <c:formatCode>0.0</c:formatCode>
                <c:ptCount val="2"/>
                <c:pt idx="0">
                  <c:v>0</c:v>
                </c:pt>
                <c:pt idx="1">
                  <c:v>2500</c:v>
                </c:pt>
              </c:numCache>
            </c:numRef>
          </c:xVal>
          <c:yVal>
            <c:numRef>
              <c:f>table_paper!$U$2:$U$3</c:f>
              <c:numCache>
                <c:formatCode>0.0</c:formatCode>
                <c:ptCount val="2"/>
                <c:pt idx="0">
                  <c:v>0</c:v>
                </c:pt>
                <c:pt idx="1">
                  <c:v>2500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27712"/>
        <c:axId val="133029248"/>
      </c:scatterChart>
      <c:valAx>
        <c:axId val="133027712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crossAx val="133029248"/>
        <c:crosses val="autoZero"/>
        <c:crossBetween val="midCat"/>
      </c:valAx>
      <c:valAx>
        <c:axId val="13302924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330277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table_paper!$R$1</c:f>
              <c:strCache>
                <c:ptCount val="1"/>
                <c:pt idx="0">
                  <c:v>m</c:v>
                </c:pt>
              </c:strCache>
            </c:strRef>
          </c:tx>
          <c:spPr>
            <a:ln w="28575">
              <a:noFill/>
            </a:ln>
          </c:spPr>
          <c:xVal>
            <c:numRef>
              <c:f>table_paper!$Q$2:$Q$269</c:f>
              <c:numCache>
                <c:formatCode>General</c:formatCode>
                <c:ptCount val="268"/>
                <c:pt idx="0">
                  <c:v>406.48287401574805</c:v>
                </c:pt>
                <c:pt idx="1">
                  <c:v>481.6438582677165</c:v>
                </c:pt>
                <c:pt idx="2">
                  <c:v>391.14389763779525</c:v>
                </c:pt>
                <c:pt idx="3">
                  <c:v>616.84044094488195</c:v>
                </c:pt>
                <c:pt idx="4">
                  <c:v>620.67401574803148</c:v>
                </c:pt>
                <c:pt idx="5">
                  <c:v>648.05669291338586</c:v>
                </c:pt>
                <c:pt idx="6">
                  <c:v>636.63094488188972</c:v>
                </c:pt>
                <c:pt idx="7">
                  <c:v>650.47074803149599</c:v>
                </c:pt>
                <c:pt idx="8">
                  <c:v>876.52086614173231</c:v>
                </c:pt>
                <c:pt idx="9">
                  <c:v>766.87007874015751</c:v>
                </c:pt>
                <c:pt idx="10">
                  <c:v>777.60625984251976</c:v>
                </c:pt>
                <c:pt idx="11">
                  <c:v>688.64933070866141</c:v>
                </c:pt>
                <c:pt idx="12">
                  <c:v>972.65551181102376</c:v>
                </c:pt>
                <c:pt idx="13">
                  <c:v>1077.9944881889764</c:v>
                </c:pt>
                <c:pt idx="14">
                  <c:v>953.43307086614186</c:v>
                </c:pt>
                <c:pt idx="15">
                  <c:v>2080.5897637795274</c:v>
                </c:pt>
                <c:pt idx="16">
                  <c:v>2580.069094488189</c:v>
                </c:pt>
                <c:pt idx="17">
                  <c:v>19433.294999999998</c:v>
                </c:pt>
                <c:pt idx="18">
                  <c:v>17568.967499999999</c:v>
                </c:pt>
                <c:pt idx="19">
                  <c:v>1809.8639999999998</c:v>
                </c:pt>
                <c:pt idx="20">
                  <c:v>2129.4629999999997</c:v>
                </c:pt>
                <c:pt idx="21">
                  <c:v>2342.5289999999995</c:v>
                </c:pt>
                <c:pt idx="22">
                  <c:v>2075.598</c:v>
                </c:pt>
                <c:pt idx="23">
                  <c:v>1171.2644999999998</c:v>
                </c:pt>
                <c:pt idx="24">
                  <c:v>1220.9399999999998</c:v>
                </c:pt>
                <c:pt idx="25">
                  <c:v>3670.3039370078736</c:v>
                </c:pt>
                <c:pt idx="26">
                  <c:v>8493.9385826771668</c:v>
                </c:pt>
                <c:pt idx="27">
                  <c:v>11664.940157480316</c:v>
                </c:pt>
                <c:pt idx="28">
                  <c:v>15533.858267716536</c:v>
                </c:pt>
                <c:pt idx="29">
                  <c:v>1607.278031496063</c:v>
                </c:pt>
                <c:pt idx="30">
                  <c:v>9564.9864566929136</c:v>
                </c:pt>
                <c:pt idx="31">
                  <c:v>20290.806141732286</c:v>
                </c:pt>
                <c:pt idx="32">
                  <c:v>32047.320472440944</c:v>
                </c:pt>
                <c:pt idx="33">
                  <c:v>25376.969999999998</c:v>
                </c:pt>
                <c:pt idx="34">
                  <c:v>24472.664999999997</c:v>
                </c:pt>
                <c:pt idx="35">
                  <c:v>1470.6</c:v>
                </c:pt>
                <c:pt idx="36">
                  <c:v>1634.817</c:v>
                </c:pt>
                <c:pt idx="37">
                  <c:v>1678.9207499999998</c:v>
                </c:pt>
                <c:pt idx="38">
                  <c:v>1571.7037499999997</c:v>
                </c:pt>
                <c:pt idx="39">
                  <c:v>21732.789000000001</c:v>
                </c:pt>
                <c:pt idx="40">
                  <c:v>22619.131874999999</c:v>
                </c:pt>
                <c:pt idx="41">
                  <c:v>1816.875</c:v>
                </c:pt>
                <c:pt idx="42">
                  <c:v>1953.140625</c:v>
                </c:pt>
                <c:pt idx="43">
                  <c:v>129811.98582677168</c:v>
                </c:pt>
                <c:pt idx="44">
                  <c:v>5811.3257874015744</c:v>
                </c:pt>
                <c:pt idx="45">
                  <c:v>5684.4409448818897</c:v>
                </c:pt>
                <c:pt idx="46">
                  <c:v>24014.509842519685</c:v>
                </c:pt>
                <c:pt idx="47">
                  <c:v>22382.834645669296</c:v>
                </c:pt>
                <c:pt idx="48">
                  <c:v>65513.228346456701</c:v>
                </c:pt>
                <c:pt idx="49">
                  <c:v>9731.2352362204711</c:v>
                </c:pt>
                <c:pt idx="50">
                  <c:v>10332.559842519686</c:v>
                </c:pt>
                <c:pt idx="51">
                  <c:v>10557.180708661419</c:v>
                </c:pt>
                <c:pt idx="52">
                  <c:v>10148.779133858268</c:v>
                </c:pt>
                <c:pt idx="53">
                  <c:v>39743.188976377955</c:v>
                </c:pt>
                <c:pt idx="54">
                  <c:v>36159.13385826772</c:v>
                </c:pt>
                <c:pt idx="55">
                  <c:v>41415.74803149607</c:v>
                </c:pt>
                <c:pt idx="56">
                  <c:v>110548.18897637796</c:v>
                </c:pt>
                <c:pt idx="57">
                  <c:v>39743.188976377955</c:v>
                </c:pt>
                <c:pt idx="58">
                  <c:v>39822.834645669296</c:v>
                </c:pt>
                <c:pt idx="59">
                  <c:v>36079.488188976386</c:v>
                </c:pt>
                <c:pt idx="60">
                  <c:v>43406.889763779531</c:v>
                </c:pt>
                <c:pt idx="61">
                  <c:v>1158.048031496063</c:v>
                </c:pt>
                <c:pt idx="62">
                  <c:v>1212.2070866141732</c:v>
                </c:pt>
                <c:pt idx="63">
                  <c:v>1237.6937007874017</c:v>
                </c:pt>
                <c:pt idx="64">
                  <c:v>1209.0212598425198</c:v>
                </c:pt>
                <c:pt idx="65">
                  <c:v>1322.1181102362204</c:v>
                </c:pt>
                <c:pt idx="66">
                  <c:v>1099.1102362204724</c:v>
                </c:pt>
                <c:pt idx="67">
                  <c:v>1218.5787401574803</c:v>
                </c:pt>
                <c:pt idx="68">
                  <c:v>1283.8881889763779</c:v>
                </c:pt>
                <c:pt idx="69">
                  <c:v>802.1338582677165</c:v>
                </c:pt>
                <c:pt idx="70">
                  <c:v>1193.0921259842521</c:v>
                </c:pt>
                <c:pt idx="71">
                  <c:v>2102.6456692913384</c:v>
                </c:pt>
                <c:pt idx="72">
                  <c:v>27315.088582677163</c:v>
                </c:pt>
                <c:pt idx="73">
                  <c:v>639722.83464566944</c:v>
                </c:pt>
                <c:pt idx="74">
                  <c:v>48946.535433070872</c:v>
                </c:pt>
                <c:pt idx="75">
                  <c:v>42504.015748031496</c:v>
                </c:pt>
                <c:pt idx="76">
                  <c:v>83918.960629921261</c:v>
                </c:pt>
                <c:pt idx="77">
                  <c:v>33354.330708661415</c:v>
                </c:pt>
                <c:pt idx="78">
                  <c:v>55257.874015748035</c:v>
                </c:pt>
                <c:pt idx="79">
                  <c:v>0</c:v>
                </c:pt>
                <c:pt idx="80">
                  <c:v>78448.818897637801</c:v>
                </c:pt>
                <c:pt idx="81">
                  <c:v>78094.488188976378</c:v>
                </c:pt>
                <c:pt idx="82">
                  <c:v>79783.464566929135</c:v>
                </c:pt>
                <c:pt idx="83">
                  <c:v>4677.1653543307093</c:v>
                </c:pt>
                <c:pt idx="84">
                  <c:v>4429.1338582677163</c:v>
                </c:pt>
                <c:pt idx="85">
                  <c:v>2994.0944881889764</c:v>
                </c:pt>
              </c:numCache>
            </c:numRef>
          </c:xVal>
          <c:yVal>
            <c:numRef>
              <c:f>table_paper!$R$2:$R$269</c:f>
              <c:numCache>
                <c:formatCode>General</c:formatCode>
                <c:ptCount val="268"/>
                <c:pt idx="0">
                  <c:v>232.23210236220473</c:v>
                </c:pt>
                <c:pt idx="1">
                  <c:v>232.23210236220473</c:v>
                </c:pt>
                <c:pt idx="2">
                  <c:v>232.23210236220473</c:v>
                </c:pt>
                <c:pt idx="3">
                  <c:v>361.63388976377951</c:v>
                </c:pt>
                <c:pt idx="4">
                  <c:v>361.63388976377951</c:v>
                </c:pt>
                <c:pt idx="5">
                  <c:v>361.63388976377951</c:v>
                </c:pt>
                <c:pt idx="6">
                  <c:v>399.50898425196851</c:v>
                </c:pt>
                <c:pt idx="7">
                  <c:v>399.50898425196851</c:v>
                </c:pt>
                <c:pt idx="8">
                  <c:v>399.50898425196851</c:v>
                </c:pt>
                <c:pt idx="9">
                  <c:v>467.17725196850398</c:v>
                </c:pt>
                <c:pt idx="10">
                  <c:v>467.17725196850398</c:v>
                </c:pt>
                <c:pt idx="11">
                  <c:v>467.17725196850398</c:v>
                </c:pt>
                <c:pt idx="12">
                  <c:v>603.58464566929149</c:v>
                </c:pt>
                <c:pt idx="13">
                  <c:v>603.58464566929149</c:v>
                </c:pt>
                <c:pt idx="14">
                  <c:v>603.58464566929149</c:v>
                </c:pt>
                <c:pt idx="15">
                  <c:v>790.48632283464553</c:v>
                </c:pt>
                <c:pt idx="16">
                  <c:v>790.48632283464553</c:v>
                </c:pt>
                <c:pt idx="17">
                  <c:v>18868.35438204162</c:v>
                </c:pt>
                <c:pt idx="18">
                  <c:v>21557.859691726626</c:v>
                </c:pt>
                <c:pt idx="19">
                  <c:v>1207.5746804506637</c:v>
                </c:pt>
                <c:pt idx="20">
                  <c:v>1207.5746804506637</c:v>
                </c:pt>
                <c:pt idx="21">
                  <c:v>1408.7792054173472</c:v>
                </c:pt>
                <c:pt idx="22">
                  <c:v>1379.7030202705041</c:v>
                </c:pt>
                <c:pt idx="23">
                  <c:v>1045.3689154627384</c:v>
                </c:pt>
                <c:pt idx="24">
                  <c:v>1064.8581628434836</c:v>
                </c:pt>
                <c:pt idx="25">
                  <c:v>2624.9084638983918</c:v>
                </c:pt>
                <c:pt idx="26">
                  <c:v>13562.498436993825</c:v>
                </c:pt>
                <c:pt idx="27">
                  <c:v>22204.353578284237</c:v>
                </c:pt>
                <c:pt idx="28">
                  <c:v>34937.08422431384</c:v>
                </c:pt>
                <c:pt idx="29">
                  <c:v>1786.1782523286197</c:v>
                </c:pt>
                <c:pt idx="30">
                  <c:v>17896.979476310709</c:v>
                </c:pt>
                <c:pt idx="31">
                  <c:v>38085.698622268501</c:v>
                </c:pt>
                <c:pt idx="32">
                  <c:v>68981.020936148838</c:v>
                </c:pt>
                <c:pt idx="33">
                  <c:v>18289.513907522731</c:v>
                </c:pt>
                <c:pt idx="34">
                  <c:v>21456.691391657518</c:v>
                </c:pt>
                <c:pt idx="35">
                  <c:v>1409.1743796356582</c:v>
                </c:pt>
                <c:pt idx="36">
                  <c:v>1415.2798649544491</c:v>
                </c:pt>
                <c:pt idx="37">
                  <c:v>1414.4139723923993</c:v>
                </c:pt>
                <c:pt idx="38">
                  <c:v>1414.1155184897498</c:v>
                </c:pt>
                <c:pt idx="39">
                  <c:v>26024.465519203706</c:v>
                </c:pt>
                <c:pt idx="40">
                  <c:v>26147.95035424631</c:v>
                </c:pt>
                <c:pt idx="41">
                  <c:v>1823.7261912677525</c:v>
                </c:pt>
                <c:pt idx="42">
                  <c:v>1803.6852441109645</c:v>
                </c:pt>
                <c:pt idx="43">
                  <c:v>261005.3945220875</c:v>
                </c:pt>
                <c:pt idx="44">
                  <c:v>5653.9449957003389</c:v>
                </c:pt>
                <c:pt idx="45">
                  <c:v>5713.6188914725262</c:v>
                </c:pt>
                <c:pt idx="46">
                  <c:v>23259.859494351862</c:v>
                </c:pt>
                <c:pt idx="47">
                  <c:v>22825.146252057923</c:v>
                </c:pt>
                <c:pt idx="48">
                  <c:v>71497.501830393579</c:v>
                </c:pt>
                <c:pt idx="49">
                  <c:v>8916.2218640183182</c:v>
                </c:pt>
                <c:pt idx="50">
                  <c:v>8931.8721204031826</c:v>
                </c:pt>
                <c:pt idx="51">
                  <c:v>8924.6298445182456</c:v>
                </c:pt>
                <c:pt idx="52">
                  <c:v>8924.6298445182456</c:v>
                </c:pt>
                <c:pt idx="53">
                  <c:v>68848.86521087584</c:v>
                </c:pt>
                <c:pt idx="54">
                  <c:v>70531.593745518403</c:v>
                </c:pt>
                <c:pt idx="55">
                  <c:v>95316.937782581866</c:v>
                </c:pt>
                <c:pt idx="56">
                  <c:v>93749.977270381249</c:v>
                </c:pt>
                <c:pt idx="57">
                  <c:v>62258.119442432791</c:v>
                </c:pt>
                <c:pt idx="58">
                  <c:v>64017.721992014958</c:v>
                </c:pt>
                <c:pt idx="59">
                  <c:v>58895.801210165228</c:v>
                </c:pt>
                <c:pt idx="60">
                  <c:v>59313.507162050053</c:v>
                </c:pt>
                <c:pt idx="61">
                  <c:v>1169.8677074546883</c:v>
                </c:pt>
                <c:pt idx="62">
                  <c:v>1169.8677074546883</c:v>
                </c:pt>
                <c:pt idx="63">
                  <c:v>1131.5474625638701</c:v>
                </c:pt>
                <c:pt idx="64">
                  <c:v>1115.5581911033778</c:v>
                </c:pt>
                <c:pt idx="65">
                  <c:v>974.9362892189356</c:v>
                </c:pt>
                <c:pt idx="66">
                  <c:v>974.9362892189356</c:v>
                </c:pt>
                <c:pt idx="67">
                  <c:v>1191.99482530712</c:v>
                </c:pt>
                <c:pt idx="68">
                  <c:v>1191.99482530712</c:v>
                </c:pt>
                <c:pt idx="69">
                  <c:v>1171.4998734375824</c:v>
                </c:pt>
                <c:pt idx="70">
                  <c:v>1550.4888545966651</c:v>
                </c:pt>
                <c:pt idx="71">
                  <c:v>1588.983869575954</c:v>
                </c:pt>
                <c:pt idx="72">
                  <c:v>67316.241558944195</c:v>
                </c:pt>
                <c:pt idx="73">
                  <c:v>472552.59493880806</c:v>
                </c:pt>
                <c:pt idx="74">
                  <c:v>113000.52511008221</c:v>
                </c:pt>
                <c:pt idx="75">
                  <c:v>108201.0630330229</c:v>
                </c:pt>
                <c:pt idx="76">
                  <c:v>108184.61079679496</c:v>
                </c:pt>
                <c:pt idx="77">
                  <c:v>34835.353469313784</c:v>
                </c:pt>
                <c:pt idx="78">
                  <c:v>20395.004314627993</c:v>
                </c:pt>
                <c:pt idx="79">
                  <c:v>21907.748918705271</c:v>
                </c:pt>
                <c:pt idx="80">
                  <c:v>20395.004314627993</c:v>
                </c:pt>
                <c:pt idx="81">
                  <c:v>29210.331891607028</c:v>
                </c:pt>
                <c:pt idx="82">
                  <c:v>41452.835638259829</c:v>
                </c:pt>
                <c:pt idx="83">
                  <c:v>4127.4428280677857</c:v>
                </c:pt>
                <c:pt idx="84">
                  <c:v>4137.91592997934</c:v>
                </c:pt>
                <c:pt idx="85">
                  <c:v>2613.6055549665725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18592"/>
        <c:axId val="133128576"/>
      </c:scatterChart>
      <c:valAx>
        <c:axId val="133118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3128576"/>
        <c:crosses val="autoZero"/>
        <c:crossBetween val="midCat"/>
      </c:valAx>
      <c:valAx>
        <c:axId val="133128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31185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'4mdeep'!$V$1</c:f>
              <c:strCache>
                <c:ptCount val="1"/>
                <c:pt idx="0">
                  <c:v>V/(2*sqrt(fc) bd)</c:v>
                </c:pt>
              </c:strCache>
            </c:strRef>
          </c:tx>
          <c:spPr>
            <a:ln w="28575">
              <a:noFill/>
            </a:ln>
          </c:spPr>
          <c:yVal>
            <c:numRef>
              <c:f>'4mdeep'!$V$2:$V$12</c:f>
              <c:numCache>
                <c:formatCode>General</c:formatCode>
                <c:ptCount val="11"/>
                <c:pt idx="0">
                  <c:v>0.1572151803746186</c:v>
                </c:pt>
                <c:pt idx="1">
                  <c:v>0.37388191800245457</c:v>
                </c:pt>
                <c:pt idx="2">
                  <c:v>0.31317765014864268</c:v>
                </c:pt>
                <c:pt idx="3">
                  <c:v>0.39147206268580337</c:v>
                </c:pt>
                <c:pt idx="4">
                  <c:v>0.42905338070364046</c:v>
                </c:pt>
                <c:pt idx="5">
                  <c:v>0.62635530029728537</c:v>
                </c:pt>
                <c:pt idx="6">
                  <c:v>0.86123853790876737</c:v>
                </c:pt>
                <c:pt idx="7">
                  <c:v>1.0961217755202495</c:v>
                </c:pt>
                <c:pt idx="8">
                  <c:v>1.2646113513002191</c:v>
                </c:pt>
                <c:pt idx="9">
                  <c:v>1.3541801592427309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30400"/>
        <c:axId val="132631936"/>
      </c:scatterChart>
      <c:valAx>
        <c:axId val="132630400"/>
        <c:scaling>
          <c:orientation val="minMax"/>
        </c:scaling>
        <c:delete val="0"/>
        <c:axPos val="b"/>
        <c:majorTickMark val="out"/>
        <c:minorTickMark val="none"/>
        <c:tickLblPos val="nextTo"/>
        <c:crossAx val="132631936"/>
        <c:crosses val="autoZero"/>
        <c:crossBetween val="midCat"/>
      </c:valAx>
      <c:valAx>
        <c:axId val="132631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6304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'4mdeep'!$W$1</c:f>
              <c:strCache>
                <c:ptCount val="1"/>
                <c:pt idx="0">
                  <c:v>M/M_fracture</c:v>
                </c:pt>
              </c:strCache>
            </c:strRef>
          </c:tx>
          <c:spPr>
            <a:ln w="28575">
              <a:noFill/>
            </a:ln>
          </c:spPr>
          <c:yVal>
            <c:numRef>
              <c:f>'4mdeep'!$W$2:$W$12</c:f>
              <c:numCache>
                <c:formatCode>General</c:formatCode>
                <c:ptCount val="11"/>
                <c:pt idx="0">
                  <c:v>0.11609620721554116</c:v>
                </c:pt>
                <c:pt idx="1">
                  <c:v>0.27609466543324085</c:v>
                </c:pt>
                <c:pt idx="2">
                  <c:v>0.23126734505087881</c:v>
                </c:pt>
                <c:pt idx="3">
                  <c:v>0.28908418131359853</c:v>
                </c:pt>
                <c:pt idx="4">
                  <c:v>0.316836262719704</c:v>
                </c:pt>
                <c:pt idx="5">
                  <c:v>0.46253469010175763</c:v>
                </c:pt>
                <c:pt idx="6">
                  <c:v>0.63598519888991678</c:v>
                </c:pt>
                <c:pt idx="7">
                  <c:v>0.80943570767807593</c:v>
                </c:pt>
                <c:pt idx="8">
                  <c:v>0.93385753931544868</c:v>
                </c:pt>
                <c:pt idx="9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47936"/>
        <c:axId val="132657920"/>
      </c:scatterChart>
      <c:valAx>
        <c:axId val="132647936"/>
        <c:scaling>
          <c:orientation val="minMax"/>
        </c:scaling>
        <c:delete val="0"/>
        <c:axPos val="b"/>
        <c:majorTickMark val="out"/>
        <c:minorTickMark val="none"/>
        <c:tickLblPos val="nextTo"/>
        <c:crossAx val="132657920"/>
        <c:crosses val="autoZero"/>
        <c:crossBetween val="midCat"/>
      </c:valAx>
      <c:valAx>
        <c:axId val="132657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6479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'4mdeep'!$D$1</c:f>
              <c:strCache>
                <c:ptCount val="1"/>
                <c:pt idx="0">
                  <c:v>d/a</c:v>
                </c:pt>
              </c:strCache>
            </c:strRef>
          </c:tx>
          <c:spPr>
            <a:ln w="28575">
              <a:noFill/>
            </a:ln>
          </c:spPr>
          <c:yVal>
            <c:numRef>
              <c:f>'4mdeep'!$D$2:$D$12</c:f>
              <c:numCache>
                <c:formatCode>General</c:formatCode>
                <c:ptCount val="11"/>
                <c:pt idx="0">
                  <c:v>3.1</c:v>
                </c:pt>
                <c:pt idx="1">
                  <c:v>3.1</c:v>
                </c:pt>
                <c:pt idx="2">
                  <c:v>3.1</c:v>
                </c:pt>
                <c:pt idx="3">
                  <c:v>3.1</c:v>
                </c:pt>
                <c:pt idx="4">
                  <c:v>3.1</c:v>
                </c:pt>
                <c:pt idx="5">
                  <c:v>3.1</c:v>
                </c:pt>
                <c:pt idx="6">
                  <c:v>3.1</c:v>
                </c:pt>
                <c:pt idx="7">
                  <c:v>3.1</c:v>
                </c:pt>
                <c:pt idx="8">
                  <c:v>3.1</c:v>
                </c:pt>
                <c:pt idx="9">
                  <c:v>3.1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90304"/>
        <c:axId val="132691840"/>
      </c:scatterChart>
      <c:valAx>
        <c:axId val="132690304"/>
        <c:scaling>
          <c:orientation val="minMax"/>
        </c:scaling>
        <c:delete val="0"/>
        <c:axPos val="b"/>
        <c:majorTickMark val="out"/>
        <c:minorTickMark val="none"/>
        <c:tickLblPos val="nextTo"/>
        <c:crossAx val="132691840"/>
        <c:crosses val="autoZero"/>
        <c:crossBetween val="midCat"/>
      </c:valAx>
      <c:valAx>
        <c:axId val="132691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6903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9.2891294838145233E-2"/>
          <c:y val="0.20406277340332457"/>
          <c:w val="0.87635870516185477"/>
          <c:h val="0.68921660834062404"/>
        </c:manualLayout>
      </c:layout>
      <c:scatterChart>
        <c:scatterStyle val="lineMarker"/>
        <c:varyColors val="0"/>
        <c:ser>
          <c:idx val="0"/>
          <c:order val="0"/>
          <c:tx>
            <c:strRef>
              <c:f>Uniform!$V$1</c:f>
              <c:strCache>
                <c:ptCount val="1"/>
                <c:pt idx="0">
                  <c:v>V/(2*sqrt(fc) bd)</c:v>
                </c:pt>
              </c:strCache>
            </c:strRef>
          </c:tx>
          <c:spPr>
            <a:ln w="28575">
              <a:noFill/>
            </a:ln>
          </c:spPr>
          <c:yVal>
            <c:numRef>
              <c:f>Uniform!$V$2:$V$324</c:f>
              <c:numCache>
                <c:formatCode>General</c:formatCode>
                <c:ptCount val="323"/>
                <c:pt idx="0">
                  <c:v>0.3756567002706418</c:v>
                </c:pt>
                <c:pt idx="1">
                  <c:v>0.54599056869660789</c:v>
                </c:pt>
                <c:pt idx="2">
                  <c:v>0.68757381601882805</c:v>
                </c:pt>
                <c:pt idx="3">
                  <c:v>0.80962833957246616</c:v>
                </c:pt>
                <c:pt idx="4">
                  <c:v>0.91947741077074041</c:v>
                </c:pt>
                <c:pt idx="5">
                  <c:v>0.95744992920965011</c:v>
                </c:pt>
                <c:pt idx="6">
                  <c:v>0.59154279641149543</c:v>
                </c:pt>
                <c:pt idx="7">
                  <c:v>1.1787424004851679</c:v>
                </c:pt>
                <c:pt idx="8">
                  <c:v>1.5444391953298662</c:v>
                </c:pt>
                <c:pt idx="9">
                  <c:v>2.0882068760253087</c:v>
                </c:pt>
                <c:pt idx="10">
                  <c:v>2.7092833803340004</c:v>
                </c:pt>
                <c:pt idx="11">
                  <c:v>0.81130832870534031</c:v>
                </c:pt>
                <c:pt idx="12">
                  <c:v>1.393296101973625</c:v>
                </c:pt>
                <c:pt idx="13">
                  <c:v>1.9196910133177751</c:v>
                </c:pt>
                <c:pt idx="14">
                  <c:v>2.4877805711050263</c:v>
                </c:pt>
                <c:pt idx="15">
                  <c:v>2.9724808360060755</c:v>
                </c:pt>
                <c:pt idx="16">
                  <c:v>3.4901893626745792</c:v>
                </c:pt>
                <c:pt idx="17">
                  <c:v>3.8480684113111963</c:v>
                </c:pt>
                <c:pt idx="18">
                  <c:v>0.7292481494681029</c:v>
                </c:pt>
                <c:pt idx="19">
                  <c:v>0.86380890803041421</c:v>
                </c:pt>
                <c:pt idx="20">
                  <c:v>0.94807111381282305</c:v>
                </c:pt>
                <c:pt idx="21">
                  <c:v>1.04462492734852</c:v>
                </c:pt>
                <c:pt idx="22">
                  <c:v>1.1046273809862812</c:v>
                </c:pt>
                <c:pt idx="23">
                  <c:v>1.2841495468566726</c:v>
                </c:pt>
                <c:pt idx="24">
                  <c:v>1.7596406888917631</c:v>
                </c:pt>
                <c:pt idx="25">
                  <c:v>2.6734246863401507</c:v>
                </c:pt>
                <c:pt idx="26">
                  <c:v>0.38378230943452379</c:v>
                </c:pt>
                <c:pt idx="27">
                  <c:v>0.57310921709543039</c:v>
                </c:pt>
                <c:pt idx="28">
                  <c:v>0.78636909728232052</c:v>
                </c:pt>
                <c:pt idx="29">
                  <c:v>0.99649489773366517</c:v>
                </c:pt>
                <c:pt idx="30">
                  <c:v>1.2108944432789355</c:v>
                </c:pt>
                <c:pt idx="31">
                  <c:v>1.428855443069144</c:v>
                </c:pt>
                <c:pt idx="32">
                  <c:v>1.6439672794634019</c:v>
                </c:pt>
                <c:pt idx="33">
                  <c:v>1.8505316256698086</c:v>
                </c:pt>
                <c:pt idx="34">
                  <c:v>1.9246098739645199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81408"/>
        <c:axId val="132743936"/>
      </c:scatterChart>
      <c:valAx>
        <c:axId val="120081408"/>
        <c:scaling>
          <c:orientation val="minMax"/>
          <c:max val="50"/>
        </c:scaling>
        <c:delete val="0"/>
        <c:axPos val="b"/>
        <c:majorTickMark val="out"/>
        <c:minorTickMark val="none"/>
        <c:tickLblPos val="nextTo"/>
        <c:crossAx val="132743936"/>
        <c:crosses val="autoZero"/>
        <c:crossBetween val="midCat"/>
      </c:valAx>
      <c:valAx>
        <c:axId val="132743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0814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Uniform!$W$1</c:f>
              <c:strCache>
                <c:ptCount val="1"/>
                <c:pt idx="0">
                  <c:v>M/M_fracture</c:v>
                </c:pt>
              </c:strCache>
            </c:strRef>
          </c:tx>
          <c:spPr>
            <a:ln w="28575">
              <a:noFill/>
            </a:ln>
          </c:spPr>
          <c:yVal>
            <c:numRef>
              <c:f>Uniform!$W$2:$W$324</c:f>
              <c:numCache>
                <c:formatCode>General</c:formatCode>
                <c:ptCount val="323"/>
                <c:pt idx="0">
                  <c:v>0.3923512747875354</c:v>
                </c:pt>
                <c:pt idx="1">
                  <c:v>0.57025495750708211</c:v>
                </c:pt>
                <c:pt idx="2">
                  <c:v>0.71813031161473084</c:v>
                </c:pt>
                <c:pt idx="3">
                  <c:v>0.84560906515580736</c:v>
                </c:pt>
                <c:pt idx="4">
                  <c:v>0.96033994334277617</c:v>
                </c:pt>
                <c:pt idx="5">
                  <c:v>1</c:v>
                </c:pt>
                <c:pt idx="6">
                  <c:v>0.21833921128566849</c:v>
                </c:pt>
                <c:pt idx="7">
                  <c:v>0.43507534466175057</c:v>
                </c:pt>
                <c:pt idx="8">
                  <c:v>0.57005450464892593</c:v>
                </c:pt>
                <c:pt idx="9">
                  <c:v>0.770759858929144</c:v>
                </c:pt>
                <c:pt idx="10">
                  <c:v>1</c:v>
                </c:pt>
                <c:pt idx="11">
                  <c:v>0.21083521444695261</c:v>
                </c:pt>
                <c:pt idx="12">
                  <c:v>0.36207674943566592</c:v>
                </c:pt>
                <c:pt idx="13">
                  <c:v>0.49887133182844245</c:v>
                </c:pt>
                <c:pt idx="14">
                  <c:v>0.64650112866817155</c:v>
                </c:pt>
                <c:pt idx="15">
                  <c:v>0.77246049661399552</c:v>
                </c:pt>
                <c:pt idx="16">
                  <c:v>0.90699774266365685</c:v>
                </c:pt>
                <c:pt idx="17">
                  <c:v>1</c:v>
                </c:pt>
                <c:pt idx="18">
                  <c:v>0.27277676950998186</c:v>
                </c:pt>
                <c:pt idx="19">
                  <c:v>0.32310949788263765</c:v>
                </c:pt>
                <c:pt idx="20">
                  <c:v>0.35462794918330309</c:v>
                </c:pt>
                <c:pt idx="21">
                  <c:v>0.39074410163339385</c:v>
                </c:pt>
                <c:pt idx="22">
                  <c:v>0.41318814277071991</c:v>
                </c:pt>
                <c:pt idx="23">
                  <c:v>0.48033877797943136</c:v>
                </c:pt>
                <c:pt idx="24">
                  <c:v>0.6581972171808832</c:v>
                </c:pt>
                <c:pt idx="25">
                  <c:v>1</c:v>
                </c:pt>
                <c:pt idx="26">
                  <c:v>0.19940784603997036</c:v>
                </c:pt>
                <c:pt idx="27">
                  <c:v>0.29777942264988899</c:v>
                </c:pt>
                <c:pt idx="28">
                  <c:v>0.4085862324204293</c:v>
                </c:pt>
                <c:pt idx="29">
                  <c:v>0.5177646188008882</c:v>
                </c:pt>
                <c:pt idx="30">
                  <c:v>0.62916358253145821</c:v>
                </c:pt>
                <c:pt idx="31">
                  <c:v>0.74241302738712067</c:v>
                </c:pt>
                <c:pt idx="32">
                  <c:v>0.85418208734270906</c:v>
                </c:pt>
                <c:pt idx="33">
                  <c:v>0.96150999259807546</c:v>
                </c:pt>
                <c:pt idx="34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496640"/>
        <c:axId val="134498176"/>
      </c:scatterChart>
      <c:valAx>
        <c:axId val="134496640"/>
        <c:scaling>
          <c:orientation val="minMax"/>
          <c:max val="50"/>
        </c:scaling>
        <c:delete val="0"/>
        <c:axPos val="b"/>
        <c:majorTickMark val="out"/>
        <c:minorTickMark val="none"/>
        <c:tickLblPos val="nextTo"/>
        <c:crossAx val="134498176"/>
        <c:crosses val="autoZero"/>
        <c:crossBetween val="midCat"/>
      </c:valAx>
      <c:valAx>
        <c:axId val="134498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4966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Uniform!$D$1</c:f>
              <c:strCache>
                <c:ptCount val="1"/>
                <c:pt idx="0">
                  <c:v>d/a</c:v>
                </c:pt>
              </c:strCache>
            </c:strRef>
          </c:tx>
          <c:spPr>
            <a:ln w="28575">
              <a:noFill/>
            </a:ln>
          </c:spPr>
          <c:yVal>
            <c:numRef>
              <c:f>Uniform!$D$2:$D$324</c:f>
              <c:numCache>
                <c:formatCode>General</c:formatCode>
                <c:ptCount val="323"/>
                <c:pt idx="0">
                  <c:v>2.5945945945945947</c:v>
                </c:pt>
                <c:pt idx="1">
                  <c:v>2.5945945945945947</c:v>
                </c:pt>
                <c:pt idx="2">
                  <c:v>2.5945945945945947</c:v>
                </c:pt>
                <c:pt idx="3">
                  <c:v>2.5945945945945947</c:v>
                </c:pt>
                <c:pt idx="4">
                  <c:v>2.5945945945945947</c:v>
                </c:pt>
                <c:pt idx="5">
                  <c:v>2.5945945945945947</c:v>
                </c:pt>
                <c:pt idx="6">
                  <c:v>1.9459459459459461</c:v>
                </c:pt>
                <c:pt idx="7">
                  <c:v>1.9459459459459461</c:v>
                </c:pt>
                <c:pt idx="8">
                  <c:v>1.9459459459459461</c:v>
                </c:pt>
                <c:pt idx="9">
                  <c:v>1.9459459459459461</c:v>
                </c:pt>
                <c:pt idx="10">
                  <c:v>1.9459459459459461</c:v>
                </c:pt>
                <c:pt idx="11">
                  <c:v>1.6216216216216217</c:v>
                </c:pt>
                <c:pt idx="12">
                  <c:v>1.6216216216216217</c:v>
                </c:pt>
                <c:pt idx="13">
                  <c:v>1.6216216216216217</c:v>
                </c:pt>
                <c:pt idx="14">
                  <c:v>1.6216216216216217</c:v>
                </c:pt>
                <c:pt idx="15">
                  <c:v>1.6216216216216217</c:v>
                </c:pt>
                <c:pt idx="16">
                  <c:v>1.6216216216216217</c:v>
                </c:pt>
                <c:pt idx="17">
                  <c:v>1.6216216216216217</c:v>
                </c:pt>
                <c:pt idx="18">
                  <c:v>2.5945945945945947</c:v>
                </c:pt>
                <c:pt idx="19">
                  <c:v>2.5945945945945947</c:v>
                </c:pt>
                <c:pt idx="20">
                  <c:v>2.5945945945945947</c:v>
                </c:pt>
                <c:pt idx="21">
                  <c:v>2.5945945945945947</c:v>
                </c:pt>
                <c:pt idx="22">
                  <c:v>2.5945945945945947</c:v>
                </c:pt>
                <c:pt idx="23">
                  <c:v>2.5945945945945947</c:v>
                </c:pt>
                <c:pt idx="24">
                  <c:v>2.5945945945945947</c:v>
                </c:pt>
                <c:pt idx="25">
                  <c:v>2.5945945945945947</c:v>
                </c:pt>
                <c:pt idx="26">
                  <c:v>3.2432432432432434</c:v>
                </c:pt>
                <c:pt idx="27">
                  <c:v>3.2432432432432434</c:v>
                </c:pt>
                <c:pt idx="28">
                  <c:v>3.2432432432432434</c:v>
                </c:pt>
                <c:pt idx="29">
                  <c:v>3.2432432432432434</c:v>
                </c:pt>
                <c:pt idx="30">
                  <c:v>3.2432432432432434</c:v>
                </c:pt>
                <c:pt idx="31">
                  <c:v>3.2432432432432434</c:v>
                </c:pt>
                <c:pt idx="32">
                  <c:v>3.2432432432432434</c:v>
                </c:pt>
                <c:pt idx="33">
                  <c:v>3.2432432432432434</c:v>
                </c:pt>
                <c:pt idx="34">
                  <c:v>3.2432432432432434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10464"/>
        <c:axId val="134512000"/>
      </c:scatterChart>
      <c:valAx>
        <c:axId val="134510464"/>
        <c:scaling>
          <c:orientation val="minMax"/>
          <c:max val="50"/>
        </c:scaling>
        <c:delete val="0"/>
        <c:axPos val="b"/>
        <c:majorTickMark val="out"/>
        <c:minorTickMark val="none"/>
        <c:tickLblPos val="nextTo"/>
        <c:crossAx val="134512000"/>
        <c:crosses val="autoZero"/>
        <c:crossBetween val="midCat"/>
      </c:valAx>
      <c:valAx>
        <c:axId val="134512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5104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Uniform!$AO$1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>
              <a:noFill/>
            </a:ln>
          </c:spPr>
          <c:yVal>
            <c:numRef>
              <c:f>Uniform!$AO$2:$AO$324</c:f>
              <c:numCache>
                <c:formatCode>General</c:formatCode>
                <c:ptCount val="323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40288"/>
        <c:axId val="134415104"/>
      </c:scatterChart>
      <c:valAx>
        <c:axId val="134540288"/>
        <c:scaling>
          <c:orientation val="minMax"/>
        </c:scaling>
        <c:delete val="0"/>
        <c:axPos val="b"/>
        <c:majorTickMark val="out"/>
        <c:minorTickMark val="none"/>
        <c:tickLblPos val="nextTo"/>
        <c:crossAx val="134415104"/>
        <c:crosses val="autoZero"/>
        <c:crossBetween val="midCat"/>
      </c:valAx>
      <c:valAx>
        <c:axId val="134415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5402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Haunched!$V$1</c:f>
              <c:strCache>
                <c:ptCount val="1"/>
                <c:pt idx="0">
                  <c:v>V/(2*sqrt(fc) bd)</c:v>
                </c:pt>
              </c:strCache>
            </c:strRef>
          </c:tx>
          <c:spPr>
            <a:ln w="28575">
              <a:noFill/>
            </a:ln>
          </c:spPr>
          <c:yVal>
            <c:numRef>
              <c:f>Haunched!$V$2:$V$29</c:f>
              <c:numCache>
                <c:formatCode>General</c:formatCode>
                <c:ptCount val="28"/>
                <c:pt idx="0">
                  <c:v>0.28614788109413863</c:v>
                </c:pt>
                <c:pt idx="1">
                  <c:v>0.42922182164120792</c:v>
                </c:pt>
                <c:pt idx="2">
                  <c:v>0.57229576218827727</c:v>
                </c:pt>
                <c:pt idx="3">
                  <c:v>0.71536970273534661</c:v>
                </c:pt>
                <c:pt idx="4">
                  <c:v>0.85844364328241585</c:v>
                </c:pt>
                <c:pt idx="5">
                  <c:v>1.0015175838294852</c:v>
                </c:pt>
                <c:pt idx="6">
                  <c:v>1.1331456091327889</c:v>
                </c:pt>
                <c:pt idx="7">
                  <c:v>7.1355909567421605E-2</c:v>
                </c:pt>
                <c:pt idx="8">
                  <c:v>0.21406772870226479</c:v>
                </c:pt>
                <c:pt idx="9">
                  <c:v>0.28542363826968642</c:v>
                </c:pt>
                <c:pt idx="10">
                  <c:v>0.35677954783710802</c:v>
                </c:pt>
                <c:pt idx="11">
                  <c:v>0.42813545740452957</c:v>
                </c:pt>
                <c:pt idx="12">
                  <c:v>0.49949136697195118</c:v>
                </c:pt>
                <c:pt idx="13">
                  <c:v>0.57084727653937284</c:v>
                </c:pt>
                <c:pt idx="14">
                  <c:v>0.64220318610679439</c:v>
                </c:pt>
                <c:pt idx="15">
                  <c:v>0.71355909567421605</c:v>
                </c:pt>
                <c:pt idx="16">
                  <c:v>0.7849150052416376</c:v>
                </c:pt>
                <c:pt idx="17">
                  <c:v>0.85627091480905915</c:v>
                </c:pt>
                <c:pt idx="18">
                  <c:v>0.92762682437648081</c:v>
                </c:pt>
                <c:pt idx="19">
                  <c:v>0.99898273394390236</c:v>
                </c:pt>
                <c:pt idx="20">
                  <c:v>1.070338643511324</c:v>
                </c:pt>
                <c:pt idx="21">
                  <c:v>0.33891658326496249</c:v>
                </c:pt>
                <c:pt idx="22">
                  <c:v>0.4744832165709475</c:v>
                </c:pt>
                <c:pt idx="23">
                  <c:v>0.61004984987693245</c:v>
                </c:pt>
                <c:pt idx="24">
                  <c:v>0.74561648318291751</c:v>
                </c:pt>
                <c:pt idx="25">
                  <c:v>0.88118311648890246</c:v>
                </c:pt>
                <c:pt idx="26">
                  <c:v>1.0167497497948874</c:v>
                </c:pt>
                <c:pt idx="27">
                  <c:v>1.1455380514355733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40224"/>
        <c:axId val="132741760"/>
      </c:scatterChart>
      <c:valAx>
        <c:axId val="132740224"/>
        <c:scaling>
          <c:orientation val="minMax"/>
        </c:scaling>
        <c:delete val="0"/>
        <c:axPos val="b"/>
        <c:majorTickMark val="out"/>
        <c:minorTickMark val="none"/>
        <c:tickLblPos val="nextTo"/>
        <c:crossAx val="132741760"/>
        <c:crosses val="autoZero"/>
        <c:crossBetween val="midCat"/>
      </c:valAx>
      <c:valAx>
        <c:axId val="132741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7402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Haunched!$W$1</c:f>
              <c:strCache>
                <c:ptCount val="1"/>
                <c:pt idx="0">
                  <c:v>M/M_fracture</c:v>
                </c:pt>
              </c:strCache>
            </c:strRef>
          </c:tx>
          <c:spPr>
            <a:ln w="28575">
              <a:noFill/>
            </a:ln>
          </c:spPr>
          <c:yVal>
            <c:numRef>
              <c:f>Haunched!$W$2:$W$29</c:f>
              <c:numCache>
                <c:formatCode>General</c:formatCode>
                <c:ptCount val="28"/>
                <c:pt idx="0">
                  <c:v>0.25252525252525249</c:v>
                </c:pt>
                <c:pt idx="1">
                  <c:v>0.37878787878787878</c:v>
                </c:pt>
                <c:pt idx="2">
                  <c:v>0.50505050505050497</c:v>
                </c:pt>
                <c:pt idx="3">
                  <c:v>0.63131313131313127</c:v>
                </c:pt>
                <c:pt idx="4">
                  <c:v>0.75757575757575757</c:v>
                </c:pt>
                <c:pt idx="5">
                  <c:v>0.88383838383838376</c:v>
                </c:pt>
                <c:pt idx="6">
                  <c:v>1</c:v>
                </c:pt>
                <c:pt idx="7">
                  <c:v>6.6666666666666666E-2</c:v>
                </c:pt>
                <c:pt idx="8">
                  <c:v>0.2</c:v>
                </c:pt>
                <c:pt idx="9">
                  <c:v>0.26666666666666666</c:v>
                </c:pt>
                <c:pt idx="10">
                  <c:v>0.33333333333333337</c:v>
                </c:pt>
                <c:pt idx="11">
                  <c:v>0.4</c:v>
                </c:pt>
                <c:pt idx="12">
                  <c:v>0.46666666666666667</c:v>
                </c:pt>
                <c:pt idx="13">
                  <c:v>0.53333333333333333</c:v>
                </c:pt>
                <c:pt idx="14">
                  <c:v>0.6</c:v>
                </c:pt>
                <c:pt idx="15">
                  <c:v>0.66666666666666674</c:v>
                </c:pt>
                <c:pt idx="16">
                  <c:v>0.73333333333333339</c:v>
                </c:pt>
                <c:pt idx="17">
                  <c:v>0.8</c:v>
                </c:pt>
                <c:pt idx="18">
                  <c:v>0.8666666666666667</c:v>
                </c:pt>
                <c:pt idx="19">
                  <c:v>0.93333333333333335</c:v>
                </c:pt>
                <c:pt idx="20">
                  <c:v>1</c:v>
                </c:pt>
                <c:pt idx="21">
                  <c:v>0.29585798816568049</c:v>
                </c:pt>
                <c:pt idx="22">
                  <c:v>0.41420118343195267</c:v>
                </c:pt>
                <c:pt idx="23">
                  <c:v>0.53254437869822491</c:v>
                </c:pt>
                <c:pt idx="24">
                  <c:v>0.65088757396449703</c:v>
                </c:pt>
                <c:pt idx="25">
                  <c:v>0.76923076923076927</c:v>
                </c:pt>
                <c:pt idx="26">
                  <c:v>0.8875739644970414</c:v>
                </c:pt>
                <c:pt idx="27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20608"/>
        <c:axId val="134250496"/>
      </c:scatterChart>
      <c:valAx>
        <c:axId val="133220608"/>
        <c:scaling>
          <c:orientation val="minMax"/>
        </c:scaling>
        <c:delete val="0"/>
        <c:axPos val="b"/>
        <c:majorTickMark val="out"/>
        <c:minorTickMark val="none"/>
        <c:tickLblPos val="nextTo"/>
        <c:crossAx val="134250496"/>
        <c:crosses val="autoZero"/>
        <c:crossBetween val="midCat"/>
      </c:valAx>
      <c:valAx>
        <c:axId val="134250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32206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Haunched!$D$1</c:f>
              <c:strCache>
                <c:ptCount val="1"/>
                <c:pt idx="0">
                  <c:v>d/a</c:v>
                </c:pt>
              </c:strCache>
            </c:strRef>
          </c:tx>
          <c:spPr>
            <a:ln w="28575">
              <a:noFill/>
            </a:ln>
          </c:spPr>
          <c:yVal>
            <c:numRef>
              <c:f>Haunched!$D$2:$D$29</c:f>
              <c:numCache>
                <c:formatCode>General</c:formatCode>
                <c:ptCount val="28"/>
                <c:pt idx="0">
                  <c:v>5.0037999999999991</c:v>
                </c:pt>
                <c:pt idx="1">
                  <c:v>5.0037999999999991</c:v>
                </c:pt>
                <c:pt idx="2">
                  <c:v>5.0037999999999991</c:v>
                </c:pt>
                <c:pt idx="3">
                  <c:v>5.0037999999999991</c:v>
                </c:pt>
                <c:pt idx="4">
                  <c:v>5.0037999999999991</c:v>
                </c:pt>
                <c:pt idx="5">
                  <c:v>5.0037999999999991</c:v>
                </c:pt>
                <c:pt idx="6">
                  <c:v>5.0037999999999991</c:v>
                </c:pt>
                <c:pt idx="7">
                  <c:v>5.0037999999999991</c:v>
                </c:pt>
                <c:pt idx="8">
                  <c:v>5.0037999999999991</c:v>
                </c:pt>
                <c:pt idx="9">
                  <c:v>5.0037999999999991</c:v>
                </c:pt>
                <c:pt idx="10">
                  <c:v>5.0037999999999991</c:v>
                </c:pt>
                <c:pt idx="11">
                  <c:v>5.0037999999999991</c:v>
                </c:pt>
                <c:pt idx="12">
                  <c:v>5.0037999999999991</c:v>
                </c:pt>
                <c:pt idx="13">
                  <c:v>5.0037999999999991</c:v>
                </c:pt>
                <c:pt idx="14">
                  <c:v>5.0037999999999991</c:v>
                </c:pt>
                <c:pt idx="15">
                  <c:v>5.0037999999999991</c:v>
                </c:pt>
                <c:pt idx="16">
                  <c:v>5.0037999999999991</c:v>
                </c:pt>
                <c:pt idx="17">
                  <c:v>5.0037999999999991</c:v>
                </c:pt>
                <c:pt idx="18">
                  <c:v>5.0037999999999991</c:v>
                </c:pt>
                <c:pt idx="19">
                  <c:v>5.0037999999999991</c:v>
                </c:pt>
                <c:pt idx="20">
                  <c:v>5.0037999999999991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79168"/>
        <c:axId val="134280704"/>
      </c:scatterChart>
      <c:valAx>
        <c:axId val="134279168"/>
        <c:scaling>
          <c:orientation val="minMax"/>
        </c:scaling>
        <c:delete val="0"/>
        <c:axPos val="b"/>
        <c:majorTickMark val="out"/>
        <c:minorTickMark val="none"/>
        <c:tickLblPos val="nextTo"/>
        <c:crossAx val="134280704"/>
        <c:crosses val="autoZero"/>
        <c:crossBetween val="midCat"/>
      </c:valAx>
      <c:valAx>
        <c:axId val="134280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2791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Haunched!$AO$1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>
              <a:noFill/>
            </a:ln>
          </c:spPr>
          <c:yVal>
            <c:numRef>
              <c:f>Haunched!$AO$2:$AO$331</c:f>
              <c:numCache>
                <c:formatCode>General</c:formatCode>
                <c:ptCount val="330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90208"/>
        <c:axId val="134191744"/>
      </c:scatterChart>
      <c:valAx>
        <c:axId val="134190208"/>
        <c:scaling>
          <c:orientation val="minMax"/>
        </c:scaling>
        <c:delete val="0"/>
        <c:axPos val="b"/>
        <c:majorTickMark val="out"/>
        <c:minorTickMark val="none"/>
        <c:tickLblPos val="nextTo"/>
        <c:crossAx val="134191744"/>
        <c:crosses val="autoZero"/>
        <c:crossBetween val="midCat"/>
      </c:valAx>
      <c:valAx>
        <c:axId val="134191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1902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9.2891294838145233E-2"/>
          <c:y val="0.20406277340332457"/>
          <c:w val="0.87635870516185477"/>
          <c:h val="0.68921660834062404"/>
        </c:manualLayout>
      </c:layout>
      <c:scatterChart>
        <c:scatterStyle val="lineMarker"/>
        <c:varyColors val="0"/>
        <c:ser>
          <c:idx val="0"/>
          <c:order val="0"/>
          <c:tx>
            <c:strRef>
              <c:f>Uniform_0!$V$1</c:f>
              <c:strCache>
                <c:ptCount val="1"/>
                <c:pt idx="0">
                  <c:v>V/(2*sqrt(fc) bd)</c:v>
                </c:pt>
              </c:strCache>
            </c:strRef>
          </c:tx>
          <c:spPr>
            <a:ln w="28575">
              <a:noFill/>
            </a:ln>
          </c:spPr>
          <c:yVal>
            <c:numRef>
              <c:f>Uniform_0!$V$2:$V$331</c:f>
              <c:numCache>
                <c:formatCode>General</c:formatCode>
                <c:ptCount val="330"/>
                <c:pt idx="0">
                  <c:v>0.3756567002706418</c:v>
                </c:pt>
                <c:pt idx="1">
                  <c:v>0.54599056869660789</c:v>
                </c:pt>
                <c:pt idx="2">
                  <c:v>0.68757381601882805</c:v>
                </c:pt>
                <c:pt idx="3">
                  <c:v>0.80962833957246616</c:v>
                </c:pt>
                <c:pt idx="4">
                  <c:v>0.91947741077074041</c:v>
                </c:pt>
                <c:pt idx="5">
                  <c:v>0.95744992920965011</c:v>
                </c:pt>
                <c:pt idx="6">
                  <c:v>0.59154279641149543</c:v>
                </c:pt>
                <c:pt idx="7">
                  <c:v>1.1787424004851679</c:v>
                </c:pt>
                <c:pt idx="8">
                  <c:v>1.5444391953298662</c:v>
                </c:pt>
                <c:pt idx="9">
                  <c:v>2.0882068760253087</c:v>
                </c:pt>
                <c:pt idx="10">
                  <c:v>2.7092833803340004</c:v>
                </c:pt>
                <c:pt idx="11">
                  <c:v>0.67765574324048594</c:v>
                </c:pt>
                <c:pt idx="12">
                  <c:v>1.1385910339887879</c:v>
                </c:pt>
                <c:pt idx="13">
                  <c:v>1.6213601016672723</c:v>
                </c:pt>
                <c:pt idx="14">
                  <c:v>2.0459057641986029</c:v>
                </c:pt>
                <c:pt idx="15">
                  <c:v>2.5860895786194198</c:v>
                </c:pt>
                <c:pt idx="16">
                  <c:v>3.0745192551316558</c:v>
                </c:pt>
                <c:pt idx="17">
                  <c:v>3.3049869005058068</c:v>
                </c:pt>
                <c:pt idx="18">
                  <c:v>0.81130832870534031</c:v>
                </c:pt>
                <c:pt idx="19">
                  <c:v>1.393296101973625</c:v>
                </c:pt>
                <c:pt idx="20">
                  <c:v>1.9196910133177751</c:v>
                </c:pt>
                <c:pt idx="21">
                  <c:v>2.4877805711050263</c:v>
                </c:pt>
                <c:pt idx="22">
                  <c:v>2.9724808360060755</c:v>
                </c:pt>
                <c:pt idx="23">
                  <c:v>3.4901893626745792</c:v>
                </c:pt>
                <c:pt idx="24">
                  <c:v>3.8480684113111963</c:v>
                </c:pt>
                <c:pt idx="25">
                  <c:v>0.7292481494681029</c:v>
                </c:pt>
                <c:pt idx="26">
                  <c:v>0.86380890803041421</c:v>
                </c:pt>
                <c:pt idx="27">
                  <c:v>0.94807111381282305</c:v>
                </c:pt>
                <c:pt idx="28">
                  <c:v>1.04462492734852</c:v>
                </c:pt>
                <c:pt idx="29">
                  <c:v>1.1046273809862812</c:v>
                </c:pt>
                <c:pt idx="30">
                  <c:v>1.2841495468566726</c:v>
                </c:pt>
                <c:pt idx="31">
                  <c:v>1.7596406888917631</c:v>
                </c:pt>
                <c:pt idx="32">
                  <c:v>2.6734246863401507</c:v>
                </c:pt>
                <c:pt idx="33">
                  <c:v>0.38378230943452379</c:v>
                </c:pt>
                <c:pt idx="34">
                  <c:v>0.57310921709543039</c:v>
                </c:pt>
                <c:pt idx="35">
                  <c:v>0.78636909728232052</c:v>
                </c:pt>
                <c:pt idx="36">
                  <c:v>0.99649489773366517</c:v>
                </c:pt>
                <c:pt idx="37">
                  <c:v>1.2108944432789355</c:v>
                </c:pt>
                <c:pt idx="38">
                  <c:v>1.428855443069144</c:v>
                </c:pt>
                <c:pt idx="39">
                  <c:v>1.6439672794634019</c:v>
                </c:pt>
                <c:pt idx="40">
                  <c:v>1.8505316256698086</c:v>
                </c:pt>
                <c:pt idx="41">
                  <c:v>1.9246098739645199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57440"/>
        <c:axId val="134158976"/>
      </c:scatterChart>
      <c:valAx>
        <c:axId val="134157440"/>
        <c:scaling>
          <c:orientation val="minMax"/>
          <c:max val="50"/>
        </c:scaling>
        <c:delete val="0"/>
        <c:axPos val="b"/>
        <c:majorTickMark val="out"/>
        <c:minorTickMark val="none"/>
        <c:tickLblPos val="nextTo"/>
        <c:crossAx val="134158976"/>
        <c:crosses val="autoZero"/>
        <c:crossBetween val="midCat"/>
      </c:valAx>
      <c:valAx>
        <c:axId val="134158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1574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Uniform_0!$W$1</c:f>
              <c:strCache>
                <c:ptCount val="1"/>
                <c:pt idx="0">
                  <c:v>M/M_fracture</c:v>
                </c:pt>
              </c:strCache>
            </c:strRef>
          </c:tx>
          <c:spPr>
            <a:ln w="28575">
              <a:noFill/>
            </a:ln>
          </c:spPr>
          <c:yVal>
            <c:numRef>
              <c:f>Uniform_0!$W$2:$W$331</c:f>
              <c:numCache>
                <c:formatCode>General</c:formatCode>
                <c:ptCount val="330"/>
                <c:pt idx="0">
                  <c:v>0.3923512747875354</c:v>
                </c:pt>
                <c:pt idx="1">
                  <c:v>0.57025495750708211</c:v>
                </c:pt>
                <c:pt idx="2">
                  <c:v>0.71813031161473084</c:v>
                </c:pt>
                <c:pt idx="3">
                  <c:v>0.84560906515580736</c:v>
                </c:pt>
                <c:pt idx="4">
                  <c:v>0.96033994334277617</c:v>
                </c:pt>
                <c:pt idx="5">
                  <c:v>1</c:v>
                </c:pt>
                <c:pt idx="6">
                  <c:v>0.21833921128566849</c:v>
                </c:pt>
                <c:pt idx="7">
                  <c:v>0.43507534466175057</c:v>
                </c:pt>
                <c:pt idx="8">
                  <c:v>0.57005450464892593</c:v>
                </c:pt>
                <c:pt idx="9">
                  <c:v>0.770759858929144</c:v>
                </c:pt>
                <c:pt idx="10">
                  <c:v>1</c:v>
                </c:pt>
                <c:pt idx="11">
                  <c:v>0.20504037191093713</c:v>
                </c:pt>
                <c:pt idx="12">
                  <c:v>0.34450697333007096</c:v>
                </c:pt>
                <c:pt idx="13">
                  <c:v>0.49057988744800585</c:v>
                </c:pt>
                <c:pt idx="14">
                  <c:v>0.61903596770247127</c:v>
                </c:pt>
                <c:pt idx="15">
                  <c:v>0.78248103743577191</c:v>
                </c:pt>
                <c:pt idx="16">
                  <c:v>0.93026669929043304</c:v>
                </c:pt>
                <c:pt idx="17">
                  <c:v>1</c:v>
                </c:pt>
                <c:pt idx="18">
                  <c:v>0.21083521444695261</c:v>
                </c:pt>
                <c:pt idx="19">
                  <c:v>0.36207674943566592</c:v>
                </c:pt>
                <c:pt idx="20">
                  <c:v>0.49887133182844245</c:v>
                </c:pt>
                <c:pt idx="21">
                  <c:v>0.64650112866817155</c:v>
                </c:pt>
                <c:pt idx="22">
                  <c:v>0.77246049661399552</c:v>
                </c:pt>
                <c:pt idx="23">
                  <c:v>0.90699774266365685</c:v>
                </c:pt>
                <c:pt idx="24">
                  <c:v>1</c:v>
                </c:pt>
                <c:pt idx="25">
                  <c:v>0.27277676950998186</c:v>
                </c:pt>
                <c:pt idx="26">
                  <c:v>0.32310949788263765</c:v>
                </c:pt>
                <c:pt idx="27">
                  <c:v>0.35462794918330309</c:v>
                </c:pt>
                <c:pt idx="28">
                  <c:v>0.39074410163339385</c:v>
                </c:pt>
                <c:pt idx="29">
                  <c:v>0.41318814277071991</c:v>
                </c:pt>
                <c:pt idx="30">
                  <c:v>0.48033877797943136</c:v>
                </c:pt>
                <c:pt idx="31">
                  <c:v>0.6581972171808832</c:v>
                </c:pt>
                <c:pt idx="32">
                  <c:v>1</c:v>
                </c:pt>
                <c:pt idx="33">
                  <c:v>0.19940784603997036</c:v>
                </c:pt>
                <c:pt idx="34">
                  <c:v>0.29777942264988899</c:v>
                </c:pt>
                <c:pt idx="35">
                  <c:v>0.4085862324204293</c:v>
                </c:pt>
                <c:pt idx="36">
                  <c:v>0.5177646188008882</c:v>
                </c:pt>
                <c:pt idx="37">
                  <c:v>0.62916358253145821</c:v>
                </c:pt>
                <c:pt idx="38">
                  <c:v>0.74241302738712067</c:v>
                </c:pt>
                <c:pt idx="39">
                  <c:v>0.85418208734270906</c:v>
                </c:pt>
                <c:pt idx="40">
                  <c:v>0.96150999259807546</c:v>
                </c:pt>
                <c:pt idx="41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092480"/>
        <c:axId val="136056832"/>
      </c:scatterChart>
      <c:valAx>
        <c:axId val="135092480"/>
        <c:scaling>
          <c:orientation val="minMax"/>
          <c:max val="50"/>
        </c:scaling>
        <c:delete val="0"/>
        <c:axPos val="b"/>
        <c:majorTickMark val="out"/>
        <c:minorTickMark val="none"/>
        <c:tickLblPos val="nextTo"/>
        <c:crossAx val="136056832"/>
        <c:crosses val="autoZero"/>
        <c:crossBetween val="midCat"/>
      </c:valAx>
      <c:valAx>
        <c:axId val="136056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24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Uniform_0!$D$1</c:f>
              <c:strCache>
                <c:ptCount val="1"/>
                <c:pt idx="0">
                  <c:v>d/a</c:v>
                </c:pt>
              </c:strCache>
            </c:strRef>
          </c:tx>
          <c:spPr>
            <a:ln w="28575">
              <a:noFill/>
            </a:ln>
          </c:spPr>
          <c:yVal>
            <c:numRef>
              <c:f>Uniform_0!$D$2:$D$331</c:f>
              <c:numCache>
                <c:formatCode>General</c:formatCode>
                <c:ptCount val="330"/>
                <c:pt idx="0">
                  <c:v>2.5945945945945947</c:v>
                </c:pt>
                <c:pt idx="1">
                  <c:v>2.5945945945945947</c:v>
                </c:pt>
                <c:pt idx="2">
                  <c:v>2.5945945945945947</c:v>
                </c:pt>
                <c:pt idx="3">
                  <c:v>2.5945945945945947</c:v>
                </c:pt>
                <c:pt idx="4">
                  <c:v>2.5945945945945947</c:v>
                </c:pt>
                <c:pt idx="5">
                  <c:v>2.5945945945945947</c:v>
                </c:pt>
                <c:pt idx="6">
                  <c:v>1.9459459459459461</c:v>
                </c:pt>
                <c:pt idx="7">
                  <c:v>1.9459459459459461</c:v>
                </c:pt>
                <c:pt idx="8">
                  <c:v>1.9459459459459461</c:v>
                </c:pt>
                <c:pt idx="9">
                  <c:v>1.9459459459459461</c:v>
                </c:pt>
                <c:pt idx="10">
                  <c:v>1.9459459459459461</c:v>
                </c:pt>
                <c:pt idx="11">
                  <c:v>1.9459459459459461</c:v>
                </c:pt>
                <c:pt idx="12">
                  <c:v>1.9459459459459461</c:v>
                </c:pt>
                <c:pt idx="13">
                  <c:v>1.9459459459459461</c:v>
                </c:pt>
                <c:pt idx="14">
                  <c:v>1.9459459459459461</c:v>
                </c:pt>
                <c:pt idx="15">
                  <c:v>1.9459459459459461</c:v>
                </c:pt>
                <c:pt idx="16">
                  <c:v>1.9459459459459461</c:v>
                </c:pt>
                <c:pt idx="17">
                  <c:v>1.9459459459459461</c:v>
                </c:pt>
                <c:pt idx="18">
                  <c:v>1.6216216216216217</c:v>
                </c:pt>
                <c:pt idx="19">
                  <c:v>1.6216216216216217</c:v>
                </c:pt>
                <c:pt idx="20">
                  <c:v>1.6216216216216217</c:v>
                </c:pt>
                <c:pt idx="21">
                  <c:v>1.6216216216216217</c:v>
                </c:pt>
                <c:pt idx="22">
                  <c:v>1.6216216216216217</c:v>
                </c:pt>
                <c:pt idx="23">
                  <c:v>1.6216216216216217</c:v>
                </c:pt>
                <c:pt idx="24">
                  <c:v>1.6216216216216217</c:v>
                </c:pt>
                <c:pt idx="25">
                  <c:v>2.5945945945945947</c:v>
                </c:pt>
                <c:pt idx="26">
                  <c:v>2.5945945945945947</c:v>
                </c:pt>
                <c:pt idx="27">
                  <c:v>2.5945945945945947</c:v>
                </c:pt>
                <c:pt idx="28">
                  <c:v>2.5945945945945947</c:v>
                </c:pt>
                <c:pt idx="29">
                  <c:v>2.5945945945945947</c:v>
                </c:pt>
                <c:pt idx="30">
                  <c:v>2.5945945945945947</c:v>
                </c:pt>
                <c:pt idx="31">
                  <c:v>2.5945945945945947</c:v>
                </c:pt>
                <c:pt idx="32">
                  <c:v>2.5945945945945947</c:v>
                </c:pt>
                <c:pt idx="33">
                  <c:v>3.2432432432432434</c:v>
                </c:pt>
                <c:pt idx="34">
                  <c:v>3.2432432432432434</c:v>
                </c:pt>
                <c:pt idx="35">
                  <c:v>3.2432432432432434</c:v>
                </c:pt>
                <c:pt idx="36">
                  <c:v>3.2432432432432434</c:v>
                </c:pt>
                <c:pt idx="37">
                  <c:v>3.2432432432432434</c:v>
                </c:pt>
                <c:pt idx="38">
                  <c:v>3.2432432432432434</c:v>
                </c:pt>
                <c:pt idx="39">
                  <c:v>3.2432432432432434</c:v>
                </c:pt>
                <c:pt idx="40">
                  <c:v>3.2432432432432434</c:v>
                </c:pt>
                <c:pt idx="41">
                  <c:v>3.2432432432432434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085504"/>
        <c:axId val="136087040"/>
      </c:scatterChart>
      <c:valAx>
        <c:axId val="136085504"/>
        <c:scaling>
          <c:orientation val="minMax"/>
          <c:max val="50"/>
        </c:scaling>
        <c:delete val="0"/>
        <c:axPos val="b"/>
        <c:majorTickMark val="out"/>
        <c:minorTickMark val="none"/>
        <c:tickLblPos val="nextTo"/>
        <c:crossAx val="136087040"/>
        <c:crosses val="autoZero"/>
        <c:crossBetween val="midCat"/>
      </c:valAx>
      <c:valAx>
        <c:axId val="1360870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60855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shearstrength!$D$2</c:f>
              <c:strCache>
                <c:ptCount val="1"/>
                <c:pt idx="0">
                  <c:v>Vaci</c:v>
                </c:pt>
              </c:strCache>
            </c:strRef>
          </c:tx>
          <c:spPr>
            <a:ln w="28575">
              <a:noFill/>
            </a:ln>
          </c:spPr>
          <c:xVal>
            <c:numRef>
              <c:f>shearstrength!$C$3:$C$87</c:f>
              <c:numCache>
                <c:formatCode>General</c:formatCode>
                <c:ptCount val="85"/>
                <c:pt idx="0">
                  <c:v>26.5</c:v>
                </c:pt>
                <c:pt idx="1">
                  <c:v>31.4</c:v>
                </c:pt>
                <c:pt idx="2">
                  <c:v>25.5</c:v>
                </c:pt>
                <c:pt idx="3">
                  <c:v>33.79</c:v>
                </c:pt>
                <c:pt idx="4">
                  <c:v>34</c:v>
                </c:pt>
                <c:pt idx="5">
                  <c:v>35.5</c:v>
                </c:pt>
                <c:pt idx="6">
                  <c:v>41.4</c:v>
                </c:pt>
                <c:pt idx="7">
                  <c:v>42.3</c:v>
                </c:pt>
                <c:pt idx="8">
                  <c:v>57</c:v>
                </c:pt>
                <c:pt idx="9">
                  <c:v>50</c:v>
                </c:pt>
                <c:pt idx="10">
                  <c:v>50.7</c:v>
                </c:pt>
                <c:pt idx="11">
                  <c:v>44.9</c:v>
                </c:pt>
                <c:pt idx="12">
                  <c:v>63.25</c:v>
                </c:pt>
                <c:pt idx="13">
                  <c:v>70.099999999999994</c:v>
                </c:pt>
                <c:pt idx="14">
                  <c:v>62</c:v>
                </c:pt>
                <c:pt idx="15">
                  <c:v>151</c:v>
                </c:pt>
                <c:pt idx="16">
                  <c:v>187.25</c:v>
                </c:pt>
                <c:pt idx="17">
                  <c:v>324.7</c:v>
                </c:pt>
                <c:pt idx="18">
                  <c:v>293.55</c:v>
                </c:pt>
                <c:pt idx="19">
                  <c:v>75.599999999999994</c:v>
                </c:pt>
                <c:pt idx="20">
                  <c:v>88.95</c:v>
                </c:pt>
                <c:pt idx="21">
                  <c:v>97.85</c:v>
                </c:pt>
                <c:pt idx="22">
                  <c:v>86.7</c:v>
                </c:pt>
                <c:pt idx="23">
                  <c:v>48.924999999999997</c:v>
                </c:pt>
                <c:pt idx="24">
                  <c:v>51</c:v>
                </c:pt>
                <c:pt idx="25">
                  <c:v>133.5</c:v>
                </c:pt>
                <c:pt idx="26">
                  <c:v>136.6</c:v>
                </c:pt>
                <c:pt idx="27">
                  <c:v>146</c:v>
                </c:pt>
                <c:pt idx="28">
                  <c:v>160</c:v>
                </c:pt>
                <c:pt idx="29">
                  <c:v>58.6</c:v>
                </c:pt>
                <c:pt idx="30">
                  <c:v>153.6</c:v>
                </c:pt>
                <c:pt idx="31">
                  <c:v>253.7</c:v>
                </c:pt>
                <c:pt idx="32">
                  <c:v>330.09</c:v>
                </c:pt>
                <c:pt idx="33">
                  <c:v>422</c:v>
                </c:pt>
                <c:pt idx="34">
                  <c:v>406</c:v>
                </c:pt>
                <c:pt idx="35">
                  <c:v>60</c:v>
                </c:pt>
                <c:pt idx="36">
                  <c:v>66.7</c:v>
                </c:pt>
                <c:pt idx="37">
                  <c:v>68.900000000000006</c:v>
                </c:pt>
                <c:pt idx="38">
                  <c:v>64.5</c:v>
                </c:pt>
                <c:pt idx="39">
                  <c:v>289.12</c:v>
                </c:pt>
                <c:pt idx="40">
                  <c:v>300.2</c:v>
                </c:pt>
                <c:pt idx="41">
                  <c:v>60</c:v>
                </c:pt>
                <c:pt idx="42">
                  <c:v>64.5</c:v>
                </c:pt>
                <c:pt idx="43">
                  <c:v>1220.2</c:v>
                </c:pt>
                <c:pt idx="44">
                  <c:v>114.5</c:v>
                </c:pt>
                <c:pt idx="45">
                  <c:v>112</c:v>
                </c:pt>
                <c:pt idx="46">
                  <c:v>471</c:v>
                </c:pt>
                <c:pt idx="47">
                  <c:v>440</c:v>
                </c:pt>
                <c:pt idx="48">
                  <c:v>1282</c:v>
                </c:pt>
                <c:pt idx="49">
                  <c:v>237.5</c:v>
                </c:pt>
                <c:pt idx="50">
                  <c:v>253</c:v>
                </c:pt>
                <c:pt idx="51">
                  <c:v>258.5</c:v>
                </c:pt>
                <c:pt idx="52">
                  <c:v>248.5</c:v>
                </c:pt>
                <c:pt idx="53">
                  <c:v>249.5</c:v>
                </c:pt>
                <c:pt idx="54">
                  <c:v>227</c:v>
                </c:pt>
                <c:pt idx="55">
                  <c:v>260</c:v>
                </c:pt>
                <c:pt idx="56">
                  <c:v>694</c:v>
                </c:pt>
                <c:pt idx="57">
                  <c:v>249.5</c:v>
                </c:pt>
                <c:pt idx="58">
                  <c:v>250</c:v>
                </c:pt>
                <c:pt idx="59">
                  <c:v>226.5</c:v>
                </c:pt>
                <c:pt idx="60">
                  <c:v>272.5</c:v>
                </c:pt>
                <c:pt idx="61">
                  <c:v>36.35</c:v>
                </c:pt>
                <c:pt idx="62">
                  <c:v>38.049999999999997</c:v>
                </c:pt>
                <c:pt idx="63">
                  <c:v>38.85</c:v>
                </c:pt>
                <c:pt idx="64">
                  <c:v>37.950000000000003</c:v>
                </c:pt>
                <c:pt idx="65">
                  <c:v>41.5</c:v>
                </c:pt>
                <c:pt idx="66">
                  <c:v>34.5</c:v>
                </c:pt>
                <c:pt idx="67">
                  <c:v>38.25</c:v>
                </c:pt>
                <c:pt idx="68">
                  <c:v>40.299999999999997</c:v>
                </c:pt>
                <c:pt idx="69">
                  <c:v>24.75</c:v>
                </c:pt>
                <c:pt idx="70">
                  <c:v>37.450000000000003</c:v>
                </c:pt>
                <c:pt idx="71">
                  <c:v>66</c:v>
                </c:pt>
                <c:pt idx="72">
                  <c:v>171.5</c:v>
                </c:pt>
                <c:pt idx="73">
                  <c:v>1365</c:v>
                </c:pt>
                <c:pt idx="74">
                  <c:v>230</c:v>
                </c:pt>
                <c:pt idx="75">
                  <c:v>200</c:v>
                </c:pt>
                <c:pt idx="76">
                  <c:v>380</c:v>
                </c:pt>
                <c:pt idx="77">
                  <c:v>353</c:v>
                </c:pt>
                <c:pt idx="78">
                  <c:v>779.75</c:v>
                </c:pt>
                <c:pt idx="79">
                  <c:v>1107</c:v>
                </c:pt>
                <c:pt idx="80">
                  <c:v>826.5</c:v>
                </c:pt>
                <c:pt idx="81">
                  <c:v>675.5</c:v>
                </c:pt>
                <c:pt idx="82">
                  <c:v>79.2</c:v>
                </c:pt>
                <c:pt idx="83">
                  <c:v>75</c:v>
                </c:pt>
                <c:pt idx="84">
                  <c:v>84.5</c:v>
                </c:pt>
              </c:numCache>
            </c:numRef>
          </c:xVal>
          <c:yVal>
            <c:numRef>
              <c:f>shearstrength!$D$3:$D$87</c:f>
              <c:numCache>
                <c:formatCode>General</c:formatCode>
                <c:ptCount val="85"/>
                <c:pt idx="0">
                  <c:v>15.14</c:v>
                </c:pt>
                <c:pt idx="1">
                  <c:v>15.14</c:v>
                </c:pt>
                <c:pt idx="2">
                  <c:v>15.14</c:v>
                </c:pt>
                <c:pt idx="3">
                  <c:v>19.809999999999999</c:v>
                </c:pt>
                <c:pt idx="4">
                  <c:v>19.809999999999999</c:v>
                </c:pt>
                <c:pt idx="5">
                  <c:v>19.809999999999999</c:v>
                </c:pt>
                <c:pt idx="6">
                  <c:v>25.98</c:v>
                </c:pt>
                <c:pt idx="7">
                  <c:v>25.98</c:v>
                </c:pt>
                <c:pt idx="8">
                  <c:v>25.98</c:v>
                </c:pt>
                <c:pt idx="9">
                  <c:v>30.46</c:v>
                </c:pt>
                <c:pt idx="10">
                  <c:v>30.46</c:v>
                </c:pt>
                <c:pt idx="11">
                  <c:v>30.46</c:v>
                </c:pt>
                <c:pt idx="12">
                  <c:v>39.25</c:v>
                </c:pt>
                <c:pt idx="13">
                  <c:v>39.25</c:v>
                </c:pt>
                <c:pt idx="14">
                  <c:v>39.25</c:v>
                </c:pt>
                <c:pt idx="15">
                  <c:v>57.37</c:v>
                </c:pt>
                <c:pt idx="16">
                  <c:v>57.37</c:v>
                </c:pt>
                <c:pt idx="17">
                  <c:v>315.26072484614241</c:v>
                </c:pt>
                <c:pt idx="18">
                  <c:v>360.19815692107983</c:v>
                </c:pt>
                <c:pt idx="19">
                  <c:v>50.441715975382785</c:v>
                </c:pt>
                <c:pt idx="20">
                  <c:v>50.441715975382785</c:v>
                </c:pt>
                <c:pt idx="21">
                  <c:v>58.846249182011164</c:v>
                </c:pt>
                <c:pt idx="22">
                  <c:v>57.631705107372774</c:v>
                </c:pt>
                <c:pt idx="23">
                  <c:v>43.666203653414307</c:v>
                </c:pt>
                <c:pt idx="24">
                  <c:v>44.480290845592471</c:v>
                </c:pt>
                <c:pt idx="25">
                  <c:v>95.475820516409613</c:v>
                </c:pt>
                <c:pt idx="26">
                  <c:v>218.1128658349013</c:v>
                </c:pt>
                <c:pt idx="27">
                  <c:v>277.91275211563118</c:v>
                </c:pt>
                <c:pt idx="28">
                  <c:v>359.85480101280268</c:v>
                </c:pt>
                <c:pt idx="29">
                  <c:v>65.122551005708502</c:v>
                </c:pt>
                <c:pt idx="30">
                  <c:v>287.39988916950136</c:v>
                </c:pt>
                <c:pt idx="31">
                  <c:v>476.19309321559643</c:v>
                </c:pt>
                <c:pt idx="32">
                  <c:v>710.51011021012994</c:v>
                </c:pt>
                <c:pt idx="33">
                  <c:v>304.14091473389425</c:v>
                </c:pt>
                <c:pt idx="34">
                  <c:v>355.96518421728706</c:v>
                </c:pt>
                <c:pt idx="35">
                  <c:v>57.493854738296953</c:v>
                </c:pt>
                <c:pt idx="36">
                  <c:v>57.742956546489154</c:v>
                </c:pt>
                <c:pt idx="37">
                  <c:v>58.045099923767296</c:v>
                </c:pt>
                <c:pt idx="38">
                  <c:v>58.032851892469481</c:v>
                </c:pt>
                <c:pt idx="39">
                  <c:v>346.21389233163654</c:v>
                </c:pt>
                <c:pt idx="40">
                  <c:v>347.03430439877314</c:v>
                </c:pt>
                <c:pt idx="41">
                  <c:v>60.226251930410818</c:v>
                </c:pt>
                <c:pt idx="42">
                  <c:v>59.564424986120599</c:v>
                </c:pt>
                <c:pt idx="43">
                  <c:v>2453.385027333662</c:v>
                </c:pt>
                <c:pt idx="44">
                  <c:v>111.39914120993571</c:v>
                </c:pt>
                <c:pt idx="45">
                  <c:v>112.57489031020607</c:v>
                </c:pt>
                <c:pt idx="46">
                  <c:v>456.19893529712158</c:v>
                </c:pt>
                <c:pt idx="47">
                  <c:v>448.69492671021681</c:v>
                </c:pt>
                <c:pt idx="48">
                  <c:v>1399.1036567734952</c:v>
                </c:pt>
                <c:pt idx="49">
                  <c:v>217.6088277901716</c:v>
                </c:pt>
                <c:pt idx="50">
                  <c:v>218.7031752928074</c:v>
                </c:pt>
                <c:pt idx="51">
                  <c:v>218.52584307051055</c:v>
                </c:pt>
                <c:pt idx="52">
                  <c:v>218.52584307051055</c:v>
                </c:pt>
                <c:pt idx="53">
                  <c:v>432.21976677119284</c:v>
                </c:pt>
                <c:pt idx="54">
                  <c:v>442.78360878303693</c:v>
                </c:pt>
                <c:pt idx="55">
                  <c:v>598.38117144774571</c:v>
                </c:pt>
                <c:pt idx="56">
                  <c:v>588.5440985337824</c:v>
                </c:pt>
                <c:pt idx="57">
                  <c:v>390.84434845224735</c:v>
                </c:pt>
                <c:pt idx="58">
                  <c:v>401.89079055787931</c:v>
                </c:pt>
                <c:pt idx="59">
                  <c:v>369.73636943603475</c:v>
                </c:pt>
                <c:pt idx="60">
                  <c:v>372.35864604944913</c:v>
                </c:pt>
                <c:pt idx="61">
                  <c:v>36.721008118325614</c:v>
                </c:pt>
                <c:pt idx="62">
                  <c:v>36.721008118325614</c:v>
                </c:pt>
                <c:pt idx="63">
                  <c:v>35.51817294750655</c:v>
                </c:pt>
                <c:pt idx="64">
                  <c:v>35.016285286734792</c:v>
                </c:pt>
                <c:pt idx="65">
                  <c:v>30.602300724370938</c:v>
                </c:pt>
                <c:pt idx="66">
                  <c:v>30.602300724370938</c:v>
                </c:pt>
                <c:pt idx="67">
                  <c:v>37.415556800297637</c:v>
                </c:pt>
                <c:pt idx="68">
                  <c:v>37.415556800297637</c:v>
                </c:pt>
                <c:pt idx="69">
                  <c:v>36.14686198410422</c:v>
                </c:pt>
                <c:pt idx="70">
                  <c:v>48.668335277749989</c:v>
                </c:pt>
                <c:pt idx="71">
                  <c:v>49.876656311454809</c:v>
                </c:pt>
                <c:pt idx="72">
                  <c:v>422.65048463655484</c:v>
                </c:pt>
                <c:pt idx="73">
                  <c:v>1008.3027479373087</c:v>
                </c:pt>
                <c:pt idx="74">
                  <c:v>530.9899984822747</c:v>
                </c:pt>
                <c:pt idx="75">
                  <c:v>509.13336600687688</c:v>
                </c:pt>
                <c:pt idx="76">
                  <c:v>489.8791857548851</c:v>
                </c:pt>
                <c:pt idx="77">
                  <c:v>368.67415755023751</c:v>
                </c:pt>
                <c:pt idx="78">
                  <c:v>287.79617199530611</c:v>
                </c:pt>
                <c:pt idx="79">
                  <c:v>287.79617199530611</c:v>
                </c:pt>
                <c:pt idx="80">
                  <c:v>309.14267918617435</c:v>
                </c:pt>
                <c:pt idx="81">
                  <c:v>350.96734173726651</c:v>
                </c:pt>
                <c:pt idx="82">
                  <c:v>69.891365221947837</c:v>
                </c:pt>
                <c:pt idx="83">
                  <c:v>70.068709747650161</c:v>
                </c:pt>
                <c:pt idx="84">
                  <c:v>73.761756773501048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47296"/>
        <c:axId val="135853184"/>
      </c:scatterChart>
      <c:valAx>
        <c:axId val="135847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853184"/>
        <c:crosses val="autoZero"/>
        <c:crossBetween val="midCat"/>
      </c:valAx>
      <c:valAx>
        <c:axId val="135853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8472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4" Type="http://schemas.openxmlformats.org/officeDocument/2006/relationships/chart" Target="../charts/chart4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chart" Target="../charts/chart4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Relationship Id="rId4" Type="http://schemas.openxmlformats.org/officeDocument/2006/relationships/chart" Target="../charts/chart5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5" Type="http://schemas.openxmlformats.org/officeDocument/2006/relationships/chart" Target="../charts/chart55.xml"/><Relationship Id="rId4" Type="http://schemas.openxmlformats.org/officeDocument/2006/relationships/chart" Target="../charts/chart54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3.xml"/><Relationship Id="rId3" Type="http://schemas.openxmlformats.org/officeDocument/2006/relationships/chart" Target="../charts/chart58.xml"/><Relationship Id="rId7" Type="http://schemas.openxmlformats.org/officeDocument/2006/relationships/chart" Target="../charts/chart62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6" Type="http://schemas.openxmlformats.org/officeDocument/2006/relationships/chart" Target="../charts/chart61.xml"/><Relationship Id="rId5" Type="http://schemas.openxmlformats.org/officeDocument/2006/relationships/chart" Target="../charts/chart60.xml"/><Relationship Id="rId4" Type="http://schemas.openxmlformats.org/officeDocument/2006/relationships/chart" Target="../charts/chart59.xml"/><Relationship Id="rId9" Type="http://schemas.openxmlformats.org/officeDocument/2006/relationships/chart" Target="../charts/chart64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chart" Target="../charts/chart69.xml"/><Relationship Id="rId1" Type="http://schemas.openxmlformats.org/officeDocument/2006/relationships/chart" Target="../charts/chart68.xml"/><Relationship Id="rId4" Type="http://schemas.openxmlformats.org/officeDocument/2006/relationships/chart" Target="../charts/chart71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chart" Target="../charts/chart73.xml"/><Relationship Id="rId1" Type="http://schemas.openxmlformats.org/officeDocument/2006/relationships/chart" Target="../charts/chart72.xml"/><Relationship Id="rId4" Type="http://schemas.openxmlformats.org/officeDocument/2006/relationships/chart" Target="../charts/chart75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285750</xdr:colOff>
      <xdr:row>15</xdr:row>
      <xdr:rowOff>157162</xdr:rowOff>
    </xdr:from>
    <xdr:to>
      <xdr:col>32</xdr:col>
      <xdr:colOff>409575</xdr:colOff>
      <xdr:row>29</xdr:row>
      <xdr:rowOff>100012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238125</xdr:colOff>
      <xdr:row>21</xdr:row>
      <xdr:rowOff>195262</xdr:rowOff>
    </xdr:from>
    <xdr:to>
      <xdr:col>41</xdr:col>
      <xdr:colOff>200025</xdr:colOff>
      <xdr:row>35</xdr:row>
      <xdr:rowOff>138112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247650</xdr:colOff>
      <xdr:row>7</xdr:row>
      <xdr:rowOff>157162</xdr:rowOff>
    </xdr:from>
    <xdr:to>
      <xdr:col>41</xdr:col>
      <xdr:colOff>209550</xdr:colOff>
      <xdr:row>21</xdr:row>
      <xdr:rowOff>100012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28575</xdr:colOff>
      <xdr:row>36</xdr:row>
      <xdr:rowOff>80962</xdr:rowOff>
    </xdr:from>
    <xdr:to>
      <xdr:col>40</xdr:col>
      <xdr:colOff>600075</xdr:colOff>
      <xdr:row>50</xdr:row>
      <xdr:rowOff>42862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161925</xdr:colOff>
      <xdr:row>1</xdr:row>
      <xdr:rowOff>195262</xdr:rowOff>
    </xdr:from>
    <xdr:to>
      <xdr:col>32</xdr:col>
      <xdr:colOff>285750</xdr:colOff>
      <xdr:row>15</xdr:row>
      <xdr:rowOff>138112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352425</xdr:colOff>
      <xdr:row>30</xdr:row>
      <xdr:rowOff>28575</xdr:rowOff>
    </xdr:from>
    <xdr:to>
      <xdr:col>32</xdr:col>
      <xdr:colOff>476250</xdr:colOff>
      <xdr:row>43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381000</xdr:colOff>
      <xdr:row>6</xdr:row>
      <xdr:rowOff>9525</xdr:rowOff>
    </xdr:from>
    <xdr:to>
      <xdr:col>48</xdr:col>
      <xdr:colOff>76200</xdr:colOff>
      <xdr:row>20</xdr:row>
      <xdr:rowOff>85725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171450</xdr:colOff>
      <xdr:row>39</xdr:row>
      <xdr:rowOff>161925</xdr:rowOff>
    </xdr:from>
    <xdr:to>
      <xdr:col>32</xdr:col>
      <xdr:colOff>295275</xdr:colOff>
      <xdr:row>54</xdr:row>
      <xdr:rowOff>47625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594360</xdr:colOff>
      <xdr:row>3</xdr:row>
      <xdr:rowOff>121920</xdr:rowOff>
    </xdr:from>
    <xdr:to>
      <xdr:col>16</xdr:col>
      <xdr:colOff>548640</xdr:colOff>
      <xdr:row>30</xdr:row>
      <xdr:rowOff>30480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285750</xdr:colOff>
      <xdr:row>13</xdr:row>
      <xdr:rowOff>157162</xdr:rowOff>
    </xdr:from>
    <xdr:to>
      <xdr:col>36</xdr:col>
      <xdr:colOff>409575</xdr:colOff>
      <xdr:row>24</xdr:row>
      <xdr:rowOff>100012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238125</xdr:colOff>
      <xdr:row>16</xdr:row>
      <xdr:rowOff>195262</xdr:rowOff>
    </xdr:from>
    <xdr:to>
      <xdr:col>45</xdr:col>
      <xdr:colOff>200025</xdr:colOff>
      <xdr:row>30</xdr:row>
      <xdr:rowOff>138112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232410</xdr:colOff>
      <xdr:row>12</xdr:row>
      <xdr:rowOff>27622</xdr:rowOff>
    </xdr:from>
    <xdr:to>
      <xdr:col>48</xdr:col>
      <xdr:colOff>552450</xdr:colOff>
      <xdr:row>22</xdr:row>
      <xdr:rowOff>168592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28575</xdr:colOff>
      <xdr:row>31</xdr:row>
      <xdr:rowOff>80962</xdr:rowOff>
    </xdr:from>
    <xdr:to>
      <xdr:col>44</xdr:col>
      <xdr:colOff>600075</xdr:colOff>
      <xdr:row>45</xdr:row>
      <xdr:rowOff>42862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222885</xdr:colOff>
      <xdr:row>9</xdr:row>
      <xdr:rowOff>30480</xdr:rowOff>
    </xdr:from>
    <xdr:to>
      <xdr:col>37</xdr:col>
      <xdr:colOff>247650</xdr:colOff>
      <xdr:row>21</xdr:row>
      <xdr:rowOff>168592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352425</xdr:colOff>
      <xdr:row>25</xdr:row>
      <xdr:rowOff>28575</xdr:rowOff>
    </xdr:from>
    <xdr:to>
      <xdr:col>36</xdr:col>
      <xdr:colOff>476250</xdr:colOff>
      <xdr:row>38</xdr:row>
      <xdr:rowOff>171450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381000</xdr:colOff>
      <xdr:row>4</xdr:row>
      <xdr:rowOff>9525</xdr:rowOff>
    </xdr:from>
    <xdr:to>
      <xdr:col>52</xdr:col>
      <xdr:colOff>76200</xdr:colOff>
      <xdr:row>15</xdr:row>
      <xdr:rowOff>85725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171450</xdr:colOff>
      <xdr:row>34</xdr:row>
      <xdr:rowOff>161925</xdr:rowOff>
    </xdr:from>
    <xdr:to>
      <xdr:col>36</xdr:col>
      <xdr:colOff>295275</xdr:colOff>
      <xdr:row>49</xdr:row>
      <xdr:rowOff>47625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19050</xdr:colOff>
      <xdr:row>32</xdr:row>
      <xdr:rowOff>166687</xdr:rowOff>
    </xdr:from>
    <xdr:to>
      <xdr:col>36</xdr:col>
      <xdr:colOff>38100</xdr:colOff>
      <xdr:row>47</xdr:row>
      <xdr:rowOff>52387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771525</xdr:colOff>
      <xdr:row>24</xdr:row>
      <xdr:rowOff>119062</xdr:rowOff>
    </xdr:from>
    <xdr:to>
      <xdr:col>38</xdr:col>
      <xdr:colOff>904875</xdr:colOff>
      <xdr:row>39</xdr:row>
      <xdr:rowOff>4762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200025</xdr:colOff>
      <xdr:row>17</xdr:row>
      <xdr:rowOff>180975</xdr:rowOff>
    </xdr:from>
    <xdr:to>
      <xdr:col>36</xdr:col>
      <xdr:colOff>219075</xdr:colOff>
      <xdr:row>32</xdr:row>
      <xdr:rowOff>66675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533400</xdr:colOff>
      <xdr:row>8</xdr:row>
      <xdr:rowOff>95250</xdr:rowOff>
    </xdr:from>
    <xdr:to>
      <xdr:col>44</xdr:col>
      <xdr:colOff>600075</xdr:colOff>
      <xdr:row>22</xdr:row>
      <xdr:rowOff>171450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628650</xdr:colOff>
      <xdr:row>10</xdr:row>
      <xdr:rowOff>76200</xdr:rowOff>
    </xdr:from>
    <xdr:to>
      <xdr:col>35</xdr:col>
      <xdr:colOff>200025</xdr:colOff>
      <xdr:row>24</xdr:row>
      <xdr:rowOff>152400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745435</xdr:colOff>
      <xdr:row>13</xdr:row>
      <xdr:rowOff>77855</xdr:rowOff>
    </xdr:from>
    <xdr:to>
      <xdr:col>46</xdr:col>
      <xdr:colOff>409576</xdr:colOff>
      <xdr:row>27</xdr:row>
      <xdr:rowOff>52386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923925</xdr:colOff>
      <xdr:row>31</xdr:row>
      <xdr:rowOff>61912</xdr:rowOff>
    </xdr:from>
    <xdr:to>
      <xdr:col>47</xdr:col>
      <xdr:colOff>381000</xdr:colOff>
      <xdr:row>45</xdr:row>
      <xdr:rowOff>138112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161925</xdr:colOff>
      <xdr:row>40</xdr:row>
      <xdr:rowOff>157162</xdr:rowOff>
    </xdr:from>
    <xdr:to>
      <xdr:col>44</xdr:col>
      <xdr:colOff>495300</xdr:colOff>
      <xdr:row>55</xdr:row>
      <xdr:rowOff>42862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2486</xdr:colOff>
      <xdr:row>29</xdr:row>
      <xdr:rowOff>41826</xdr:rowOff>
    </xdr:from>
    <xdr:to>
      <xdr:col>45</xdr:col>
      <xdr:colOff>361537</xdr:colOff>
      <xdr:row>43</xdr:row>
      <xdr:rowOff>126101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41</xdr:col>
      <xdr:colOff>131280</xdr:colOff>
      <xdr:row>0</xdr:row>
      <xdr:rowOff>918127</xdr:rowOff>
    </xdr:from>
    <xdr:to>
      <xdr:col>47</xdr:col>
      <xdr:colOff>600490</xdr:colOff>
      <xdr:row>14</xdr:row>
      <xdr:rowOff>165652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581025</xdr:colOff>
      <xdr:row>21</xdr:row>
      <xdr:rowOff>0</xdr:rowOff>
    </xdr:from>
    <xdr:to>
      <xdr:col>48</xdr:col>
      <xdr:colOff>447675</xdr:colOff>
      <xdr:row>35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647700</xdr:colOff>
      <xdr:row>17</xdr:row>
      <xdr:rowOff>185737</xdr:rowOff>
    </xdr:from>
    <xdr:to>
      <xdr:col>39</xdr:col>
      <xdr:colOff>428625</xdr:colOff>
      <xdr:row>32</xdr:row>
      <xdr:rowOff>23812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419100</xdr:colOff>
      <xdr:row>2</xdr:row>
      <xdr:rowOff>166687</xdr:rowOff>
    </xdr:from>
    <xdr:to>
      <xdr:col>39</xdr:col>
      <xdr:colOff>857250</xdr:colOff>
      <xdr:row>17</xdr:row>
      <xdr:rowOff>23812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58954</xdr:colOff>
      <xdr:row>32</xdr:row>
      <xdr:rowOff>143387</xdr:rowOff>
    </xdr:from>
    <xdr:to>
      <xdr:col>39</xdr:col>
      <xdr:colOff>506702</xdr:colOff>
      <xdr:row>47</xdr:row>
      <xdr:rowOff>23240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753718</xdr:colOff>
      <xdr:row>17</xdr:row>
      <xdr:rowOff>7455</xdr:rowOff>
    </xdr:from>
    <xdr:to>
      <xdr:col>45</xdr:col>
      <xdr:colOff>397566</xdr:colOff>
      <xdr:row>31</xdr:row>
      <xdr:rowOff>67090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745434</xdr:colOff>
      <xdr:row>32</xdr:row>
      <xdr:rowOff>28162</xdr:rowOff>
    </xdr:from>
    <xdr:to>
      <xdr:col>45</xdr:col>
      <xdr:colOff>389282</xdr:colOff>
      <xdr:row>46</xdr:row>
      <xdr:rowOff>104362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437680</xdr:colOff>
      <xdr:row>4</xdr:row>
      <xdr:rowOff>164861</xdr:rowOff>
    </xdr:from>
    <xdr:to>
      <xdr:col>43</xdr:col>
      <xdr:colOff>515469</xdr:colOff>
      <xdr:row>25</xdr:row>
      <xdr:rowOff>87699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67236</xdr:colOff>
      <xdr:row>24</xdr:row>
      <xdr:rowOff>156882</xdr:rowOff>
    </xdr:from>
    <xdr:to>
      <xdr:col>41</xdr:col>
      <xdr:colOff>324971</xdr:colOff>
      <xdr:row>40</xdr:row>
      <xdr:rowOff>28001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280146</xdr:colOff>
      <xdr:row>40</xdr:row>
      <xdr:rowOff>123265</xdr:rowOff>
    </xdr:from>
    <xdr:to>
      <xdr:col>41</xdr:col>
      <xdr:colOff>358588</xdr:colOff>
      <xdr:row>50</xdr:row>
      <xdr:rowOff>105333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168089</xdr:colOff>
      <xdr:row>53</xdr:row>
      <xdr:rowOff>141195</xdr:rowOff>
    </xdr:from>
    <xdr:to>
      <xdr:col>39</xdr:col>
      <xdr:colOff>605118</xdr:colOff>
      <xdr:row>68</xdr:row>
      <xdr:rowOff>26895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41</xdr:col>
      <xdr:colOff>862853</xdr:colOff>
      <xdr:row>13</xdr:row>
      <xdr:rowOff>85164</xdr:rowOff>
    </xdr:from>
    <xdr:to>
      <xdr:col>49</xdr:col>
      <xdr:colOff>67235</xdr:colOff>
      <xdr:row>27</xdr:row>
      <xdr:rowOff>138952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51547</xdr:colOff>
      <xdr:row>11</xdr:row>
      <xdr:rowOff>88526</xdr:rowOff>
    </xdr:from>
    <xdr:to>
      <xdr:col>47</xdr:col>
      <xdr:colOff>443753</xdr:colOff>
      <xdr:row>25</xdr:row>
      <xdr:rowOff>108697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45</xdr:col>
      <xdr:colOff>53228</xdr:colOff>
      <xdr:row>0</xdr:row>
      <xdr:rowOff>0</xdr:rowOff>
    </xdr:from>
    <xdr:to>
      <xdr:col>52</xdr:col>
      <xdr:colOff>358588</xdr:colOff>
      <xdr:row>10</xdr:row>
      <xdr:rowOff>29696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647700</xdr:colOff>
      <xdr:row>26</xdr:row>
      <xdr:rowOff>47625</xdr:rowOff>
    </xdr:from>
    <xdr:to>
      <xdr:col>48</xdr:col>
      <xdr:colOff>438150</xdr:colOff>
      <xdr:row>40</xdr:row>
      <xdr:rowOff>123825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276225</xdr:colOff>
      <xdr:row>29</xdr:row>
      <xdr:rowOff>47625</xdr:rowOff>
    </xdr:from>
    <xdr:to>
      <xdr:col>41</xdr:col>
      <xdr:colOff>361950</xdr:colOff>
      <xdr:row>43</xdr:row>
      <xdr:rowOff>123825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51547</xdr:colOff>
      <xdr:row>1</xdr:row>
      <xdr:rowOff>88526</xdr:rowOff>
    </xdr:from>
    <xdr:to>
      <xdr:col>45</xdr:col>
      <xdr:colOff>443753</xdr:colOff>
      <xdr:row>15</xdr:row>
      <xdr:rowOff>108697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43</xdr:col>
      <xdr:colOff>53228</xdr:colOff>
      <xdr:row>0</xdr:row>
      <xdr:rowOff>0</xdr:rowOff>
    </xdr:from>
    <xdr:to>
      <xdr:col>50</xdr:col>
      <xdr:colOff>358588</xdr:colOff>
      <xdr:row>1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647700</xdr:colOff>
      <xdr:row>16</xdr:row>
      <xdr:rowOff>47625</xdr:rowOff>
    </xdr:from>
    <xdr:to>
      <xdr:col>46</xdr:col>
      <xdr:colOff>438150</xdr:colOff>
      <xdr:row>30</xdr:row>
      <xdr:rowOff>123825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276225</xdr:colOff>
      <xdr:row>19</xdr:row>
      <xdr:rowOff>47625</xdr:rowOff>
    </xdr:from>
    <xdr:to>
      <xdr:col>39</xdr:col>
      <xdr:colOff>361950</xdr:colOff>
      <xdr:row>33</xdr:row>
      <xdr:rowOff>123825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898207</xdr:colOff>
      <xdr:row>7</xdr:row>
      <xdr:rowOff>103822</xdr:rowOff>
    </xdr:from>
    <xdr:to>
      <xdr:col>49</xdr:col>
      <xdr:colOff>178117</xdr:colOff>
      <xdr:row>21</xdr:row>
      <xdr:rowOff>172402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983932</xdr:colOff>
      <xdr:row>26</xdr:row>
      <xdr:rowOff>61912</xdr:rowOff>
    </xdr:from>
    <xdr:to>
      <xdr:col>49</xdr:col>
      <xdr:colOff>263842</xdr:colOff>
      <xdr:row>40</xdr:row>
      <xdr:rowOff>130492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43815</xdr:colOff>
      <xdr:row>23</xdr:row>
      <xdr:rowOff>47625</xdr:rowOff>
    </xdr:from>
    <xdr:to>
      <xdr:col>51</xdr:col>
      <xdr:colOff>329565</xdr:colOff>
      <xdr:row>37</xdr:row>
      <xdr:rowOff>123825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483870</xdr:colOff>
      <xdr:row>3</xdr:row>
      <xdr:rowOff>93345</xdr:rowOff>
    </xdr:from>
    <xdr:to>
      <xdr:col>50</xdr:col>
      <xdr:colOff>160020</xdr:colOff>
      <xdr:row>17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190500</xdr:colOff>
      <xdr:row>3</xdr:row>
      <xdr:rowOff>109537</xdr:rowOff>
    </xdr:from>
    <xdr:to>
      <xdr:col>19</xdr:col>
      <xdr:colOff>133350</xdr:colOff>
      <xdr:row>15</xdr:row>
      <xdr:rowOff>157162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447675</xdr:colOff>
      <xdr:row>8</xdr:row>
      <xdr:rowOff>52387</xdr:rowOff>
    </xdr:from>
    <xdr:to>
      <xdr:col>44</xdr:col>
      <xdr:colOff>142875</xdr:colOff>
      <xdr:row>20</xdr:row>
      <xdr:rowOff>100012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333375</xdr:colOff>
      <xdr:row>17</xdr:row>
      <xdr:rowOff>100012</xdr:rowOff>
    </xdr:from>
    <xdr:to>
      <xdr:col>19</xdr:col>
      <xdr:colOff>276225</xdr:colOff>
      <xdr:row>31</xdr:row>
      <xdr:rowOff>176212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228600</xdr:colOff>
      <xdr:row>26</xdr:row>
      <xdr:rowOff>9525</xdr:rowOff>
    </xdr:from>
    <xdr:to>
      <xdr:col>37</xdr:col>
      <xdr:colOff>485775</xdr:colOff>
      <xdr:row>40</xdr:row>
      <xdr:rowOff>85725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561975</xdr:colOff>
      <xdr:row>10</xdr:row>
      <xdr:rowOff>66675</xdr:rowOff>
    </xdr:from>
    <xdr:to>
      <xdr:col>38</xdr:col>
      <xdr:colOff>209550</xdr:colOff>
      <xdr:row>24</xdr:row>
      <xdr:rowOff>142875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19050</xdr:colOff>
      <xdr:row>0</xdr:row>
      <xdr:rowOff>85723</xdr:rowOff>
    </xdr:from>
    <xdr:ext cx="638175" cy="5306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/>
            <xdr:cNvSpPr txBox="1"/>
          </xdr:nvSpPr>
          <xdr:spPr>
            <a:xfrm>
              <a:off x="7096125" y="85723"/>
              <a:ext cx="638175" cy="5306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n-US" sz="1400" i="1">
                          <a:latin typeface="Cambria Math"/>
                        </a:rPr>
                      </m:ctrlPr>
                    </m:sSubPr>
                    <m:e>
                      <m:r>
                        <a:rPr lang="en-US" sz="1400" b="0" i="1">
                          <a:latin typeface="Cambria Math"/>
                        </a:rPr>
                        <m:t>𝑓</m:t>
                      </m:r>
                    </m:e>
                    <m:sub>
                      <m:r>
                        <a:rPr lang="en-US" sz="1400" b="0" i="1">
                          <a:latin typeface="Cambria Math"/>
                        </a:rPr>
                        <m:t>𝑐</m:t>
                      </m:r>
                    </m:sub>
                  </m:sSub>
                </m:oMath>
              </a14:m>
              <a:r>
                <a:rPr lang="en-US" sz="1400"/>
                <a:t> </a:t>
              </a:r>
              <a:r>
                <a:rPr lang="en-US" sz="1400" i="0"/>
                <a:t>(Mpa)</a:t>
              </a:r>
            </a:p>
          </xdr:txBody>
        </xdr:sp>
      </mc:Choice>
      <mc:Fallback xmlns="">
        <xdr:sp macro="" textlink="">
          <xdr:nvSpPr>
            <xdr:cNvPr id="4" name="TextBox 3"/>
            <xdr:cNvSpPr txBox="1"/>
          </xdr:nvSpPr>
          <xdr:spPr>
            <a:xfrm>
              <a:off x="7096125" y="85723"/>
              <a:ext cx="638175" cy="5306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1400" b="0" i="0">
                  <a:latin typeface="Cambria Math"/>
                </a:rPr>
                <a:t>𝑓_𝑐</a:t>
              </a:r>
              <a:r>
                <a:rPr lang="en-US" sz="1400"/>
                <a:t> </a:t>
              </a:r>
              <a:r>
                <a:rPr lang="en-US" sz="1400" i="0"/>
                <a:t>(Mpa)</a:t>
              </a:r>
            </a:p>
          </xdr:txBody>
        </xdr:sp>
      </mc:Fallback>
    </mc:AlternateContent>
    <xdr:clientData/>
  </xdr:oneCellAnchor>
  <xdr:twoCellAnchor>
    <xdr:from>
      <xdr:col>22</xdr:col>
      <xdr:colOff>357993</xdr:colOff>
      <xdr:row>0</xdr:row>
      <xdr:rowOff>263980</xdr:rowOff>
    </xdr:from>
    <xdr:to>
      <xdr:col>33</xdr:col>
      <xdr:colOff>558637</xdr:colOff>
      <xdr:row>22</xdr:row>
      <xdr:rowOff>190500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517566</xdr:colOff>
      <xdr:row>0</xdr:row>
      <xdr:rowOff>452746</xdr:rowOff>
    </xdr:from>
    <xdr:to>
      <xdr:col>34</xdr:col>
      <xdr:colOff>106630</xdr:colOff>
      <xdr:row>64</xdr:row>
      <xdr:rowOff>79910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563335</xdr:colOff>
      <xdr:row>63</xdr:row>
      <xdr:rowOff>152400</xdr:rowOff>
    </xdr:from>
    <xdr:to>
      <xdr:col>30</xdr:col>
      <xdr:colOff>84364</xdr:colOff>
      <xdr:row>88</xdr:row>
      <xdr:rowOff>141513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21771</xdr:colOff>
      <xdr:row>70</xdr:row>
      <xdr:rowOff>122465</xdr:rowOff>
    </xdr:from>
    <xdr:to>
      <xdr:col>30</xdr:col>
      <xdr:colOff>381000</xdr:colOff>
      <xdr:row>94</xdr:row>
      <xdr:rowOff>46264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326569</xdr:colOff>
      <xdr:row>0</xdr:row>
      <xdr:rowOff>370114</xdr:rowOff>
    </xdr:from>
    <xdr:to>
      <xdr:col>40</xdr:col>
      <xdr:colOff>13607</xdr:colOff>
      <xdr:row>18</xdr:row>
      <xdr:rowOff>231322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68037</xdr:colOff>
      <xdr:row>23</xdr:row>
      <xdr:rowOff>0</xdr:rowOff>
    </xdr:from>
    <xdr:to>
      <xdr:col>40</xdr:col>
      <xdr:colOff>367396</xdr:colOff>
      <xdr:row>42</xdr:row>
      <xdr:rowOff>24493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285751</xdr:colOff>
      <xdr:row>46</xdr:row>
      <xdr:rowOff>13606</xdr:rowOff>
    </xdr:from>
    <xdr:to>
      <xdr:col>40</xdr:col>
      <xdr:colOff>585110</xdr:colOff>
      <xdr:row>65</xdr:row>
      <xdr:rowOff>119743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22761</xdr:colOff>
      <xdr:row>48</xdr:row>
      <xdr:rowOff>86097</xdr:rowOff>
    </xdr:from>
    <xdr:to>
      <xdr:col>26</xdr:col>
      <xdr:colOff>327560</xdr:colOff>
      <xdr:row>73</xdr:row>
      <xdr:rowOff>31668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332509</xdr:colOff>
      <xdr:row>24</xdr:row>
      <xdr:rowOff>83127</xdr:rowOff>
    </xdr:from>
    <xdr:to>
      <xdr:col>27</xdr:col>
      <xdr:colOff>249381</xdr:colOff>
      <xdr:row>45</xdr:row>
      <xdr:rowOff>83127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565897</xdr:colOff>
      <xdr:row>11</xdr:row>
      <xdr:rowOff>202826</xdr:rowOff>
    </xdr:from>
    <xdr:to>
      <xdr:col>34</xdr:col>
      <xdr:colOff>577103</xdr:colOff>
      <xdr:row>26</xdr:row>
      <xdr:rowOff>32497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767603</xdr:colOff>
      <xdr:row>11</xdr:row>
      <xdr:rowOff>202825</xdr:rowOff>
    </xdr:from>
    <xdr:to>
      <xdr:col>40</xdr:col>
      <xdr:colOff>72838</xdr:colOff>
      <xdr:row>26</xdr:row>
      <xdr:rowOff>32496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600075</xdr:colOff>
      <xdr:row>26</xdr:row>
      <xdr:rowOff>57150</xdr:rowOff>
    </xdr:from>
    <xdr:to>
      <xdr:col>34</xdr:col>
      <xdr:colOff>619125</xdr:colOff>
      <xdr:row>40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834838</xdr:colOff>
      <xdr:row>14</xdr:row>
      <xdr:rowOff>34737</xdr:rowOff>
    </xdr:from>
    <xdr:to>
      <xdr:col>49</xdr:col>
      <xdr:colOff>39220</xdr:colOff>
      <xdr:row>28</xdr:row>
      <xdr:rowOff>88525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890868</xdr:colOff>
      <xdr:row>5</xdr:row>
      <xdr:rowOff>79562</xdr:rowOff>
    </xdr:from>
    <xdr:to>
      <xdr:col>49</xdr:col>
      <xdr:colOff>95250</xdr:colOff>
      <xdr:row>12</xdr:row>
      <xdr:rowOff>155762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425823</xdr:colOff>
      <xdr:row>29</xdr:row>
      <xdr:rowOff>186018</xdr:rowOff>
    </xdr:from>
    <xdr:to>
      <xdr:col>48</xdr:col>
      <xdr:colOff>235323</xdr:colOff>
      <xdr:row>44</xdr:row>
      <xdr:rowOff>71718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526676</xdr:colOff>
      <xdr:row>37</xdr:row>
      <xdr:rowOff>152400</xdr:rowOff>
    </xdr:from>
    <xdr:to>
      <xdr:col>40</xdr:col>
      <xdr:colOff>11205</xdr:colOff>
      <xdr:row>52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575422</xdr:colOff>
      <xdr:row>13</xdr:row>
      <xdr:rowOff>40901</xdr:rowOff>
    </xdr:from>
    <xdr:to>
      <xdr:col>46</xdr:col>
      <xdr:colOff>558053</xdr:colOff>
      <xdr:row>27</xdr:row>
      <xdr:rowOff>89647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47</xdr:col>
      <xdr:colOff>110378</xdr:colOff>
      <xdr:row>12</xdr:row>
      <xdr:rowOff>155200</xdr:rowOff>
    </xdr:from>
    <xdr:to>
      <xdr:col>54</xdr:col>
      <xdr:colOff>415738</xdr:colOff>
      <xdr:row>27</xdr:row>
      <xdr:rowOff>13446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790575</xdr:colOff>
      <xdr:row>27</xdr:row>
      <xdr:rowOff>114300</xdr:rowOff>
    </xdr:from>
    <xdr:to>
      <xdr:col>47</xdr:col>
      <xdr:colOff>171450</xdr:colOff>
      <xdr:row>42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647700</xdr:colOff>
      <xdr:row>31</xdr:row>
      <xdr:rowOff>95250</xdr:rowOff>
    </xdr:from>
    <xdr:to>
      <xdr:col>40</xdr:col>
      <xdr:colOff>133350</xdr:colOff>
      <xdr:row>45</xdr:row>
      <xdr:rowOff>171450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834838</xdr:colOff>
      <xdr:row>21</xdr:row>
      <xdr:rowOff>34737</xdr:rowOff>
    </xdr:from>
    <xdr:to>
      <xdr:col>45</xdr:col>
      <xdr:colOff>39220</xdr:colOff>
      <xdr:row>35</xdr:row>
      <xdr:rowOff>88525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890868</xdr:colOff>
      <xdr:row>5</xdr:row>
      <xdr:rowOff>79562</xdr:rowOff>
    </xdr:from>
    <xdr:to>
      <xdr:col>45</xdr:col>
      <xdr:colOff>95250</xdr:colOff>
      <xdr:row>19</xdr:row>
      <xdr:rowOff>155762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425823</xdr:colOff>
      <xdr:row>36</xdr:row>
      <xdr:rowOff>186018</xdr:rowOff>
    </xdr:from>
    <xdr:to>
      <xdr:col>44</xdr:col>
      <xdr:colOff>235323</xdr:colOff>
      <xdr:row>51</xdr:row>
      <xdr:rowOff>71718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75079</xdr:colOff>
      <xdr:row>0</xdr:row>
      <xdr:rowOff>74517</xdr:rowOff>
    </xdr:from>
    <xdr:ext cx="731744" cy="5306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/>
            <xdr:cNvSpPr txBox="1"/>
          </xdr:nvSpPr>
          <xdr:spPr>
            <a:xfrm>
              <a:off x="8770844" y="74517"/>
              <a:ext cx="731744" cy="5306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n-US" sz="1400" i="1">
                          <a:latin typeface="Cambria Math"/>
                        </a:rPr>
                      </m:ctrlPr>
                    </m:sSubPr>
                    <m:e>
                      <m:r>
                        <a:rPr lang="en-US" sz="1400" b="0" i="1">
                          <a:latin typeface="Cambria Math"/>
                        </a:rPr>
                        <m:t>𝑓</m:t>
                      </m:r>
                    </m:e>
                    <m:sub>
                      <m:r>
                        <a:rPr lang="en-US" sz="1400" b="0" i="1">
                          <a:latin typeface="Cambria Math"/>
                        </a:rPr>
                        <m:t>𝑐</m:t>
                      </m:r>
                    </m:sub>
                  </m:sSub>
                </m:oMath>
              </a14:m>
              <a:r>
                <a:rPr lang="en-US" sz="1400"/>
                <a:t> </a:t>
              </a:r>
              <a:r>
                <a:rPr lang="en-US" sz="1400" i="0"/>
                <a:t>(Mpa)</a:t>
              </a:r>
            </a:p>
          </xdr:txBody>
        </xdr:sp>
      </mc:Choice>
      <mc:Fallback xmlns="">
        <xdr:sp macro="" textlink="">
          <xdr:nvSpPr>
            <xdr:cNvPr id="2" name="TextBox 1"/>
            <xdr:cNvSpPr txBox="1"/>
          </xdr:nvSpPr>
          <xdr:spPr>
            <a:xfrm>
              <a:off x="8770844" y="74517"/>
              <a:ext cx="731744" cy="5306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1400" b="0" i="0">
                  <a:latin typeface="Cambria Math"/>
                </a:rPr>
                <a:t>𝑓_𝑐</a:t>
              </a:r>
              <a:r>
                <a:rPr lang="en-US" sz="1400"/>
                <a:t> </a:t>
              </a:r>
              <a:r>
                <a:rPr lang="en-US" sz="1400" i="0"/>
                <a:t>(Mpa)</a:t>
              </a:r>
            </a:p>
          </xdr:txBody>
        </xdr:sp>
      </mc:Fallback>
    </mc:AlternateContent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594360</xdr:colOff>
      <xdr:row>3</xdr:row>
      <xdr:rowOff>121920</xdr:rowOff>
    </xdr:from>
    <xdr:to>
      <xdr:col>15</xdr:col>
      <xdr:colOff>365760</xdr:colOff>
      <xdr:row>24</xdr:row>
      <xdr:rowOff>160020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1" name="Table11" displayName="Table11" ref="A1:T55" totalsRowShown="0" headerRowDxfId="637" dataDxfId="636" tableBorderDxfId="635">
  <autoFilter ref="A1:T55"/>
  <sortState ref="A2:T57">
    <sortCondition ref="A1:A57"/>
  </sortState>
  <tableColumns count="20">
    <tableColumn id="1" name="Column1" dataDxfId="634"/>
    <tableColumn id="20" name="Final Image number" dataDxfId="633"/>
    <tableColumn id="2" name="Image name" dataDxfId="632"/>
    <tableColumn id="3" name="Deflection at midSpan (mm)" dataDxfId="631"/>
    <tableColumn id="4" name="V (KN)"/>
    <tableColumn id="5" name="Deflection at midSpan (mm)/length of the beam (mm) %" dataDxfId="630">
      <calculatedColumnFormula>D2/$W$2*100</calculatedColumnFormula>
    </tableColumn>
    <tableColumn id="6" name="M (KN.mm)" dataDxfId="629">
      <calculatedColumnFormula>E2*M2</calculatedColumnFormula>
    </tableColumn>
    <tableColumn id="7" name="M/EI" dataDxfId="628">
      <calculatedColumnFormula>G2/($W$5*T2*0.001)</calculatedColumnFormula>
    </tableColumn>
    <tableColumn id="8" name="M/bd^2" dataDxfId="627">
      <calculatedColumnFormula>G2/($W$3*N2^2)</calculatedColumnFormula>
    </tableColumn>
    <tableColumn id="9" name="M/(As fy d)" dataDxfId="626">
      <calculatedColumnFormula>G2/(P2*R2*N2*0.001)</calculatedColumnFormula>
    </tableColumn>
    <tableColumn id="10" name="V/(GJ)" dataDxfId="625">
      <calculatedColumnFormula>E2/($W$6*S2*0.001)</calculatedColumnFormula>
    </tableColumn>
    <tableColumn id="11" name="V/(bd)" dataDxfId="624">
      <calculatedColumnFormula>E2/($W$3*N2)</calculatedColumnFormula>
    </tableColumn>
    <tableColumn id="12" name="a (mm)" dataDxfId="623"/>
    <tableColumn id="13" name="d (mm)" dataDxfId="622"/>
    <tableColumn id="14" name="h (mm)" dataDxfId="621"/>
    <tableColumn id="15" name="As (mm^2)" dataDxfId="620"/>
    <tableColumn id="16" name="pho (%)" dataDxfId="619">
      <calculatedColumnFormula>P2/($W$3*N2)*100</calculatedColumnFormula>
    </tableColumn>
    <tableColumn id="17" name="fy (Mpa)" dataDxfId="618"/>
    <tableColumn id="18" name="J(mm^4)" dataDxfId="617">
      <calculatedColumnFormula>(1/3-0.21*(MIN($W$3,O2)/MAX($W$3,O2))*(MIN($W$3,O2)^4/(12*MAX($W$3,O2)^4)))*MAX($W$3,O2)*MIN($W$3,O2)^3</calculatedColumnFormula>
    </tableColumn>
    <tableColumn id="19" name="I (mm^4)" dataDxfId="616">
      <calculatedColumnFormula>$W$3*O2^3/12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1" name="Table112" displayName="Table112" ref="A1:AH48" totalsRowShown="0" headerRowDxfId="615" dataDxfId="613" headerRowBorderDxfId="614" tableBorderDxfId="612" totalsRowBorderDxfId="611">
  <autoFilter ref="A1:AH48"/>
  <sortState ref="A2:T57">
    <sortCondition ref="A1:A57"/>
  </sortState>
  <tableColumns count="34">
    <tableColumn id="1" name="Column1" dataDxfId="610"/>
    <tableColumn id="20" name="Final Image number" dataDxfId="609"/>
    <tableColumn id="2" name="Image name" dataDxfId="608"/>
    <tableColumn id="3" name="d/a" dataDxfId="607">
      <calculatedColumnFormula>Table112[[#This Row],[a (mm)]]/Table112[[#This Row],[d (mm)]]</calculatedColumnFormula>
    </tableColumn>
    <tableColumn id="4" name="V (KN)" dataDxfId="606"/>
    <tableColumn id="5" name="d" dataDxfId="605">
      <calculatedColumnFormula>Table112[[#This Row],[d (mm)]]</calculatedColumnFormula>
    </tableColumn>
    <tableColumn id="6" name="M (KN.mm)" dataDxfId="604">
      <calculatedColumnFormula>E2*Z2</calculatedColumnFormula>
    </tableColumn>
    <tableColumn id="7" name="M/EI" dataDxfId="603">
      <calculatedColumnFormula>G2/($AJ$5*AG2*0.001)</calculatedColumnFormula>
    </tableColumn>
    <tableColumn id="8" name="M/bd^2" dataDxfId="602">
      <calculatedColumnFormula>G2/($AJ$3*AA2^2)</calculatedColumnFormula>
    </tableColumn>
    <tableColumn id="9" name="M/(As fy d)" dataDxfId="601">
      <calculatedColumnFormula>G2/(AC2*AE2*AA2*0.001)</calculatedColumnFormula>
    </tableColumn>
    <tableColumn id="10" name="V/(GJ)" dataDxfId="600">
      <calculatedColumnFormula>E2/($AJ$5*AF2*0.001)</calculatedColumnFormula>
    </tableColumn>
    <tableColumn id="11" name="V/(bd)" dataDxfId="599">
      <calculatedColumnFormula>E2/($AJ$3*AA2)</calculatedColumnFormula>
    </tableColumn>
    <tableColumn id="21" name="M/(bd)" dataDxfId="598">
      <calculatedColumnFormula>Table112[[#This Row],[M (KN.mm)]]/($AJ$3*Table112[[#This Row],[d (mm)]])</calculatedColumnFormula>
    </tableColumn>
    <tableColumn id="22" name="M/bh" dataDxfId="597">
      <calculatedColumnFormula>Table112[[#This Row],[M (KN.mm)]]/($AJ$3*Table112[[#This Row],[h (mm)]])</calculatedColumnFormula>
    </tableColumn>
    <tableColumn id="23" name="M/(bhl)" dataDxfId="596">
      <calculatedColumnFormula>Table112[[#This Row],[M (KN.mm)]]/($AJ$3*Table112[[#This Row],[h (mm)]]*$AJ$2)</calculatedColumnFormula>
    </tableColumn>
    <tableColumn id="24" name="M/(bdl)" dataDxfId="595">
      <calculatedColumnFormula>Table112[[#This Row],[M (KN.mm)]]/($AJ$3*Table112[[#This Row],[d (mm)]]*$AJ$2)</calculatedColumnFormula>
    </tableColumn>
    <tableColumn id="25" name="M/(fc bhl)" dataDxfId="594">
      <calculatedColumnFormula>Table112[[#This Row],[M (KN.mm)]]/($AJ$3*Table112[[#This Row],[h (mm)]]*$AJ$2*$AJ$4)</calculatedColumnFormula>
    </tableColumn>
    <tableColumn id="26" name="M/(bh (l-a))" dataDxfId="593">
      <calculatedColumnFormula>Table112[[#This Row],[M (KN.mm)]]/($AJ$3*Table112[[#This Row],[h (mm)]]*($AJ$2-Table112[[#This Row],[a (mm)]]))</calculatedColumnFormula>
    </tableColumn>
    <tableColumn id="27" name="M/(abh (l-a))" dataDxfId="592">
      <calculatedColumnFormula>Table112[[#This Row],[M (KN.mm)]]/(Table112[[#This Row],[a (mm)]]*$AJ$3*Table112[[#This Row],[h (mm)]]*($AJ$2-Table112[[#This Row],[a (mm)]]))</calculatedColumnFormula>
    </tableColumn>
    <tableColumn id="28" name="M/(a^2 bh )" dataDxfId="591">
      <calculatedColumnFormula>Table112[[#This Row],[M (KN.mm)]]/(Table112[[#This Row],[a (mm)]]^2*$AJ$3*Table112[[#This Row],[h (mm)]])</calculatedColumnFormula>
    </tableColumn>
    <tableColumn id="29" name="M/(pho  bd)" dataDxfId="590">
      <calculatedColumnFormula>Table112[[#This Row],[M (KN.mm)]]/($AJ$3*Table112[[#This Row],[d (mm)]]*Table112[[#This Row],[pho (%)]])</calculatedColumnFormula>
    </tableColumn>
    <tableColumn id="30" name="V/(2*sqrt(fc) bd)" dataDxfId="589">
      <calculatedColumnFormula>E2*224.8/(2*SQRT($AJ$4*145.037)*$AJ$3*Table112[[#This Row],[d (mm)]]*(1/25.4)^2)</calculatedColumnFormula>
    </tableColumn>
    <tableColumn id="32" name="M/M_fracture" dataDxfId="588">
      <calculatedColumnFormula>Table112[[#This Row],[M (KN.mm)]]/$G$5</calculatedColumnFormula>
    </tableColumn>
    <tableColumn id="34" name="V/(2*sqrt(fc) bd)2" dataDxfId="587">
      <calculatedColumnFormula>Table112[[#This Row],[V/(2*sqrt(fc) bd)]]</calculatedColumnFormula>
    </tableColumn>
    <tableColumn id="31" name="factor to calculate M/(pho  bd)" dataDxfId="586">
      <calculatedColumnFormula>2*SQRT($AJ$4*145.037)/Table112[[#This Row],[pho (%)]]*Table112[[#This Row],[a (mm)]]*1/(224.8*25.4^2)</calculatedColumnFormula>
    </tableColumn>
    <tableColumn id="12" name="a (mm)" dataDxfId="585"/>
    <tableColumn id="13" name="d (mm)" dataDxfId="584"/>
    <tableColumn id="14" name="h (mm)" dataDxfId="583"/>
    <tableColumn id="15" name="As (mm^2)" dataDxfId="582"/>
    <tableColumn id="16" name="pho (%)" dataDxfId="581">
      <calculatedColumnFormula>AC2/($AJ$3*AA2)*100</calculatedColumnFormula>
    </tableColumn>
    <tableColumn id="17" name="fy (Mpa)" dataDxfId="580"/>
    <tableColumn id="18" name="J(mm^4)" dataDxfId="579">
      <calculatedColumnFormula>(1/3-0.21*(MIN($AJ$3,AB2)/MAX($AJ$3,AB2))*(MIN($AJ$3,AB2)^4/(12*MAX($AJ$3,AB2)^4)))*MAX($AJ$3,AB2)*MIN($AJ$3,AB2)^3</calculatedColumnFormula>
    </tableColumn>
    <tableColumn id="19" name="I (mm^4)" dataDxfId="578">
      <calculatedColumnFormula>$AJ$3*AB2^3/12</calculatedColumnFormula>
    </tableColumn>
    <tableColumn id="33" name="Column2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14" name="Table11215" displayName="Table11215" ref="A1:AP43" totalsRowShown="0" headerRowDxfId="577" dataDxfId="575" headerRowBorderDxfId="576" tableBorderDxfId="574" totalsRowBorderDxfId="573">
  <autoFilter ref="A1:AP43"/>
  <sortState ref="A2:T57">
    <sortCondition ref="A1:A57"/>
  </sortState>
  <tableColumns count="42">
    <tableColumn id="1" name="Column1" dataDxfId="572"/>
    <tableColumn id="20" name="Final Image number" dataDxfId="571"/>
    <tableColumn id="2" name="Image name" dataDxfId="570"/>
    <tableColumn id="3" name="d/a" dataDxfId="569">
      <calculatedColumnFormula>Table11215[[#This Row],[a (mm)]]/Table11215[[#This Row],[d (mm)]]</calculatedColumnFormula>
    </tableColumn>
    <tableColumn id="4" name="V (KN)" dataDxfId="568"/>
    <tableColumn id="5" name="d" dataDxfId="567">
      <calculatedColumnFormula>Table11215[[#This Row],[d (mm)]]</calculatedColumnFormula>
    </tableColumn>
    <tableColumn id="6" name="M (KN.mm)" dataDxfId="566">
      <calculatedColumnFormula>E2*AD2</calculatedColumnFormula>
    </tableColumn>
    <tableColumn id="7" name="M/EI" dataDxfId="565">
      <calculatedColumnFormula>G2/($AN$7*AK2*0.001)</calculatedColumnFormula>
    </tableColumn>
    <tableColumn id="8" name="M/bh^2" dataDxfId="564">
      <calculatedColumnFormula>G2/($AN$3*Table11215[[#This Row],[h]]^2)</calculatedColumnFormula>
    </tableColumn>
    <tableColumn id="9" name="M/(As fy d)" dataDxfId="563">
      <calculatedColumnFormula>G2/(AG2*AI2*AE2*0.001)</calculatedColumnFormula>
    </tableColumn>
    <tableColumn id="10" name="V/(GJ)" dataDxfId="562">
      <calculatedColumnFormula>E2/($AN$6*AJ2*0.001)</calculatedColumnFormula>
    </tableColumn>
    <tableColumn id="11" name="V/(bd)" dataDxfId="561">
      <calculatedColumnFormula>E2/($AN$5*AE2)</calculatedColumnFormula>
    </tableColumn>
    <tableColumn id="21" name="M/(bd)" dataDxfId="560">
      <calculatedColumnFormula>Table11215[[#This Row],[M (KN.mm)]]/($AN$5*Table11215[[#This Row],[d (mm)]])</calculatedColumnFormula>
    </tableColumn>
    <tableColumn id="22" name="M/bh" dataDxfId="559">
      <calculatedColumnFormula>Table11215[[#This Row],[M (KN.mm)]]/($AN$5*Table11215[[#This Row],[h (mm)]])</calculatedColumnFormula>
    </tableColumn>
    <tableColumn id="23" name="M/(bhl)" dataDxfId="558">
      <calculatedColumnFormula>Table11215[[#This Row],[M (KN.mm)]]/($AN$5*Table11215[[#This Row],[h (mm)]]*$AN$4)</calculatedColumnFormula>
    </tableColumn>
    <tableColumn id="24" name="M/(bdl)" dataDxfId="557">
      <calculatedColumnFormula>Table11215[[#This Row],[M (KN.mm)]]/($AN$5*Table11215[[#This Row],[d (mm)]]*$AN$4)</calculatedColumnFormula>
    </tableColumn>
    <tableColumn id="25" name="M/(fc bhl)" dataDxfId="556">
      <calculatedColumnFormula>Table11215[[#This Row],[M (KN.mm)]]/($AN$5*Table11215[[#This Row],[h (mm)]]*$AN$4*$AN$6)</calculatedColumnFormula>
    </tableColumn>
    <tableColumn id="26" name="M/(bh (l-a))" dataDxfId="555">
      <calculatedColumnFormula>Table11215[[#This Row],[M (KN.mm)]]/($AN$5*Table11215[[#This Row],[h (mm)]]*($AN$4-Table11215[[#This Row],[a (mm)]]))</calculatedColumnFormula>
    </tableColumn>
    <tableColumn id="27" name="M/(abh (l-a))" dataDxfId="554">
      <calculatedColumnFormula>Table11215[[#This Row],[M (KN.mm)]]/(Table11215[[#This Row],[a (mm)]]*$AN$5*Table11215[[#This Row],[h (mm)]]*($AN$4-Table11215[[#This Row],[a (mm)]]))</calculatedColumnFormula>
    </tableColumn>
    <tableColumn id="28" name="M/(a^2 bh )" dataDxfId="553">
      <calculatedColumnFormula>Table11215[[#This Row],[M (KN.mm)]]/(Table11215[[#This Row],[a (mm)]]^2*$AN$5*Table11215[[#This Row],[h (mm)]])</calculatedColumnFormula>
    </tableColumn>
    <tableColumn id="29" name="M/(pho  bd)" dataDxfId="552">
      <calculatedColumnFormula>Table11215[[#This Row],[M (KN.mm)]]/($AN$5*Table11215[[#This Row],[d (mm)]]*Table11215[[#This Row],[pho (%)]])</calculatedColumnFormula>
    </tableColumn>
    <tableColumn id="30" name="V/(2*sqrt(fc) bd)" dataDxfId="551">
      <calculatedColumnFormula>E2*224.8/(2*SQRT($AN$6*145.037)*$AN$5*Table11215[[#This Row],[d (mm)]]*(1/25.4)^2)</calculatedColumnFormula>
    </tableColumn>
    <tableColumn id="32" name="M/M_fracture" dataDxfId="550">
      <calculatedColumnFormula>Table11215[[#This Row],[M (KN.mm)]]/$G$5</calculatedColumnFormula>
    </tableColumn>
    <tableColumn id="40" name="V/(2*sqrt(fc) bd)2" dataDxfId="549">
      <calculatedColumnFormula>Table11215[[#This Row],[V/(2*sqrt(fc) bd)]]</calculatedColumnFormula>
    </tableColumn>
    <tableColumn id="31" name="a" dataDxfId="548">
      <calculatedColumnFormula>Table11215[[#This Row],[a (mm)]]</calculatedColumnFormula>
    </tableColumn>
    <tableColumn id="38" name="bh2" dataDxfId="547">
      <calculatedColumnFormula>Table11215[[#This Row],[width]]*Table11215[[#This Row],[h]]^2</calculatedColumnFormula>
    </tableColumn>
    <tableColumn id="39" name="width" dataDxfId="546">
      <calculatedColumnFormula>$AN$3</calculatedColumnFormula>
    </tableColumn>
    <tableColumn id="42" name="a/h" dataDxfId="545">
      <calculatedColumnFormula>Table11215[[#This Row],[a]]/Table11215[[#This Row],[h (mm)]]</calculatedColumnFormula>
    </tableColumn>
    <tableColumn id="41" name="h" dataDxfId="544">
      <calculatedColumnFormula>Table11215[[#This Row],[h (mm)]]</calculatedColumnFormula>
    </tableColumn>
    <tableColumn id="12" name="a (mm)" dataDxfId="543"/>
    <tableColumn id="13" name="d (mm)" dataDxfId="542"/>
    <tableColumn id="14" name="h (mm)" dataDxfId="541"/>
    <tableColumn id="15" name="As (mm^2)" dataDxfId="540"/>
    <tableColumn id="16" name="pho (%)" dataDxfId="539">
      <calculatedColumnFormula>AG2/($AN$5*AE2)*100</calculatedColumnFormula>
    </tableColumn>
    <tableColumn id="17" name="fy (Mpa)" dataDxfId="538"/>
    <tableColumn id="18" name="J(mm^4)" dataDxfId="537">
      <calculatedColumnFormula>(1/3-0.21*(MIN($AN$4,AF2)/MAX($AN$4,AF2))*(MIN($AN$4,AF2)^4/(12*MAX($AN$4,AF2)^4)))*MAX($AN$4,AF2)*MIN($AN$4,AF2)^3</calculatedColumnFormula>
    </tableColumn>
    <tableColumn id="19" name="I (mm^4)" dataDxfId="536">
      <calculatedColumnFormula>$AN$4*AF2^3/12</calculatedColumnFormula>
    </tableColumn>
    <tableColumn id="33" name="Column2"/>
    <tableColumn id="34" name="Column3" dataDxfId="535"/>
    <tableColumn id="35" name="Column4" dataDxfId="534"/>
    <tableColumn id="36" name="Column5" dataDxfId="533"/>
    <tableColumn id="37" name="Column6" dataDxfId="532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2" name="Table1123" displayName="Table1123" ref="A1:AP53" totalsRowShown="0" headerRowDxfId="531" dataDxfId="530" tableBorderDxfId="529">
  <autoFilter ref="A1:AP53"/>
  <sortState ref="A2:T57">
    <sortCondition ref="A1:A57"/>
  </sortState>
  <tableColumns count="42">
    <tableColumn id="1" name="Image Seri" dataDxfId="528"/>
    <tableColumn id="20" name="Image Name" dataDxfId="527" dataCellStyle="Normal"/>
    <tableColumn id="2" name="Final Image name" dataDxfId="526" dataCellStyle="Normal"/>
    <tableColumn id="3" name="d/a" dataDxfId="525" dataCellStyle="Normal">
      <calculatedColumnFormula>Table1123[[#This Row],[a (mm)]]/Table1123[[#This Row],[d (mm)]]</calculatedColumnFormula>
    </tableColumn>
    <tableColumn id="4" name="V (KN)" dataDxfId="524" dataCellStyle="Normal"/>
    <tableColumn id="5" name="d" dataDxfId="523" dataCellStyle="Normal">
      <calculatedColumnFormula>Table1123[[#This Row],[d (mm)]]</calculatedColumnFormula>
    </tableColumn>
    <tableColumn id="6" name="M (KN.mm)" dataDxfId="522" dataCellStyle="Normal">
      <calculatedColumnFormula>E2*AB2</calculatedColumnFormula>
    </tableColumn>
    <tableColumn id="7" name="M/EI" dataDxfId="521" dataCellStyle="Normal">
      <calculatedColumnFormula>G2/($AN$5*AK2*0.001)</calculatedColumnFormula>
    </tableColumn>
    <tableColumn id="8" name="M/bd^2" dataDxfId="520" dataCellStyle="Normal">
      <calculatedColumnFormula>G2/(Table1123[[#This Row],[b (mm)]]*AC2^2)</calculatedColumnFormula>
    </tableColumn>
    <tableColumn id="9" name="M/(As fy d)" dataDxfId="519" dataCellStyle="Normal">
      <calculatedColumnFormula>G2/(AG2*AI2*AC2*0.001)</calculatedColumnFormula>
    </tableColumn>
    <tableColumn id="10" name="V/(GJ)" dataDxfId="518" dataCellStyle="Normal">
      <calculatedColumnFormula>E2/($AN$4*AJ2*0.001)</calculatedColumnFormula>
    </tableColumn>
    <tableColumn id="11" name="V/(bd)" dataDxfId="517" dataCellStyle="Normal">
      <calculatedColumnFormula>E2/(Table1123[[#This Row],[b (mm)]]*AC2)</calculatedColumnFormula>
    </tableColumn>
    <tableColumn id="21" name="M/(bd)" dataDxfId="516" dataCellStyle="Normal">
      <calculatedColumnFormula>Table1123[[#This Row],[M (KN.mm)]]/(Table1123[[#This Row],[b (mm)]]*Table1123[[#This Row],[d (mm)]])</calculatedColumnFormula>
    </tableColumn>
    <tableColumn id="22" name="M/bh" dataDxfId="515" dataCellStyle="Normal">
      <calculatedColumnFormula>Table1123[[#This Row],[M (KN.mm)]]/(Table1123[[#This Row],[b (mm)]]*Table1123[[#This Row],[h (mm)]])</calculatedColumnFormula>
    </tableColumn>
    <tableColumn id="28" name="M/(bhl)" dataDxfId="514">
      <calculatedColumnFormula>Table1123[[#This Row],[M (KN.mm)]]/(Table1123[[#This Row],[b (mm)]]*Table1123[[#This Row],[h (mm)]]*Table1123[[#This Row],[L(mm)]])</calculatedColumnFormula>
    </tableColumn>
    <tableColumn id="29" name="M/(bdl)" dataDxfId="513">
      <calculatedColumnFormula>Table1123[[#This Row],[M (KN.mm)]]/(Table1123[[#This Row],[b (mm)]]*Table1123[[#This Row],[d (mm)]]*Table1123[[#This Row],[L(mm)]])</calculatedColumnFormula>
    </tableColumn>
    <tableColumn id="31" name="M/(fc bhl)" dataDxfId="512">
      <calculatedColumnFormula>Table1123[[#This Row],[M (KN.mm)]]/(Table1123[[#This Row],[b (mm)]]*Table1123[[#This Row],[h (mm)]]*Table1123[[#This Row],[L(mm)]]*Table1123[[#This Row],[fc (Mpa)]])</calculatedColumnFormula>
    </tableColumn>
    <tableColumn id="32" name="M/(bh (l/2))" dataDxfId="511">
      <calculatedColumnFormula>Table1123[[#This Row],[M (KN.mm)]]/(Table1123[[#This Row],[b (mm)]]*Table1123[[#This Row],[h (mm)]]*Table1123[[#This Row],[L(mm)]]/2)</calculatedColumnFormula>
    </tableColumn>
    <tableColumn id="33" name="M/(abh (l/2))" dataDxfId="510">
      <calculatedColumnFormula>Table1123[[#This Row],[M (KN.mm)]]/(Table1123[[#This Row],[a (mm)]]*Table1123[[#This Row],[b (mm)]]*Table1123[[#This Row],[h (mm)]]*Table1123[[#This Row],[L(mm)]]/2)</calculatedColumnFormula>
    </tableColumn>
    <tableColumn id="34" name="M/(a^2 bh)" dataDxfId="509">
      <calculatedColumnFormula>Table1123[[#This Row],[M (KN.mm)]]/(Table1123[[#This Row],[a (mm)]]^2*Table1123[[#This Row],[b (mm)]]*Table1123[[#This Row],[h (mm)]])</calculatedColumnFormula>
    </tableColumn>
    <tableColumn id="35" name="M/(rho  bd)" dataDxfId="508">
      <calculatedColumnFormula>Table1123[[#This Row],[M (KN.mm)]]/(Table1123[[#This Row],[b (mm)]]*Table1123[[#This Row],[d (mm)]]*Table1123[[#This Row],[pho (%)]])</calculatedColumnFormula>
    </tableColumn>
    <tableColumn id="38" name="V/(2*sqrt(fc) bd)" dataDxfId="507">
      <calculatedColumnFormula>E2*224.8/(2*SQRT(Table1123[[#This Row],[fc (Mpa)]]*145.037)*Table1123[[#This Row],[b (mm)]]*Table1123[[#This Row],[d (mm)]]*(1/25.4)^2)</calculatedColumnFormula>
    </tableColumn>
    <tableColumn id="36" name="M/M_fracture" dataDxfId="506">
      <calculatedColumnFormula>Table1123[[#This Row],[M (KN.mm)]]/$G$17</calculatedColumnFormula>
    </tableColumn>
    <tableColumn id="42" name="V/(2*sqrt(fc) bd)2" dataDxfId="505">
      <calculatedColumnFormula>Table1123[[#This Row],[V/(2*sqrt(fc) bd)]]</calculatedColumnFormula>
    </tableColumn>
    <tableColumn id="39" name="factor to calculate M/(pho  bd)" dataDxfId="504">
      <calculatedColumnFormula>2*SQRT(Table1123[[#This Row],[fc (Mpa)]]*145.037)/Table1123[[#This Row],[pho (%)]]*Table1123[[#This Row],[a (mm)]]*1/(224.8*25.4^2)</calculatedColumnFormula>
    </tableColumn>
    <tableColumn id="41" name="Column5" dataDxfId="503">
      <calculatedColumnFormula>(2*SQRT(Table1123[[#This Row],[fc (Mpa)]]*145.037)*Table1123[[#This Row],[b (mm)]]*Table1123[[#This Row],[d (mm)]]*(1/25.4)^2)/224.8</calculatedColumnFormula>
    </tableColumn>
    <tableColumn id="40" name="M/(rho  bd^2)" dataDxfId="502">
      <calculatedColumnFormula>Table1123[[#This Row],[M (KN.mm)]]/(Table1123[[#This Row],[b (mm)]]*Table1123[[#This Row],[d (mm)]]^2*Table1123[[#This Row],[pho (%)]])</calculatedColumnFormula>
    </tableColumn>
    <tableColumn id="12" name="a (mm)" dataDxfId="501" dataCellStyle="Normal"/>
    <tableColumn id="13" name="d (mm)" dataDxfId="500" dataCellStyle="Normal"/>
    <tableColumn id="14" name="h (mm)" dataDxfId="499" dataCellStyle="Normal"/>
    <tableColumn id="15" name="b (mm)" dataDxfId="498" dataCellStyle="Normal">
      <calculatedColumnFormula>22.5*25.4</calculatedColumnFormula>
    </tableColumn>
    <tableColumn id="16" name="fc (Mpa)" dataDxfId="497" dataCellStyle="Normal"/>
    <tableColumn id="17" name="As (mm^2)" dataDxfId="496" dataCellStyle="Normal"/>
    <tableColumn id="18" name="pho (%)" dataDxfId="495" dataCellStyle="Normal">
      <calculatedColumnFormula>AG2/(Table1123[[#This Row],[b (mm)]]*AC2)*100</calculatedColumnFormula>
    </tableColumn>
    <tableColumn id="19" name="fy (Mpa)" dataDxfId="494" dataCellStyle="Normal"/>
    <tableColumn id="23" name="J(mm^4)" dataDxfId="493" dataCellStyle="Normal">
      <calculatedColumnFormula>(1/3-0.21*(MIN(Table1123[[#This Row],[b (mm)]],AD2)/MAX(Table1123[[#This Row],[b (mm)]],AD2))*(MIN(Table1123[[#This Row],[b (mm)]],AD2)^4/(12*MAX(Table1123[[#This Row],[b (mm)]],AD2)^4)))*MAX(Table1123[[#This Row],[b (mm)]],AD2)*MIN(Table1123[[#This Row],[b (mm)]],AD2)^3</calculatedColumnFormula>
    </tableColumn>
    <tableColumn id="24" name="I (mm^4)" dataDxfId="492" dataCellStyle="Normal">
      <calculatedColumnFormula>Table1123[[#This Row],[b (mm)]]*AD2^3/12</calculatedColumnFormula>
    </tableColumn>
    <tableColumn id="25" name="L(mm)" dataDxfId="491" dataCellStyle="Normal"/>
    <tableColumn id="26" name="Column1" dataDxfId="490" dataCellStyle="Normal"/>
    <tableColumn id="27" name="Column2" dataDxfId="489" dataCellStyle="Normal"/>
    <tableColumn id="30" name="Column3"/>
    <tableColumn id="37" name="Column4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3" name="Table11234" displayName="Table11234" ref="A1:AR53" totalsRowShown="0" headerRowDxfId="488" dataDxfId="487" tableBorderDxfId="486">
  <autoFilter ref="A1:AR53"/>
  <sortState ref="A2:T57">
    <sortCondition ref="A1:A57"/>
  </sortState>
  <tableColumns count="44">
    <tableColumn id="1" name="Image Seri" dataDxfId="485"/>
    <tableColumn id="20" name="Image Name" dataDxfId="484" dataCellStyle="Normal"/>
    <tableColumn id="2" name="Final Image name" dataDxfId="483" dataCellStyle="Normal"/>
    <tableColumn id="3" name="d/a" dataDxfId="482" dataCellStyle="Normal"/>
    <tableColumn id="4" name="V (KN)" dataDxfId="481" dataCellStyle="Normal"/>
    <tableColumn id="5" name="d" dataDxfId="480" dataCellStyle="Normal">
      <calculatedColumnFormula>D2/Table11234[[#This Row],[L(mm)]]*100</calculatedColumnFormula>
    </tableColumn>
    <tableColumn id="6" name="M (KN.mm)" dataDxfId="479" dataCellStyle="Normal">
      <calculatedColumnFormula>E2*AD2</calculatedColumnFormula>
    </tableColumn>
    <tableColumn id="7" name="M/EI" dataDxfId="478" dataCellStyle="Normal">
      <calculatedColumnFormula>G2/($AP$5*AM2*0.001)</calculatedColumnFormula>
    </tableColumn>
    <tableColumn id="8" name="M/bh^2" dataDxfId="477" dataCellStyle="Normal">
      <calculatedColumnFormula>G2/(Table11234[[#This Row],[b (mm)]]*AE2^2)</calculatedColumnFormula>
    </tableColumn>
    <tableColumn id="9" name="M/(As fy d)" dataDxfId="476" dataCellStyle="Normal">
      <calculatedColumnFormula>G2/(AI2*AK2*AE2*0.001)</calculatedColumnFormula>
    </tableColumn>
    <tableColumn id="10" name="V/(GJ)" dataDxfId="475" dataCellStyle="Normal">
      <calculatedColumnFormula>E2/($AP$4*AL2*0.001)</calculatedColumnFormula>
    </tableColumn>
    <tableColumn id="11" name="V/(bd)" dataDxfId="474" dataCellStyle="Normal">
      <calculatedColumnFormula>E2/(Table11234[[#This Row],[b (mm)]]*AE2)</calculatedColumnFormula>
    </tableColumn>
    <tableColumn id="21" name="M/(bd)" dataDxfId="473" dataCellStyle="Normal">
      <calculatedColumnFormula>Table11234[[#This Row],[M (KN.mm)]]/(Table11234[[#This Row],[b (mm)]]*Table11234[[#This Row],[d (mm)]])</calculatedColumnFormula>
    </tableColumn>
    <tableColumn id="22" name="M/bh" dataDxfId="472" dataCellStyle="Normal">
      <calculatedColumnFormula>Table11234[[#This Row],[M (KN.mm)]]/(Table11234[[#This Row],[b (mm)]]*Table11234[[#This Row],[h (mm)]])</calculatedColumnFormula>
    </tableColumn>
    <tableColumn id="28" name="M/(bhl)" dataDxfId="471">
      <calculatedColumnFormula>Table11234[[#This Row],[M (KN.mm)]]/(Table11234[[#This Row],[b (mm)]]*Table11234[[#This Row],[h (mm)]]*Table11234[[#This Row],[L(mm)]])</calculatedColumnFormula>
    </tableColumn>
    <tableColumn id="29" name="M/(bdl)" dataDxfId="470">
      <calculatedColumnFormula>Table11234[[#This Row],[M (KN.mm)]]/(Table11234[[#This Row],[b (mm)]]*Table11234[[#This Row],[d (mm)]]*Table11234[[#This Row],[L(mm)]])</calculatedColumnFormula>
    </tableColumn>
    <tableColumn id="31" name="M/(fc bhl)" dataDxfId="469">
      <calculatedColumnFormula>Table11234[[#This Row],[M (KN.mm)]]/(Table11234[[#This Row],[b (mm)]]*Table11234[[#This Row],[h (mm)]]*Table11234[[#This Row],[L(mm)]]*Table11234[[#This Row],[fc (Mpa)]])</calculatedColumnFormula>
    </tableColumn>
    <tableColumn id="32" name="M/(bh (l/2))" dataDxfId="468">
      <calculatedColumnFormula>Table11234[[#This Row],[M (KN.mm)]]/(Table11234[[#This Row],[b (mm)]]*Table11234[[#This Row],[h (mm)]]*Table11234[[#This Row],[L(mm)]]/2)</calculatedColumnFormula>
    </tableColumn>
    <tableColumn id="33" name="M/(abh (l/2))" dataDxfId="467">
      <calculatedColumnFormula>Table11234[[#This Row],[M (KN.mm)]]/(Table11234[[#This Row],[a (mm)]]*Table11234[[#This Row],[b (mm)]]*Table11234[[#This Row],[h (mm)]]*Table11234[[#This Row],[L(mm)]]/2)</calculatedColumnFormula>
    </tableColumn>
    <tableColumn id="34" name="M/(a^2 bh)" dataDxfId="466">
      <calculatedColumnFormula>Table11234[[#This Row],[M (KN.mm)]]/(Table11234[[#This Row],[a (mm)]]^2*Table11234[[#This Row],[b (mm)]]*Table11234[[#This Row],[h (mm)]])</calculatedColumnFormula>
    </tableColumn>
    <tableColumn id="35" name="M/(rho  bd)" dataDxfId="465">
      <calculatedColumnFormula>Table11234[[#This Row],[M (KN.mm)]]/(Table11234[[#This Row],[b (mm)]]*Table11234[[#This Row],[d (mm)]]*Table11234[[#This Row],[pho (%)]])</calculatedColumnFormula>
    </tableColumn>
    <tableColumn id="36" name="V/(2*sqrt(fc) bd)" dataDxfId="464">
      <calculatedColumnFormula>E2/(Table11234[[#This Row],[b (mm)]]*AF2*Table11234[[#This Row],[fc (Mpa)]]*Table11234[[#This Row],[a (mm)]])</calculatedColumnFormula>
    </tableColumn>
    <tableColumn id="38" name="M/M_fracture" dataDxfId="463">
      <calculatedColumnFormula>Table11234[[#This Row],[M (KN.mm)]]/$G$8</calculatedColumnFormula>
    </tableColumn>
    <tableColumn id="42" name="V/(2*sqrt(fc) bd)2" dataDxfId="462">
      <calculatedColumnFormula>Table11234[[#This Row],[V/(2*sqrt(fc) bd)]]</calculatedColumnFormula>
    </tableColumn>
    <tableColumn id="39" name="a" dataDxfId="461">
      <calculatedColumnFormula>Table11234[[#This Row],[d (mm)]]/Table11234[[#This Row],[a (mm)]]</calculatedColumnFormula>
    </tableColumn>
    <tableColumn id="41" name="bh2" dataDxfId="460">
      <calculatedColumnFormula>(2*SQRT(Table11234[[#This Row],[fc (Mpa)]]*145.037)*Table11234[[#This Row],[b (mm)]]*Table11234[[#This Row],[d (mm)]]*(1/25.4)^2)/224.8</calculatedColumnFormula>
    </tableColumn>
    <tableColumn id="40" name="width" dataDxfId="459">
      <calculatedColumnFormula>Table11234[[#This Row],[M (KN.mm)]]/(Table11234[[#This Row],[b (mm)]]*Table11234[[#This Row],[d (mm)]]^2*Table11234[[#This Row],[pho (%)]])</calculatedColumnFormula>
    </tableColumn>
    <tableColumn id="44" name="a/h" dataDxfId="458">
      <calculatedColumnFormula>Table11234[[#This Row],[a]]/Table11234[[#This Row],[h (mm)]]</calculatedColumnFormula>
    </tableColumn>
    <tableColumn id="43" name="h" dataDxfId="457">
      <calculatedColumnFormula>Table11234[[#This Row],[h (mm)]]</calculatedColumnFormula>
    </tableColumn>
    <tableColumn id="12" name="a (mm)" dataDxfId="456" dataCellStyle="Normal">
      <calculatedColumnFormula>24*25.4</calculatedColumnFormula>
    </tableColumn>
    <tableColumn id="13" name="d (mm)" dataDxfId="455" dataCellStyle="Normal">
      <calculatedColumnFormula>10.5*25.4</calculatedColumnFormula>
    </tableColumn>
    <tableColumn id="14" name="h (mm)" dataDxfId="454" dataCellStyle="Normal">
      <calculatedColumnFormula>12*25.4</calculatedColumnFormula>
    </tableColumn>
    <tableColumn id="15" name="b (mm)" dataDxfId="453" dataCellStyle="Normal">
      <calculatedColumnFormula>9*25.4</calculatedColumnFormula>
    </tableColumn>
    <tableColumn id="16" name="fc (Mpa)" dataDxfId="452" dataCellStyle="Normal"/>
    <tableColumn id="17" name="As (mm^2)" dataDxfId="451" dataCellStyle="Normal">
      <calculatedColumnFormula>Table11234[[#This Row],[pho (%)]]/100*Table11234[[#This Row],[b (mm)]]*Table11234[[#This Row],[h (mm)]]</calculatedColumnFormula>
    </tableColumn>
    <tableColumn id="18" name="pho (%)" dataDxfId="450" dataCellStyle="Normal">
      <calculatedColumnFormula>AI2/(Table11234[[#This Row],[b (mm)]]*AE2)*100</calculatedColumnFormula>
    </tableColumn>
    <tableColumn id="19" name="fy (Mpa)" dataDxfId="449" dataCellStyle="Normal"/>
    <tableColumn id="23" name="J(mm^4)" dataDxfId="448" dataCellStyle="Normal">
      <calculatedColumnFormula>(1/3-0.21*(MIN(Table11234[[#This Row],[b (mm)]],AF2)/MAX(Table11234[[#This Row],[b (mm)]],AF2))*(MIN(Table11234[[#This Row],[b (mm)]],AF2)^4/(12*MAX(Table11234[[#This Row],[b (mm)]],AF2)^4)))*MAX(Table11234[[#This Row],[b (mm)]],AF2)*MIN(Table11234[[#This Row],[b (mm)]],AF2)^3</calculatedColumnFormula>
    </tableColumn>
    <tableColumn id="24" name="I (mm^4)" dataDxfId="447" dataCellStyle="Normal">
      <calculatedColumnFormula>Table11234[[#This Row],[b (mm)]]*AF2^3/12</calculatedColumnFormula>
    </tableColumn>
    <tableColumn id="25" name="L(mm)" dataDxfId="446" dataCellStyle="Normal">
      <calculatedColumnFormula>78.125*25.4</calculatedColumnFormula>
    </tableColumn>
    <tableColumn id="26" name="Column1" dataDxfId="445" dataCellStyle="Normal"/>
    <tableColumn id="27" name="Column2" dataDxfId="444" dataCellStyle="Normal"/>
    <tableColumn id="30" name="Column3"/>
    <tableColumn id="37" name="Column4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4" name="Table112345" displayName="Table112345" ref="A1:AR89" totalsRowShown="0" headerRowDxfId="443" dataDxfId="442" tableBorderDxfId="441">
  <autoFilter ref="A1:AR89"/>
  <sortState ref="A2:T57">
    <sortCondition ref="A1:A57"/>
  </sortState>
  <tableColumns count="44">
    <tableColumn id="1" name="Image Seri" dataDxfId="440"/>
    <tableColumn id="20" name="Image Name" dataDxfId="439" dataCellStyle="Normal"/>
    <tableColumn id="2" name="Final Image name" dataDxfId="438" dataCellStyle="Normal"/>
    <tableColumn id="3" name="d/a" dataDxfId="437" dataCellStyle="Normal">
      <calculatedColumnFormula>Table112345[[#This Row],[a (mm)]]/Table112345[[#This Row],[d (mm)]]</calculatedColumnFormula>
    </tableColumn>
    <tableColumn id="4" name="V (KN)" dataDxfId="436" dataCellStyle="Normal"/>
    <tableColumn id="5" name="d" dataDxfId="435" dataCellStyle="Normal">
      <calculatedColumnFormula>Table112345[[#This Row],[d (mm)]]</calculatedColumnFormula>
    </tableColumn>
    <tableColumn id="6" name="M (KN.mm)" dataDxfId="434" dataCellStyle="Normal">
      <calculatedColumnFormula>E2*AD2</calculatedColumnFormula>
    </tableColumn>
    <tableColumn id="7" name="M/EI" dataDxfId="433" dataCellStyle="Normal">
      <calculatedColumnFormula>G2/($AQ$5*AM2*0.001)</calculatedColumnFormula>
    </tableColumn>
    <tableColumn id="8" name="M/bh^2" dataDxfId="432" dataCellStyle="Normal">
      <calculatedColumnFormula>G2/(Table112345[[#This Row],[b (mm)]]*Table112345[[#This Row],[h]]^2)</calculatedColumnFormula>
    </tableColumn>
    <tableColumn id="9" name="M/(As fy d)" dataDxfId="431" dataCellStyle="Normal">
      <calculatedColumnFormula>G2/(AI2*AK2*AE2*0.001)</calculatedColumnFormula>
    </tableColumn>
    <tableColumn id="10" name="V/(GJ)" dataDxfId="430" dataCellStyle="Normal">
      <calculatedColumnFormula>E2/($AQ$4*AL2*0.001)</calculatedColumnFormula>
    </tableColumn>
    <tableColumn id="11" name="V/(bd)" dataDxfId="429" dataCellStyle="Normal">
      <calculatedColumnFormula>E2/(Table112345[[#This Row],[b (mm)]]*AE2)</calculatedColumnFormula>
    </tableColumn>
    <tableColumn id="21" name="M/(bd)" dataDxfId="428" dataCellStyle="Normal">
      <calculatedColumnFormula>Table112345[[#This Row],[M (KN.mm)]]/(Table112345[[#This Row],[b (mm)]]*Table112345[[#This Row],[d (mm)]])</calculatedColumnFormula>
    </tableColumn>
    <tableColumn id="22" name="M/bh" dataDxfId="427" dataCellStyle="Normal">
      <calculatedColumnFormula>Table112345[[#This Row],[M (KN.mm)]]/(Table112345[[#This Row],[b (mm)]]*Table112345[[#This Row],[h (mm)]])</calculatedColumnFormula>
    </tableColumn>
    <tableColumn id="28" name="M/(bhl)" dataDxfId="426">
      <calculatedColumnFormula>Table112345[[#This Row],[M (KN.mm)]]/(Table112345[[#This Row],[b (mm)]]*Table112345[[#This Row],[h (mm)]]*Table112345[[#This Row],[L(mm)]])</calculatedColumnFormula>
    </tableColumn>
    <tableColumn id="29" name="M/(bdl)" dataDxfId="425">
      <calculatedColumnFormula>Table112345[[#This Row],[M (KN.mm)]]/(Table112345[[#This Row],[b (mm)]]*Table112345[[#This Row],[d (mm)]]*Table112345[[#This Row],[L(mm)]])</calculatedColumnFormula>
    </tableColumn>
    <tableColumn id="31" name="M/(fc bhl)" dataDxfId="424">
      <calculatedColumnFormula>Table112345[[#This Row],[M (KN.mm)]]/(Table112345[[#This Row],[b (mm)]]*Table112345[[#This Row],[h (mm)]]*Table112345[[#This Row],[L(mm)]]*Table112345[[#This Row],[fc (Mpa)]])</calculatedColumnFormula>
    </tableColumn>
    <tableColumn id="32" name="M/(bh (l/2))" dataDxfId="423">
      <calculatedColumnFormula>Table112345[[#This Row],[M (KN.mm)]]/(Table112345[[#This Row],[b (mm)]]*Table112345[[#This Row],[h (mm)]]*Table112345[[#This Row],[L(mm)]]/2)</calculatedColumnFormula>
    </tableColumn>
    <tableColumn id="33" name="M/(abh (l/2))" dataDxfId="422">
      <calculatedColumnFormula>Table112345[[#This Row],[M (KN.mm)]]/(Table112345[[#This Row],[a (mm)]]*Table112345[[#This Row],[b (mm)]]*Table112345[[#This Row],[h (mm)]]*Table112345[[#This Row],[L(mm)]]/2)</calculatedColumnFormula>
    </tableColumn>
    <tableColumn id="34" name="M/(a^2 bh)" dataDxfId="421">
      <calculatedColumnFormula>Table112345[[#This Row],[M (KN.mm)]]/(Table112345[[#This Row],[a (mm)]]^2*Table112345[[#This Row],[b (mm)]]*Table112345[[#This Row],[h (mm)]])</calculatedColumnFormula>
    </tableColumn>
    <tableColumn id="35" name="M/(rho  bd)" dataDxfId="420">
      <calculatedColumnFormula>Table112345[[#This Row],[M (KN.mm)]]/(Table112345[[#This Row],[b (mm)]]*Table112345[[#This Row],[d (mm)]]*Table112345[[#This Row],[pho (%)]])</calculatedColumnFormula>
    </tableColumn>
    <tableColumn id="36" name="V/(2*sqrt(fc) bd)" dataDxfId="419">
      <calculatedColumnFormula>E2*224.8/(2*SQRT(Table112345[[#This Row],[fc (Mpa)]]*145.037)*Table112345[[#This Row],[b (mm)]]*Table112345[[#This Row],[d (mm)]]*(1/25.4)^2)</calculatedColumnFormula>
    </tableColumn>
    <tableColumn id="38" name="M/M_fracture" dataDxfId="418">
      <calculatedColumnFormula>Table112345[[#This Row],[M (KN.mm)]]/$G$11</calculatedColumnFormula>
    </tableColumn>
    <tableColumn id="42" name="V/(2*sqrt(fc) bd)2" dataDxfId="417">
      <calculatedColumnFormula>Table112345[[#This Row],[V/(2*sqrt(fc) bd)]]</calculatedColumnFormula>
    </tableColumn>
    <tableColumn id="39" name="a" dataDxfId="416">
      <calculatedColumnFormula>Table112345[[#This Row],[a (mm)]]</calculatedColumnFormula>
    </tableColumn>
    <tableColumn id="40" name="bh2" dataDxfId="415">
      <calculatedColumnFormula>Table112345[[#This Row],[width]]*Table112345[[#This Row],[h]]^2</calculatedColumnFormula>
    </tableColumn>
    <tableColumn id="41" name="width" dataDxfId="414">
      <calculatedColumnFormula>Table112345[[#This Row],[b (mm)]]</calculatedColumnFormula>
    </tableColumn>
    <tableColumn id="44" name="a/h" dataDxfId="413">
      <calculatedColumnFormula>Table112345[[#This Row],[a]]/Table112345[[#This Row],[h (mm)]]</calculatedColumnFormula>
    </tableColumn>
    <tableColumn id="43" name="h" dataDxfId="412">
      <calculatedColumnFormula>Table112345[[#This Row],[h (mm)]]</calculatedColumnFormula>
    </tableColumn>
    <tableColumn id="12" name="a (mm)" dataDxfId="411" dataCellStyle="Normal">
      <calculatedColumnFormula>24*25.4</calculatedColumnFormula>
    </tableColumn>
    <tableColumn id="13" name="d (mm)" dataDxfId="410" dataCellStyle="Normal">
      <calculatedColumnFormula>10.5*25.4</calculatedColumnFormula>
    </tableColumn>
    <tableColumn id="14" name="h (mm)" dataDxfId="409" dataCellStyle="Normal">
      <calculatedColumnFormula>12*25.4</calculatedColumnFormula>
    </tableColumn>
    <tableColumn id="15" name="b (mm)" dataDxfId="408" dataCellStyle="Normal">
      <calculatedColumnFormula>9*25.4</calculatedColumnFormula>
    </tableColumn>
    <tableColumn id="16" name="fc (Mpa)" dataDxfId="407" dataCellStyle="Normal"/>
    <tableColumn id="17" name="As (mm^2)" dataDxfId="406" dataCellStyle="Normal">
      <calculatedColumnFormula>Table112345[[#This Row],[pho (%)]]/100*Table112345[[#This Row],[b (mm)]]*Table112345[[#This Row],[h (mm)]]</calculatedColumnFormula>
    </tableColumn>
    <tableColumn id="18" name="pho (%)" dataDxfId="405" dataCellStyle="Normal">
      <calculatedColumnFormula>AI2/(Table112345[[#This Row],[b (mm)]]*AE2)*100</calculatedColumnFormula>
    </tableColumn>
    <tableColumn id="19" name="fy (Mpa)" dataDxfId="404" dataCellStyle="Normal"/>
    <tableColumn id="23" name="J(mm^4)" dataDxfId="403" dataCellStyle="Normal">
      <calculatedColumnFormula>(1/3-0.21*(MIN(Table112345[[#This Row],[b (mm)]],AF2)/MAX(Table112345[[#This Row],[b (mm)]],AF2))*(MIN(Table112345[[#This Row],[b (mm)]],AF2)^4/(12*MAX(Table112345[[#This Row],[b (mm)]],AF2)^4)))*MAX(Table112345[[#This Row],[b (mm)]],AF2)*MIN(Table112345[[#This Row],[b (mm)]],AF2)^3</calculatedColumnFormula>
    </tableColumn>
    <tableColumn id="24" name="I (mm^4)" dataDxfId="402" dataCellStyle="Normal">
      <calculatedColumnFormula>Table112345[[#This Row],[b (mm)]]*AF2^3/12</calculatedColumnFormula>
    </tableColumn>
    <tableColumn id="25" name="L(mm)" dataDxfId="401" dataCellStyle="Normal">
      <calculatedColumnFormula>78.125*25.4</calculatedColumnFormula>
    </tableColumn>
    <tableColumn id="26" name="Column1"/>
    <tableColumn id="27" name="Column2" dataDxfId="400" dataCellStyle="Normal"/>
    <tableColumn id="30" name="Column3" dataDxfId="399"/>
    <tableColumn id="37" name="Column4" dataDxfId="398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6" name="Table1123457" displayName="Table1123457" ref="A1:AR282" totalsRowShown="0" headerRowDxfId="397" dataDxfId="396" tableBorderDxfId="395">
  <autoFilter ref="A1:AR282"/>
  <sortState ref="A2:T57">
    <sortCondition ref="A1:A57"/>
  </sortState>
  <tableColumns count="44">
    <tableColumn id="1" name="Image Seri" dataDxfId="394"/>
    <tableColumn id="20" name="Image Name" dataDxfId="393"/>
    <tableColumn id="2" name="Final Image name" dataDxfId="392"/>
    <tableColumn id="3" name="d/a" dataDxfId="391"/>
    <tableColumn id="4" name="V (KN)"/>
    <tableColumn id="5" name="d" dataDxfId="390" dataCellStyle="Normal">
      <calculatedColumnFormula>D2/Table1123457[[#This Row],[L(mm)]]*100</calculatedColumnFormula>
    </tableColumn>
    <tableColumn id="6" name="M (KN.mm)" dataDxfId="389" dataCellStyle="Normal">
      <calculatedColumnFormula>E2*AD2</calculatedColumnFormula>
    </tableColumn>
    <tableColumn id="7" name="M/EI" dataDxfId="388" dataCellStyle="Normal">
      <calculatedColumnFormula>G2/($AQ$5*AM2*0.001)</calculatedColumnFormula>
    </tableColumn>
    <tableColumn id="8" name="M/bh^2" dataDxfId="387" dataCellStyle="Normal">
      <calculatedColumnFormula>G2/(Table1123457[[#This Row],[b (mm)]]*AE2^2)</calculatedColumnFormula>
    </tableColumn>
    <tableColumn id="9" name="M/(As fy d)" dataDxfId="386" dataCellStyle="Normal">
      <calculatedColumnFormula>G2/(AI2*AK2*AE2*0.001)</calculatedColumnFormula>
    </tableColumn>
    <tableColumn id="10" name="V/(GJ)" dataDxfId="385" dataCellStyle="Normal">
      <calculatedColumnFormula>E2/($AQ$4*AL2*0.001)</calculatedColumnFormula>
    </tableColumn>
    <tableColumn id="11" name="V/(bd)" dataDxfId="384" dataCellStyle="Normal">
      <calculatedColumnFormula>E2/(Table1123457[[#This Row],[b (mm)]]*AE2)</calculatedColumnFormula>
    </tableColumn>
    <tableColumn id="21" name="M/(bd)" dataDxfId="383" dataCellStyle="Normal">
      <calculatedColumnFormula>Table1123457[[#This Row],[M (KN.mm)]]/(Table1123457[[#This Row],[b (mm)]]*Table1123457[[#This Row],[d (mm)]])</calculatedColumnFormula>
    </tableColumn>
    <tableColumn id="22" name="M/bh" dataDxfId="382" dataCellStyle="Normal">
      <calculatedColumnFormula>Table1123457[[#This Row],[M (KN.mm)]]/(Table1123457[[#This Row],[b (mm)]]*Table1123457[[#This Row],[h (mm)]])</calculatedColumnFormula>
    </tableColumn>
    <tableColumn id="28" name="M/(bhl)" dataDxfId="381">
      <calculatedColumnFormula>Table1123457[[#This Row],[M (KN.mm)]]/(Table1123457[[#This Row],[b (mm)]]*Table1123457[[#This Row],[h (mm)]]*Table1123457[[#This Row],[L(mm)]])</calculatedColumnFormula>
    </tableColumn>
    <tableColumn id="29" name="M/(bdl)" dataDxfId="380">
      <calculatedColumnFormula>Table1123457[[#This Row],[M (KN.mm)]]/(Table1123457[[#This Row],[b (mm)]]*Table1123457[[#This Row],[d (mm)]]*Table1123457[[#This Row],[L(mm)]])</calculatedColumnFormula>
    </tableColumn>
    <tableColumn id="31" name="M/(fc bhl)" dataDxfId="379">
      <calculatedColumnFormula>Table1123457[[#This Row],[M (KN.mm)]]/(Table1123457[[#This Row],[b (mm)]]*Table1123457[[#This Row],[h (mm)]]*Table1123457[[#This Row],[L(mm)]]*Table1123457[[#This Row],[fc (Mpa)]])</calculatedColumnFormula>
    </tableColumn>
    <tableColumn id="32" name="M/(bh (l/2))" dataDxfId="378">
      <calculatedColumnFormula>Table1123457[[#This Row],[M (KN.mm)]]/(Table1123457[[#This Row],[b (mm)]]*Table1123457[[#This Row],[h (mm)]]*Table1123457[[#This Row],[L(mm)]]/2)</calculatedColumnFormula>
    </tableColumn>
    <tableColumn id="33" name="M/(abh (l/2))" dataDxfId="377">
      <calculatedColumnFormula>Table1123457[[#This Row],[M (KN.mm)]]/(Table1123457[[#This Row],[a (mm)]]*Table1123457[[#This Row],[b (mm)]]*Table1123457[[#This Row],[h (mm)]]*Table1123457[[#This Row],[L(mm)]]/2)</calculatedColumnFormula>
    </tableColumn>
    <tableColumn id="34" name="M/(a^2 bh)" dataDxfId="376">
      <calculatedColumnFormula>Table1123457[[#This Row],[M (KN.mm)]]/(Table1123457[[#This Row],[a (mm)]]^2*Table1123457[[#This Row],[b (mm)]]*Table1123457[[#This Row],[h (mm)]])</calculatedColumnFormula>
    </tableColumn>
    <tableColumn id="35" name="M/(rho  bd)" dataDxfId="375">
      <calculatedColumnFormula>Table1123457[[#This Row],[M (KN.mm)]]/(Table1123457[[#This Row],[b (mm)]]*Table1123457[[#This Row],[d (mm)]]*Table1123457[[#This Row],[pho (%)]])</calculatedColumnFormula>
    </tableColumn>
    <tableColumn id="36" name="V/(2*sqrt(fc) bd)" dataDxfId="374">
      <calculatedColumnFormula>E2*224.8/(2*SQRT(Table1123457[[#This Row],[fc (Mpa)]]*145.037)*Table1123457[[#This Row],[b (mm)]]*Table1123457[[#This Row],[d (mm)]]*(1/25.4)^2)</calculatedColumnFormula>
    </tableColumn>
    <tableColumn id="38" name="M/M_fracture" dataDxfId="373">
      <calculatedColumnFormula>Table1123457[[#This Row],[M (KN.mm)]]/$G$11</calculatedColumnFormula>
    </tableColumn>
    <tableColumn id="42" name="V/(2*sqrt(fc) bd)2" dataDxfId="372">
      <calculatedColumnFormula>Table1123457[[#This Row],[V/(2*sqrt(fc) bd)]]</calculatedColumnFormula>
    </tableColumn>
    <tableColumn id="39" name="a" dataDxfId="371">
      <calculatedColumnFormula>Table1123457[[#This Row],[d (mm)]]/Table1123457[[#This Row],[a (mm)]]</calculatedColumnFormula>
    </tableColumn>
    <tableColumn id="40" name="bh2" dataDxfId="370">
      <calculatedColumnFormula>(2*SQRT(Table1123457[[#This Row],[fc (Mpa)]]*145.037)*Table1123457[[#This Row],[b (mm)]]*Table1123457[[#This Row],[d (mm)]]*(1/25.4)^2)/224.8</calculatedColumnFormula>
    </tableColumn>
    <tableColumn id="41" name="width" dataDxfId="369">
      <calculatedColumnFormula>Table1123457[[#This Row],[M (KN.mm)]]/(Table1123457[[#This Row],[b (mm)]]*Table1123457[[#This Row],[d (mm)]]^2*Table1123457[[#This Row],[pho (%)]])</calculatedColumnFormula>
    </tableColumn>
    <tableColumn id="44" name="a/h" dataDxfId="368">
      <calculatedColumnFormula>Table1123457[[#This Row],[a (mm)]]/Table1123457[[#This Row],[h (mm)]]</calculatedColumnFormula>
    </tableColumn>
    <tableColumn id="43" name="h" dataDxfId="367">
      <calculatedColumnFormula>Table1123457[[#This Row],[h (mm)]]</calculatedColumnFormula>
    </tableColumn>
    <tableColumn id="12" name="a (mm)" dataDxfId="366" dataCellStyle="Normal">
      <calculatedColumnFormula>2.95*Table1123457[[#This Row],[d (mm)]]</calculatedColumnFormula>
    </tableColumn>
    <tableColumn id="13" name="d (mm)" dataDxfId="365" dataCellStyle="Normal"/>
    <tableColumn id="14" name="h (mm)" dataDxfId="364" dataCellStyle="Normal"/>
    <tableColumn id="15" name="b (mm)" dataDxfId="363" dataCellStyle="Normal"/>
    <tableColumn id="16" name="fc (Mpa)" dataDxfId="362" dataCellStyle="Normal"/>
    <tableColumn id="17" name="As (mm^2)" dataDxfId="361" dataCellStyle="Normal">
      <calculatedColumnFormula>Table1123457[[#This Row],[pho (%)]]/100*Table1123457[[#This Row],[b (mm)]]*Table1123457[[#This Row],[h (mm)]]</calculatedColumnFormula>
    </tableColumn>
    <tableColumn id="18" name="pho (%)" dataDxfId="360" dataCellStyle="Normal">
      <calculatedColumnFormula>AI2/(Table1123457[[#This Row],[b (mm)]]*AE2)*100</calculatedColumnFormula>
    </tableColumn>
    <tableColumn id="19" name="fy (Mpa)" dataDxfId="359" dataCellStyle="Normal"/>
    <tableColumn id="23" name="J(mm^4)" dataDxfId="358" dataCellStyle="Normal">
      <calculatedColumnFormula>(1/3-0.21*(MIN(Table1123457[[#This Row],[b (mm)]],AF2)/MAX(Table1123457[[#This Row],[b (mm)]],AF2))*(MIN(Table1123457[[#This Row],[b (mm)]],AF2)^4/(12*MAX(Table1123457[[#This Row],[b (mm)]],AF2)^4)))*MAX(Table1123457[[#This Row],[b (mm)]],AF2)*MIN(Table1123457[[#This Row],[b (mm)]],AF2)^3</calculatedColumnFormula>
    </tableColumn>
    <tableColumn id="24" name="I (mm^4)" dataDxfId="357" dataCellStyle="Normal">
      <calculatedColumnFormula>Table1123457[[#This Row],[b (mm)]]*AF2^3/12</calculatedColumnFormula>
    </tableColumn>
    <tableColumn id="25" name="L(mm)" dataDxfId="356" dataCellStyle="Normal">
      <calculatedColumnFormula>78.125*25.4</calculatedColumnFormula>
    </tableColumn>
    <tableColumn id="26" name="Column1"/>
    <tableColumn id="27" name="Column2" dataDxfId="355" dataCellStyle="Normal"/>
    <tableColumn id="30" name="Column3" dataDxfId="354"/>
    <tableColumn id="37" name="Column4" dataDxfId="353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13" name="Table112345791014" displayName="Table112345791014" ref="A1:AR286" totalsRowShown="0" headerRowDxfId="352" dataDxfId="351" tableBorderDxfId="350">
  <autoFilter ref="A1:AR286"/>
  <sortState ref="A2:T57">
    <sortCondition ref="A1:A57"/>
  </sortState>
  <tableColumns count="44">
    <tableColumn id="1" name="Image Seri" dataDxfId="349"/>
    <tableColumn id="20" name="Image Name" dataDxfId="348"/>
    <tableColumn id="2" name="Final Image name" dataDxfId="347"/>
    <tableColumn id="3" name="d/a" dataDxfId="346"/>
    <tableColumn id="4" name="V (KN)" dataDxfId="345"/>
    <tableColumn id="5" name="d" dataDxfId="344" dataCellStyle="Normal">
      <calculatedColumnFormula>D2/Table112345791014[[#This Row],[L(mm)]]*100</calculatedColumnFormula>
    </tableColumn>
    <tableColumn id="6" name="M (KN.mm)" dataDxfId="343" dataCellStyle="Normal">
      <calculatedColumnFormula>E2*AD2</calculatedColumnFormula>
    </tableColumn>
    <tableColumn id="7" name="M/EI" dataDxfId="342" dataCellStyle="Normal">
      <calculatedColumnFormula>G2/($AQ$5*AM2*0.001)</calculatedColumnFormula>
    </tableColumn>
    <tableColumn id="8" name="M/bh^2" dataDxfId="341" dataCellStyle="Normal">
      <calculatedColumnFormula>G2/(Table112345791014[[#This Row],[b (mm)]]*AE2^2)</calculatedColumnFormula>
    </tableColumn>
    <tableColumn id="9" name="M/(As fy d)" dataDxfId="340" dataCellStyle="Normal">
      <calculatedColumnFormula>G2/(AI2*AK2*AE2*0.001)</calculatedColumnFormula>
    </tableColumn>
    <tableColumn id="10" name="V/(GJ)" dataDxfId="339" dataCellStyle="Normal">
      <calculatedColumnFormula>E2/($AQ$4*AL2*0.001)</calculatedColumnFormula>
    </tableColumn>
    <tableColumn id="11" name="V/(bd)" dataDxfId="338" dataCellStyle="Normal">
      <calculatedColumnFormula>E2/(Table112345791014[[#This Row],[b (mm)]]*AE2)</calculatedColumnFormula>
    </tableColumn>
    <tableColumn id="21" name="M/(bd)" dataDxfId="337" dataCellStyle="Normal">
      <calculatedColumnFormula>Table112345791014[[#This Row],[M (KN.mm)]]/(Table112345791014[[#This Row],[b (mm)]]*Table112345791014[[#This Row],[d (mm)]])</calculatedColumnFormula>
    </tableColumn>
    <tableColumn id="22" name="M/bh" dataDxfId="336" dataCellStyle="Normal">
      <calculatedColumnFormula>Table112345791014[[#This Row],[M (KN.mm)]]/(Table112345791014[[#This Row],[b (mm)]]*Table112345791014[[#This Row],[h (mm)]])</calculatedColumnFormula>
    </tableColumn>
    <tableColumn id="28" name="M/(bhl)" dataDxfId="335">
      <calculatedColumnFormula>Table112345791014[[#This Row],[M (KN.mm)]]/(Table112345791014[[#This Row],[b (mm)]]*Table112345791014[[#This Row],[h (mm)]]*Table112345791014[[#This Row],[L(mm)]])</calculatedColumnFormula>
    </tableColumn>
    <tableColumn id="29" name="M/(bdl)" dataDxfId="334">
      <calculatedColumnFormula>Table112345791014[[#This Row],[M (KN.mm)]]/(Table112345791014[[#This Row],[b (mm)]]*Table112345791014[[#This Row],[d (mm)]]*Table112345791014[[#This Row],[L(mm)]])</calculatedColumnFormula>
    </tableColumn>
    <tableColumn id="31" name="M/(fc bhl)" dataDxfId="333">
      <calculatedColumnFormula>Table112345791014[[#This Row],[M (KN.mm)]]/(Table112345791014[[#This Row],[b (mm)]]*Table112345791014[[#This Row],[h (mm)]]*Table112345791014[[#This Row],[L(mm)]]*Table112345791014[[#This Row],[fc (Mpa)]])</calculatedColumnFormula>
    </tableColumn>
    <tableColumn id="32" name="M/(bh (l/2))" dataDxfId="332">
      <calculatedColumnFormula>Table112345791014[[#This Row],[M (KN.mm)]]/(Table112345791014[[#This Row],[b (mm)]]*Table112345791014[[#This Row],[h (mm)]]*Table112345791014[[#This Row],[L(mm)]]/2)</calculatedColumnFormula>
    </tableColumn>
    <tableColumn id="33" name="M/(abh (l/2))" dataDxfId="331">
      <calculatedColumnFormula>Table112345791014[[#This Row],[M (KN.mm)]]/(Table112345791014[[#This Row],[a (mm)]]*Table112345791014[[#This Row],[b (mm)]]*Table112345791014[[#This Row],[h (mm)]]*Table112345791014[[#This Row],[L(mm)]]/2)</calculatedColumnFormula>
    </tableColumn>
    <tableColumn id="34" name="M/(a^2 bh)" dataDxfId="330">
      <calculatedColumnFormula>Table112345791014[[#This Row],[M (KN.mm)]]/(Table112345791014[[#This Row],[a (mm)]]^2*Table112345791014[[#This Row],[b (mm)]]*Table112345791014[[#This Row],[h (mm)]])</calculatedColumnFormula>
    </tableColumn>
    <tableColumn id="35" name="M/(rho  bd)" dataDxfId="329">
      <calculatedColumnFormula>Table112345791014[[#This Row],[M (KN.mm)]]/(Table112345791014[[#This Row],[b (mm)]]*Table112345791014[[#This Row],[d (mm)]]*Table112345791014[[#This Row],[pho (%)]])</calculatedColumnFormula>
    </tableColumn>
    <tableColumn id="36" name="V/(2*sqrt(fc) bd)" dataDxfId="328">
      <calculatedColumnFormula>E2*224.8/(2*SQRT(Table112345791014[[#This Row],[fc (Mpa)]]*145.037)*Table112345791014[[#This Row],[b (mm)]]*Table112345791014[[#This Row],[d (mm)]]*(1/25.4)^2)</calculatedColumnFormula>
    </tableColumn>
    <tableColumn id="38" name="M/M_fracture" dataDxfId="327">
      <calculatedColumnFormula>Table112345791014[[#This Row],[M (KN.mm)]]/$G$11</calculatedColumnFormula>
    </tableColumn>
    <tableColumn id="42" name="V/(2*sqrt(fc) bd)2" dataDxfId="326">
      <calculatedColumnFormula>Table112345791014[[#This Row],[V/(2*sqrt(fc) bd)]]</calculatedColumnFormula>
    </tableColumn>
    <tableColumn id="39" name="a" dataDxfId="325">
      <calculatedColumnFormula>Table112345791014[[#This Row],[d (mm)]]/Table112345791014[[#This Row],[a (mm)]]</calculatedColumnFormula>
    </tableColumn>
    <tableColumn id="40" name="bh2" dataDxfId="324">
      <calculatedColumnFormula>(2*SQRT(Table112345791014[[#This Row],[fc (Mpa)]]*145.037)*Table112345791014[[#This Row],[b (mm)]]*Table112345791014[[#This Row],[d (mm)]]*(1/25.4)^2)/224.8</calculatedColumnFormula>
    </tableColumn>
    <tableColumn id="41" name="width" dataDxfId="323">
      <calculatedColumnFormula>Table112345791014[[#This Row],[M (KN.mm)]]/(Table112345791014[[#This Row],[b (mm)]]*Table112345791014[[#This Row],[d (mm)]]^2*Table112345791014[[#This Row],[pho (%)]])</calculatedColumnFormula>
    </tableColumn>
    <tableColumn id="44" name="a/h" dataDxfId="322">
      <calculatedColumnFormula>Table112345791014[[#This Row],[a]]/Table112345791014[[#This Row],[h (mm)]]</calculatedColumnFormula>
    </tableColumn>
    <tableColumn id="43" name="h" dataDxfId="321">
      <calculatedColumnFormula>Table112345791014[[#This Row],[h (mm)]]</calculatedColumnFormula>
    </tableColumn>
    <tableColumn id="12" name="a (mm)" dataDxfId="320" dataCellStyle="Normal">
      <calculatedColumnFormula>3.1*Table112345791014[[#This Row],[d (mm)]]</calculatedColumnFormula>
    </tableColumn>
    <tableColumn id="13" name="d (mm)" dataDxfId="319" dataCellStyle="Normal"/>
    <tableColumn id="14" name="h (mm)" dataDxfId="318" dataCellStyle="Normal"/>
    <tableColumn id="15" name="b (mm)" dataDxfId="317" dataCellStyle="Normal"/>
    <tableColumn id="16" name="fc (Mpa)" dataDxfId="316" dataCellStyle="Normal"/>
    <tableColumn id="17" name="As (mm^2)" dataDxfId="315" dataCellStyle="Normal">
      <calculatedColumnFormula>Table112345791014[[#This Row],[pho (%)]]/100*Table112345791014[[#This Row],[b (mm)]]*Table112345791014[[#This Row],[h (mm)]]</calculatedColumnFormula>
    </tableColumn>
    <tableColumn id="18" name="pho (%)" dataDxfId="314" dataCellStyle="Normal">
      <calculatedColumnFormula>0.76+0.22</calculatedColumnFormula>
    </tableColumn>
    <tableColumn id="19" name="fy (Mpa)" dataDxfId="313" dataCellStyle="Normal"/>
    <tableColumn id="23" name="J(mm^4)" dataDxfId="312" dataCellStyle="Normal">
      <calculatedColumnFormula>(1/3-0.21*(MIN(Table112345791014[[#This Row],[b (mm)]],AF2)/MAX(Table112345791014[[#This Row],[b (mm)]],AF2))*(MIN(Table112345791014[[#This Row],[b (mm)]],AF2)^4/(12*MAX(Table112345791014[[#This Row],[b (mm)]],AF2)^4)))*MAX(Table112345791014[[#This Row],[b (mm)]],AF2)*MIN(Table112345791014[[#This Row],[b (mm)]],AF2)^3</calculatedColumnFormula>
    </tableColumn>
    <tableColumn id="24" name="I (mm^4)" dataDxfId="311" dataCellStyle="Normal">
      <calculatedColumnFormula>Table112345791014[[#This Row],[b (mm)]]*AF2^3/12</calculatedColumnFormula>
    </tableColumn>
    <tableColumn id="25" name="L(mm)" dataDxfId="310" dataCellStyle="Normal">
      <calculatedColumnFormula>78.125*25.4</calculatedColumnFormula>
    </tableColumn>
    <tableColumn id="26" name="Column1"/>
    <tableColumn id="27" name="Column2" dataDxfId="309" dataCellStyle="Normal"/>
    <tableColumn id="30" name="Column3" dataDxfId="308"/>
    <tableColumn id="37" name="Column4" dataDxfId="307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15" name="Table11234579101416" displayName="Table11234579101416" ref="A1:AP276" totalsRowShown="0" headerRowDxfId="306" dataDxfId="305" tableBorderDxfId="304">
  <autoFilter ref="A1:AP276"/>
  <sortState ref="A2:T57">
    <sortCondition ref="A1:A57"/>
  </sortState>
  <tableColumns count="42">
    <tableColumn id="1" name="Image Seri" dataDxfId="303"/>
    <tableColumn id="20" name="Image Name" dataDxfId="302"/>
    <tableColumn id="2" name="Final Image name" dataDxfId="301"/>
    <tableColumn id="3" name="d/a" dataDxfId="300"/>
    <tableColumn id="4" name="V (KN)" dataDxfId="299"/>
    <tableColumn id="5" name="d" dataDxfId="298" dataCellStyle="Normal">
      <calculatedColumnFormula>D2/Table11234579101416[[#This Row],[L(mm)]]*100</calculatedColumnFormula>
    </tableColumn>
    <tableColumn id="6" name="M (KN.mm)" dataDxfId="297" dataCellStyle="Normal">
      <calculatedColumnFormula>E2*AB2</calculatedColumnFormula>
    </tableColumn>
    <tableColumn id="7" name="M/EI" dataDxfId="296" dataCellStyle="Normal">
      <calculatedColumnFormula>G2/($AO$5*AK2*0.001)</calculatedColumnFormula>
    </tableColumn>
    <tableColumn id="8" name="M/bd^2" dataDxfId="295" dataCellStyle="Normal">
      <calculatedColumnFormula>G2/(Table11234579101416[[#This Row],[b (mm)]]*AC2^2)</calculatedColumnFormula>
    </tableColumn>
    <tableColumn id="9" name="M/(As fy d)" dataDxfId="294" dataCellStyle="Normal">
      <calculatedColumnFormula>G2/(AG2*AI2*AC2*0.001)</calculatedColumnFormula>
    </tableColumn>
    <tableColumn id="10" name="V/(GJ)" dataDxfId="293" dataCellStyle="Normal">
      <calculatedColumnFormula>E2/($AO$4*AJ2*0.001)</calculatedColumnFormula>
    </tableColumn>
    <tableColumn id="11" name="V/(bd)" dataDxfId="292" dataCellStyle="Normal">
      <calculatedColumnFormula>E2/(Table11234579101416[[#This Row],[b (mm)]]*AC2)</calculatedColumnFormula>
    </tableColumn>
    <tableColumn id="21" name="M/(bd)" dataDxfId="291" dataCellStyle="Normal">
      <calculatedColumnFormula>Table11234579101416[[#This Row],[M (KN.mm)]]/(Table11234579101416[[#This Row],[b (mm)]]*Table11234579101416[[#This Row],[d (mm)]])</calculatedColumnFormula>
    </tableColumn>
    <tableColumn id="22" name="M/bh" dataDxfId="290" dataCellStyle="Normal">
      <calculatedColumnFormula>Table11234579101416[[#This Row],[M (KN.mm)]]/(Table11234579101416[[#This Row],[b (mm)]]*Table11234579101416[[#This Row],[h (mm)]])</calculatedColumnFormula>
    </tableColumn>
    <tableColumn id="28" name="M/(bhl)" dataDxfId="289">
      <calculatedColumnFormula>Table11234579101416[[#This Row],[M (KN.mm)]]/(Table11234579101416[[#This Row],[b (mm)]]*Table11234579101416[[#This Row],[h (mm)]]*Table11234579101416[[#This Row],[L(mm)]])</calculatedColumnFormula>
    </tableColumn>
    <tableColumn id="29" name="M/(bdl)" dataDxfId="288">
      <calculatedColumnFormula>Table11234579101416[[#This Row],[M (KN.mm)]]/(Table11234579101416[[#This Row],[b (mm)]]*Table11234579101416[[#This Row],[d (mm)]]*Table11234579101416[[#This Row],[L(mm)]])</calculatedColumnFormula>
    </tableColumn>
    <tableColumn id="31" name="M/(fc bhl)" dataDxfId="287">
      <calculatedColumnFormula>Table11234579101416[[#This Row],[M (KN.mm)]]/(Table11234579101416[[#This Row],[b (mm)]]*Table11234579101416[[#This Row],[h (mm)]]*Table11234579101416[[#This Row],[L(mm)]]*Table11234579101416[[#This Row],[fc (Mpa)]])</calculatedColumnFormula>
    </tableColumn>
    <tableColumn id="32" name="M/(bh (l/2))" dataDxfId="286">
      <calculatedColumnFormula>Table11234579101416[[#This Row],[M (KN.mm)]]/(Table11234579101416[[#This Row],[b (mm)]]*Table11234579101416[[#This Row],[h (mm)]]*Table11234579101416[[#This Row],[L(mm)]]/2)</calculatedColumnFormula>
    </tableColumn>
    <tableColumn id="33" name="M/(abh (l/2))" dataDxfId="285">
      <calculatedColumnFormula>Table11234579101416[[#This Row],[M (KN.mm)]]/(Table11234579101416[[#This Row],[a (mm)]]*Table11234579101416[[#This Row],[b (mm)]]*Table11234579101416[[#This Row],[h (mm)]]*Table11234579101416[[#This Row],[L(mm)]]/2)</calculatedColumnFormula>
    </tableColumn>
    <tableColumn id="34" name="M/(a^2 bh)" dataDxfId="284">
      <calculatedColumnFormula>Table11234579101416[[#This Row],[M (KN.mm)]]/(Table11234579101416[[#This Row],[a (mm)]]^2*Table11234579101416[[#This Row],[b (mm)]]*Table11234579101416[[#This Row],[h (mm)]])</calculatedColumnFormula>
    </tableColumn>
    <tableColumn id="35" name="M/(rho  bd)" dataDxfId="283">
      <calculatedColumnFormula>Table11234579101416[[#This Row],[M (KN.mm)]]/(Table11234579101416[[#This Row],[b (mm)]]*Table11234579101416[[#This Row],[d (mm)]]*Table11234579101416[[#This Row],[pho (%)]])</calculatedColumnFormula>
    </tableColumn>
    <tableColumn id="36" name="V/(2*sqrt(fc) bd)" dataDxfId="282">
      <calculatedColumnFormula>E2*224.8/(2*SQRT(Table11234579101416[[#This Row],[fc (Mpa)]]*145.037)*Table11234579101416[[#This Row],[b (mm)]]*Table11234579101416[[#This Row],[d (mm)]]*(1/25.4)^2)</calculatedColumnFormula>
    </tableColumn>
    <tableColumn id="38" name="M/M_fracture" dataDxfId="281">
      <calculatedColumnFormula>Table11234579101416[[#This Row],[M (KN.mm)]]/$G$11</calculatedColumnFormula>
    </tableColumn>
    <tableColumn id="42" name="V/(2*sqrt(fc) bd)2" dataDxfId="280">
      <calculatedColumnFormula>Table11234579101416[[#This Row],[V/(2*sqrt(fc) bd)]]</calculatedColumnFormula>
    </tableColumn>
    <tableColumn id="39" name="a" dataDxfId="279">
      <calculatedColumnFormula>Table11234579101416[[#This Row],[d (mm)]]/Table11234579101416[[#This Row],[a (mm)]]</calculatedColumnFormula>
    </tableColumn>
    <tableColumn id="40" name="bd2" dataDxfId="278">
      <calculatedColumnFormula>(2*SQRT(Table11234579101416[[#This Row],[fc (Mpa)]]*145.037)*Table11234579101416[[#This Row],[b (mm)]]*Table11234579101416[[#This Row],[d (mm)]]*(1/25.4)^2)/224.8</calculatedColumnFormula>
    </tableColumn>
    <tableColumn id="41" name="width" dataDxfId="277">
      <calculatedColumnFormula>Table11234579101416[[#This Row],[M (KN.mm)]]/(Table11234579101416[[#This Row],[b (mm)]]*Table11234579101416[[#This Row],[d (mm)]]^2*Table11234579101416[[#This Row],[pho (%)]])</calculatedColumnFormula>
    </tableColumn>
    <tableColumn id="12" name="a (mm)" dataDxfId="276" dataCellStyle="Normal">
      <calculatedColumnFormula>3.1*Table11234579101416[[#This Row],[d (mm)]]</calculatedColumnFormula>
    </tableColumn>
    <tableColumn id="13" name="d (mm)" dataDxfId="275" dataCellStyle="Normal"/>
    <tableColumn id="14" name="h (mm)" dataDxfId="274" dataCellStyle="Normal"/>
    <tableColumn id="15" name="b (mm)" dataDxfId="273" dataCellStyle="Normal"/>
    <tableColumn id="16" name="fc (Mpa)" dataDxfId="272" dataCellStyle="Normal"/>
    <tableColumn id="17" name="As (mm^2)" dataDxfId="271" dataCellStyle="Normal">
      <calculatedColumnFormula>Table11234579101416[[#This Row],[pho (%)]]/100*Table11234579101416[[#This Row],[b (mm)]]*Table11234579101416[[#This Row],[h (mm)]]</calculatedColumnFormula>
    </tableColumn>
    <tableColumn id="18" name="pho (%)" dataDxfId="270" dataCellStyle="Normal">
      <calculatedColumnFormula>0.76+0.22</calculatedColumnFormula>
    </tableColumn>
    <tableColumn id="19" name="fy (Mpa)" dataDxfId="269" dataCellStyle="Normal"/>
    <tableColumn id="23" name="J(mm^4)" dataDxfId="268" dataCellStyle="Normal">
      <calculatedColumnFormula>(1/3-0.21*(MIN(Table11234579101416[[#This Row],[b (mm)]],AD2)/MAX(Table11234579101416[[#This Row],[b (mm)]],AD2))*(MIN(Table11234579101416[[#This Row],[b (mm)]],AD2)^4/(12*MAX(Table11234579101416[[#This Row],[b (mm)]],AD2)^4)))*MAX(Table11234579101416[[#This Row],[b (mm)]],AD2)*MIN(Table11234579101416[[#This Row],[b (mm)]],AD2)^3</calculatedColumnFormula>
    </tableColumn>
    <tableColumn id="24" name="I (mm^4)" dataDxfId="267" dataCellStyle="Normal">
      <calculatedColumnFormula>Table11234579101416[[#This Row],[b (mm)]]*AD2^3/12</calculatedColumnFormula>
    </tableColumn>
    <tableColumn id="25" name="L(mm)" dataDxfId="266" dataCellStyle="Normal">
      <calculatedColumnFormula>78.125*25.4</calculatedColumnFormula>
    </tableColumn>
    <tableColumn id="26" name="Column1"/>
    <tableColumn id="27" name="Column2" dataDxfId="265" dataCellStyle="Normal"/>
    <tableColumn id="30" name="Column3" dataDxfId="264"/>
    <tableColumn id="37" name="Column4" dataDxfId="263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7" name="Table112348" displayName="Table112348" ref="A1:AR83" totalsRowShown="0" headerRowDxfId="262" dataDxfId="261" tableBorderDxfId="260">
  <autoFilter ref="A1:AR83"/>
  <sortState ref="A2:T57">
    <sortCondition ref="A1:A57"/>
  </sortState>
  <tableColumns count="44">
    <tableColumn id="1" name="Image Seri" dataDxfId="259"/>
    <tableColumn id="20" name="Image Name" dataDxfId="258" dataCellStyle="Normal"/>
    <tableColumn id="2" name="Final Image name" dataDxfId="257" dataCellStyle="Normal"/>
    <tableColumn id="3" name="d/a" dataDxfId="256" dataCellStyle="Normal">
      <calculatedColumnFormula>Table112348[[#This Row],[a (mm)]]/Table112348[[#This Row],[d (mm)]]</calculatedColumnFormula>
    </tableColumn>
    <tableColumn id="4" name="V (KN)" dataDxfId="255" dataCellStyle="Normal"/>
    <tableColumn id="5" name="d" dataDxfId="254" dataCellStyle="Normal">
      <calculatedColumnFormula>Table112348[[#This Row],[d (mm)]]</calculatedColumnFormula>
    </tableColumn>
    <tableColumn id="6" name="M (KN.mm)" dataDxfId="253" dataCellStyle="Normal">
      <calculatedColumnFormula>E2*AD2</calculatedColumnFormula>
    </tableColumn>
    <tableColumn id="7" name="M/EI" dataDxfId="252" dataCellStyle="Normal">
      <calculatedColumnFormula>G2/($AP$5*AM2*0.001)</calculatedColumnFormula>
    </tableColumn>
    <tableColumn id="8" name="M/bh^2" dataDxfId="251" dataCellStyle="Normal">
      <calculatedColumnFormula>G2/(Table112348[[#This Row],[b (mm)]]*Table112348[[#This Row],[h]]^2)</calculatedColumnFormula>
    </tableColumn>
    <tableColumn id="9" name="M/(As fy d)" dataDxfId="250" dataCellStyle="Normal">
      <calculatedColumnFormula>G2/(AI2*AK2*AE2*0.001)</calculatedColumnFormula>
    </tableColumn>
    <tableColumn id="10" name="V/(GJ)" dataDxfId="249" dataCellStyle="Normal">
      <calculatedColumnFormula>E2/($AP$4*AL2*0.001)</calculatedColumnFormula>
    </tableColumn>
    <tableColumn id="11" name="V/(bd)" dataDxfId="248" dataCellStyle="Normal">
      <calculatedColumnFormula>E2/(Table112348[[#This Row],[b (mm)]]*AE2)</calculatedColumnFormula>
    </tableColumn>
    <tableColumn id="21" name="M/(bd)" dataDxfId="247" dataCellStyle="Normal">
      <calculatedColumnFormula>Table112348[[#This Row],[M (KN.mm)]]/(Table112348[[#This Row],[b (mm)]]*Table112348[[#This Row],[d (mm)]])</calculatedColumnFormula>
    </tableColumn>
    <tableColumn id="22" name="M/bh" dataDxfId="246" dataCellStyle="Normal">
      <calculatedColumnFormula>Table112348[[#This Row],[M (KN.mm)]]/(Table112348[[#This Row],[b (mm)]]*Table112348[[#This Row],[h (mm)]])</calculatedColumnFormula>
    </tableColumn>
    <tableColumn id="28" name="M/(bhl)" dataDxfId="245">
      <calculatedColumnFormula>Table112348[[#This Row],[M (KN.mm)]]/(Table112348[[#This Row],[b (mm)]]*Table112348[[#This Row],[h (mm)]]*Table112348[[#This Row],[L(mm)]])</calculatedColumnFormula>
    </tableColumn>
    <tableColumn id="29" name="M/(bdl)" dataDxfId="244">
      <calculatedColumnFormula>Table112348[[#This Row],[M (KN.mm)]]/(Table112348[[#This Row],[b (mm)]]*Table112348[[#This Row],[d (mm)]]*Table112348[[#This Row],[L(mm)]])</calculatedColumnFormula>
    </tableColumn>
    <tableColumn id="31" name="M/(fc bhl)" dataDxfId="243">
      <calculatedColumnFormula>Table112348[[#This Row],[M (KN.mm)]]/(Table112348[[#This Row],[b (mm)]]*Table112348[[#This Row],[h (mm)]]*Table112348[[#This Row],[L(mm)]]*Table112348[[#This Row],[fc (Mpa)]])</calculatedColumnFormula>
    </tableColumn>
    <tableColumn id="32" name="M/(bh (l/2))" dataDxfId="242">
      <calculatedColumnFormula>Table112348[[#This Row],[M (KN.mm)]]/(Table112348[[#This Row],[b (mm)]]*Table112348[[#This Row],[h (mm)]]*Table112348[[#This Row],[L(mm)]]/2)</calculatedColumnFormula>
    </tableColumn>
    <tableColumn id="33" name="M/(abh (l/2))" dataDxfId="241">
      <calculatedColumnFormula>Table112348[[#This Row],[M (KN.mm)]]/(Table112348[[#This Row],[a (mm)]]*Table112348[[#This Row],[b (mm)]]*Table112348[[#This Row],[h (mm)]]*Table112348[[#This Row],[L(mm)]]/2)</calculatedColumnFormula>
    </tableColumn>
    <tableColumn id="34" name="M/(a^2 bh)" dataDxfId="240">
      <calculatedColumnFormula>Table112348[[#This Row],[M (KN.mm)]]/(Table112348[[#This Row],[a (mm)]]^2*Table112348[[#This Row],[b (mm)]]*Table112348[[#This Row],[h (mm)]])</calculatedColumnFormula>
    </tableColumn>
    <tableColumn id="35" name="M/(rho  bd)" dataDxfId="239">
      <calculatedColumnFormula>Table112348[[#This Row],[M (KN.mm)]]/(Table112348[[#This Row],[b (mm)]]*Table112348[[#This Row],[d (mm)]]*Table112348[[#This Row],[pho (%)]])</calculatedColumnFormula>
    </tableColumn>
    <tableColumn id="36" name="V/(2*sqrt(fc) bd)" dataDxfId="238">
      <calculatedColumnFormula>E2/(Table112348[[#This Row],[b (mm)]]*AF2*Table112348[[#This Row],[fc (Mpa)]]*Table112348[[#This Row],[a (mm)]])</calculatedColumnFormula>
    </tableColumn>
    <tableColumn id="38" name="M/M_fracture" dataDxfId="237">
      <calculatedColumnFormula>Table112348[[#This Row],[M (KN.mm)]]/$G$8</calculatedColumnFormula>
    </tableColumn>
    <tableColumn id="42" name="V/(2*sqrt(fc) bd)2" dataDxfId="236">
      <calculatedColumnFormula>Table112348[[#This Row],[V/(2*sqrt(fc) bd)]]</calculatedColumnFormula>
    </tableColumn>
    <tableColumn id="39" name="a" dataDxfId="235">
      <calculatedColumnFormula>Table112348[[#This Row],[a (mm)]]</calculatedColumnFormula>
    </tableColumn>
    <tableColumn id="40" name="bh2" dataDxfId="234">
      <calculatedColumnFormula>Table112348[[#This Row],[b (mm)]]*Table112348[[#This Row],[h (mm)]]^2</calculatedColumnFormula>
    </tableColumn>
    <tableColumn id="41" name="width" dataDxfId="233">
      <calculatedColumnFormula>Table112348[[#This Row],[b (mm)]]</calculatedColumnFormula>
    </tableColumn>
    <tableColumn id="44" name="a/h" dataDxfId="232">
      <calculatedColumnFormula>Table112348[[#This Row],[a]]/Table112348[[#This Row],[h (mm)]]</calculatedColumnFormula>
    </tableColumn>
    <tableColumn id="43" name="h" dataDxfId="231">
      <calculatedColumnFormula>Table112348[[#This Row],[h (mm)]]</calculatedColumnFormula>
    </tableColumn>
    <tableColumn id="12" name="a (mm)" dataDxfId="230" dataCellStyle="Normal">
      <calculatedColumnFormula>60*25.4</calculatedColumnFormula>
    </tableColumn>
    <tableColumn id="13" name="d (mm)" dataDxfId="229" dataCellStyle="Normal">
      <calculatedColumnFormula>10.5*25.4</calculatedColumnFormula>
    </tableColumn>
    <tableColumn id="14" name="h (mm)" dataDxfId="228" dataCellStyle="Normal">
      <calculatedColumnFormula>28*25.4</calculatedColumnFormula>
    </tableColumn>
    <tableColumn id="15" name="b (mm)" dataDxfId="227" dataCellStyle="Normal">
      <calculatedColumnFormula>22.56*25.4</calculatedColumnFormula>
    </tableColumn>
    <tableColumn id="16" name="fc (Mpa)" dataDxfId="226" dataCellStyle="Normal"/>
    <tableColumn id="17" name="As (mm^2)" dataDxfId="225" dataCellStyle="Normal">
      <calculatedColumnFormula>Table112348[[#This Row],[pho (%)]]/100*Table112348[[#This Row],[b (mm)]]*Table112348[[#This Row],[h (mm)]]</calculatedColumnFormula>
    </tableColumn>
    <tableColumn id="18" name="pho (%)" dataDxfId="224" dataCellStyle="Normal">
      <calculatedColumnFormula>AI2/(Table112348[[#This Row],[b (mm)]]*AE2)*100</calculatedColumnFormula>
    </tableColumn>
    <tableColumn id="19" name="fy (Mpa)" dataDxfId="223" dataCellStyle="Normal"/>
    <tableColumn id="23" name="J(mm^4)" dataDxfId="222" dataCellStyle="Normal">
      <calculatedColumnFormula>(1/3-0.21*(MIN(Table112348[[#This Row],[b (mm)]],AF2)/MAX(Table112348[[#This Row],[b (mm)]],AF2))*(MIN(Table112348[[#This Row],[b (mm)]],AF2)^4/(12*MAX(Table112348[[#This Row],[b (mm)]],AF2)^4)))*MAX(Table112348[[#This Row],[b (mm)]],AF2)*MIN(Table112348[[#This Row],[b (mm)]],AF2)^3</calculatedColumnFormula>
    </tableColumn>
    <tableColumn id="24" name="I (mm^4)" dataDxfId="221" dataCellStyle="Normal">
      <calculatedColumnFormula>Table112348[[#This Row],[b (mm)]]*AF2^3/12</calculatedColumnFormula>
    </tableColumn>
    <tableColumn id="25" name="L(mm)" dataDxfId="220" dataCellStyle="Normal">
      <calculatedColumnFormula>78.125*25.4</calculatedColumnFormula>
    </tableColumn>
    <tableColumn id="26" name="Column1" dataDxfId="219" dataCellStyle="Normal"/>
    <tableColumn id="27" name="Column2" dataDxfId="218" dataCellStyle="Normal"/>
    <tableColumn id="30" name="Column3"/>
    <tableColumn id="37" name="Column4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5" name="Table1123456" displayName="Table1123456" ref="A1:AK73" totalsRowShown="0" headerRowDxfId="217" dataDxfId="216" tableBorderDxfId="215">
  <autoFilter ref="A1:AK73"/>
  <sortState ref="A2:T57">
    <sortCondition ref="A1:A57"/>
  </sortState>
  <tableColumns count="37">
    <tableColumn id="1" name="Image Seri" dataDxfId="214"/>
    <tableColumn id="20" name="Image Name" dataDxfId="213" dataCellStyle="Normal"/>
    <tableColumn id="2" name="Final Image name" dataDxfId="212" dataCellStyle="Normal"/>
    <tableColumn id="3" name="d/a" dataDxfId="211" dataCellStyle="Normal">
      <calculatedColumnFormula>Table1123456[[#This Row],[a (mm)]]/Table1123456[[#This Row],[d (mm)]]</calculatedColumnFormula>
    </tableColumn>
    <tableColumn id="4" name="V (KN)" dataDxfId="210" dataCellStyle="Normal"/>
    <tableColumn id="5" name="d" dataDxfId="209" dataCellStyle="Normal">
      <calculatedColumnFormula>Table1123456[[#This Row],[d (mm)]]</calculatedColumnFormula>
    </tableColumn>
    <tableColumn id="6" name="M (KN.mm)" dataDxfId="208" dataCellStyle="Normal">
      <calculatedColumnFormula>E2*W2</calculatedColumnFormula>
    </tableColumn>
    <tableColumn id="7" name="M/EI" dataDxfId="207" dataCellStyle="Normal">
      <calculatedColumnFormula>G2/($AJ$5*AF2*0.001)</calculatedColumnFormula>
    </tableColumn>
    <tableColumn id="8" name="M/bd^2" dataDxfId="206" dataCellStyle="Normal">
      <calculatedColumnFormula>G2/(Table1123456[[#This Row],[b (mm)]]*X2^2)</calculatedColumnFormula>
    </tableColumn>
    <tableColumn id="9" name="M/(As fy d)" dataDxfId="205" dataCellStyle="Normal">
      <calculatedColumnFormula>G2/(AB2*AD2*X2*0.001)</calculatedColumnFormula>
    </tableColumn>
    <tableColumn id="10" name="V/(GJ)" dataDxfId="204" dataCellStyle="Normal">
      <calculatedColumnFormula>E2/($AJ$4*AE2*0.001)</calculatedColumnFormula>
    </tableColumn>
    <tableColumn id="11" name="V/(bd)" dataDxfId="203" dataCellStyle="Normal">
      <calculatedColumnFormula>E2/(Table1123456[[#This Row],[b (mm)]]*X2)</calculatedColumnFormula>
    </tableColumn>
    <tableColumn id="21" name="M/(bd)" dataDxfId="202" dataCellStyle="Normal">
      <calculatedColumnFormula>Table1123456[[#This Row],[M (KN.mm)]]/(Table1123456[[#This Row],[b (mm)]]*Table1123456[[#This Row],[d (mm)]])</calculatedColumnFormula>
    </tableColumn>
    <tableColumn id="22" name="M/bh" dataDxfId="201" dataCellStyle="Normal">
      <calculatedColumnFormula>Table1123456[[#This Row],[M (KN.mm)]]/(Table1123456[[#This Row],[b (mm)]]*Table1123456[[#This Row],[h (mm)]])</calculatedColumnFormula>
    </tableColumn>
    <tableColumn id="28" name="M/(bhl)" dataDxfId="200">
      <calculatedColumnFormula>Table1123456[[#This Row],[M (KN.mm)]]/(Table1123456[[#This Row],[b (mm)]]*Table1123456[[#This Row],[h (mm)]]*Table1123456[[#This Row],[L(mm)]])</calculatedColumnFormula>
    </tableColumn>
    <tableColumn id="29" name="M/(bdl)" dataDxfId="199">
      <calculatedColumnFormula>Table1123456[[#This Row],[M (KN.mm)]]/(Table1123456[[#This Row],[b (mm)]]*Table1123456[[#This Row],[d (mm)]]*Table1123456[[#This Row],[L(mm)]])</calculatedColumnFormula>
    </tableColumn>
    <tableColumn id="31" name="M/(fc bhl)" dataDxfId="198">
      <calculatedColumnFormula>Table1123456[[#This Row],[M (KN.mm)]]/(Table1123456[[#This Row],[b (mm)]]*Table1123456[[#This Row],[h (mm)]]*Table1123456[[#This Row],[L(mm)]]*Table1123456[[#This Row],[fc (Mpa)]])</calculatedColumnFormula>
    </tableColumn>
    <tableColumn id="32" name="M/(bh (l/2))" dataDxfId="197">
      <calculatedColumnFormula>Table1123456[[#This Row],[M (KN.mm)]]/(Table1123456[[#This Row],[b (mm)]]*Table1123456[[#This Row],[h (mm)]]*Table1123456[[#This Row],[L(mm)]]/2)</calculatedColumnFormula>
    </tableColumn>
    <tableColumn id="33" name="M/(abh (l/2))" dataDxfId="196">
      <calculatedColumnFormula>Table1123456[[#This Row],[M (KN.mm)]]/(Table1123456[[#This Row],[a (mm)]]*Table1123456[[#This Row],[b (mm)]]*Table1123456[[#This Row],[h (mm)]]*Table1123456[[#This Row],[L(mm)]]/2)</calculatedColumnFormula>
    </tableColumn>
    <tableColumn id="34" name="M/(a^2 bh)" dataDxfId="195">
      <calculatedColumnFormula>Table1123456[[#This Row],[M (KN.mm)]]/(Table1123456[[#This Row],[a (mm)]]^2*Table1123456[[#This Row],[b (mm)]]*Table1123456[[#This Row],[h (mm)]])</calculatedColumnFormula>
    </tableColumn>
    <tableColumn id="35" name="M/(rho  bd)" dataDxfId="194">
      <calculatedColumnFormula>Table1123456[[#This Row],[M (KN.mm)]]/(Table1123456[[#This Row],[b (mm)]]*Table1123456[[#This Row],[d (mm)]]*Table1123456[[#This Row],[pho (%)]])</calculatedColumnFormula>
    </tableColumn>
    <tableColumn id="36" name="V/(fc bha)" dataDxfId="193">
      <calculatedColumnFormula>E2/(Table1123456[[#This Row],[b (mm)]]*Y2*Table1123456[[#This Row],[fc (Mpa)]]*Table1123456[[#This Row],[a (mm)]])</calculatedColumnFormula>
    </tableColumn>
    <tableColumn id="12" name="a (mm)" dataDxfId="192" dataCellStyle="Normal">
      <calculatedColumnFormula>24*25.4</calculatedColumnFormula>
    </tableColumn>
    <tableColumn id="13" name="d (mm)" dataDxfId="191" dataCellStyle="Normal">
      <calculatedColumnFormula>10.5*25.4</calculatedColumnFormula>
    </tableColumn>
    <tableColumn id="14" name="h (mm)" dataDxfId="190" dataCellStyle="Normal">
      <calculatedColumnFormula>12*25.4</calculatedColumnFormula>
    </tableColumn>
    <tableColumn id="15" name="b (mm)" dataDxfId="189" dataCellStyle="Normal">
      <calculatedColumnFormula>9*25.4</calculatedColumnFormula>
    </tableColumn>
    <tableColumn id="16" name="fc (Mpa)" dataDxfId="188" dataCellStyle="Normal"/>
    <tableColumn id="17" name="As (mm^2)" dataDxfId="187" dataCellStyle="Normal">
      <calculatedColumnFormula>Table1123456[[#This Row],[pho (%)]]/100*Table1123456[[#This Row],[b (mm)]]*Table1123456[[#This Row],[h (mm)]]</calculatedColumnFormula>
    </tableColumn>
    <tableColumn id="18" name="pho (%)" dataDxfId="186" dataCellStyle="Normal">
      <calculatedColumnFormula>AB2/(Table1123456[[#This Row],[b (mm)]]*X2)*100</calculatedColumnFormula>
    </tableColumn>
    <tableColumn id="19" name="fy (Mpa)" dataDxfId="185" dataCellStyle="Normal"/>
    <tableColumn id="23" name="J(mm^4)" dataDxfId="184" dataCellStyle="Normal">
      <calculatedColumnFormula>(1/3-0.21*(MIN(Table1123456[[#This Row],[b (mm)]],Y2)/MAX(Table1123456[[#This Row],[b (mm)]],Y2))*(MIN(Table1123456[[#This Row],[b (mm)]],Y2)^4/(12*MAX(Table1123456[[#This Row],[b (mm)]],Y2)^4)))*MAX(Table1123456[[#This Row],[b (mm)]],Y2)*MIN(Table1123456[[#This Row],[b (mm)]],Y2)^3</calculatedColumnFormula>
    </tableColumn>
    <tableColumn id="24" name="I (mm^4)" dataDxfId="183" dataCellStyle="Normal">
      <calculatedColumnFormula>Table1123456[[#This Row],[b (mm)]]*Y2^3/12</calculatedColumnFormula>
    </tableColumn>
    <tableColumn id="25" name="L(mm)" dataDxfId="182" dataCellStyle="Normal">
      <calculatedColumnFormula>78.125*25.4</calculatedColumnFormula>
    </tableColumn>
    <tableColumn id="26" name="Column1" dataDxfId="181" dataCellStyle="Normal"/>
    <tableColumn id="27" name="Column2" dataDxfId="180" dataCellStyle="Normal"/>
    <tableColumn id="30" name="Column3" dataDxfId="179"/>
    <tableColumn id="37" name="Column4" dataDxfId="178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9" name="Table1123457910" displayName="Table1123457910" ref="A1:AN286" totalsRowShown="0" headerRowDxfId="177" dataDxfId="176" tableBorderDxfId="175">
  <autoFilter ref="A1:AN286"/>
  <sortState ref="A2:T57">
    <sortCondition ref="A1:A57"/>
  </sortState>
  <tableColumns count="40">
    <tableColumn id="1" name="Image Seri" dataDxfId="174"/>
    <tableColumn id="20" name="Image Name" dataDxfId="173"/>
    <tableColumn id="2" name="Final Image name" dataDxfId="172"/>
    <tableColumn id="3" name="d/a" dataDxfId="171"/>
    <tableColumn id="4" name="V (KN)" dataDxfId="170"/>
    <tableColumn id="5" name="d" dataDxfId="169" dataCellStyle="Normal">
      <calculatedColumnFormula>D2/Table1123457910[[#This Row],[L(mm)]]*100</calculatedColumnFormula>
    </tableColumn>
    <tableColumn id="6" name="M (KN.mm)" dataDxfId="168" dataCellStyle="Normal">
      <calculatedColumnFormula>E2*Z2</calculatedColumnFormula>
    </tableColumn>
    <tableColumn id="7" name="M/EI" dataDxfId="167" dataCellStyle="Normal">
      <calculatedColumnFormula>G2/($AM$5*AI2*0.001)</calculatedColumnFormula>
    </tableColumn>
    <tableColumn id="8" name="M/bd^2" dataDxfId="166" dataCellStyle="Normal">
      <calculatedColumnFormula>G2/(Table1123457910[[#This Row],[b (mm)]]*AA2^2)</calculatedColumnFormula>
    </tableColumn>
    <tableColumn id="9" name="M/(As fy d)" dataDxfId="165" dataCellStyle="Normal">
      <calculatedColumnFormula>G2/(AE2*AG2*AA2*0.001)</calculatedColumnFormula>
    </tableColumn>
    <tableColumn id="10" name="V/(GJ)" dataDxfId="164" dataCellStyle="Normal">
      <calculatedColumnFormula>E2/($AM$4*AH2*0.001)</calculatedColumnFormula>
    </tableColumn>
    <tableColumn id="11" name="V/(bd)" dataDxfId="163" dataCellStyle="Normal">
      <calculatedColumnFormula>E2/(Table1123457910[[#This Row],[b (mm)]]*AA2)</calculatedColumnFormula>
    </tableColumn>
    <tableColumn id="21" name="M/(bd)" dataDxfId="162" dataCellStyle="Normal">
      <calculatedColumnFormula>Table1123457910[[#This Row],[M (KN.mm)]]/(Table1123457910[[#This Row],[b (mm)]]*Table1123457910[[#This Row],[d (mm)]])</calculatedColumnFormula>
    </tableColumn>
    <tableColumn id="22" name="M/bh" dataDxfId="161" dataCellStyle="Normal">
      <calculatedColumnFormula>Table1123457910[[#This Row],[M (KN.mm)]]/(Table1123457910[[#This Row],[b (mm)]]*Table1123457910[[#This Row],[h (mm)]])</calculatedColumnFormula>
    </tableColumn>
    <tableColumn id="28" name="M/(bhl)" dataDxfId="160">
      <calculatedColumnFormula>Table1123457910[[#This Row],[M (KN.mm)]]/(Table1123457910[[#This Row],[b (mm)]]*Table1123457910[[#This Row],[h (mm)]]*Table1123457910[[#This Row],[L(mm)]])</calculatedColumnFormula>
    </tableColumn>
    <tableColumn id="29" name="M/(bdl)" dataDxfId="159">
      <calculatedColumnFormula>Table1123457910[[#This Row],[M (KN.mm)]]/(Table1123457910[[#This Row],[b (mm)]]*Table1123457910[[#This Row],[d (mm)]]*Table1123457910[[#This Row],[L(mm)]])</calculatedColumnFormula>
    </tableColumn>
    <tableColumn id="31" name="M/(fc bhl)" dataDxfId="158">
      <calculatedColumnFormula>Table1123457910[[#This Row],[M (KN.mm)]]/(Table1123457910[[#This Row],[b (mm)]]*Table1123457910[[#This Row],[h (mm)]]*Table1123457910[[#This Row],[L(mm)]]*Table1123457910[[#This Row],[fc (Mpa)]])</calculatedColumnFormula>
    </tableColumn>
    <tableColumn id="32" name="M/(bh (l/2))" dataDxfId="157">
      <calculatedColumnFormula>Table1123457910[[#This Row],[M (KN.mm)]]/(Table1123457910[[#This Row],[b (mm)]]*Table1123457910[[#This Row],[h (mm)]]*Table1123457910[[#This Row],[L(mm)]]/2)</calculatedColumnFormula>
    </tableColumn>
    <tableColumn id="33" name="M/(abh (l/2))" dataDxfId="156">
      <calculatedColumnFormula>Table1123457910[[#This Row],[M (KN.mm)]]/(Table1123457910[[#This Row],[a (mm)]]*Table1123457910[[#This Row],[b (mm)]]*Table1123457910[[#This Row],[h (mm)]]*Table1123457910[[#This Row],[L(mm)]]/2)</calculatedColumnFormula>
    </tableColumn>
    <tableColumn id="34" name="M/(a^2 bh)" dataDxfId="155">
      <calculatedColumnFormula>Table1123457910[[#This Row],[M (KN.mm)]]/(Table1123457910[[#This Row],[a (mm)]]^2*Table1123457910[[#This Row],[b (mm)]]*Table1123457910[[#This Row],[h (mm)]])</calculatedColumnFormula>
    </tableColumn>
    <tableColumn id="35" name="M/(rho  bd)" dataDxfId="154">
      <calculatedColumnFormula>Table1123457910[[#This Row],[M (KN.mm)]]/(Table1123457910[[#This Row],[b (mm)]]*Table1123457910[[#This Row],[d (mm)]]*Table1123457910[[#This Row],[pho (%)]])</calculatedColumnFormula>
    </tableColumn>
    <tableColumn id="36" name="V/(2*sqrt(fc) bd)" dataDxfId="153">
      <calculatedColumnFormula>E2*224.8/(2*SQRT(Table1123457910[[#This Row],[fc (Mpa)]]*145.037)*Table1123457910[[#This Row],[b (mm)]]*Table1123457910[[#This Row],[d (mm)]]*(1/25.4)^2)</calculatedColumnFormula>
    </tableColumn>
    <tableColumn id="38" name="M/M_fracture" dataDxfId="152">
      <calculatedColumnFormula>Table1123457910[[#This Row],[M (KN.mm)]]/$G$11</calculatedColumnFormula>
    </tableColumn>
    <tableColumn id="40" name="V/(2*sqrt(fc) bd)2" dataDxfId="151">
      <calculatedColumnFormula>Table1123457910[[#This Row],[V/(2*sqrt(fc) bd)]]</calculatedColumnFormula>
    </tableColumn>
    <tableColumn id="39" name="factor to calculate M/(pho  bd)" dataDxfId="150">
      <calculatedColumnFormula>Table1123457910[[#This Row],[d (mm)]]/Table1123457910[[#This Row],[a (mm)]]</calculatedColumnFormula>
    </tableColumn>
    <tableColumn id="12" name="a (mm)" dataDxfId="149" dataCellStyle="Normal">
      <calculatedColumnFormula>3.1*Table1123457910[[#This Row],[d (mm)]]</calculatedColumnFormula>
    </tableColumn>
    <tableColumn id="13" name="d (mm)" dataDxfId="148" dataCellStyle="Normal"/>
    <tableColumn id="14" name="h (mm)" dataDxfId="147" dataCellStyle="Normal"/>
    <tableColumn id="15" name="b (mm)" dataDxfId="146" dataCellStyle="Normal"/>
    <tableColumn id="16" name="fc (Mpa)" dataDxfId="145" dataCellStyle="Normal"/>
    <tableColumn id="17" name="As (mm^2)" dataDxfId="144" dataCellStyle="Normal">
      <calculatedColumnFormula>Table1123457910[[#This Row],[pho (%)]]/100*Table1123457910[[#This Row],[b (mm)]]*Table1123457910[[#This Row],[h (mm)]]</calculatedColumnFormula>
    </tableColumn>
    <tableColumn id="18" name="pho (%)" dataDxfId="143" dataCellStyle="Normal">
      <calculatedColumnFormula>0.76+0.22</calculatedColumnFormula>
    </tableColumn>
    <tableColumn id="19" name="fy (Mpa)" dataDxfId="142" dataCellStyle="Normal"/>
    <tableColumn id="23" name="J(mm^4)" dataDxfId="141" dataCellStyle="Normal">
      <calculatedColumnFormula>(1/3-0.21*(MIN(Table1123457910[[#This Row],[b (mm)]],AB2)/MAX(Table1123457910[[#This Row],[b (mm)]],AB2))*(MIN(Table1123457910[[#This Row],[b (mm)]],AB2)^4/(12*MAX(Table1123457910[[#This Row],[b (mm)]],AB2)^4)))*MAX(Table1123457910[[#This Row],[b (mm)]],AB2)*MIN(Table1123457910[[#This Row],[b (mm)]],AB2)^3</calculatedColumnFormula>
    </tableColumn>
    <tableColumn id="24" name="I (mm^4)" dataDxfId="140" dataCellStyle="Normal">
      <calculatedColumnFormula>Table1123457910[[#This Row],[b (mm)]]*AB2^3/12</calculatedColumnFormula>
    </tableColumn>
    <tableColumn id="25" name="L(mm)" dataDxfId="139" dataCellStyle="Normal">
      <calculatedColumnFormula>78.125*25.4</calculatedColumnFormula>
    </tableColumn>
    <tableColumn id="26" name="Column1" dataDxfId="138" dataCellStyle="Normal"/>
    <tableColumn id="27" name="Column2" dataDxfId="137" dataCellStyle="Normal"/>
    <tableColumn id="30" name="Column3" dataDxfId="136"/>
    <tableColumn id="37" name="Column4" dataDxfId="135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2" name="Table1123457913" displayName="Table1123457913" ref="A1:AR279" totalsRowShown="0" headerRowDxfId="134" dataDxfId="133" tableBorderDxfId="132">
  <autoFilter ref="A1:AR279"/>
  <sortState ref="A2:T57">
    <sortCondition ref="A1:A57"/>
  </sortState>
  <tableColumns count="44">
    <tableColumn id="1" name="Image Seri" dataDxfId="131"/>
    <tableColumn id="20" name="Image Name" dataDxfId="130"/>
    <tableColumn id="2" name="Final Image name" dataDxfId="129"/>
    <tableColumn id="3" name="d/a" dataDxfId="128"/>
    <tableColumn id="4" name="V (KN)" dataDxfId="127"/>
    <tableColumn id="5" name="d" dataDxfId="126" dataCellStyle="Normal">
      <calculatedColumnFormula>D2/Table1123457913[[#This Row],[L(mm)]]*100</calculatedColumnFormula>
    </tableColumn>
    <tableColumn id="6" name="M (KN.mm)" dataDxfId="125" dataCellStyle="Normal">
      <calculatedColumnFormula>E2*AD2</calculatedColumnFormula>
    </tableColumn>
    <tableColumn id="7" name="M/EI" dataDxfId="124" dataCellStyle="Normal">
      <calculatedColumnFormula>G2/($AQ$5*AM2*0.001)</calculatedColumnFormula>
    </tableColumn>
    <tableColumn id="8" name="M/bh^2" dataDxfId="123" dataCellStyle="Normal">
      <calculatedColumnFormula>G2/(Table1123457913[[#This Row],[b (mm)]]*AE2^2)</calculatedColumnFormula>
    </tableColumn>
    <tableColumn id="9" name="M/(As fy d)" dataDxfId="122" dataCellStyle="Normal">
      <calculatedColumnFormula>G2/(AI2*AK2*AE2*0.001)</calculatedColumnFormula>
    </tableColumn>
    <tableColumn id="10" name="V/(GJ)" dataDxfId="121" dataCellStyle="Normal">
      <calculatedColumnFormula>E2/($AQ$4*AL2*0.001)</calculatedColumnFormula>
    </tableColumn>
    <tableColumn id="11" name="V/(bd)" dataDxfId="120" dataCellStyle="Normal">
      <calculatedColumnFormula>E2/(Table1123457913[[#This Row],[b (mm)]]*AE2)</calculatedColumnFormula>
    </tableColumn>
    <tableColumn id="21" name="M/(bd)" dataDxfId="119" dataCellStyle="Normal">
      <calculatedColumnFormula>Table1123457913[[#This Row],[M (KN.mm)]]/(Table1123457913[[#This Row],[b (mm)]]*Table1123457913[[#This Row],[d (mm)]])</calculatedColumnFormula>
    </tableColumn>
    <tableColumn id="22" name="M/bh" dataDxfId="118" dataCellStyle="Normal">
      <calculatedColumnFormula>Table1123457913[[#This Row],[M (KN.mm)]]/(Table1123457913[[#This Row],[b (mm)]]*Table1123457913[[#This Row],[h (mm)]])</calculatedColumnFormula>
    </tableColumn>
    <tableColumn id="28" name="M/(bhl)" dataDxfId="117">
      <calculatedColumnFormula>Table1123457913[[#This Row],[M (KN.mm)]]/(Table1123457913[[#This Row],[b (mm)]]*Table1123457913[[#This Row],[h (mm)]]*Table1123457913[[#This Row],[L(mm)]])</calculatedColumnFormula>
    </tableColumn>
    <tableColumn id="29" name="M/(bdl)" dataDxfId="116">
      <calculatedColumnFormula>Table1123457913[[#This Row],[M (KN.mm)]]/(Table1123457913[[#This Row],[b (mm)]]*Table1123457913[[#This Row],[d (mm)]]*Table1123457913[[#This Row],[L(mm)]])</calculatedColumnFormula>
    </tableColumn>
    <tableColumn id="31" name="M/(fc bhl)" dataDxfId="115">
      <calculatedColumnFormula>Table1123457913[[#This Row],[M (KN.mm)]]/(Table1123457913[[#This Row],[b (mm)]]*Table1123457913[[#This Row],[h (mm)]]*Table1123457913[[#This Row],[L(mm)]]*Table1123457913[[#This Row],[fc (Mpa)]])</calculatedColumnFormula>
    </tableColumn>
    <tableColumn id="32" name="M/(bh (l/2))" dataDxfId="114">
      <calculatedColumnFormula>Table1123457913[[#This Row],[M (KN.mm)]]/(Table1123457913[[#This Row],[b (mm)]]*Table1123457913[[#This Row],[h (mm)]]*Table1123457913[[#This Row],[L(mm)]]/2)</calculatedColumnFormula>
    </tableColumn>
    <tableColumn id="33" name="M/(abh (l/2))" dataDxfId="113">
      <calculatedColumnFormula>Table1123457913[[#This Row],[M (KN.mm)]]/(Table1123457913[[#This Row],[a (mm)]]*Table1123457913[[#This Row],[b (mm)]]*Table1123457913[[#This Row],[h (mm)]]*Table1123457913[[#This Row],[L(mm)]]/2)</calculatedColumnFormula>
    </tableColumn>
    <tableColumn id="34" name="M/(a^2 bh)" dataDxfId="112">
      <calculatedColumnFormula>Table1123457913[[#This Row],[M (KN.mm)]]/(Table1123457913[[#This Row],[a (mm)]]^2*Table1123457913[[#This Row],[b (mm)]]*Table1123457913[[#This Row],[h (mm)]])</calculatedColumnFormula>
    </tableColumn>
    <tableColumn id="35" name="M/(rho  bd)" dataDxfId="111">
      <calculatedColumnFormula>Table1123457913[[#This Row],[M (KN.mm)]]/(Table1123457913[[#This Row],[b (mm)]]*Table1123457913[[#This Row],[d (mm)]]*Table1123457913[[#This Row],[pho (%)]])</calculatedColumnFormula>
    </tableColumn>
    <tableColumn id="36" name="V/(2*sqrt(fc) bd)" dataDxfId="110">
      <calculatedColumnFormula>E2*224.8/(2*SQRT(Table1123457913[[#This Row],[fc (Mpa)]]*145.037)*Table1123457913[[#This Row],[b (mm)]]*Table1123457913[[#This Row],[d (mm)]]*(1/25.4)^2)</calculatedColumnFormula>
    </tableColumn>
    <tableColumn id="38" name="M/M_fracture" dataDxfId="109">
      <calculatedColumnFormula>Table1123457913[[#This Row],[M (KN.mm)]]/$G$11</calculatedColumnFormula>
    </tableColumn>
    <tableColumn id="42" name="V/(2*sqrt(fc) bd)2" dataDxfId="108">
      <calculatedColumnFormula>Table1123457913[[#This Row],[V/(2*sqrt(fc) bd)]]</calculatedColumnFormula>
    </tableColumn>
    <tableColumn id="39" name="a" dataDxfId="107">
      <calculatedColumnFormula>Table1123457913[[#This Row],[d (mm)]]/Table1123457913[[#This Row],[a (mm)]]</calculatedColumnFormula>
    </tableColumn>
    <tableColumn id="40" name="bh2" dataDxfId="106">
      <calculatedColumnFormula>(2*SQRT(Table1123457913[[#This Row],[fc (Mpa)]]*145.037)*Table1123457913[[#This Row],[b (mm)]]*Table1123457913[[#This Row],[d (mm)]]*(1/25.4)^2)/224.8</calculatedColumnFormula>
    </tableColumn>
    <tableColumn id="41" name="width" dataDxfId="105">
      <calculatedColumnFormula>Table1123457913[[#This Row],[M (KN.mm)]]/(Table1123457913[[#This Row],[b (mm)]]*Table1123457913[[#This Row],[d (mm)]]^2*Table1123457913[[#This Row],[pho (%)]])</calculatedColumnFormula>
    </tableColumn>
    <tableColumn id="44" name="a/h" dataDxfId="104">
      <calculatedColumnFormula>Table1123457913[[#This Row],[a]]/Table1123457913[[#This Row],[h (mm)]]</calculatedColumnFormula>
    </tableColumn>
    <tableColumn id="43" name="h" dataDxfId="103">
      <calculatedColumnFormula>Table1123457913[[#This Row],[h (mm)]]</calculatedColumnFormula>
    </tableColumn>
    <tableColumn id="12" name="a (mm)" dataDxfId="102" dataCellStyle="Normal">
      <calculatedColumnFormula>4800/2</calculatedColumnFormula>
    </tableColumn>
    <tableColumn id="13" name="d (mm)" dataDxfId="101" dataCellStyle="Normal"/>
    <tableColumn id="14" name="h (mm)" dataDxfId="100" dataCellStyle="Normal"/>
    <tableColumn id="15" name="b (mm)" dataDxfId="99" dataCellStyle="Normal"/>
    <tableColumn id="16" name="fc (Mpa)" dataDxfId="98" dataCellStyle="Normal"/>
    <tableColumn id="17" name="As (mm^2)" dataDxfId="97" dataCellStyle="Normal">
      <calculatedColumnFormula>Table1123457913[[#This Row],[pho (%)]]/100*Table1123457913[[#This Row],[b (mm)]]*Table1123457913[[#This Row],[h (mm)]]</calculatedColumnFormula>
    </tableColumn>
    <tableColumn id="18" name="pho (%)" dataDxfId="96" dataCellStyle="Normal">
      <calculatedColumnFormula>0.76+0.22</calculatedColumnFormula>
    </tableColumn>
    <tableColumn id="19" name="fy (Mpa)" dataDxfId="95" dataCellStyle="Normal"/>
    <tableColumn id="23" name="J(mm^4)" dataDxfId="94" dataCellStyle="Normal">
      <calculatedColumnFormula>(1/3-0.21*(MIN(Table1123457913[[#This Row],[b (mm)]],AF2)/MAX(Table1123457913[[#This Row],[b (mm)]],AF2))*(MIN(Table1123457913[[#This Row],[b (mm)]],AF2)^4/(12*MAX(Table1123457913[[#This Row],[b (mm)]],AF2)^4)))*MAX(Table1123457913[[#This Row],[b (mm)]],AF2)*MIN(Table1123457913[[#This Row],[b (mm)]],AF2)^3</calculatedColumnFormula>
    </tableColumn>
    <tableColumn id="24" name="I (mm^4)" dataDxfId="93" dataCellStyle="Normal">
      <calculatedColumnFormula>Table1123457913[[#This Row],[b (mm)]]*AF2^3/12</calculatedColumnFormula>
    </tableColumn>
    <tableColumn id="25" name="L(mm)" dataDxfId="92" dataCellStyle="Normal">
      <calculatedColumnFormula>78.125*25.4</calculatedColumnFormula>
    </tableColumn>
    <tableColumn id="26" name="Column1"/>
    <tableColumn id="27" name="Column2" dataDxfId="91" dataCellStyle="Normal"/>
    <tableColumn id="30" name="Column3" dataDxfId="90"/>
    <tableColumn id="37" name="Column4" dataDxfId="89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0" name="Table112345791011" displayName="Table112345791011" ref="A1:AR286" totalsRowShown="0" headerRowDxfId="88" dataDxfId="87" tableBorderDxfId="86">
  <autoFilter ref="A1:AR286"/>
  <sortState ref="A2:T57">
    <sortCondition ref="A1:A57"/>
  </sortState>
  <tableColumns count="44">
    <tableColumn id="1" name="Image Seri" dataDxfId="85"/>
    <tableColumn id="20" name="Image Name" dataDxfId="84"/>
    <tableColumn id="2" name="Final Image name" dataDxfId="83"/>
    <tableColumn id="3" name="d/a" dataDxfId="82"/>
    <tableColumn id="4" name="V (KN)" dataDxfId="81"/>
    <tableColumn id="5" name="d" dataDxfId="80" dataCellStyle="Normal">
      <calculatedColumnFormula>D2/Table112345791011[[#This Row],[L(mm)]]*100</calculatedColumnFormula>
    </tableColumn>
    <tableColumn id="6" name="M (KN.mm)" dataDxfId="79" dataCellStyle="Normal">
      <calculatedColumnFormula>E2*AD2</calculatedColumnFormula>
    </tableColumn>
    <tableColumn id="7" name="M/EI" dataDxfId="78" dataCellStyle="Normal">
      <calculatedColumnFormula>G2/($AQ$5*AM2*0.001)</calculatedColumnFormula>
    </tableColumn>
    <tableColumn id="8" name="M/bh^2" dataDxfId="77" dataCellStyle="Normal">
      <calculatedColumnFormula>G2/(Table112345791011[[#This Row],[b (mm)]]*AE2^2)</calculatedColumnFormula>
    </tableColumn>
    <tableColumn id="9" name="M/(As fy d)" dataDxfId="76" dataCellStyle="Normal">
      <calculatedColumnFormula>G2/(AI2*AK2*AE2*0.001)</calculatedColumnFormula>
    </tableColumn>
    <tableColumn id="10" name="V/(GJ)" dataDxfId="75" dataCellStyle="Normal">
      <calculatedColumnFormula>E2/($AQ$4*AL2*0.001)</calculatedColumnFormula>
    </tableColumn>
    <tableColumn id="11" name="V/(bd)" dataDxfId="74" dataCellStyle="Normal">
      <calculatedColumnFormula>E2/(Table112345791011[[#This Row],[b (mm)]]*AE2)</calculatedColumnFormula>
    </tableColumn>
    <tableColumn id="21" name="M/(bd)" dataDxfId="73" dataCellStyle="Normal">
      <calculatedColumnFormula>Table112345791011[[#This Row],[M (KN.mm)]]/(Table112345791011[[#This Row],[b (mm)]]*Table112345791011[[#This Row],[d (mm)]])</calculatedColumnFormula>
    </tableColumn>
    <tableColumn id="22" name="M/bh" dataDxfId="72" dataCellStyle="Normal">
      <calculatedColumnFormula>Table112345791011[[#This Row],[M (KN.mm)]]/(Table112345791011[[#This Row],[b (mm)]]*Table112345791011[[#This Row],[h (mm)]])</calculatedColumnFormula>
    </tableColumn>
    <tableColumn id="28" name="M/(bhl)" dataDxfId="71">
      <calculatedColumnFormula>Table112345791011[[#This Row],[M (KN.mm)]]/(Table112345791011[[#This Row],[b (mm)]]*Table112345791011[[#This Row],[h (mm)]]*Table112345791011[[#This Row],[L(mm)]])</calculatedColumnFormula>
    </tableColumn>
    <tableColumn id="29" name="M/(bdl)" dataDxfId="70">
      <calculatedColumnFormula>Table112345791011[[#This Row],[M (KN.mm)]]/(Table112345791011[[#This Row],[b (mm)]]*Table112345791011[[#This Row],[d (mm)]]*Table112345791011[[#This Row],[L(mm)]])</calculatedColumnFormula>
    </tableColumn>
    <tableColumn id="31" name="M/(fc bhl)" dataDxfId="69">
      <calculatedColumnFormula>Table112345791011[[#This Row],[M (KN.mm)]]/(Table112345791011[[#This Row],[b (mm)]]*Table112345791011[[#This Row],[h (mm)]]*Table112345791011[[#This Row],[L(mm)]]*Table112345791011[[#This Row],[fc (Mpa)]])</calculatedColumnFormula>
    </tableColumn>
    <tableColumn id="32" name="M/(bh (l/2))" dataDxfId="68">
      <calculatedColumnFormula>Table112345791011[[#This Row],[M (KN.mm)]]/(Table112345791011[[#This Row],[b (mm)]]*Table112345791011[[#This Row],[h (mm)]]*Table112345791011[[#This Row],[L(mm)]]/2)</calculatedColumnFormula>
    </tableColumn>
    <tableColumn id="33" name="M/(abh (l/2))" dataDxfId="67">
      <calculatedColumnFormula>Table112345791011[[#This Row],[M (KN.mm)]]/(Table112345791011[[#This Row],[a (mm)]]*Table112345791011[[#This Row],[b (mm)]]*Table112345791011[[#This Row],[h (mm)]]*Table112345791011[[#This Row],[L(mm)]]/2)</calculatedColumnFormula>
    </tableColumn>
    <tableColumn id="34" name="M/(a^2 bh)" dataDxfId="66">
      <calculatedColumnFormula>Table112345791011[[#This Row],[M (KN.mm)]]/(Table112345791011[[#This Row],[a (mm)]]^2*Table112345791011[[#This Row],[b (mm)]]*Table112345791011[[#This Row],[h (mm)]])</calculatedColumnFormula>
    </tableColumn>
    <tableColumn id="35" name="M/(rho  bd)" dataDxfId="65">
      <calculatedColumnFormula>Table112345791011[[#This Row],[M (KN.mm)]]/(Table112345791011[[#This Row],[b (mm)]]*Table112345791011[[#This Row],[d (mm)]]*Table112345791011[[#This Row],[pho (%)]])</calculatedColumnFormula>
    </tableColumn>
    <tableColumn id="36" name="V/(2*sqrt(fc) bd)" dataDxfId="64">
      <calculatedColumnFormula>E2*224.8/(2*SQRT(Table112345791011[[#This Row],[fc (Mpa)]]*145.037)*Table112345791011[[#This Row],[b (mm)]]*Table112345791011[[#This Row],[d (mm)]]*(1/25.4)^2)</calculatedColumnFormula>
    </tableColumn>
    <tableColumn id="38" name="M/M_fracture" dataDxfId="63">
      <calculatedColumnFormula>Table112345791011[[#This Row],[M (KN.mm)]]/$G$11</calculatedColumnFormula>
    </tableColumn>
    <tableColumn id="42" name="V/(2*sqrt(fc) bd)2" dataDxfId="62">
      <calculatedColumnFormula>Table112345791011[[#This Row],[V/(2*sqrt(fc) bd)]]</calculatedColumnFormula>
    </tableColumn>
    <tableColumn id="39" name="a" dataDxfId="61">
      <calculatedColumnFormula>Table112345791011[[#This Row],[d (mm)]]/Table112345791011[[#This Row],[a (mm)]]</calculatedColumnFormula>
    </tableColumn>
    <tableColumn id="40" name="bh2" dataDxfId="60">
      <calculatedColumnFormula>(2*SQRT(Table112345791011[[#This Row],[fc (Mpa)]]*145.037)*Table112345791011[[#This Row],[b (mm)]]*Table112345791011[[#This Row],[d (mm)]]*(1/25.4)^2)/224.8</calculatedColumnFormula>
    </tableColumn>
    <tableColumn id="41" name="width" dataDxfId="59">
      <calculatedColumnFormula>Table112345791011[[#This Row],[M (KN.mm)]]/(Table112345791011[[#This Row],[b (mm)]]*Table112345791011[[#This Row],[d (mm)]]^2*Table112345791011[[#This Row],[pho (%)]])</calculatedColumnFormula>
    </tableColumn>
    <tableColumn id="44" name="a/h" dataDxfId="58">
      <calculatedColumnFormula>Table112345791011[[#This Row],[a]]/Table112345791011[[#This Row],[h (mm)]]</calculatedColumnFormula>
    </tableColumn>
    <tableColumn id="43" name="h" dataDxfId="57">
      <calculatedColumnFormula>Table112345791011[[#This Row],[h (mm)]]</calculatedColumnFormula>
    </tableColumn>
    <tableColumn id="12" name="a (mm)" dataDxfId="56" dataCellStyle="Normal">
      <calculatedColumnFormula>3.1*Table112345791011[[#This Row],[d (mm)]]</calculatedColumnFormula>
    </tableColumn>
    <tableColumn id="13" name="d (mm)" dataDxfId="55" dataCellStyle="Normal"/>
    <tableColumn id="14" name="h (mm)" dataDxfId="54" dataCellStyle="Normal"/>
    <tableColumn id="15" name="b (mm)" dataDxfId="53" dataCellStyle="Normal"/>
    <tableColumn id="16" name="fc (Mpa)" dataDxfId="52" dataCellStyle="Normal"/>
    <tableColumn id="17" name="As (mm^2)" dataDxfId="51" dataCellStyle="Normal">
      <calculatedColumnFormula>Table112345791011[[#This Row],[pho (%)]]/100*Table112345791011[[#This Row],[b (mm)]]*Table112345791011[[#This Row],[h (mm)]]</calculatedColumnFormula>
    </tableColumn>
    <tableColumn id="18" name="pho (%)" dataDxfId="50" dataCellStyle="Normal">
      <calculatedColumnFormula>0.76+0.22</calculatedColumnFormula>
    </tableColumn>
    <tableColumn id="19" name="fy (Mpa)" dataDxfId="49" dataCellStyle="Normal"/>
    <tableColumn id="23" name="J(mm^4)" dataDxfId="48" dataCellStyle="Normal">
      <calculatedColumnFormula>(1/3-0.21*(MIN(Table112345791011[[#This Row],[b (mm)]],AF2)/MAX(Table112345791011[[#This Row],[b (mm)]],AF2))*(MIN(Table112345791011[[#This Row],[b (mm)]],AF2)^4/(12*MAX(Table112345791011[[#This Row],[b (mm)]],AF2)^4)))*MAX(Table112345791011[[#This Row],[b (mm)]],AF2)*MIN(Table112345791011[[#This Row],[b (mm)]],AF2)^3</calculatedColumnFormula>
    </tableColumn>
    <tableColumn id="24" name="I (mm^4)" dataDxfId="47" dataCellStyle="Normal">
      <calculatedColumnFormula>Table112345791011[[#This Row],[b (mm)]]*AF2^3/12</calculatedColumnFormula>
    </tableColumn>
    <tableColumn id="25" name="L(mm)" dataDxfId="46" dataCellStyle="Normal">
      <calculatedColumnFormula>78.125*25.4</calculatedColumnFormula>
    </tableColumn>
    <tableColumn id="26" name="Column1"/>
    <tableColumn id="27" name="Column2" dataDxfId="45" dataCellStyle="Normal"/>
    <tableColumn id="30" name="Column3" dataDxfId="44"/>
    <tableColumn id="37" name="Column4" dataDxfId="43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8" name="Table11234579" displayName="Table11234579" ref="A1:AN286" totalsRowShown="0" headerRowDxfId="42" dataDxfId="41" tableBorderDxfId="40">
  <autoFilter ref="A1:AN286"/>
  <sortState ref="A2:T57">
    <sortCondition ref="A1:A57"/>
  </sortState>
  <tableColumns count="40">
    <tableColumn id="1" name="Image Seri" dataDxfId="39"/>
    <tableColumn id="20" name="Image Name" dataDxfId="38"/>
    <tableColumn id="2" name="Final Image name" dataDxfId="37"/>
    <tableColumn id="3" name="d/a" dataDxfId="36"/>
    <tableColumn id="4" name="V (KN)" dataDxfId="35"/>
    <tableColumn id="5" name="d" dataDxfId="34" dataCellStyle="Normal">
      <calculatedColumnFormula>D2/Table11234579[[#This Row],[L(mm)]]*100</calculatedColumnFormula>
    </tableColumn>
    <tableColumn id="6" name="M (KN.mm)" dataDxfId="33" dataCellStyle="Normal">
      <calculatedColumnFormula>E2*Z2</calculatedColumnFormula>
    </tableColumn>
    <tableColumn id="7" name="M/EI" dataDxfId="32" dataCellStyle="Normal">
      <calculatedColumnFormula>G2/($AM$5*AI2*0.001)</calculatedColumnFormula>
    </tableColumn>
    <tableColumn id="8" name="M/bd^2" dataDxfId="31" dataCellStyle="Normal">
      <calculatedColumnFormula>G2/(Table11234579[[#This Row],[b (mm)]]*AA2^2)</calculatedColumnFormula>
    </tableColumn>
    <tableColumn id="9" name="M/(As fy d)" dataDxfId="30" dataCellStyle="Normal">
      <calculatedColumnFormula>G2/(AE2*AG2*AA2*0.001)</calculatedColumnFormula>
    </tableColumn>
    <tableColumn id="10" name="V/(GJ)" dataDxfId="29" dataCellStyle="Normal">
      <calculatedColumnFormula>E2/($AM$4*AH2*0.001)</calculatedColumnFormula>
    </tableColumn>
    <tableColumn id="11" name="V/(bd)" dataDxfId="28" dataCellStyle="Normal">
      <calculatedColumnFormula>E2/(Table11234579[[#This Row],[b (mm)]]*AA2)</calculatedColumnFormula>
    </tableColumn>
    <tableColumn id="21" name="M/(bd)" dataDxfId="27" dataCellStyle="Normal">
      <calculatedColumnFormula>Table11234579[[#This Row],[M (KN.mm)]]/(Table11234579[[#This Row],[b (mm)]]*Table11234579[[#This Row],[d (mm)]])</calculatedColumnFormula>
    </tableColumn>
    <tableColumn id="22" name="M/bh" dataDxfId="26" dataCellStyle="Normal">
      <calculatedColumnFormula>Table11234579[[#This Row],[M (KN.mm)]]/(Table11234579[[#This Row],[b (mm)]]*Table11234579[[#This Row],[h (mm)]])</calculatedColumnFormula>
    </tableColumn>
    <tableColumn id="28" name="M/(bhl)" dataDxfId="25">
      <calculatedColumnFormula>Table11234579[[#This Row],[M (KN.mm)]]/(Table11234579[[#This Row],[b (mm)]]*Table11234579[[#This Row],[h (mm)]]*Table11234579[[#This Row],[L(mm)]])</calculatedColumnFormula>
    </tableColumn>
    <tableColumn id="29" name="M/(bdl)" dataDxfId="24">
      <calculatedColumnFormula>Table11234579[[#This Row],[M (KN.mm)]]/(Table11234579[[#This Row],[b (mm)]]*Table11234579[[#This Row],[d (mm)]]*Table11234579[[#This Row],[L(mm)]])</calculatedColumnFormula>
    </tableColumn>
    <tableColumn id="31" name="M/(fc bhl)" dataDxfId="23">
      <calculatedColumnFormula>Table11234579[[#This Row],[M (KN.mm)]]/(Table11234579[[#This Row],[b (mm)]]*Table11234579[[#This Row],[h (mm)]]*Table11234579[[#This Row],[L(mm)]]*Table11234579[[#This Row],[fc (Mpa)]])</calculatedColumnFormula>
    </tableColumn>
    <tableColumn id="32" name="M/(bh (l/2))" dataDxfId="22">
      <calculatedColumnFormula>Table11234579[[#This Row],[M (KN.mm)]]/(Table11234579[[#This Row],[b (mm)]]*Table11234579[[#This Row],[h (mm)]]*Table11234579[[#This Row],[L(mm)]]/2)</calculatedColumnFormula>
    </tableColumn>
    <tableColumn id="33" name="M/(abh (l/2))" dataDxfId="21">
      <calculatedColumnFormula>Table11234579[[#This Row],[M (KN.mm)]]/(Table11234579[[#This Row],[a (mm)]]*Table11234579[[#This Row],[b (mm)]]*Table11234579[[#This Row],[h (mm)]]*Table11234579[[#This Row],[L(mm)]]/2)</calculatedColumnFormula>
    </tableColumn>
    <tableColumn id="34" name="M/(a^2 bh)" dataDxfId="20">
      <calculatedColumnFormula>Table11234579[[#This Row],[M (KN.mm)]]/(Table11234579[[#This Row],[a (mm)]]^2*Table11234579[[#This Row],[b (mm)]]*Table11234579[[#This Row],[h (mm)]])</calculatedColumnFormula>
    </tableColumn>
    <tableColumn id="35" name="M/(rho  bd)" dataDxfId="19">
      <calculatedColumnFormula>Table11234579[[#This Row],[M (KN.mm)]]/(Table11234579[[#This Row],[b (mm)]]*Table11234579[[#This Row],[d (mm)]]*Table11234579[[#This Row],[pho (%)]])</calculatedColumnFormula>
    </tableColumn>
    <tableColumn id="36" name="V/(2*sqrt(fc) bd)" dataDxfId="18">
      <calculatedColumnFormula>E2*224.8/(2*SQRT(Table11234579[[#This Row],[fc (Mpa)]]*145.037)*Table11234579[[#This Row],[b (mm)]]*Table11234579[[#This Row],[d (mm)]]*(1/25.4)^2)</calculatedColumnFormula>
    </tableColumn>
    <tableColumn id="38" name="M/M_fracture" dataDxfId="17">
      <calculatedColumnFormula>Table11234579[[#This Row],[M (KN.mm)]]/$G$11</calculatedColumnFormula>
    </tableColumn>
    <tableColumn id="40" name="V/(2*sqrt(fc) bd)2" dataDxfId="16">
      <calculatedColumnFormula>Table11234579[[#This Row],[V/(2*sqrt(fc) bd)]]</calculatedColumnFormula>
    </tableColumn>
    <tableColumn id="39" name="factor to calculate M/(pho  bd)" dataDxfId="15">
      <calculatedColumnFormula>Table11234579[[#This Row],[d (mm)]]/Table11234579[[#This Row],[a (mm)]]</calculatedColumnFormula>
    </tableColumn>
    <tableColumn id="12" name="a (mm)" dataDxfId="14" dataCellStyle="Normal">
      <calculatedColumnFormula>4800/2</calculatedColumnFormula>
    </tableColumn>
    <tableColumn id="13" name="d (mm)" dataDxfId="13" dataCellStyle="Normal"/>
    <tableColumn id="14" name="h (mm)" dataDxfId="12" dataCellStyle="Normal"/>
    <tableColumn id="15" name="b (mm)" dataDxfId="11" dataCellStyle="Normal"/>
    <tableColumn id="16" name="fc (Mpa)" dataDxfId="10" dataCellStyle="Normal"/>
    <tableColumn id="17" name="As (mm^2)" dataDxfId="9" dataCellStyle="Normal">
      <calculatedColumnFormula>Table11234579[[#This Row],[pho (%)]]/100*Table11234579[[#This Row],[b (mm)]]*Table11234579[[#This Row],[h (mm)]]</calculatedColumnFormula>
    </tableColumn>
    <tableColumn id="18" name="pho (%)" dataDxfId="8" dataCellStyle="Normal">
      <calculatedColumnFormula>0.76+0.22</calculatedColumnFormula>
    </tableColumn>
    <tableColumn id="19" name="fy (Mpa)" dataDxfId="7" dataCellStyle="Normal"/>
    <tableColumn id="23" name="J(mm^4)" dataDxfId="6" dataCellStyle="Normal">
      <calculatedColumnFormula>(1/3-0.21*(MIN(Table11234579[[#This Row],[b (mm)]],AB2)/MAX(Table11234579[[#This Row],[b (mm)]],AB2))*(MIN(Table11234579[[#This Row],[b (mm)]],AB2)^4/(12*MAX(Table11234579[[#This Row],[b (mm)]],AB2)^4)))*MAX(Table11234579[[#This Row],[b (mm)]],AB2)*MIN(Table11234579[[#This Row],[b (mm)]],AB2)^3</calculatedColumnFormula>
    </tableColumn>
    <tableColumn id="24" name="I (mm^4)" dataDxfId="5" dataCellStyle="Normal">
      <calculatedColumnFormula>Table11234579[[#This Row],[b (mm)]]*AB2^3/12</calculatedColumnFormula>
    </tableColumn>
    <tableColumn id="25" name="L(mm)" dataDxfId="4" dataCellStyle="Normal">
      <calculatedColumnFormula>78.125*25.4</calculatedColumnFormula>
    </tableColumn>
    <tableColumn id="26" name="Column1" dataDxfId="3" dataCellStyle="Normal"/>
    <tableColumn id="27" name="Column2" dataDxfId="2" dataCellStyle="Normal"/>
    <tableColumn id="30" name="Column3" dataDxfId="1"/>
    <tableColumn id="37" name="Column4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5" Type="http://schemas.openxmlformats.org/officeDocument/2006/relationships/comments" Target="../comments1.xml"/><Relationship Id="rId4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5" Type="http://schemas.openxmlformats.org/officeDocument/2006/relationships/comments" Target="../comments2.xml"/><Relationship Id="rId4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5" Type="http://schemas.openxmlformats.org/officeDocument/2006/relationships/comments" Target="../comments3.xml"/><Relationship Id="rId4" Type="http://schemas.openxmlformats.org/officeDocument/2006/relationships/table" Target="../tables/table12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3.xml"/><Relationship Id="rId3" Type="http://schemas.openxmlformats.org/officeDocument/2006/relationships/hyperlink" Target="mailto:SP@" TargetMode="External"/><Relationship Id="rId7" Type="http://schemas.openxmlformats.org/officeDocument/2006/relationships/drawing" Target="../drawings/drawing14.xml"/><Relationship Id="rId2" Type="http://schemas.openxmlformats.org/officeDocument/2006/relationships/hyperlink" Target="mailto:SP@" TargetMode="External"/><Relationship Id="rId1" Type="http://schemas.openxmlformats.org/officeDocument/2006/relationships/hyperlink" Target="mailto:SP@" TargetMode="External"/><Relationship Id="rId6" Type="http://schemas.openxmlformats.org/officeDocument/2006/relationships/printerSettings" Target="../printerSettings/printerSettings14.bin"/><Relationship Id="rId5" Type="http://schemas.openxmlformats.org/officeDocument/2006/relationships/hyperlink" Target="mailto:SP@" TargetMode="External"/><Relationship Id="rId4" Type="http://schemas.openxmlformats.org/officeDocument/2006/relationships/hyperlink" Target="mailto:SP@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Relationship Id="rId5" Type="http://schemas.openxmlformats.org/officeDocument/2006/relationships/comments" Target="../comments4.xml"/><Relationship Id="rId4" Type="http://schemas.openxmlformats.org/officeDocument/2006/relationships/table" Target="../tables/table14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5.xml"/><Relationship Id="rId3" Type="http://schemas.openxmlformats.org/officeDocument/2006/relationships/hyperlink" Target="mailto:SP@" TargetMode="External"/><Relationship Id="rId7" Type="http://schemas.openxmlformats.org/officeDocument/2006/relationships/drawing" Target="../drawings/drawing16.xml"/><Relationship Id="rId2" Type="http://schemas.openxmlformats.org/officeDocument/2006/relationships/hyperlink" Target="mailto:SP@" TargetMode="External"/><Relationship Id="rId1" Type="http://schemas.openxmlformats.org/officeDocument/2006/relationships/hyperlink" Target="mailto:SP@" TargetMode="External"/><Relationship Id="rId6" Type="http://schemas.openxmlformats.org/officeDocument/2006/relationships/printerSettings" Target="../printerSettings/printerSettings16.bin"/><Relationship Id="rId5" Type="http://schemas.openxmlformats.org/officeDocument/2006/relationships/hyperlink" Target="mailto:SP@" TargetMode="External"/><Relationship Id="rId4" Type="http://schemas.openxmlformats.org/officeDocument/2006/relationships/hyperlink" Target="mailto:SP@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63"/>
  <sheetViews>
    <sheetView workbookViewId="0">
      <selection activeCell="A2" sqref="A2"/>
    </sheetView>
  </sheetViews>
  <sheetFormatPr defaultColWidth="9.109375" defaultRowHeight="14.4" x14ac:dyDescent="0.3"/>
  <cols>
    <col min="1" max="1" width="20" style="2" customWidth="1"/>
    <col min="2" max="2" width="11.88671875" style="2" customWidth="1"/>
    <col min="3" max="3" width="13.44140625" style="2" customWidth="1"/>
    <col min="4" max="4" width="10.88671875" style="2" customWidth="1"/>
    <col min="5" max="5" width="22.44140625" style="2" customWidth="1"/>
    <col min="6" max="6" width="9.33203125" style="2" customWidth="1"/>
    <col min="7" max="7" width="9.109375" style="2" customWidth="1"/>
    <col min="8" max="8" width="11.44140625" style="2" customWidth="1"/>
    <col min="9" max="9" width="13" style="2" customWidth="1"/>
    <col min="10" max="10" width="8.6640625" style="2" customWidth="1"/>
    <col min="11" max="11" width="7.88671875" style="2" customWidth="1"/>
    <col min="12" max="12" width="8.88671875" style="2" customWidth="1"/>
    <col min="13" max="13" width="7.5546875" style="2" customWidth="1"/>
    <col min="14" max="14" width="9.44140625" style="2" customWidth="1"/>
    <col min="15" max="15" width="12.6640625" style="2" customWidth="1"/>
    <col min="16" max="16" width="12.44140625" style="2" customWidth="1"/>
    <col min="17" max="17" width="10" style="2" customWidth="1"/>
    <col min="18" max="18" width="11.6640625" style="2" customWidth="1"/>
    <col min="19" max="19" width="9.33203125" style="2" customWidth="1"/>
    <col min="20" max="20" width="12.44140625" style="2" customWidth="1"/>
    <col min="21" max="21" width="14.33203125" style="2" customWidth="1"/>
    <col min="22" max="16384" width="9.109375" style="2"/>
  </cols>
  <sheetData>
    <row r="1" spans="1:22" ht="24.75" customHeight="1" thickBot="1" x14ac:dyDescent="0.3"/>
    <row r="2" spans="1:22" ht="46.5" customHeight="1" thickBot="1" x14ac:dyDescent="0.3">
      <c r="B2" s="55" t="s">
        <v>4</v>
      </c>
      <c r="C2" s="56" t="s">
        <v>21</v>
      </c>
      <c r="D2" s="55" t="s">
        <v>24</v>
      </c>
      <c r="E2" s="56" t="s">
        <v>25</v>
      </c>
      <c r="F2" s="55" t="s">
        <v>23</v>
      </c>
      <c r="G2" s="57" t="s">
        <v>3</v>
      </c>
      <c r="H2" s="57" t="s">
        <v>13</v>
      </c>
      <c r="I2" s="57" t="s">
        <v>14</v>
      </c>
      <c r="J2" s="57" t="s">
        <v>20</v>
      </c>
      <c r="K2" s="57" t="s">
        <v>19</v>
      </c>
      <c r="L2" s="57" t="s">
        <v>5</v>
      </c>
      <c r="M2" s="57" t="s">
        <v>9</v>
      </c>
      <c r="N2" s="57" t="s">
        <v>12</v>
      </c>
      <c r="O2" s="57" t="s">
        <v>10</v>
      </c>
      <c r="P2" s="57" t="s">
        <v>11</v>
      </c>
      <c r="Q2" s="57" t="s">
        <v>18</v>
      </c>
      <c r="R2" s="57" t="s">
        <v>15</v>
      </c>
      <c r="S2" s="58" t="s">
        <v>17</v>
      </c>
    </row>
    <row r="3" spans="1:22" ht="15" thickBot="1" x14ac:dyDescent="0.35">
      <c r="A3" s="402" t="s">
        <v>0</v>
      </c>
      <c r="B3" s="24">
        <v>2</v>
      </c>
      <c r="C3" s="3">
        <v>3.68</v>
      </c>
      <c r="D3" s="3">
        <v>25.5</v>
      </c>
      <c r="E3" s="8">
        <f t="shared" ref="E3:E58" si="0">C3/$V$3*100</f>
        <v>0.2944</v>
      </c>
      <c r="F3" s="8">
        <f t="shared" ref="F3:F44" si="1">D3*L3</f>
        <v>9945</v>
      </c>
      <c r="G3" s="8">
        <f>F3/($V$6*S3*0.001)</f>
        <v>1.9571560680461904E-5</v>
      </c>
      <c r="H3" s="8">
        <f t="shared" ref="H3:H58" si="2">F3/($V$4*M3^2)</f>
        <v>7.5788751714677641E-3</v>
      </c>
      <c r="I3" s="8">
        <f>F3/(O3*Q3*M3*0.001)</f>
        <v>0.78161956170948321</v>
      </c>
      <c r="J3" s="8">
        <f>D3/($V$7*R3*0.001)</f>
        <v>2.8916053439510185E-8</v>
      </c>
      <c r="K3" s="8">
        <f t="shared" ref="K3:K58" si="3">D3/($V$4*M3)</f>
        <v>1.5740740740740741E-3</v>
      </c>
      <c r="L3" s="8">
        <v>390</v>
      </c>
      <c r="M3" s="8">
        <v>81</v>
      </c>
      <c r="N3" s="8">
        <v>105</v>
      </c>
      <c r="O3" s="8">
        <v>251.33</v>
      </c>
      <c r="P3" s="8">
        <f t="shared" ref="P3:P58" si="4">O3/($V$4*M3)*100</f>
        <v>1.5514197530864198</v>
      </c>
      <c r="Q3" s="8">
        <v>625</v>
      </c>
      <c r="R3" s="8">
        <f t="shared" ref="R3:R58" si="5">(1/3-0.21*(MIN($V$4,N3)/MAX($V$4,N3))*(MIN($V$4,N3)^4/(12*MAX($V$4,N3)^4)))*MAX($V$4,N3)*MIN($V$4,N3)^3</f>
        <v>77013403.310835585</v>
      </c>
      <c r="S3" s="9">
        <f>$V$4*N3^3/12</f>
        <v>19293750</v>
      </c>
      <c r="U3" s="14" t="s">
        <v>22</v>
      </c>
      <c r="V3" s="14">
        <v>1250</v>
      </c>
    </row>
    <row r="4" spans="1:22" ht="15" thickBot="1" x14ac:dyDescent="0.35">
      <c r="A4" s="403"/>
      <c r="B4" s="24">
        <v>3</v>
      </c>
      <c r="C4" s="3">
        <v>4.68</v>
      </c>
      <c r="D4" s="3">
        <v>26.5</v>
      </c>
      <c r="E4" s="3">
        <f t="shared" si="0"/>
        <v>0.37440000000000001</v>
      </c>
      <c r="F4" s="3">
        <f t="shared" si="1"/>
        <v>10335</v>
      </c>
      <c r="G4" s="8">
        <f t="shared" ref="G4:G58" si="6">F4/($V$6*S4*0.001)</f>
        <v>2.0339072864009429E-5</v>
      </c>
      <c r="H4" s="3">
        <f t="shared" si="2"/>
        <v>7.8760859625057154E-3</v>
      </c>
      <c r="I4" s="8">
        <f t="shared" ref="I4:I17" si="7">F4/(O4*Q4*M4*0.001)</f>
        <v>0.81227130922750224</v>
      </c>
      <c r="J4" s="8">
        <f t="shared" ref="J4:J35" si="8">D4/($V$7*R4*0.001)</f>
        <v>3.0050016319490974E-8</v>
      </c>
      <c r="K4" s="3">
        <f t="shared" si="3"/>
        <v>1.6358024691358025E-3</v>
      </c>
      <c r="L4" s="3">
        <v>390</v>
      </c>
      <c r="M4" s="3">
        <v>81</v>
      </c>
      <c r="N4" s="3">
        <v>105</v>
      </c>
      <c r="O4" s="3">
        <v>251.33</v>
      </c>
      <c r="P4" s="3">
        <f t="shared" si="4"/>
        <v>1.5514197530864198</v>
      </c>
      <c r="Q4" s="3">
        <f t="shared" ref="Q4:Q12" si="9">Q3</f>
        <v>625</v>
      </c>
      <c r="R4" s="3">
        <f t="shared" si="5"/>
        <v>77013403.310835585</v>
      </c>
      <c r="S4" s="10">
        <f t="shared" ref="S4:S58" si="10">$V$4*N4^3/12</f>
        <v>19293750</v>
      </c>
      <c r="U4" s="14" t="s">
        <v>6</v>
      </c>
      <c r="V4" s="14">
        <v>200</v>
      </c>
    </row>
    <row r="5" spans="1:22" ht="15" thickBot="1" x14ac:dyDescent="0.35">
      <c r="A5" s="404"/>
      <c r="B5" s="29" t="s">
        <v>26</v>
      </c>
      <c r="C5" s="17">
        <v>6.8</v>
      </c>
      <c r="D5" s="16">
        <v>3</v>
      </c>
      <c r="E5" s="17">
        <f t="shared" si="0"/>
        <v>0.54399999999999993</v>
      </c>
      <c r="F5" s="17">
        <f t="shared" si="1"/>
        <v>1170</v>
      </c>
      <c r="G5" s="21">
        <f t="shared" si="6"/>
        <v>2.3025365506425768E-6</v>
      </c>
      <c r="H5" s="17">
        <f t="shared" si="2"/>
        <v>8.9163237311385465E-4</v>
      </c>
      <c r="I5" s="21">
        <f t="shared" si="7"/>
        <v>9.1955242554056849E-2</v>
      </c>
      <c r="J5" s="21">
        <f t="shared" si="8"/>
        <v>3.4018886399423747E-9</v>
      </c>
      <c r="K5" s="17">
        <f t="shared" si="3"/>
        <v>1.8518518518518518E-4</v>
      </c>
      <c r="L5" s="17">
        <v>390</v>
      </c>
      <c r="M5" s="17">
        <v>81</v>
      </c>
      <c r="N5" s="17">
        <v>105</v>
      </c>
      <c r="O5" s="17">
        <v>251.33</v>
      </c>
      <c r="P5" s="17">
        <f t="shared" si="4"/>
        <v>1.5514197530864198</v>
      </c>
      <c r="Q5" s="17">
        <f t="shared" si="9"/>
        <v>625</v>
      </c>
      <c r="R5" s="17">
        <f t="shared" si="5"/>
        <v>77013403.310835585</v>
      </c>
      <c r="S5" s="18">
        <f t="shared" si="10"/>
        <v>19293750</v>
      </c>
      <c r="U5" s="14" t="s">
        <v>7</v>
      </c>
      <c r="V5" s="14">
        <v>31.4</v>
      </c>
    </row>
    <row r="6" spans="1:22" ht="15" thickBot="1" x14ac:dyDescent="0.35">
      <c r="A6" s="402" t="s">
        <v>1</v>
      </c>
      <c r="B6" s="23">
        <v>2</v>
      </c>
      <c r="C6" s="8">
        <v>3.585</v>
      </c>
      <c r="D6" s="8">
        <v>25</v>
      </c>
      <c r="E6" s="8">
        <f t="shared" si="0"/>
        <v>0.2868</v>
      </c>
      <c r="F6" s="8">
        <f t="shared" si="1"/>
        <v>9750</v>
      </c>
      <c r="G6" s="8">
        <f t="shared" si="6"/>
        <v>1.9187804588688139E-5</v>
      </c>
      <c r="H6" s="8">
        <f t="shared" si="2"/>
        <v>7.4302697759487885E-3</v>
      </c>
      <c r="I6" s="8">
        <f t="shared" si="7"/>
        <v>0.76629368795047381</v>
      </c>
      <c r="J6" s="8">
        <f t="shared" si="8"/>
        <v>2.834907199951979E-8</v>
      </c>
      <c r="K6" s="8">
        <f t="shared" si="3"/>
        <v>1.5432098765432098E-3</v>
      </c>
      <c r="L6" s="8">
        <v>390</v>
      </c>
      <c r="M6" s="8">
        <v>81</v>
      </c>
      <c r="N6" s="8">
        <v>105</v>
      </c>
      <c r="O6" s="8">
        <v>251.33</v>
      </c>
      <c r="P6" s="8">
        <f t="shared" si="4"/>
        <v>1.5514197530864198</v>
      </c>
      <c r="Q6" s="8">
        <f t="shared" si="9"/>
        <v>625</v>
      </c>
      <c r="R6" s="8">
        <f t="shared" si="5"/>
        <v>77013403.310835585</v>
      </c>
      <c r="S6" s="9">
        <f t="shared" si="10"/>
        <v>19293750</v>
      </c>
      <c r="U6" s="14" t="s">
        <v>8</v>
      </c>
      <c r="V6" s="14">
        <f>4700*SQRT(V5)</f>
        <v>26336.780365109171</v>
      </c>
    </row>
    <row r="7" spans="1:22" ht="15" thickBot="1" x14ac:dyDescent="0.35">
      <c r="A7" s="403"/>
      <c r="B7" s="24">
        <v>3</v>
      </c>
      <c r="C7" s="3">
        <v>4.1500000000000004</v>
      </c>
      <c r="D7" s="3">
        <v>31.4</v>
      </c>
      <c r="E7" s="3">
        <f t="shared" si="0"/>
        <v>0.33200000000000007</v>
      </c>
      <c r="F7" s="3">
        <f t="shared" si="1"/>
        <v>12246</v>
      </c>
      <c r="G7" s="8">
        <f t="shared" si="6"/>
        <v>2.4099882563392303E-5</v>
      </c>
      <c r="H7" s="3">
        <f t="shared" si="2"/>
        <v>9.3324188385916773E-3</v>
      </c>
      <c r="I7" s="8">
        <f t="shared" si="7"/>
        <v>0.96246487206579512</v>
      </c>
      <c r="J7" s="8">
        <f t="shared" si="8"/>
        <v>3.5606434431396852E-8</v>
      </c>
      <c r="K7" s="3">
        <f t="shared" si="3"/>
        <v>1.9382716049382714E-3</v>
      </c>
      <c r="L7" s="3">
        <v>390</v>
      </c>
      <c r="M7" s="3">
        <v>81</v>
      </c>
      <c r="N7" s="3">
        <v>105</v>
      </c>
      <c r="O7" s="3">
        <v>251.33</v>
      </c>
      <c r="P7" s="3">
        <f t="shared" si="4"/>
        <v>1.5514197530864198</v>
      </c>
      <c r="Q7" s="3">
        <f t="shared" si="9"/>
        <v>625</v>
      </c>
      <c r="R7" s="3">
        <f t="shared" si="5"/>
        <v>77013403.310835585</v>
      </c>
      <c r="S7" s="10">
        <f t="shared" si="10"/>
        <v>19293750</v>
      </c>
      <c r="U7" s="14" t="s">
        <v>16</v>
      </c>
      <c r="V7" s="14">
        <f>V6/(2*(1+0.15))</f>
        <v>11450.774071786596</v>
      </c>
    </row>
    <row r="8" spans="1:22" ht="15" thickBot="1" x14ac:dyDescent="0.35">
      <c r="A8" s="404"/>
      <c r="B8" s="28" t="s">
        <v>27</v>
      </c>
      <c r="C8" s="20"/>
      <c r="D8" s="20">
        <f>0.2*D7</f>
        <v>6.28</v>
      </c>
      <c r="E8" s="11">
        <f t="shared" si="0"/>
        <v>0</v>
      </c>
      <c r="F8" s="11">
        <f t="shared" si="1"/>
        <v>2449.2000000000003</v>
      </c>
      <c r="G8" s="4">
        <f t="shared" si="6"/>
        <v>4.8199765126784615E-6</v>
      </c>
      <c r="H8" s="11">
        <f t="shared" si="2"/>
        <v>1.8664837677183359E-3</v>
      </c>
      <c r="I8" s="4">
        <f t="shared" si="7"/>
        <v>0.19249297441315905</v>
      </c>
      <c r="J8" s="4">
        <f t="shared" si="8"/>
        <v>7.1212868862793717E-9</v>
      </c>
      <c r="K8" s="11">
        <f t="shared" si="3"/>
        <v>3.8765432098765434E-4</v>
      </c>
      <c r="L8" s="11">
        <v>390</v>
      </c>
      <c r="M8" s="11">
        <v>81</v>
      </c>
      <c r="N8" s="11">
        <v>105</v>
      </c>
      <c r="O8" s="11">
        <v>251.33</v>
      </c>
      <c r="P8" s="11">
        <f t="shared" si="4"/>
        <v>1.5514197530864198</v>
      </c>
      <c r="Q8" s="11">
        <f t="shared" si="9"/>
        <v>625</v>
      </c>
      <c r="R8" s="11">
        <f t="shared" si="5"/>
        <v>77013403.310835585</v>
      </c>
      <c r="S8" s="12">
        <f t="shared" si="10"/>
        <v>19293750</v>
      </c>
    </row>
    <row r="9" spans="1:22" ht="15" thickBot="1" x14ac:dyDescent="0.35">
      <c r="A9" s="402" t="s">
        <v>2</v>
      </c>
      <c r="B9" s="23">
        <v>2</v>
      </c>
      <c r="C9" s="19"/>
      <c r="D9" s="19">
        <f>0.8*D11</f>
        <v>20.400000000000002</v>
      </c>
      <c r="E9" s="8">
        <f t="shared" si="0"/>
        <v>0</v>
      </c>
      <c r="F9" s="8">
        <f t="shared" si="1"/>
        <v>7956.0000000000009</v>
      </c>
      <c r="G9" s="8">
        <f t="shared" si="6"/>
        <v>1.5657248544369523E-5</v>
      </c>
      <c r="H9" s="8">
        <f t="shared" si="2"/>
        <v>6.0631001371742122E-3</v>
      </c>
      <c r="I9" s="8">
        <f t="shared" si="7"/>
        <v>0.62529564936758664</v>
      </c>
      <c r="J9" s="8">
        <f t="shared" si="8"/>
        <v>2.313284275160815E-8</v>
      </c>
      <c r="K9" s="8">
        <f t="shared" si="3"/>
        <v>1.2592592592592594E-3</v>
      </c>
      <c r="L9" s="8">
        <v>390</v>
      </c>
      <c r="M9" s="8">
        <v>81</v>
      </c>
      <c r="N9" s="8">
        <v>105</v>
      </c>
      <c r="O9" s="8">
        <v>251.33</v>
      </c>
      <c r="P9" s="8">
        <f t="shared" si="4"/>
        <v>1.5514197530864198</v>
      </c>
      <c r="Q9" s="8">
        <f t="shared" si="9"/>
        <v>625</v>
      </c>
      <c r="R9" s="8">
        <f t="shared" si="5"/>
        <v>77013403.310835585</v>
      </c>
      <c r="S9" s="9">
        <f t="shared" si="10"/>
        <v>19293750</v>
      </c>
    </row>
    <row r="10" spans="1:22" ht="15" thickBot="1" x14ac:dyDescent="0.35">
      <c r="A10" s="403"/>
      <c r="B10" s="24">
        <v>3</v>
      </c>
      <c r="C10" s="13"/>
      <c r="D10" s="3">
        <v>22.5</v>
      </c>
      <c r="E10" s="3">
        <f t="shared" si="0"/>
        <v>0</v>
      </c>
      <c r="F10" s="3">
        <f t="shared" si="1"/>
        <v>8775</v>
      </c>
      <c r="G10" s="8">
        <f t="shared" si="6"/>
        <v>1.7269024129819325E-5</v>
      </c>
      <c r="H10" s="3">
        <f t="shared" si="2"/>
        <v>6.6872427983539094E-3</v>
      </c>
      <c r="I10" s="8">
        <f t="shared" si="7"/>
        <v>0.68966431915542636</v>
      </c>
      <c r="J10" s="8">
        <f t="shared" si="8"/>
        <v>2.551416479956781E-8</v>
      </c>
      <c r="K10" s="3">
        <f t="shared" si="3"/>
        <v>1.3888888888888889E-3</v>
      </c>
      <c r="L10" s="3">
        <v>390</v>
      </c>
      <c r="M10" s="3">
        <v>81</v>
      </c>
      <c r="N10" s="3">
        <v>105</v>
      </c>
      <c r="O10" s="3">
        <v>251.33</v>
      </c>
      <c r="P10" s="3">
        <f t="shared" si="4"/>
        <v>1.5514197530864198</v>
      </c>
      <c r="Q10" s="3">
        <f t="shared" si="9"/>
        <v>625</v>
      </c>
      <c r="R10" s="3">
        <f t="shared" si="5"/>
        <v>77013403.310835585</v>
      </c>
      <c r="S10" s="10">
        <f t="shared" si="10"/>
        <v>19293750</v>
      </c>
    </row>
    <row r="11" spans="1:22" ht="15" thickBot="1" x14ac:dyDescent="0.35">
      <c r="A11" s="403"/>
      <c r="B11" s="24">
        <v>4</v>
      </c>
      <c r="C11" s="13"/>
      <c r="D11" s="3">
        <v>25.5</v>
      </c>
      <c r="E11" s="3">
        <f t="shared" si="0"/>
        <v>0</v>
      </c>
      <c r="F11" s="3">
        <f t="shared" si="1"/>
        <v>9945</v>
      </c>
      <c r="G11" s="8">
        <f t="shared" si="6"/>
        <v>1.9571560680461904E-5</v>
      </c>
      <c r="H11" s="3">
        <f t="shared" si="2"/>
        <v>7.5788751714677641E-3</v>
      </c>
      <c r="I11" s="8">
        <f>F11/(O11*Q11*M11*0.001)</f>
        <v>0.78161956170948321</v>
      </c>
      <c r="J11" s="8">
        <f t="shared" si="8"/>
        <v>2.8916053439510185E-8</v>
      </c>
      <c r="K11" s="3">
        <f t="shared" si="3"/>
        <v>1.5740740740740741E-3</v>
      </c>
      <c r="L11" s="3">
        <v>390</v>
      </c>
      <c r="M11" s="3">
        <v>81</v>
      </c>
      <c r="N11" s="3">
        <v>105</v>
      </c>
      <c r="O11" s="3">
        <v>251.33</v>
      </c>
      <c r="P11" s="3">
        <f t="shared" si="4"/>
        <v>1.5514197530864198</v>
      </c>
      <c r="Q11" s="3">
        <f t="shared" si="9"/>
        <v>625</v>
      </c>
      <c r="R11" s="3">
        <f t="shared" si="5"/>
        <v>77013403.310835585</v>
      </c>
      <c r="S11" s="10">
        <f t="shared" si="10"/>
        <v>19293750</v>
      </c>
    </row>
    <row r="12" spans="1:22" ht="15" thickBot="1" x14ac:dyDescent="0.35">
      <c r="A12" s="404"/>
      <c r="B12" s="28" t="s">
        <v>28</v>
      </c>
      <c r="C12" s="20"/>
      <c r="D12" s="20">
        <f>0.2*D11</f>
        <v>5.1000000000000005</v>
      </c>
      <c r="E12" s="11">
        <f t="shared" si="0"/>
        <v>0</v>
      </c>
      <c r="F12" s="11">
        <f t="shared" si="1"/>
        <v>1989.0000000000002</v>
      </c>
      <c r="G12" s="4">
        <f t="shared" si="6"/>
        <v>3.9143121360923807E-6</v>
      </c>
      <c r="H12" s="11">
        <f t="shared" si="2"/>
        <v>1.515775034293553E-3</v>
      </c>
      <c r="I12" s="4">
        <f t="shared" si="7"/>
        <v>0.15632391234189666</v>
      </c>
      <c r="J12" s="4">
        <f t="shared" si="8"/>
        <v>5.7832106879020374E-9</v>
      </c>
      <c r="K12" s="11">
        <f t="shared" si="3"/>
        <v>3.1481481481481486E-4</v>
      </c>
      <c r="L12" s="11">
        <v>390</v>
      </c>
      <c r="M12" s="11">
        <v>81</v>
      </c>
      <c r="N12" s="11">
        <v>105</v>
      </c>
      <c r="O12" s="11">
        <v>251.33</v>
      </c>
      <c r="P12" s="11">
        <f t="shared" si="4"/>
        <v>1.5514197530864198</v>
      </c>
      <c r="Q12" s="11">
        <f t="shared" si="9"/>
        <v>625</v>
      </c>
      <c r="R12" s="11">
        <f t="shared" si="5"/>
        <v>77013403.310835585</v>
      </c>
      <c r="S12" s="12">
        <f t="shared" si="10"/>
        <v>19293750</v>
      </c>
    </row>
    <row r="13" spans="1:22" ht="15" thickBot="1" x14ac:dyDescent="0.35">
      <c r="A13" s="402" t="s">
        <v>30</v>
      </c>
      <c r="B13" s="26">
        <v>2</v>
      </c>
      <c r="C13" s="8">
        <v>6.49</v>
      </c>
      <c r="D13" s="8">
        <v>22.5</v>
      </c>
      <c r="E13" s="8">
        <f t="shared" si="0"/>
        <v>0.51919999999999999</v>
      </c>
      <c r="F13" s="8">
        <f t="shared" si="1"/>
        <v>8775</v>
      </c>
      <c r="G13" s="8">
        <f t="shared" si="6"/>
        <v>8.8924576711005473E-6</v>
      </c>
      <c r="H13" s="8">
        <f t="shared" si="2"/>
        <v>3.9048593805624779E-3</v>
      </c>
      <c r="I13" s="8">
        <f t="shared" si="7"/>
        <v>0.39726506399297223</v>
      </c>
      <c r="J13" s="8">
        <f t="shared" si="8"/>
        <v>1.3194186683689334E-8</v>
      </c>
      <c r="K13" s="8">
        <f t="shared" si="3"/>
        <v>1.0613207547169811E-3</v>
      </c>
      <c r="L13" s="8">
        <v>390</v>
      </c>
      <c r="M13" s="8">
        <v>106</v>
      </c>
      <c r="N13" s="8">
        <v>131</v>
      </c>
      <c r="O13" s="8">
        <v>314.16000000000003</v>
      </c>
      <c r="P13" s="8">
        <f t="shared" si="4"/>
        <v>1.4818867924528303</v>
      </c>
      <c r="Q13" s="8">
        <v>663.3</v>
      </c>
      <c r="R13" s="8">
        <f t="shared" si="5"/>
        <v>148924121.73289105</v>
      </c>
      <c r="S13" s="9">
        <f t="shared" si="10"/>
        <v>37468183.333333336</v>
      </c>
    </row>
    <row r="14" spans="1:22" ht="15" thickBot="1" x14ac:dyDescent="0.35">
      <c r="A14" s="403"/>
      <c r="B14" s="27">
        <v>3</v>
      </c>
      <c r="C14" s="3">
        <v>9.0299999999999994</v>
      </c>
      <c r="D14" s="3">
        <v>33.79</v>
      </c>
      <c r="E14" s="3">
        <f t="shared" si="0"/>
        <v>0.72239999999999993</v>
      </c>
      <c r="F14" s="3">
        <f t="shared" si="1"/>
        <v>13178.1</v>
      </c>
      <c r="G14" s="8">
        <f t="shared" si="6"/>
        <v>1.3354495320288333E-5</v>
      </c>
      <c r="H14" s="3">
        <f t="shared" si="2"/>
        <v>5.8642310430758278E-3</v>
      </c>
      <c r="I14" s="8">
        <f t="shared" si="7"/>
        <v>0.5966038449921125</v>
      </c>
      <c r="J14" s="8">
        <f t="shared" si="8"/>
        <v>1.9814736357416114E-8</v>
      </c>
      <c r="K14" s="3">
        <f t="shared" si="3"/>
        <v>1.5938679245283019E-3</v>
      </c>
      <c r="L14" s="3">
        <v>390</v>
      </c>
      <c r="M14" s="3">
        <v>106</v>
      </c>
      <c r="N14" s="3">
        <v>131</v>
      </c>
      <c r="O14" s="3">
        <v>314.16000000000003</v>
      </c>
      <c r="P14" s="3">
        <f t="shared" si="4"/>
        <v>1.4818867924528303</v>
      </c>
      <c r="Q14" s="3">
        <v>663.3</v>
      </c>
      <c r="R14" s="3">
        <f t="shared" si="5"/>
        <v>148924121.73289105</v>
      </c>
      <c r="S14" s="10">
        <f t="shared" si="10"/>
        <v>37468183.333333336</v>
      </c>
    </row>
    <row r="15" spans="1:22" ht="15" thickBot="1" x14ac:dyDescent="0.35">
      <c r="A15" s="404"/>
      <c r="B15" s="28" t="s">
        <v>29</v>
      </c>
      <c r="C15" s="20"/>
      <c r="D15" s="20">
        <f>0.2*D14</f>
        <v>6.758</v>
      </c>
      <c r="E15" s="11">
        <f t="shared" si="0"/>
        <v>0</v>
      </c>
      <c r="F15" s="11">
        <f t="shared" si="1"/>
        <v>2635.62</v>
      </c>
      <c r="G15" s="4">
        <f t="shared" si="6"/>
        <v>2.6708990640576661E-6</v>
      </c>
      <c r="H15" s="11">
        <f t="shared" si="2"/>
        <v>1.1728462086151655E-3</v>
      </c>
      <c r="I15" s="4">
        <f t="shared" si="7"/>
        <v>0.11932076899842251</v>
      </c>
      <c r="J15" s="4">
        <f t="shared" si="8"/>
        <v>3.9629472714832232E-9</v>
      </c>
      <c r="K15" s="11">
        <f t="shared" si="3"/>
        <v>3.1877358490566037E-4</v>
      </c>
      <c r="L15" s="11">
        <v>390</v>
      </c>
      <c r="M15" s="11">
        <v>106</v>
      </c>
      <c r="N15" s="11">
        <v>131</v>
      </c>
      <c r="O15" s="11">
        <v>314.16000000000003</v>
      </c>
      <c r="P15" s="11">
        <f t="shared" si="4"/>
        <v>1.4818867924528303</v>
      </c>
      <c r="Q15" s="11">
        <v>663.3</v>
      </c>
      <c r="R15" s="11">
        <f t="shared" si="5"/>
        <v>148924121.73289105</v>
      </c>
      <c r="S15" s="12">
        <f t="shared" si="10"/>
        <v>37468183.333333336</v>
      </c>
    </row>
    <row r="16" spans="1:22" ht="15" thickBot="1" x14ac:dyDescent="0.35">
      <c r="A16" s="402" t="s">
        <v>31</v>
      </c>
      <c r="B16" s="23">
        <v>2</v>
      </c>
      <c r="C16" s="8">
        <v>6.06</v>
      </c>
      <c r="D16" s="8">
        <v>27.5</v>
      </c>
      <c r="E16" s="8">
        <f t="shared" si="0"/>
        <v>0.48480000000000001</v>
      </c>
      <c r="F16" s="8">
        <f t="shared" si="1"/>
        <v>10725</v>
      </c>
      <c r="G16" s="8">
        <f t="shared" si="6"/>
        <v>1.0868559375789558E-5</v>
      </c>
      <c r="H16" s="8">
        <f t="shared" si="2"/>
        <v>4.7726059095763614E-3</v>
      </c>
      <c r="I16" s="8">
        <f t="shared" si="7"/>
        <v>0.48554618932474386</v>
      </c>
      <c r="J16" s="8">
        <f t="shared" si="8"/>
        <v>1.612622816895363E-8</v>
      </c>
      <c r="K16" s="8">
        <f t="shared" si="3"/>
        <v>1.2971698113207546E-3</v>
      </c>
      <c r="L16" s="8">
        <v>390</v>
      </c>
      <c r="M16" s="8">
        <v>106</v>
      </c>
      <c r="N16" s="8">
        <v>131</v>
      </c>
      <c r="O16" s="8">
        <v>314.16000000000003</v>
      </c>
      <c r="P16" s="8">
        <f t="shared" si="4"/>
        <v>1.4818867924528303</v>
      </c>
      <c r="Q16" s="8">
        <v>663.3</v>
      </c>
      <c r="R16" s="8">
        <f t="shared" si="5"/>
        <v>148924121.73289105</v>
      </c>
      <c r="S16" s="9">
        <f t="shared" si="10"/>
        <v>37468183.333333336</v>
      </c>
    </row>
    <row r="17" spans="1:21" ht="15" thickBot="1" x14ac:dyDescent="0.35">
      <c r="A17" s="403"/>
      <c r="B17" s="24">
        <v>4</v>
      </c>
      <c r="C17" s="13">
        <v>6.19</v>
      </c>
      <c r="D17" s="13">
        <v>28.5</v>
      </c>
      <c r="E17" s="3">
        <f t="shared" si="0"/>
        <v>0.49520000000000008</v>
      </c>
      <c r="F17" s="3">
        <f t="shared" si="1"/>
        <v>11115</v>
      </c>
      <c r="G17" s="8">
        <f t="shared" si="6"/>
        <v>1.1263779716727358E-5</v>
      </c>
      <c r="H17" s="3">
        <f t="shared" si="2"/>
        <v>4.9461552153791388E-3</v>
      </c>
      <c r="I17" s="8">
        <f t="shared" si="7"/>
        <v>0.50320241439109814</v>
      </c>
      <c r="J17" s="8">
        <f t="shared" si="8"/>
        <v>1.671263646600649E-8</v>
      </c>
      <c r="K17" s="3">
        <f t="shared" si="3"/>
        <v>1.3443396226415095E-3</v>
      </c>
      <c r="L17" s="3">
        <v>390</v>
      </c>
      <c r="M17" s="3">
        <v>106</v>
      </c>
      <c r="N17" s="3">
        <v>131</v>
      </c>
      <c r="O17" s="3">
        <v>314.16000000000003</v>
      </c>
      <c r="P17" s="3">
        <f t="shared" si="4"/>
        <v>1.4818867924528303</v>
      </c>
      <c r="Q17" s="3">
        <v>663.3</v>
      </c>
      <c r="R17" s="3">
        <f t="shared" si="5"/>
        <v>148924121.73289105</v>
      </c>
      <c r="S17" s="10">
        <f t="shared" si="10"/>
        <v>37468183.333333336</v>
      </c>
    </row>
    <row r="18" spans="1:21" ht="15" thickBot="1" x14ac:dyDescent="0.35">
      <c r="A18" s="403"/>
      <c r="B18" s="30">
        <v>5</v>
      </c>
      <c r="C18" s="17">
        <v>7.41</v>
      </c>
      <c r="D18" s="17">
        <v>34</v>
      </c>
      <c r="E18" s="17">
        <f t="shared" si="0"/>
        <v>0.59279999999999999</v>
      </c>
      <c r="F18" s="17">
        <f t="shared" si="1"/>
        <v>13260</v>
      </c>
      <c r="G18" s="21">
        <f t="shared" si="6"/>
        <v>1.343749159188527E-5</v>
      </c>
      <c r="H18" s="17">
        <f t="shared" si="2"/>
        <v>5.9006763972944106E-3</v>
      </c>
      <c r="I18" s="21">
        <f>F18/(O18*Q18*M18*0.001)</f>
        <v>0.60031165225604688</v>
      </c>
      <c r="J18" s="21">
        <f t="shared" si="8"/>
        <v>1.9937882099797215E-8</v>
      </c>
      <c r="K18" s="17">
        <f t="shared" si="3"/>
        <v>1.6037735849056603E-3</v>
      </c>
      <c r="L18" s="17">
        <v>390</v>
      </c>
      <c r="M18" s="17">
        <v>106</v>
      </c>
      <c r="N18" s="17">
        <v>131</v>
      </c>
      <c r="O18" s="17">
        <v>314.16000000000003</v>
      </c>
      <c r="P18" s="17">
        <f t="shared" si="4"/>
        <v>1.4818867924528303</v>
      </c>
      <c r="Q18" s="17">
        <v>663.3</v>
      </c>
      <c r="R18" s="17">
        <f t="shared" si="5"/>
        <v>148924121.73289105</v>
      </c>
      <c r="S18" s="18">
        <f t="shared" si="10"/>
        <v>37468183.333333336</v>
      </c>
    </row>
    <row r="19" spans="1:21" ht="15" thickBot="1" x14ac:dyDescent="0.35">
      <c r="A19" s="405" t="s">
        <v>32</v>
      </c>
      <c r="B19" s="8">
        <v>2</v>
      </c>
      <c r="C19" s="8">
        <v>5.8</v>
      </c>
      <c r="D19" s="8">
        <f>47/2</f>
        <v>23.5</v>
      </c>
      <c r="E19" s="8">
        <f t="shared" si="0"/>
        <v>0.46400000000000002</v>
      </c>
      <c r="F19" s="8">
        <f t="shared" si="1"/>
        <v>9165</v>
      </c>
      <c r="G19" s="8">
        <f t="shared" si="6"/>
        <v>9.287678012038348E-6</v>
      </c>
      <c r="H19" s="8">
        <f t="shared" si="2"/>
        <v>4.0784086863652549E-3</v>
      </c>
      <c r="I19" s="8">
        <f t="shared" ref="I19:I58" si="11">F19/(O19*Q19*M19*0.001)</f>
        <v>0.41492128905932657</v>
      </c>
      <c r="J19" s="8">
        <f t="shared" si="8"/>
        <v>1.3780594980742192E-8</v>
      </c>
      <c r="K19" s="8">
        <f t="shared" si="3"/>
        <v>1.1084905660377359E-3</v>
      </c>
      <c r="L19" s="8">
        <v>390</v>
      </c>
      <c r="M19" s="8">
        <v>106</v>
      </c>
      <c r="N19" s="8">
        <v>131</v>
      </c>
      <c r="O19" s="8">
        <v>314.16000000000003</v>
      </c>
      <c r="P19" s="8">
        <f t="shared" si="4"/>
        <v>1.4818867924528303</v>
      </c>
      <c r="Q19" s="8">
        <v>663.3</v>
      </c>
      <c r="R19" s="4">
        <f t="shared" si="5"/>
        <v>148924121.73289105</v>
      </c>
      <c r="S19" s="5">
        <f t="shared" si="10"/>
        <v>37468183.333333336</v>
      </c>
    </row>
    <row r="20" spans="1:21" ht="15" thickBot="1" x14ac:dyDescent="0.35">
      <c r="A20" s="406"/>
      <c r="B20" s="3">
        <v>3</v>
      </c>
      <c r="C20" s="3">
        <v>7.9</v>
      </c>
      <c r="D20" s="3">
        <f>66/2</f>
        <v>33</v>
      </c>
      <c r="E20" s="3">
        <f t="shared" si="0"/>
        <v>0.63200000000000001</v>
      </c>
      <c r="F20" s="3">
        <f t="shared" si="1"/>
        <v>12870</v>
      </c>
      <c r="G20" s="3">
        <f t="shared" si="6"/>
        <v>1.3042271250947469E-5</v>
      </c>
      <c r="H20" s="3">
        <f t="shared" si="2"/>
        <v>5.727127091491634E-3</v>
      </c>
      <c r="I20" s="3">
        <f t="shared" si="11"/>
        <v>0.58265542718969265</v>
      </c>
      <c r="J20" s="3">
        <f t="shared" si="8"/>
        <v>1.9351473802744355E-8</v>
      </c>
      <c r="K20" s="3">
        <f t="shared" si="3"/>
        <v>1.5566037735849057E-3</v>
      </c>
      <c r="L20" s="3">
        <v>390</v>
      </c>
      <c r="M20" s="3">
        <v>106</v>
      </c>
      <c r="N20" s="3">
        <v>131</v>
      </c>
      <c r="O20" s="3">
        <v>314.16000000000003</v>
      </c>
      <c r="P20" s="3">
        <f t="shared" si="4"/>
        <v>1.4818867924528303</v>
      </c>
      <c r="Q20" s="3">
        <v>663.3</v>
      </c>
      <c r="R20" s="11">
        <f t="shared" si="5"/>
        <v>148924121.73289105</v>
      </c>
      <c r="S20" s="12">
        <f t="shared" si="10"/>
        <v>37468183.333333336</v>
      </c>
      <c r="U20"/>
    </row>
    <row r="21" spans="1:21" ht="15" thickBot="1" x14ac:dyDescent="0.35">
      <c r="A21" s="406"/>
      <c r="B21" s="3">
        <v>4</v>
      </c>
      <c r="C21" s="3">
        <v>8.44</v>
      </c>
      <c r="D21" s="3">
        <f>71/2</f>
        <v>35.5</v>
      </c>
      <c r="E21" s="3">
        <f t="shared" si="0"/>
        <v>0.67519999999999991</v>
      </c>
      <c r="F21" s="3">
        <f t="shared" si="1"/>
        <v>13845</v>
      </c>
      <c r="G21" s="3">
        <f t="shared" si="6"/>
        <v>1.4030322103291974E-5</v>
      </c>
      <c r="H21" s="3">
        <f t="shared" si="2"/>
        <v>6.1610003559985759E-3</v>
      </c>
      <c r="I21" s="3">
        <f t="shared" si="11"/>
        <v>0.62679598985557838</v>
      </c>
      <c r="J21" s="3">
        <f t="shared" si="8"/>
        <v>2.0817494545376505E-8</v>
      </c>
      <c r="K21" s="3">
        <f t="shared" si="3"/>
        <v>1.6745283018867925E-3</v>
      </c>
      <c r="L21" s="3">
        <v>390</v>
      </c>
      <c r="M21" s="3">
        <v>106</v>
      </c>
      <c r="N21" s="3">
        <v>131</v>
      </c>
      <c r="O21" s="3">
        <v>314.16000000000003</v>
      </c>
      <c r="P21" s="3">
        <f t="shared" si="4"/>
        <v>1.4818867924528303</v>
      </c>
      <c r="Q21" s="11">
        <v>663.3</v>
      </c>
      <c r="R21" s="11">
        <f t="shared" si="5"/>
        <v>148924121.73289105</v>
      </c>
      <c r="S21" s="12">
        <f t="shared" si="10"/>
        <v>37468183.333333336</v>
      </c>
      <c r="U21"/>
    </row>
    <row r="22" spans="1:21" ht="15" thickBot="1" x14ac:dyDescent="0.35">
      <c r="A22" s="410"/>
      <c r="B22" s="22" t="s">
        <v>33</v>
      </c>
      <c r="C22" s="11">
        <v>9.9</v>
      </c>
      <c r="D22" s="11">
        <v>6</v>
      </c>
      <c r="E22" s="11">
        <f t="shared" si="0"/>
        <v>0.79200000000000004</v>
      </c>
      <c r="F22" s="11">
        <f t="shared" si="1"/>
        <v>2340</v>
      </c>
      <c r="G22" s="11">
        <f t="shared" si="6"/>
        <v>2.3713220456268123E-6</v>
      </c>
      <c r="H22" s="11">
        <f t="shared" si="2"/>
        <v>1.0412958348166607E-3</v>
      </c>
      <c r="I22" s="11">
        <f t="shared" si="11"/>
        <v>0.10593735039812593</v>
      </c>
      <c r="J22" s="11">
        <f t="shared" si="8"/>
        <v>3.5184497823171557E-9</v>
      </c>
      <c r="K22" s="11">
        <f t="shared" si="3"/>
        <v>2.8301886792452831E-4</v>
      </c>
      <c r="L22" s="11">
        <v>390</v>
      </c>
      <c r="M22" s="11">
        <v>106</v>
      </c>
      <c r="N22" s="11">
        <v>131</v>
      </c>
      <c r="O22" s="11">
        <v>314.16000000000003</v>
      </c>
      <c r="P22" s="11">
        <f t="shared" si="4"/>
        <v>1.4818867924528303</v>
      </c>
      <c r="Q22" s="11">
        <v>663.3</v>
      </c>
      <c r="R22" s="11">
        <f t="shared" si="5"/>
        <v>148924121.73289105</v>
      </c>
      <c r="S22" s="12">
        <f t="shared" si="10"/>
        <v>37468183.333333336</v>
      </c>
      <c r="U22"/>
    </row>
    <row r="23" spans="1:21" x14ac:dyDescent="0.3">
      <c r="A23" s="405" t="s">
        <v>35</v>
      </c>
      <c r="B23" s="8">
        <v>1</v>
      </c>
      <c r="C23" s="8">
        <v>6.5</v>
      </c>
      <c r="D23" s="8">
        <v>41.4</v>
      </c>
      <c r="E23" s="8">
        <f t="shared" si="0"/>
        <v>0.52</v>
      </c>
      <c r="F23" s="8">
        <f t="shared" si="1"/>
        <v>16146</v>
      </c>
      <c r="G23" s="8">
        <f t="shared" si="6"/>
        <v>8.3391535841849419E-6</v>
      </c>
      <c r="H23" s="8">
        <f t="shared" si="2"/>
        <v>4.1783551576005384E-3</v>
      </c>
      <c r="I23" s="8">
        <f t="shared" si="11"/>
        <v>0.44594289543130539</v>
      </c>
      <c r="J23" s="8">
        <f t="shared" si="8"/>
        <v>1.253896230361332E-8</v>
      </c>
      <c r="K23" s="8">
        <f t="shared" si="3"/>
        <v>1.4892086330935252E-3</v>
      </c>
      <c r="L23" s="8">
        <v>390</v>
      </c>
      <c r="M23" s="8">
        <v>139</v>
      </c>
      <c r="N23" s="8">
        <v>164</v>
      </c>
      <c r="O23" s="8">
        <v>392.7</v>
      </c>
      <c r="P23" s="8">
        <f t="shared" si="4"/>
        <v>1.412589928057554</v>
      </c>
      <c r="Q23" s="8">
        <v>663.3</v>
      </c>
      <c r="R23" s="8">
        <f t="shared" si="5"/>
        <v>288339338.92909938</v>
      </c>
      <c r="S23" s="9">
        <f t="shared" si="10"/>
        <v>73515733.333333328</v>
      </c>
      <c r="U23"/>
    </row>
    <row r="24" spans="1:21" ht="15" thickBot="1" x14ac:dyDescent="0.35">
      <c r="A24" s="406"/>
      <c r="B24" s="15" t="s">
        <v>34</v>
      </c>
      <c r="C24" s="17">
        <v>6.8</v>
      </c>
      <c r="D24" s="17">
        <f>31.76/2</f>
        <v>15.88</v>
      </c>
      <c r="E24" s="17">
        <f t="shared" si="0"/>
        <v>0.54399999999999993</v>
      </c>
      <c r="F24" s="17">
        <f t="shared" si="1"/>
        <v>6193.2000000000007</v>
      </c>
      <c r="G24" s="17">
        <f t="shared" si="6"/>
        <v>3.1986898289095867E-6</v>
      </c>
      <c r="H24" s="17">
        <f t="shared" si="2"/>
        <v>1.6027120749443613E-3</v>
      </c>
      <c r="I24" s="17">
        <f t="shared" si="11"/>
        <v>0.17105249225722538</v>
      </c>
      <c r="J24" s="17">
        <f t="shared" si="8"/>
        <v>4.8096309512410517E-9</v>
      </c>
      <c r="K24" s="17">
        <f t="shared" si="3"/>
        <v>5.712230215827338E-4</v>
      </c>
      <c r="L24" s="17">
        <v>390</v>
      </c>
      <c r="M24" s="17">
        <v>139</v>
      </c>
      <c r="N24" s="17">
        <v>164</v>
      </c>
      <c r="O24" s="17">
        <v>392.7</v>
      </c>
      <c r="P24" s="17">
        <f t="shared" si="4"/>
        <v>1.412589928057554</v>
      </c>
      <c r="Q24" s="17">
        <f>Q23</f>
        <v>663.3</v>
      </c>
      <c r="R24" s="17">
        <f t="shared" si="5"/>
        <v>288339338.92909938</v>
      </c>
      <c r="S24" s="18">
        <f t="shared" si="10"/>
        <v>73515733.333333328</v>
      </c>
    </row>
    <row r="25" spans="1:21" x14ac:dyDescent="0.3">
      <c r="A25" s="407" t="s">
        <v>36</v>
      </c>
      <c r="B25" s="6">
        <v>2</v>
      </c>
      <c r="C25" s="8">
        <v>4.1500000000000004</v>
      </c>
      <c r="D25" s="8">
        <f>46/2</f>
        <v>23</v>
      </c>
      <c r="E25" s="8">
        <f t="shared" si="0"/>
        <v>0.33200000000000007</v>
      </c>
      <c r="F25" s="8">
        <f t="shared" si="1"/>
        <v>8970</v>
      </c>
      <c r="G25" s="8">
        <f t="shared" si="6"/>
        <v>4.6328631023249671E-6</v>
      </c>
      <c r="H25" s="8">
        <f t="shared" si="2"/>
        <v>2.3213084208891879E-3</v>
      </c>
      <c r="I25" s="8">
        <f t="shared" si="11"/>
        <v>0.24774605301739189</v>
      </c>
      <c r="J25" s="8">
        <f t="shared" si="8"/>
        <v>6.9660901686740671E-9</v>
      </c>
      <c r="K25" s="8">
        <f t="shared" si="3"/>
        <v>8.2733812949640291E-4</v>
      </c>
      <c r="L25" s="8">
        <v>390</v>
      </c>
      <c r="M25" s="8">
        <v>139</v>
      </c>
      <c r="N25" s="8">
        <v>164</v>
      </c>
      <c r="O25" s="8">
        <v>392.7</v>
      </c>
      <c r="P25" s="8">
        <f t="shared" si="4"/>
        <v>1.412589928057554</v>
      </c>
      <c r="Q25" s="8">
        <f t="shared" ref="Q25:Q32" si="12">Q24</f>
        <v>663.3</v>
      </c>
      <c r="R25" s="8">
        <f t="shared" si="5"/>
        <v>288339338.92909938</v>
      </c>
      <c r="S25" s="9">
        <f t="shared" si="10"/>
        <v>73515733.333333328</v>
      </c>
    </row>
    <row r="26" spans="1:21" x14ac:dyDescent="0.3">
      <c r="A26" s="408"/>
      <c r="B26" s="31">
        <v>3</v>
      </c>
      <c r="C26" s="3">
        <v>5.5</v>
      </c>
      <c r="D26" s="3">
        <f>69/2</f>
        <v>34.5</v>
      </c>
      <c r="E26" s="3">
        <f t="shared" si="0"/>
        <v>0.44</v>
      </c>
      <c r="F26" s="3">
        <f t="shared" si="1"/>
        <v>13455</v>
      </c>
      <c r="G26" s="3">
        <f t="shared" si="6"/>
        <v>6.949294653487451E-6</v>
      </c>
      <c r="H26" s="3">
        <f t="shared" si="2"/>
        <v>3.481962631333782E-3</v>
      </c>
      <c r="I26" s="3">
        <f t="shared" si="11"/>
        <v>0.37161907952608786</v>
      </c>
      <c r="J26" s="3">
        <f t="shared" si="8"/>
        <v>1.04491352530111E-8</v>
      </c>
      <c r="K26" s="3">
        <f t="shared" si="3"/>
        <v>1.2410071942446043E-3</v>
      </c>
      <c r="L26" s="3">
        <v>390</v>
      </c>
      <c r="M26" s="3">
        <v>139</v>
      </c>
      <c r="N26" s="3">
        <v>164</v>
      </c>
      <c r="O26" s="3">
        <v>392.7</v>
      </c>
      <c r="P26" s="3">
        <f t="shared" si="4"/>
        <v>1.412589928057554</v>
      </c>
      <c r="Q26" s="3">
        <f t="shared" si="12"/>
        <v>663.3</v>
      </c>
      <c r="R26" s="3">
        <f t="shared" si="5"/>
        <v>288339338.92909938</v>
      </c>
      <c r="S26" s="10">
        <f t="shared" si="10"/>
        <v>73515733.333333328</v>
      </c>
    </row>
    <row r="27" spans="1:21" ht="15" thickBot="1" x14ac:dyDescent="0.35">
      <c r="A27" s="409"/>
      <c r="B27" s="32">
        <v>4</v>
      </c>
      <c r="C27" s="17">
        <v>7.2</v>
      </c>
      <c r="D27" s="17">
        <v>42.3</v>
      </c>
      <c r="E27" s="17">
        <f t="shared" si="0"/>
        <v>0.57600000000000007</v>
      </c>
      <c r="F27" s="17">
        <f t="shared" si="1"/>
        <v>16497</v>
      </c>
      <c r="G27" s="17">
        <f t="shared" si="6"/>
        <v>8.5204395316672232E-6</v>
      </c>
      <c r="H27" s="17">
        <f t="shared" si="2"/>
        <v>4.2691889653744628E-3</v>
      </c>
      <c r="I27" s="17">
        <f t="shared" si="11"/>
        <v>0.45563730620155118</v>
      </c>
      <c r="J27" s="17">
        <f t="shared" si="8"/>
        <v>1.2811548440648392E-8</v>
      </c>
      <c r="K27" s="17">
        <f t="shared" si="3"/>
        <v>1.5215827338129495E-3</v>
      </c>
      <c r="L27" s="17">
        <v>390</v>
      </c>
      <c r="M27" s="17">
        <v>139</v>
      </c>
      <c r="N27" s="17">
        <v>164</v>
      </c>
      <c r="O27" s="17">
        <v>392.7</v>
      </c>
      <c r="P27" s="17">
        <f t="shared" si="4"/>
        <v>1.412589928057554</v>
      </c>
      <c r="Q27" s="17">
        <f t="shared" si="12"/>
        <v>663.3</v>
      </c>
      <c r="R27" s="17">
        <f t="shared" si="5"/>
        <v>288339338.92909938</v>
      </c>
      <c r="S27" s="18">
        <f t="shared" si="10"/>
        <v>73515733.333333328</v>
      </c>
    </row>
    <row r="28" spans="1:21" x14ac:dyDescent="0.3">
      <c r="A28" s="402" t="s">
        <v>37</v>
      </c>
      <c r="B28" s="33">
        <v>2</v>
      </c>
      <c r="C28" s="8">
        <v>3.92</v>
      </c>
      <c r="D28" s="8">
        <v>25</v>
      </c>
      <c r="E28" s="8">
        <f t="shared" si="0"/>
        <v>0.31359999999999999</v>
      </c>
      <c r="F28" s="8">
        <f t="shared" si="1"/>
        <v>9750</v>
      </c>
      <c r="G28" s="8">
        <f t="shared" si="6"/>
        <v>5.0357207633967036E-6</v>
      </c>
      <c r="H28" s="8">
        <f t="shared" si="2"/>
        <v>2.5231613270534649E-3</v>
      </c>
      <c r="I28" s="8">
        <f t="shared" si="11"/>
        <v>0.2692891880623825</v>
      </c>
      <c r="J28" s="8">
        <f t="shared" si="8"/>
        <v>7.5718371398631168E-9</v>
      </c>
      <c r="K28" s="8">
        <f t="shared" si="3"/>
        <v>8.9928057553956839E-4</v>
      </c>
      <c r="L28" s="8">
        <v>390</v>
      </c>
      <c r="M28" s="8">
        <v>139</v>
      </c>
      <c r="N28" s="8">
        <v>164</v>
      </c>
      <c r="O28" s="8">
        <v>392.7</v>
      </c>
      <c r="P28" s="8">
        <f t="shared" si="4"/>
        <v>1.412589928057554</v>
      </c>
      <c r="Q28" s="8">
        <f t="shared" si="12"/>
        <v>663.3</v>
      </c>
      <c r="R28" s="8">
        <f t="shared" si="5"/>
        <v>288339338.92909938</v>
      </c>
      <c r="S28" s="9">
        <f t="shared" si="10"/>
        <v>73515733.333333328</v>
      </c>
    </row>
    <row r="29" spans="1:21" x14ac:dyDescent="0.3">
      <c r="A29" s="403"/>
      <c r="B29" s="24">
        <v>3</v>
      </c>
      <c r="C29" s="3">
        <v>4.6500000000000004</v>
      </c>
      <c r="D29" s="3">
        <f>65/2</f>
        <v>32.5</v>
      </c>
      <c r="E29" s="3">
        <f t="shared" si="0"/>
        <v>0.372</v>
      </c>
      <c r="F29" s="3">
        <f t="shared" si="1"/>
        <v>12675</v>
      </c>
      <c r="G29" s="3">
        <f t="shared" si="6"/>
        <v>6.5464369924157145E-6</v>
      </c>
      <c r="H29" s="3">
        <f t="shared" si="2"/>
        <v>3.2801097251695045E-3</v>
      </c>
      <c r="I29" s="3">
        <f t="shared" si="11"/>
        <v>0.35007594448109725</v>
      </c>
      <c r="J29" s="3">
        <f t="shared" si="8"/>
        <v>9.8433882818220515E-9</v>
      </c>
      <c r="K29" s="3">
        <f t="shared" si="3"/>
        <v>1.1690647482014388E-3</v>
      </c>
      <c r="L29" s="3">
        <v>390</v>
      </c>
      <c r="M29" s="3">
        <v>139</v>
      </c>
      <c r="N29" s="3">
        <v>164</v>
      </c>
      <c r="O29" s="3">
        <v>392.7</v>
      </c>
      <c r="P29" s="3">
        <f t="shared" si="4"/>
        <v>1.412589928057554</v>
      </c>
      <c r="Q29" s="3">
        <f t="shared" si="12"/>
        <v>663.3</v>
      </c>
      <c r="R29" s="3">
        <f t="shared" si="5"/>
        <v>288339338.92909938</v>
      </c>
      <c r="S29" s="10">
        <f t="shared" si="10"/>
        <v>73515733.333333328</v>
      </c>
    </row>
    <row r="30" spans="1:21" x14ac:dyDescent="0.3">
      <c r="A30" s="403"/>
      <c r="B30" s="24">
        <v>4</v>
      </c>
      <c r="C30" s="3">
        <v>6.82</v>
      </c>
      <c r="D30" s="3">
        <f>86/2</f>
        <v>43</v>
      </c>
      <c r="E30" s="3">
        <f t="shared" si="0"/>
        <v>0.54559999999999997</v>
      </c>
      <c r="F30" s="3">
        <f t="shared" si="1"/>
        <v>16770</v>
      </c>
      <c r="G30" s="3">
        <f t="shared" si="6"/>
        <v>8.6614397130423298E-6</v>
      </c>
      <c r="H30" s="3">
        <f t="shared" si="2"/>
        <v>4.3398374825319597E-3</v>
      </c>
      <c r="I30" s="3">
        <f t="shared" si="11"/>
        <v>0.46317740346729791</v>
      </c>
      <c r="J30" s="3">
        <f t="shared" si="8"/>
        <v>1.3023559880564561E-8</v>
      </c>
      <c r="K30" s="3">
        <f t="shared" si="3"/>
        <v>1.5467625899280575E-3</v>
      </c>
      <c r="L30" s="3">
        <v>390</v>
      </c>
      <c r="M30" s="3">
        <v>139</v>
      </c>
      <c r="N30" s="3">
        <v>164</v>
      </c>
      <c r="O30" s="3">
        <v>392.7</v>
      </c>
      <c r="P30" s="3">
        <f t="shared" si="4"/>
        <v>1.412589928057554</v>
      </c>
      <c r="Q30" s="3">
        <f t="shared" si="12"/>
        <v>663.3</v>
      </c>
      <c r="R30" s="3">
        <f t="shared" si="5"/>
        <v>288339338.92909938</v>
      </c>
      <c r="S30" s="10">
        <f t="shared" si="10"/>
        <v>73515733.333333328</v>
      </c>
    </row>
    <row r="31" spans="1:21" x14ac:dyDescent="0.3">
      <c r="A31" s="403"/>
      <c r="B31" s="24">
        <v>5</v>
      </c>
      <c r="C31" s="3">
        <v>9.32</v>
      </c>
      <c r="D31" s="3">
        <v>57</v>
      </c>
      <c r="E31" s="3">
        <f t="shared" si="0"/>
        <v>0.74560000000000004</v>
      </c>
      <c r="F31" s="3">
        <f t="shared" si="1"/>
        <v>22230</v>
      </c>
      <c r="G31" s="3">
        <f t="shared" si="6"/>
        <v>1.1481443340544485E-5</v>
      </c>
      <c r="H31" s="3">
        <f t="shared" si="2"/>
        <v>5.7528078256819009E-3</v>
      </c>
      <c r="I31" s="3">
        <f t="shared" si="11"/>
        <v>0.61397934878223204</v>
      </c>
      <c r="J31" s="3">
        <f t="shared" si="8"/>
        <v>1.7263788678887904E-8</v>
      </c>
      <c r="K31" s="3">
        <f t="shared" si="3"/>
        <v>2.0503597122302156E-3</v>
      </c>
      <c r="L31" s="3">
        <v>390</v>
      </c>
      <c r="M31" s="3">
        <v>139</v>
      </c>
      <c r="N31" s="3">
        <v>164</v>
      </c>
      <c r="O31" s="3">
        <v>392.7</v>
      </c>
      <c r="P31" s="3">
        <f t="shared" si="4"/>
        <v>1.412589928057554</v>
      </c>
      <c r="Q31" s="3">
        <f t="shared" si="12"/>
        <v>663.3</v>
      </c>
      <c r="R31" s="3">
        <f t="shared" si="5"/>
        <v>288339338.92909938</v>
      </c>
      <c r="S31" s="10">
        <f t="shared" si="10"/>
        <v>73515733.333333328</v>
      </c>
    </row>
    <row r="32" spans="1:21" ht="15" thickBot="1" x14ac:dyDescent="0.35">
      <c r="A32" s="403"/>
      <c r="B32" s="29" t="s">
        <v>28</v>
      </c>
      <c r="C32" s="17">
        <v>9.67</v>
      </c>
      <c r="D32" s="17">
        <f>64.39/2</f>
        <v>32.195</v>
      </c>
      <c r="E32" s="17">
        <f t="shared" si="0"/>
        <v>0.77359999999999995</v>
      </c>
      <c r="F32" s="17">
        <f t="shared" si="1"/>
        <v>12556.05</v>
      </c>
      <c r="G32" s="17">
        <f t="shared" si="6"/>
        <v>6.4850011991022745E-6</v>
      </c>
      <c r="H32" s="17">
        <f t="shared" si="2"/>
        <v>3.2493271569794522E-3</v>
      </c>
      <c r="I32" s="17">
        <f t="shared" si="11"/>
        <v>0.34679061638673614</v>
      </c>
      <c r="J32" s="17">
        <f t="shared" si="8"/>
        <v>9.7510118687157211E-9</v>
      </c>
      <c r="K32" s="17">
        <f t="shared" si="3"/>
        <v>1.1580935251798562E-3</v>
      </c>
      <c r="L32" s="17">
        <v>390</v>
      </c>
      <c r="M32" s="17">
        <v>139</v>
      </c>
      <c r="N32" s="17">
        <v>164</v>
      </c>
      <c r="O32" s="17">
        <v>392.7</v>
      </c>
      <c r="P32" s="17">
        <f t="shared" si="4"/>
        <v>1.412589928057554</v>
      </c>
      <c r="Q32" s="17">
        <f t="shared" si="12"/>
        <v>663.3</v>
      </c>
      <c r="R32" s="17">
        <f t="shared" si="5"/>
        <v>288339338.92909938</v>
      </c>
      <c r="S32" s="18">
        <f t="shared" si="10"/>
        <v>73515733.333333328</v>
      </c>
    </row>
    <row r="33" spans="1:21" ht="15" thickBot="1" x14ac:dyDescent="0.35">
      <c r="A33" s="59" t="s">
        <v>38</v>
      </c>
      <c r="B33" s="6" t="s">
        <v>41</v>
      </c>
      <c r="C33" s="8">
        <v>7.2</v>
      </c>
      <c r="D33" s="8">
        <v>50</v>
      </c>
      <c r="E33" s="8">
        <f t="shared" si="0"/>
        <v>0.57600000000000007</v>
      </c>
      <c r="F33" s="8">
        <f t="shared" si="1"/>
        <v>19500</v>
      </c>
      <c r="G33" s="8">
        <f t="shared" si="6"/>
        <v>6.5801799000988136E-6</v>
      </c>
      <c r="H33" s="8">
        <f t="shared" si="2"/>
        <v>3.6696902405058528E-3</v>
      </c>
      <c r="I33" s="8">
        <f t="shared" si="11"/>
        <v>0.42041999736531194</v>
      </c>
      <c r="J33" s="8">
        <f t="shared" si="8"/>
        <v>1.0101208194398959E-8</v>
      </c>
      <c r="K33" s="8">
        <f t="shared" si="3"/>
        <v>1.5337423312883436E-3</v>
      </c>
      <c r="L33" s="8">
        <v>390</v>
      </c>
      <c r="M33" s="8">
        <v>163</v>
      </c>
      <c r="N33" s="8">
        <v>189</v>
      </c>
      <c r="O33" s="8">
        <v>452.39</v>
      </c>
      <c r="P33" s="8">
        <f t="shared" si="4"/>
        <v>1.3876993865030673</v>
      </c>
      <c r="Q33" s="8">
        <v>629</v>
      </c>
      <c r="R33" s="8">
        <f t="shared" si="5"/>
        <v>432276708.56195867</v>
      </c>
      <c r="S33" s="9">
        <f t="shared" si="10"/>
        <v>112521150</v>
      </c>
    </row>
    <row r="34" spans="1:21" ht="15" thickBot="1" x14ac:dyDescent="0.35">
      <c r="A34" s="60" t="s">
        <v>39</v>
      </c>
      <c r="B34" s="34" t="s">
        <v>42</v>
      </c>
      <c r="C34" s="3">
        <v>6.53</v>
      </c>
      <c r="D34" s="3">
        <v>50.7</v>
      </c>
      <c r="E34" s="3">
        <f t="shared" si="0"/>
        <v>0.52240000000000009</v>
      </c>
      <c r="F34" s="3">
        <f t="shared" si="1"/>
        <v>19773</v>
      </c>
      <c r="G34" s="3">
        <f t="shared" si="6"/>
        <v>6.672302418700197E-6</v>
      </c>
      <c r="H34" s="3">
        <f t="shared" si="2"/>
        <v>3.7210659038729348E-3</v>
      </c>
      <c r="I34" s="3">
        <f t="shared" si="11"/>
        <v>0.42630587732842629</v>
      </c>
      <c r="J34" s="3">
        <f t="shared" si="8"/>
        <v>1.0242625109120545E-8</v>
      </c>
      <c r="K34" s="3">
        <f t="shared" si="3"/>
        <v>1.5552147239263805E-3</v>
      </c>
      <c r="L34" s="3">
        <v>390</v>
      </c>
      <c r="M34" s="8">
        <v>163</v>
      </c>
      <c r="N34" s="8">
        <v>189</v>
      </c>
      <c r="O34" s="8">
        <v>452.39</v>
      </c>
      <c r="P34" s="3">
        <f t="shared" si="4"/>
        <v>1.3876993865030673</v>
      </c>
      <c r="Q34" s="3">
        <f>Q33</f>
        <v>629</v>
      </c>
      <c r="R34" s="3">
        <f t="shared" si="5"/>
        <v>432276708.56195867</v>
      </c>
      <c r="S34" s="10">
        <f t="shared" si="10"/>
        <v>112521150</v>
      </c>
    </row>
    <row r="35" spans="1:21" ht="15" thickBot="1" x14ac:dyDescent="0.35">
      <c r="A35" s="61" t="s">
        <v>40</v>
      </c>
      <c r="B35" s="35" t="s">
        <v>43</v>
      </c>
      <c r="C35" s="17">
        <v>5.4</v>
      </c>
      <c r="D35" s="17">
        <v>44.9</v>
      </c>
      <c r="E35" s="17">
        <f t="shared" si="0"/>
        <v>0.432</v>
      </c>
      <c r="F35" s="17">
        <f t="shared" si="1"/>
        <v>17511</v>
      </c>
      <c r="G35" s="17">
        <f t="shared" si="6"/>
        <v>5.9090015502887345E-6</v>
      </c>
      <c r="H35" s="17">
        <f t="shared" si="2"/>
        <v>3.2953818359742555E-3</v>
      </c>
      <c r="I35" s="17">
        <f t="shared" si="11"/>
        <v>0.3775371576340501</v>
      </c>
      <c r="J35" s="17">
        <f t="shared" si="8"/>
        <v>9.0708849585702656E-9</v>
      </c>
      <c r="K35" s="17">
        <f t="shared" si="3"/>
        <v>1.3773006134969324E-3</v>
      </c>
      <c r="L35" s="17">
        <v>390</v>
      </c>
      <c r="M35" s="21">
        <v>163</v>
      </c>
      <c r="N35" s="21">
        <v>189</v>
      </c>
      <c r="O35" s="21">
        <v>452.39</v>
      </c>
      <c r="P35" s="17">
        <f t="shared" si="4"/>
        <v>1.3876993865030673</v>
      </c>
      <c r="Q35" s="17">
        <f>Q34</f>
        <v>629</v>
      </c>
      <c r="R35" s="17">
        <f t="shared" si="5"/>
        <v>432276708.56195867</v>
      </c>
      <c r="S35" s="18">
        <f t="shared" si="10"/>
        <v>112521150</v>
      </c>
    </row>
    <row r="36" spans="1:21" x14ac:dyDescent="0.3">
      <c r="A36" s="405" t="s">
        <v>44</v>
      </c>
      <c r="B36" s="39">
        <v>2</v>
      </c>
      <c r="C36" s="8">
        <v>3.25</v>
      </c>
      <c r="D36" s="19">
        <f>71.3/2</f>
        <v>35.65</v>
      </c>
      <c r="E36" s="36">
        <f t="shared" si="0"/>
        <v>0.26</v>
      </c>
      <c r="F36" s="8">
        <f t="shared" si="1"/>
        <v>13903.5</v>
      </c>
      <c r="G36" s="8">
        <f t="shared" si="6"/>
        <v>2.409776144137305E-6</v>
      </c>
      <c r="H36" s="8">
        <f t="shared" si="2"/>
        <v>1.5763605442176871E-3</v>
      </c>
      <c r="I36" s="8">
        <f t="shared" si="11"/>
        <v>0.18613552633502012</v>
      </c>
      <c r="J36" s="8">
        <f>D36/($V$7*R36*0.001)</f>
        <v>5.0632151118157129E-9</v>
      </c>
      <c r="K36" s="8">
        <f t="shared" si="3"/>
        <v>8.4880952380952382E-4</v>
      </c>
      <c r="L36" s="36">
        <v>390</v>
      </c>
      <c r="M36" s="36">
        <v>210</v>
      </c>
      <c r="N36" s="36">
        <v>236</v>
      </c>
      <c r="O36" s="36">
        <v>565.49</v>
      </c>
      <c r="P36" s="36">
        <f t="shared" si="4"/>
        <v>1.3464047619047619</v>
      </c>
      <c r="Q36" s="36">
        <v>629</v>
      </c>
      <c r="R36" s="36">
        <f t="shared" si="5"/>
        <v>614891244.82907891</v>
      </c>
      <c r="S36" s="37">
        <f t="shared" si="10"/>
        <v>219070933.33333334</v>
      </c>
      <c r="T36" s="1"/>
      <c r="U36" s="1"/>
    </row>
    <row r="37" spans="1:21" x14ac:dyDescent="0.3">
      <c r="A37" s="406"/>
      <c r="B37" s="34">
        <v>3</v>
      </c>
      <c r="C37" s="3">
        <v>3.53</v>
      </c>
      <c r="D37" s="13">
        <f>85/2</f>
        <v>42.5</v>
      </c>
      <c r="E37" s="7">
        <f t="shared" si="0"/>
        <v>0.28239999999999998</v>
      </c>
      <c r="F37" s="3">
        <f t="shared" si="1"/>
        <v>16575</v>
      </c>
      <c r="G37" s="3">
        <f t="shared" si="6"/>
        <v>2.8728046599112333E-6</v>
      </c>
      <c r="H37" s="3">
        <f t="shared" si="2"/>
        <v>1.879251700680272E-3</v>
      </c>
      <c r="I37" s="3">
        <f t="shared" si="11"/>
        <v>0.22190069759434378</v>
      </c>
      <c r="J37" s="3">
        <f t="shared" ref="J37:J58" si="13">D37/($V$7*R37*0.001)</f>
        <v>6.0360909467648754E-9</v>
      </c>
      <c r="K37" s="3">
        <f t="shared" si="3"/>
        <v>1.0119047619047618E-3</v>
      </c>
      <c r="L37" s="7">
        <v>390</v>
      </c>
      <c r="M37" s="7">
        <v>210</v>
      </c>
      <c r="N37" s="7">
        <v>236</v>
      </c>
      <c r="O37" s="7">
        <v>565.49</v>
      </c>
      <c r="P37" s="7">
        <f t="shared" si="4"/>
        <v>1.3464047619047619</v>
      </c>
      <c r="Q37" s="7">
        <v>629</v>
      </c>
      <c r="R37" s="7">
        <f t="shared" si="5"/>
        <v>614891244.82907891</v>
      </c>
      <c r="S37" s="38">
        <f t="shared" si="10"/>
        <v>219070933.33333334</v>
      </c>
      <c r="T37" s="1"/>
      <c r="U37" s="1"/>
    </row>
    <row r="38" spans="1:21" x14ac:dyDescent="0.3">
      <c r="A38" s="406"/>
      <c r="B38" s="34">
        <v>4</v>
      </c>
      <c r="C38" s="3">
        <v>3.85</v>
      </c>
      <c r="D38" s="13">
        <f>94/2</f>
        <v>47</v>
      </c>
      <c r="E38" s="3">
        <f t="shared" si="0"/>
        <v>0.30800000000000005</v>
      </c>
      <c r="F38" s="3">
        <f t="shared" si="1"/>
        <v>18330</v>
      </c>
      <c r="G38" s="3">
        <f t="shared" si="6"/>
        <v>3.176983976843011E-6</v>
      </c>
      <c r="H38" s="3">
        <f t="shared" si="2"/>
        <v>2.078231292517007E-3</v>
      </c>
      <c r="I38" s="3">
        <f t="shared" si="11"/>
        <v>0.24539606557492136</v>
      </c>
      <c r="J38" s="3">
        <f>D38/($V$7*R38*0.001)</f>
        <v>6.6752064587752736E-9</v>
      </c>
      <c r="K38" s="3">
        <f>D38/($V$4*M38)</f>
        <v>1.1190476190476191E-3</v>
      </c>
      <c r="L38" s="7">
        <v>390</v>
      </c>
      <c r="M38" s="7">
        <v>210</v>
      </c>
      <c r="N38" s="7">
        <v>236</v>
      </c>
      <c r="O38" s="7">
        <v>565.49</v>
      </c>
      <c r="P38" s="7">
        <f t="shared" si="4"/>
        <v>1.3464047619047619</v>
      </c>
      <c r="Q38" s="7">
        <v>629</v>
      </c>
      <c r="R38" s="7">
        <f t="shared" si="5"/>
        <v>614891244.82907891</v>
      </c>
      <c r="S38" s="38">
        <f t="shared" si="10"/>
        <v>219070933.33333334</v>
      </c>
    </row>
    <row r="39" spans="1:21" x14ac:dyDescent="0.3">
      <c r="A39" s="406"/>
      <c r="B39" s="34">
        <v>5</v>
      </c>
      <c r="C39" s="3">
        <v>4.55</v>
      </c>
      <c r="D39" s="3">
        <f>124/2</f>
        <v>62</v>
      </c>
      <c r="E39" s="3">
        <f t="shared" si="0"/>
        <v>0.36399999999999999</v>
      </c>
      <c r="F39" s="3">
        <f t="shared" si="1"/>
        <v>24180</v>
      </c>
      <c r="G39" s="3">
        <f t="shared" si="6"/>
        <v>4.1909150332822701E-6</v>
      </c>
      <c r="H39" s="3">
        <f t="shared" si="2"/>
        <v>2.7414965986394557E-3</v>
      </c>
      <c r="I39" s="3">
        <f t="shared" si="11"/>
        <v>0.32371395884351328</v>
      </c>
      <c r="J39" s="3">
        <f t="shared" si="13"/>
        <v>8.8055914988099353E-9</v>
      </c>
      <c r="K39" s="3">
        <f t="shared" si="3"/>
        <v>1.4761904761904762E-3</v>
      </c>
      <c r="L39" s="7">
        <v>390</v>
      </c>
      <c r="M39" s="7">
        <v>210</v>
      </c>
      <c r="N39" s="7">
        <v>236</v>
      </c>
      <c r="O39" s="7">
        <v>565.49</v>
      </c>
      <c r="P39" s="7">
        <f t="shared" si="4"/>
        <v>1.3464047619047619</v>
      </c>
      <c r="Q39" s="7">
        <v>629</v>
      </c>
      <c r="R39" s="7">
        <f t="shared" si="5"/>
        <v>614891244.82907891</v>
      </c>
      <c r="S39" s="38">
        <f t="shared" si="10"/>
        <v>219070933.33333334</v>
      </c>
    </row>
    <row r="40" spans="1:21" ht="15" thickBot="1" x14ac:dyDescent="0.35">
      <c r="A40" s="406"/>
      <c r="B40" s="40">
        <v>6</v>
      </c>
      <c r="C40" s="17">
        <v>4.6399999999999997</v>
      </c>
      <c r="D40" s="17">
        <f>126.5/2</f>
        <v>63.25</v>
      </c>
      <c r="E40" s="17">
        <f t="shared" si="0"/>
        <v>0.37119999999999997</v>
      </c>
      <c r="F40" s="17">
        <f t="shared" si="1"/>
        <v>24667.5</v>
      </c>
      <c r="G40" s="17">
        <f t="shared" si="6"/>
        <v>4.2754092879855416E-6</v>
      </c>
      <c r="H40" s="17">
        <f t="shared" si="2"/>
        <v>2.796768707482993E-3</v>
      </c>
      <c r="I40" s="17">
        <f t="shared" si="11"/>
        <v>0.33024044994922924</v>
      </c>
      <c r="J40" s="17">
        <f t="shared" si="13"/>
        <v>8.983123585479491E-9</v>
      </c>
      <c r="K40" s="17">
        <f t="shared" si="3"/>
        <v>1.505952380952381E-3</v>
      </c>
      <c r="L40" s="41">
        <v>390</v>
      </c>
      <c r="M40" s="41">
        <v>210</v>
      </c>
      <c r="N40" s="41">
        <v>236</v>
      </c>
      <c r="O40" s="41">
        <v>565.49</v>
      </c>
      <c r="P40" s="41">
        <f t="shared" si="4"/>
        <v>1.3464047619047619</v>
      </c>
      <c r="Q40" s="41">
        <v>629</v>
      </c>
      <c r="R40" s="41">
        <f t="shared" si="5"/>
        <v>614891244.82907891</v>
      </c>
      <c r="S40" s="42">
        <f t="shared" si="10"/>
        <v>219070933.33333334</v>
      </c>
    </row>
    <row r="41" spans="1:21" x14ac:dyDescent="0.3">
      <c r="A41" s="402" t="s">
        <v>45</v>
      </c>
      <c r="B41" s="23">
        <v>2</v>
      </c>
      <c r="C41" s="8">
        <v>2.13</v>
      </c>
      <c r="D41" s="8">
        <f>104/2</f>
        <v>52</v>
      </c>
      <c r="E41" s="8">
        <f t="shared" si="0"/>
        <v>0.1704</v>
      </c>
      <c r="F41" s="8">
        <f t="shared" si="1"/>
        <v>20280</v>
      </c>
      <c r="G41" s="8">
        <f t="shared" si="6"/>
        <v>3.5149609956560972E-6</v>
      </c>
      <c r="H41" s="8">
        <f t="shared" si="2"/>
        <v>2.2993197278911564E-3</v>
      </c>
      <c r="I41" s="8">
        <f t="shared" si="11"/>
        <v>0.27150202999778533</v>
      </c>
      <c r="J41" s="8">
        <f t="shared" si="13"/>
        <v>7.3853348054534947E-9</v>
      </c>
      <c r="K41" s="8">
        <f t="shared" si="3"/>
        <v>1.238095238095238E-3</v>
      </c>
      <c r="L41" s="36">
        <v>390</v>
      </c>
      <c r="M41" s="36">
        <v>210</v>
      </c>
      <c r="N41" s="36">
        <v>236</v>
      </c>
      <c r="O41" s="36">
        <v>565.49</v>
      </c>
      <c r="P41" s="36">
        <f t="shared" si="4"/>
        <v>1.3464047619047619</v>
      </c>
      <c r="Q41" s="36">
        <v>629</v>
      </c>
      <c r="R41" s="36">
        <f t="shared" si="5"/>
        <v>614891244.82907891</v>
      </c>
      <c r="S41" s="37">
        <f t="shared" si="10"/>
        <v>219070933.33333334</v>
      </c>
    </row>
    <row r="42" spans="1:21" x14ac:dyDescent="0.3">
      <c r="A42" s="403"/>
      <c r="B42" s="24">
        <v>3</v>
      </c>
      <c r="C42" s="3">
        <v>2.77</v>
      </c>
      <c r="D42" s="3">
        <f>120/2</f>
        <v>60</v>
      </c>
      <c r="E42" s="3">
        <f t="shared" si="0"/>
        <v>0.22160000000000002</v>
      </c>
      <c r="F42" s="3">
        <f t="shared" si="1"/>
        <v>23400</v>
      </c>
      <c r="G42" s="3">
        <f t="shared" si="6"/>
        <v>4.0557242257570349E-6</v>
      </c>
      <c r="H42" s="3">
        <f t="shared" si="2"/>
        <v>2.6530612244897961E-3</v>
      </c>
      <c r="I42" s="3">
        <f t="shared" si="11"/>
        <v>0.3132715730743677</v>
      </c>
      <c r="J42" s="3">
        <f t="shared" si="13"/>
        <v>8.5215401601386469E-9</v>
      </c>
      <c r="K42" s="3">
        <f t="shared" si="3"/>
        <v>1.4285714285714286E-3</v>
      </c>
      <c r="L42" s="7">
        <v>390</v>
      </c>
      <c r="M42" s="7">
        <v>210</v>
      </c>
      <c r="N42" s="7">
        <v>236</v>
      </c>
      <c r="O42" s="7">
        <v>565.49</v>
      </c>
      <c r="P42" s="7">
        <f t="shared" si="4"/>
        <v>1.3464047619047619</v>
      </c>
      <c r="Q42" s="7">
        <v>629</v>
      </c>
      <c r="R42" s="7">
        <f t="shared" si="5"/>
        <v>614891244.82907891</v>
      </c>
      <c r="S42" s="38">
        <f t="shared" si="10"/>
        <v>219070933.33333334</v>
      </c>
    </row>
    <row r="43" spans="1:21" x14ac:dyDescent="0.3">
      <c r="A43" s="403"/>
      <c r="B43" s="24">
        <v>4</v>
      </c>
      <c r="C43" s="3">
        <v>2.82</v>
      </c>
      <c r="D43" s="3">
        <f>124/2</f>
        <v>62</v>
      </c>
      <c r="E43" s="3">
        <f t="shared" si="0"/>
        <v>0.22559999999999997</v>
      </c>
      <c r="F43" s="3">
        <f t="shared" si="1"/>
        <v>24180</v>
      </c>
      <c r="G43" s="3">
        <f t="shared" si="6"/>
        <v>4.1909150332822701E-6</v>
      </c>
      <c r="H43" s="3">
        <f t="shared" si="2"/>
        <v>2.7414965986394557E-3</v>
      </c>
      <c r="I43" s="3">
        <f t="shared" si="11"/>
        <v>0.32371395884351328</v>
      </c>
      <c r="J43" s="3">
        <f t="shared" si="13"/>
        <v>8.8055914988099353E-9</v>
      </c>
      <c r="K43" s="3">
        <f t="shared" si="3"/>
        <v>1.4761904761904762E-3</v>
      </c>
      <c r="L43" s="7">
        <v>390</v>
      </c>
      <c r="M43" s="7">
        <v>210</v>
      </c>
      <c r="N43" s="7">
        <v>236</v>
      </c>
      <c r="O43" s="7">
        <v>565.49</v>
      </c>
      <c r="P43" s="7">
        <f t="shared" si="4"/>
        <v>1.3464047619047619</v>
      </c>
      <c r="Q43" s="7">
        <v>629</v>
      </c>
      <c r="R43" s="7">
        <f t="shared" si="5"/>
        <v>614891244.82907891</v>
      </c>
      <c r="S43" s="38">
        <f t="shared" si="10"/>
        <v>219070933.33333334</v>
      </c>
    </row>
    <row r="44" spans="1:21" x14ac:dyDescent="0.3">
      <c r="A44" s="403"/>
      <c r="B44" s="24">
        <v>5</v>
      </c>
      <c r="C44" s="3">
        <v>3.51</v>
      </c>
      <c r="D44" s="3">
        <f>133/2</f>
        <v>66.5</v>
      </c>
      <c r="E44" s="3">
        <f t="shared" si="0"/>
        <v>0.28079999999999999</v>
      </c>
      <c r="F44" s="3">
        <f t="shared" si="1"/>
        <v>25935</v>
      </c>
      <c r="G44" s="3">
        <f t="shared" si="6"/>
        <v>4.4950943502140473E-6</v>
      </c>
      <c r="H44" s="3">
        <f t="shared" si="2"/>
        <v>2.9404761904761904E-3</v>
      </c>
      <c r="I44" s="3">
        <f t="shared" si="11"/>
        <v>0.34720932682409084</v>
      </c>
      <c r="J44" s="3">
        <f t="shared" si="13"/>
        <v>9.4447070108203351E-9</v>
      </c>
      <c r="K44" s="3">
        <f t="shared" si="3"/>
        <v>1.5833333333333333E-3</v>
      </c>
      <c r="L44" s="7">
        <v>390</v>
      </c>
      <c r="M44" s="7">
        <v>210</v>
      </c>
      <c r="N44" s="7">
        <v>236</v>
      </c>
      <c r="O44" s="7">
        <v>565.49</v>
      </c>
      <c r="P44" s="7">
        <f t="shared" si="4"/>
        <v>1.3464047619047619</v>
      </c>
      <c r="Q44" s="7">
        <v>629</v>
      </c>
      <c r="R44" s="7">
        <f t="shared" si="5"/>
        <v>614891244.82907891</v>
      </c>
      <c r="S44" s="38">
        <f t="shared" si="10"/>
        <v>219070933.33333334</v>
      </c>
    </row>
    <row r="45" spans="1:21" ht="15" thickBot="1" x14ac:dyDescent="0.35">
      <c r="A45" s="403"/>
      <c r="B45" s="30">
        <v>6</v>
      </c>
      <c r="C45" s="17">
        <v>3.66</v>
      </c>
      <c r="D45" s="17">
        <v>70.099999999999994</v>
      </c>
      <c r="E45" s="17">
        <f t="shared" si="0"/>
        <v>0.2928</v>
      </c>
      <c r="F45" s="17">
        <f>D45*L45</f>
        <v>27338.999999999996</v>
      </c>
      <c r="G45" s="17">
        <f t="shared" si="6"/>
        <v>4.7384378037594686E-6</v>
      </c>
      <c r="H45" s="17">
        <f t="shared" si="2"/>
        <v>3.0996598639455777E-3</v>
      </c>
      <c r="I45" s="17">
        <f t="shared" si="11"/>
        <v>0.36600562120855284</v>
      </c>
      <c r="J45" s="17">
        <f t="shared" si="13"/>
        <v>9.9559994204286527E-9</v>
      </c>
      <c r="K45" s="17">
        <f t="shared" si="3"/>
        <v>1.6690476190476188E-3</v>
      </c>
      <c r="L45" s="41">
        <v>390</v>
      </c>
      <c r="M45" s="41">
        <v>210</v>
      </c>
      <c r="N45" s="41">
        <v>236</v>
      </c>
      <c r="O45" s="41">
        <v>565.49</v>
      </c>
      <c r="P45" s="41">
        <f t="shared" si="4"/>
        <v>1.3464047619047619</v>
      </c>
      <c r="Q45" s="41">
        <v>629</v>
      </c>
      <c r="R45" s="41">
        <f t="shared" si="5"/>
        <v>614891244.82907891</v>
      </c>
      <c r="S45" s="42">
        <f t="shared" si="10"/>
        <v>219070933.33333334</v>
      </c>
    </row>
    <row r="46" spans="1:21" x14ac:dyDescent="0.3">
      <c r="A46" s="407" t="s">
        <v>46</v>
      </c>
      <c r="B46" s="23">
        <v>2</v>
      </c>
      <c r="C46" s="8">
        <v>3.6</v>
      </c>
      <c r="D46" s="8">
        <f>96/2</f>
        <v>48</v>
      </c>
      <c r="E46" s="8">
        <f t="shared" si="0"/>
        <v>0.28800000000000003</v>
      </c>
      <c r="F46" s="17">
        <f t="shared" ref="F46:F58" si="14">D46*L46</f>
        <v>18720</v>
      </c>
      <c r="G46" s="8">
        <f t="shared" si="6"/>
        <v>3.2445793806056281E-6</v>
      </c>
      <c r="H46" s="8">
        <f t="shared" si="2"/>
        <v>2.1224489795918368E-3</v>
      </c>
      <c r="I46" s="8">
        <f t="shared" si="11"/>
        <v>0.25061725845949412</v>
      </c>
      <c r="J46" s="8">
        <f t="shared" si="13"/>
        <v>6.8172321281109178E-9</v>
      </c>
      <c r="K46" s="8">
        <f t="shared" si="3"/>
        <v>1.1428571428571429E-3</v>
      </c>
      <c r="L46" s="36">
        <v>390</v>
      </c>
      <c r="M46" s="36">
        <v>210</v>
      </c>
      <c r="N46" s="36">
        <v>236</v>
      </c>
      <c r="O46" s="36">
        <v>565.49</v>
      </c>
      <c r="P46" s="36">
        <f t="shared" si="4"/>
        <v>1.3464047619047619</v>
      </c>
      <c r="Q46" s="36">
        <v>629</v>
      </c>
      <c r="R46" s="36">
        <f t="shared" si="5"/>
        <v>614891244.82907891</v>
      </c>
      <c r="S46" s="37">
        <f t="shared" si="10"/>
        <v>219070933.33333334</v>
      </c>
    </row>
    <row r="47" spans="1:21" x14ac:dyDescent="0.3">
      <c r="A47" s="408"/>
      <c r="B47" s="24">
        <v>3</v>
      </c>
      <c r="C47" s="3">
        <v>3.93</v>
      </c>
      <c r="D47" s="3">
        <f>120/2</f>
        <v>60</v>
      </c>
      <c r="E47" s="3">
        <f t="shared" si="0"/>
        <v>0.31440000000000001</v>
      </c>
      <c r="F47" s="17">
        <f>D47*L47</f>
        <v>23400</v>
      </c>
      <c r="G47" s="3">
        <f t="shared" si="6"/>
        <v>4.0557242257570349E-6</v>
      </c>
      <c r="H47" s="3">
        <f t="shared" si="2"/>
        <v>2.6530612244897961E-3</v>
      </c>
      <c r="I47" s="3">
        <f t="shared" si="11"/>
        <v>0.3132715730743677</v>
      </c>
      <c r="J47" s="3">
        <f t="shared" si="13"/>
        <v>8.5215401601386469E-9</v>
      </c>
      <c r="K47" s="3">
        <f t="shared" si="3"/>
        <v>1.4285714285714286E-3</v>
      </c>
      <c r="L47" s="7">
        <v>390</v>
      </c>
      <c r="M47" s="7">
        <v>210</v>
      </c>
      <c r="N47" s="7">
        <v>236</v>
      </c>
      <c r="O47" s="7">
        <v>565.49</v>
      </c>
      <c r="P47" s="7">
        <f t="shared" si="4"/>
        <v>1.3464047619047619</v>
      </c>
      <c r="Q47" s="7">
        <v>629</v>
      </c>
      <c r="R47" s="7">
        <f t="shared" si="5"/>
        <v>614891244.82907891</v>
      </c>
      <c r="S47" s="38">
        <f t="shared" si="10"/>
        <v>219070933.33333334</v>
      </c>
    </row>
    <row r="48" spans="1:21" ht="15" thickBot="1" x14ac:dyDescent="0.35">
      <c r="A48" s="409"/>
      <c r="B48" s="30">
        <v>4</v>
      </c>
      <c r="C48" s="17">
        <v>3.97</v>
      </c>
      <c r="D48" s="17">
        <f>124/2</f>
        <v>62</v>
      </c>
      <c r="E48" s="17">
        <f t="shared" si="0"/>
        <v>0.31759999999999999</v>
      </c>
      <c r="F48" s="17">
        <f t="shared" si="14"/>
        <v>24180</v>
      </c>
      <c r="G48" s="17">
        <f t="shared" si="6"/>
        <v>4.1909150332822701E-6</v>
      </c>
      <c r="H48" s="17">
        <f t="shared" si="2"/>
        <v>2.7414965986394557E-3</v>
      </c>
      <c r="I48" s="17">
        <f t="shared" si="11"/>
        <v>0.32371395884351328</v>
      </c>
      <c r="J48" s="17">
        <f t="shared" si="13"/>
        <v>8.8055914988099353E-9</v>
      </c>
      <c r="K48" s="17">
        <f t="shared" si="3"/>
        <v>1.4761904761904762E-3</v>
      </c>
      <c r="L48" s="41">
        <v>390</v>
      </c>
      <c r="M48" s="41">
        <v>210</v>
      </c>
      <c r="N48" s="41">
        <v>236</v>
      </c>
      <c r="O48" s="41">
        <v>565.49</v>
      </c>
      <c r="P48" s="41">
        <f t="shared" si="4"/>
        <v>1.3464047619047619</v>
      </c>
      <c r="Q48" s="41">
        <v>629</v>
      </c>
      <c r="R48" s="41">
        <f t="shared" si="5"/>
        <v>614891244.82907891</v>
      </c>
      <c r="S48" s="42">
        <f t="shared" si="10"/>
        <v>219070933.33333334</v>
      </c>
    </row>
    <row r="49" spans="1:20" x14ac:dyDescent="0.3">
      <c r="A49" s="402" t="s">
        <v>47</v>
      </c>
      <c r="B49" s="46">
        <v>2</v>
      </c>
      <c r="C49" s="47">
        <v>2.87</v>
      </c>
      <c r="D49" s="47">
        <f>144/2</f>
        <v>72</v>
      </c>
      <c r="E49" s="47">
        <f t="shared" si="0"/>
        <v>0.22960000000000003</v>
      </c>
      <c r="F49" s="17">
        <f t="shared" si="14"/>
        <v>25200</v>
      </c>
      <c r="G49" s="21">
        <f t="shared" si="6"/>
        <v>1.5270550307411107E-6</v>
      </c>
      <c r="H49" s="21">
        <f t="shared" si="2"/>
        <v>1.3368842109730606E-3</v>
      </c>
      <c r="I49" s="21">
        <f t="shared" si="11"/>
        <v>0.16009984321770188</v>
      </c>
      <c r="J49" s="21">
        <f t="shared" si="13"/>
        <v>7.0667033414538448E-9</v>
      </c>
      <c r="K49" s="21">
        <f t="shared" si="3"/>
        <v>1.1726384364820848E-3</v>
      </c>
      <c r="L49" s="47">
        <v>350</v>
      </c>
      <c r="M49" s="47">
        <v>307</v>
      </c>
      <c r="N49" s="47">
        <v>335</v>
      </c>
      <c r="O49" s="47">
        <v>804.25</v>
      </c>
      <c r="P49" s="47">
        <f t="shared" si="4"/>
        <v>1.3098534201954397</v>
      </c>
      <c r="Q49" s="47">
        <v>637.5</v>
      </c>
      <c r="R49" s="47">
        <f t="shared" si="5"/>
        <v>889776211.12658358</v>
      </c>
      <c r="S49" s="48">
        <f t="shared" si="10"/>
        <v>626589583.33333337</v>
      </c>
      <c r="T49"/>
    </row>
    <row r="50" spans="1:20" x14ac:dyDescent="0.3">
      <c r="A50" s="403"/>
      <c r="B50" s="45">
        <v>3</v>
      </c>
      <c r="C50" s="44">
        <v>3.33</v>
      </c>
      <c r="D50" s="44">
        <f>177/2</f>
        <v>88.5</v>
      </c>
      <c r="E50" s="44">
        <f t="shared" si="0"/>
        <v>0.26640000000000003</v>
      </c>
      <c r="F50" s="17">
        <f t="shared" si="14"/>
        <v>30975</v>
      </c>
      <c r="G50" s="17">
        <f t="shared" si="6"/>
        <v>1.8770051419526153E-6</v>
      </c>
      <c r="H50" s="17">
        <f t="shared" si="2"/>
        <v>1.6432535093210538E-3</v>
      </c>
      <c r="I50" s="17">
        <f t="shared" si="11"/>
        <v>0.19678939062175857</v>
      </c>
      <c r="J50" s="17">
        <f t="shared" si="13"/>
        <v>8.6861561905370184E-9</v>
      </c>
      <c r="K50" s="17">
        <f t="shared" si="3"/>
        <v>1.4413680781758958E-3</v>
      </c>
      <c r="L50" s="44">
        <v>350</v>
      </c>
      <c r="M50" s="44">
        <v>307</v>
      </c>
      <c r="N50" s="44">
        <v>335</v>
      </c>
      <c r="O50" s="44">
        <v>804.25</v>
      </c>
      <c r="P50" s="44">
        <f t="shared" si="4"/>
        <v>1.3098534201954397</v>
      </c>
      <c r="Q50" s="44">
        <v>637.5</v>
      </c>
      <c r="R50" s="44">
        <f t="shared" si="5"/>
        <v>889776211.12658358</v>
      </c>
      <c r="S50" s="49">
        <f t="shared" si="10"/>
        <v>626589583.33333337</v>
      </c>
      <c r="T50"/>
    </row>
    <row r="51" spans="1:20" x14ac:dyDescent="0.3">
      <c r="A51" s="403"/>
      <c r="B51" s="45">
        <v>4</v>
      </c>
      <c r="C51" s="44">
        <v>3.45</v>
      </c>
      <c r="D51" s="44">
        <f>181/2</f>
        <v>90.5</v>
      </c>
      <c r="E51" s="44">
        <f t="shared" si="0"/>
        <v>0.27600000000000002</v>
      </c>
      <c r="F51" s="17">
        <f t="shared" si="14"/>
        <v>31675</v>
      </c>
      <c r="G51" s="17">
        <f t="shared" si="6"/>
        <v>1.9194233372509797E-6</v>
      </c>
      <c r="H51" s="17">
        <f t="shared" si="2"/>
        <v>1.6803891818480833E-3</v>
      </c>
      <c r="I51" s="17">
        <f t="shared" si="11"/>
        <v>0.20123660848891695</v>
      </c>
      <c r="J51" s="17">
        <f t="shared" si="13"/>
        <v>8.882453505577403E-9</v>
      </c>
      <c r="K51" s="17">
        <f t="shared" si="3"/>
        <v>1.4739413680781759E-3</v>
      </c>
      <c r="L51" s="44">
        <v>350</v>
      </c>
      <c r="M51" s="44">
        <v>307</v>
      </c>
      <c r="N51" s="44">
        <v>335</v>
      </c>
      <c r="O51" s="44">
        <v>804.25</v>
      </c>
      <c r="P51" s="44">
        <f t="shared" si="4"/>
        <v>1.3098534201954397</v>
      </c>
      <c r="Q51" s="44">
        <v>637.5</v>
      </c>
      <c r="R51" s="44">
        <f t="shared" si="5"/>
        <v>889776211.12658358</v>
      </c>
      <c r="S51" s="49">
        <f t="shared" si="10"/>
        <v>626589583.33333337</v>
      </c>
      <c r="T51"/>
    </row>
    <row r="52" spans="1:20" x14ac:dyDescent="0.3">
      <c r="A52" s="403"/>
      <c r="B52" s="45">
        <v>5</v>
      </c>
      <c r="C52" s="44">
        <v>3.65</v>
      </c>
      <c r="D52" s="44">
        <f>196/2</f>
        <v>98</v>
      </c>
      <c r="E52" s="44">
        <f t="shared" si="0"/>
        <v>0.29199999999999998</v>
      </c>
      <c r="F52" s="17">
        <f t="shared" si="14"/>
        <v>34300</v>
      </c>
      <c r="G52" s="17">
        <f t="shared" si="6"/>
        <v>2.0784915696198451E-6</v>
      </c>
      <c r="H52" s="17">
        <f t="shared" si="2"/>
        <v>1.8196479538244437E-3</v>
      </c>
      <c r="I52" s="17">
        <f t="shared" si="11"/>
        <v>0.21791367549076091</v>
      </c>
      <c r="J52" s="17">
        <f t="shared" si="13"/>
        <v>9.6185684369788443E-9</v>
      </c>
      <c r="K52" s="17">
        <f t="shared" si="3"/>
        <v>1.5960912052117263E-3</v>
      </c>
      <c r="L52" s="44">
        <v>350</v>
      </c>
      <c r="M52" s="44">
        <v>307</v>
      </c>
      <c r="N52" s="44">
        <v>335</v>
      </c>
      <c r="O52" s="44">
        <v>804.25</v>
      </c>
      <c r="P52" s="44">
        <f t="shared" si="4"/>
        <v>1.3098534201954397</v>
      </c>
      <c r="Q52" s="44">
        <v>637.5</v>
      </c>
      <c r="R52" s="44">
        <f t="shared" si="5"/>
        <v>889776211.12658358</v>
      </c>
      <c r="S52" s="49">
        <f t="shared" si="10"/>
        <v>626589583.33333337</v>
      </c>
    </row>
    <row r="53" spans="1:20" ht="15" thickBot="1" x14ac:dyDescent="0.35">
      <c r="A53" s="403"/>
      <c r="B53" s="43">
        <v>8</v>
      </c>
      <c r="C53" s="52">
        <v>9.4499999999999993</v>
      </c>
      <c r="D53" s="52">
        <v>151</v>
      </c>
      <c r="E53" s="52">
        <f t="shared" si="0"/>
        <v>0.75599999999999989</v>
      </c>
      <c r="F53" s="17">
        <f t="shared" si="14"/>
        <v>52850</v>
      </c>
      <c r="G53" s="17">
        <f t="shared" si="6"/>
        <v>3.202573745026496E-6</v>
      </c>
      <c r="H53" s="17">
        <f t="shared" si="2"/>
        <v>2.8037432757907245E-3</v>
      </c>
      <c r="I53" s="17">
        <f t="shared" si="11"/>
        <v>0.33576494897045811</v>
      </c>
      <c r="J53" s="17">
        <f t="shared" si="13"/>
        <v>1.4820447285549036E-8</v>
      </c>
      <c r="K53" s="17">
        <f t="shared" si="3"/>
        <v>2.4592833876221497E-3</v>
      </c>
      <c r="L53" s="52">
        <v>350</v>
      </c>
      <c r="M53" s="52">
        <v>307</v>
      </c>
      <c r="N53" s="52">
        <v>335</v>
      </c>
      <c r="O53" s="52">
        <v>804.25</v>
      </c>
      <c r="P53" s="52">
        <f t="shared" si="4"/>
        <v>1.3098534201954397</v>
      </c>
      <c r="Q53" s="44">
        <v>637.5</v>
      </c>
      <c r="R53" s="52">
        <f t="shared" si="5"/>
        <v>889776211.12658358</v>
      </c>
      <c r="S53" s="53">
        <f t="shared" si="10"/>
        <v>626589583.33333337</v>
      </c>
    </row>
    <row r="54" spans="1:20" ht="15" thickBot="1" x14ac:dyDescent="0.35">
      <c r="A54" s="402" t="s">
        <v>48</v>
      </c>
      <c r="B54" s="54">
        <v>2</v>
      </c>
      <c r="C54" s="8">
        <v>3.51</v>
      </c>
      <c r="D54" s="19">
        <f>0.8*D56</f>
        <v>72</v>
      </c>
      <c r="E54" s="47">
        <f t="shared" si="0"/>
        <v>0.28079999999999999</v>
      </c>
      <c r="F54" s="8">
        <f t="shared" si="14"/>
        <v>25200</v>
      </c>
      <c r="G54" s="8">
        <f t="shared" si="6"/>
        <v>1.5270550307411107E-6</v>
      </c>
      <c r="H54" s="8">
        <f t="shared" si="2"/>
        <v>1.3368842109730606E-3</v>
      </c>
      <c r="I54" s="8">
        <f t="shared" si="11"/>
        <v>0.15934996104806395</v>
      </c>
      <c r="J54" s="8">
        <f t="shared" si="13"/>
        <v>7.0667033414538448E-9</v>
      </c>
      <c r="K54" s="8">
        <f t="shared" si="3"/>
        <v>1.1726384364820848E-3</v>
      </c>
      <c r="L54" s="47">
        <v>350</v>
      </c>
      <c r="M54" s="47">
        <v>307</v>
      </c>
      <c r="N54" s="47">
        <v>335</v>
      </c>
      <c r="O54" s="47">
        <v>804.25</v>
      </c>
      <c r="P54" s="47">
        <f t="shared" si="4"/>
        <v>1.3098534201954397</v>
      </c>
      <c r="Q54" s="47">
        <v>640.5</v>
      </c>
      <c r="R54" s="47">
        <f t="shared" si="5"/>
        <v>889776211.12658358</v>
      </c>
      <c r="S54" s="48">
        <f t="shared" si="10"/>
        <v>626589583.33333337</v>
      </c>
    </row>
    <row r="55" spans="1:20" ht="15" thickBot="1" x14ac:dyDescent="0.35">
      <c r="A55" s="403"/>
      <c r="B55" s="24">
        <v>3</v>
      </c>
      <c r="C55" s="3">
        <v>3.84</v>
      </c>
      <c r="D55" s="13">
        <f>0.9*D56</f>
        <v>81</v>
      </c>
      <c r="E55" s="44">
        <f t="shared" si="0"/>
        <v>0.30720000000000003</v>
      </c>
      <c r="F55" s="3">
        <f t="shared" si="14"/>
        <v>28350</v>
      </c>
      <c r="G55" s="3">
        <f t="shared" si="6"/>
        <v>1.7179369095837495E-6</v>
      </c>
      <c r="H55" s="3">
        <f t="shared" si="2"/>
        <v>1.5039947373446934E-3</v>
      </c>
      <c r="I55" s="3">
        <f t="shared" si="11"/>
        <v>0.17926870617907195</v>
      </c>
      <c r="J55" s="3">
        <f t="shared" si="13"/>
        <v>7.9500412591355754E-9</v>
      </c>
      <c r="K55" s="3">
        <f t="shared" si="3"/>
        <v>1.3192182410423452E-3</v>
      </c>
      <c r="L55" s="44">
        <v>350</v>
      </c>
      <c r="M55" s="44">
        <v>307</v>
      </c>
      <c r="N55" s="44">
        <v>335</v>
      </c>
      <c r="O55" s="44">
        <v>804.25</v>
      </c>
      <c r="P55" s="44">
        <f t="shared" si="4"/>
        <v>1.3098534201954397</v>
      </c>
      <c r="Q55" s="47">
        <v>640.5</v>
      </c>
      <c r="R55" s="44">
        <f t="shared" si="5"/>
        <v>889776211.12658358</v>
      </c>
      <c r="S55" s="49">
        <f t="shared" si="10"/>
        <v>626589583.33333337</v>
      </c>
    </row>
    <row r="56" spans="1:20" ht="15" thickBot="1" x14ac:dyDescent="0.35">
      <c r="A56" s="403"/>
      <c r="B56" s="24">
        <v>4</v>
      </c>
      <c r="C56" s="7">
        <v>4.33</v>
      </c>
      <c r="D56" s="7">
        <f>180/2</f>
        <v>90</v>
      </c>
      <c r="E56" s="44">
        <f t="shared" si="0"/>
        <v>0.34639999999999999</v>
      </c>
      <c r="F56" s="3">
        <f t="shared" si="14"/>
        <v>31500</v>
      </c>
      <c r="G56" s="3">
        <f t="shared" si="6"/>
        <v>1.9088187884263886E-6</v>
      </c>
      <c r="H56" s="3">
        <f t="shared" si="2"/>
        <v>1.6711052637163259E-3</v>
      </c>
      <c r="I56" s="3">
        <f t="shared" si="11"/>
        <v>0.19918745131007992</v>
      </c>
      <c r="J56" s="3">
        <f t="shared" si="13"/>
        <v>8.833379176817306E-9</v>
      </c>
      <c r="K56" s="3">
        <f t="shared" si="3"/>
        <v>1.4657980456026058E-3</v>
      </c>
      <c r="L56" s="44">
        <v>350</v>
      </c>
      <c r="M56" s="44">
        <v>307</v>
      </c>
      <c r="N56" s="44">
        <v>335</v>
      </c>
      <c r="O56" s="44">
        <v>804.25</v>
      </c>
      <c r="P56" s="44">
        <f t="shared" si="4"/>
        <v>1.3098534201954397</v>
      </c>
      <c r="Q56" s="47">
        <v>640.5</v>
      </c>
      <c r="R56" s="44">
        <f t="shared" si="5"/>
        <v>889776211.12658358</v>
      </c>
      <c r="S56" s="49">
        <f t="shared" si="10"/>
        <v>626589583.33333337</v>
      </c>
    </row>
    <row r="57" spans="1:20" ht="15" thickBot="1" x14ac:dyDescent="0.35">
      <c r="A57" s="403"/>
      <c r="B57" s="24">
        <v>7</v>
      </c>
      <c r="C57" s="3">
        <v>7.79</v>
      </c>
      <c r="D57" s="3">
        <f>374.5/2</f>
        <v>187.25</v>
      </c>
      <c r="E57" s="44">
        <f t="shared" si="0"/>
        <v>0.62319999999999998</v>
      </c>
      <c r="F57" s="3">
        <f t="shared" si="14"/>
        <v>65537.5</v>
      </c>
      <c r="G57" s="3">
        <f t="shared" si="6"/>
        <v>3.9714035348093469E-6</v>
      </c>
      <c r="H57" s="3">
        <f t="shared" si="2"/>
        <v>3.4768273403431335E-3</v>
      </c>
      <c r="I57" s="3">
        <f t="shared" si="11"/>
        <v>0.41442055842013853</v>
      </c>
      <c r="J57" s="3">
        <f t="shared" si="13"/>
        <v>1.8378336120656007E-8</v>
      </c>
      <c r="K57" s="3">
        <f t="shared" si="3"/>
        <v>3.0496742671009772E-3</v>
      </c>
      <c r="L57" s="44">
        <v>350</v>
      </c>
      <c r="M57" s="44">
        <v>307</v>
      </c>
      <c r="N57" s="44">
        <v>335</v>
      </c>
      <c r="O57" s="44">
        <v>804.25</v>
      </c>
      <c r="P57" s="44">
        <f t="shared" si="4"/>
        <v>1.3098534201954397</v>
      </c>
      <c r="Q57" s="47">
        <v>640.5</v>
      </c>
      <c r="R57" s="44">
        <f t="shared" si="5"/>
        <v>889776211.12658358</v>
      </c>
      <c r="S57" s="49">
        <f t="shared" si="10"/>
        <v>626589583.33333337</v>
      </c>
    </row>
    <row r="58" spans="1:20" ht="15" thickBot="1" x14ac:dyDescent="0.35">
      <c r="A58" s="404"/>
      <c r="B58" s="25">
        <v>9</v>
      </c>
      <c r="C58" s="11">
        <v>7.79</v>
      </c>
      <c r="D58" s="11">
        <f>D57</f>
        <v>187.25</v>
      </c>
      <c r="E58" s="50">
        <f t="shared" si="0"/>
        <v>0.62319999999999998</v>
      </c>
      <c r="F58" s="11">
        <f t="shared" si="14"/>
        <v>65537.5</v>
      </c>
      <c r="G58" s="11">
        <f t="shared" si="6"/>
        <v>3.9714035348093469E-6</v>
      </c>
      <c r="H58" s="11">
        <f t="shared" si="2"/>
        <v>3.4768273403431335E-3</v>
      </c>
      <c r="I58" s="11">
        <f t="shared" si="11"/>
        <v>0.41442055842013853</v>
      </c>
      <c r="J58" s="11">
        <f t="shared" si="13"/>
        <v>1.8378336120656007E-8</v>
      </c>
      <c r="K58" s="11">
        <f t="shared" si="3"/>
        <v>3.0496742671009772E-3</v>
      </c>
      <c r="L58" s="50">
        <v>350</v>
      </c>
      <c r="M58" s="50">
        <v>307</v>
      </c>
      <c r="N58" s="50">
        <v>335</v>
      </c>
      <c r="O58" s="50">
        <v>804.25</v>
      </c>
      <c r="P58" s="50">
        <f t="shared" si="4"/>
        <v>1.3098534201954397</v>
      </c>
      <c r="Q58" s="47">
        <v>640.5</v>
      </c>
      <c r="R58" s="50">
        <f t="shared" si="5"/>
        <v>889776211.12658358</v>
      </c>
      <c r="S58" s="51">
        <f t="shared" si="10"/>
        <v>626589583.33333337</v>
      </c>
    </row>
    <row r="59" spans="1:20" x14ac:dyDescent="0.3">
      <c r="A59" s="402" t="s">
        <v>49</v>
      </c>
      <c r="B59"/>
    </row>
    <row r="60" spans="1:20" x14ac:dyDescent="0.3">
      <c r="A60" s="403"/>
      <c r="B60"/>
    </row>
    <row r="61" spans="1:20" x14ac:dyDescent="0.3">
      <c r="A61" s="403"/>
    </row>
    <row r="62" spans="1:20" x14ac:dyDescent="0.3">
      <c r="A62" s="403"/>
    </row>
    <row r="63" spans="1:20" ht="15" thickBot="1" x14ac:dyDescent="0.35">
      <c r="A63" s="404"/>
    </row>
  </sheetData>
  <mergeCells count="15">
    <mergeCell ref="A19:A22"/>
    <mergeCell ref="A3:A5"/>
    <mergeCell ref="A6:A8"/>
    <mergeCell ref="A9:A12"/>
    <mergeCell ref="A13:A15"/>
    <mergeCell ref="A16:A18"/>
    <mergeCell ref="A49:A53"/>
    <mergeCell ref="A54:A58"/>
    <mergeCell ref="A59:A63"/>
    <mergeCell ref="A23:A24"/>
    <mergeCell ref="A25:A27"/>
    <mergeCell ref="A28:A32"/>
    <mergeCell ref="A36:A40"/>
    <mergeCell ref="A41:A45"/>
    <mergeCell ref="A46:A4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W60"/>
  <sheetViews>
    <sheetView zoomScaleNormal="100" workbookViewId="0">
      <selection activeCell="N22" sqref="N22:N31"/>
    </sheetView>
  </sheetViews>
  <sheetFormatPr defaultColWidth="9.109375" defaultRowHeight="14.4" x14ac:dyDescent="0.3"/>
  <cols>
    <col min="1" max="2" width="20" style="2" customWidth="1"/>
    <col min="3" max="3" width="14" style="2" customWidth="1"/>
    <col min="4" max="4" width="16" style="2" customWidth="1"/>
    <col min="5" max="5" width="10.88671875" style="2" customWidth="1"/>
    <col min="6" max="6" width="18.33203125" style="2" customWidth="1"/>
    <col min="7" max="7" width="13.44140625" style="2" customWidth="1"/>
    <col min="8" max="8" width="11.88671875" style="2" customWidth="1"/>
    <col min="9" max="9" width="11.44140625" style="2" customWidth="1"/>
    <col min="10" max="10" width="13.109375" style="2" customWidth="1"/>
    <col min="11" max="11" width="8.88671875" style="2" customWidth="1"/>
    <col min="12" max="12" width="9" style="2" customWidth="1"/>
    <col min="13" max="13" width="9.44140625" style="2" customWidth="1"/>
    <col min="14" max="15" width="9.5546875" style="2" customWidth="1"/>
    <col min="16" max="16" width="12.6640625" style="2" customWidth="1"/>
    <col min="17" max="17" width="12.44140625" style="2" customWidth="1"/>
    <col min="18" max="18" width="10.6640625" style="2" customWidth="1"/>
    <col min="19" max="19" width="11.6640625" style="2" customWidth="1"/>
    <col min="20" max="20" width="11" style="2" customWidth="1"/>
    <col min="21" max="21" width="12.44140625" style="2" customWidth="1"/>
    <col min="22" max="22" width="14.33203125" style="2" customWidth="1"/>
    <col min="23" max="16384" width="9.109375" style="2"/>
  </cols>
  <sheetData>
    <row r="1" spans="1:23" ht="79.5" customHeight="1" thickBot="1" x14ac:dyDescent="0.3">
      <c r="A1" s="3" t="s">
        <v>50</v>
      </c>
      <c r="B1" s="3" t="s">
        <v>52</v>
      </c>
      <c r="C1" s="3" t="s">
        <v>4</v>
      </c>
      <c r="D1" s="74" t="s">
        <v>21</v>
      </c>
      <c r="E1" s="3" t="s">
        <v>24</v>
      </c>
      <c r="F1" s="74" t="s">
        <v>25</v>
      </c>
      <c r="G1" s="3" t="s">
        <v>23</v>
      </c>
      <c r="H1" s="3" t="s">
        <v>3</v>
      </c>
      <c r="I1" s="3" t="s">
        <v>13</v>
      </c>
      <c r="J1" s="3" t="s">
        <v>14</v>
      </c>
      <c r="K1" s="3" t="s">
        <v>20</v>
      </c>
      <c r="L1" s="3" t="s">
        <v>19</v>
      </c>
      <c r="M1" s="3" t="s">
        <v>5</v>
      </c>
      <c r="N1" s="3" t="s">
        <v>9</v>
      </c>
      <c r="O1" s="3" t="s">
        <v>12</v>
      </c>
      <c r="P1" s="3" t="s">
        <v>10</v>
      </c>
      <c r="Q1" s="3" t="s">
        <v>11</v>
      </c>
      <c r="R1" s="3" t="s">
        <v>18</v>
      </c>
      <c r="S1" s="3" t="s">
        <v>15</v>
      </c>
      <c r="T1" s="2" t="s">
        <v>17</v>
      </c>
    </row>
    <row r="2" spans="1:23" ht="15.75" thickBot="1" x14ac:dyDescent="0.3">
      <c r="A2" s="75" t="s">
        <v>0</v>
      </c>
      <c r="B2" s="98">
        <v>1</v>
      </c>
      <c r="C2" s="94" t="s">
        <v>26</v>
      </c>
      <c r="D2" s="73">
        <v>6.8</v>
      </c>
      <c r="E2" s="97">
        <v>3</v>
      </c>
      <c r="F2" s="73">
        <f t="shared" ref="F2:F33" si="0">D2/$W$2*100</f>
        <v>0.54399999999999993</v>
      </c>
      <c r="G2" s="73">
        <f t="shared" ref="G2:G33" si="1">E2*M2</f>
        <v>1170</v>
      </c>
      <c r="H2" s="73">
        <f t="shared" ref="H2:H33" si="2">G2/($W$5*T2*0.001)</f>
        <v>2.3025365506425768E-6</v>
      </c>
      <c r="I2" s="73">
        <f t="shared" ref="I2:I33" si="3">G2/($W$3*N2^2)</f>
        <v>8.9163237311385465E-4</v>
      </c>
      <c r="J2" s="73">
        <f t="shared" ref="J2:J33" si="4">G2/(P2*R2*N2*0.001)</f>
        <v>9.1955242554056849E-2</v>
      </c>
      <c r="K2" s="73">
        <f t="shared" ref="K2:K33" si="5">E2/($W$6*S2*0.001)</f>
        <v>3.4018886399423747E-9</v>
      </c>
      <c r="L2" s="73">
        <f t="shared" ref="L2:L33" si="6">E2/($W$3*N2)</f>
        <v>1.8518518518518518E-4</v>
      </c>
      <c r="M2" s="73">
        <v>390</v>
      </c>
      <c r="N2" s="73">
        <v>81</v>
      </c>
      <c r="O2" s="73">
        <v>105</v>
      </c>
      <c r="P2" s="73">
        <v>251.33</v>
      </c>
      <c r="Q2" s="73">
        <f t="shared" ref="Q2:Q33" si="7">P2/($W$3*N2)*100</f>
        <v>1.5514197530864198</v>
      </c>
      <c r="R2" s="73">
        <v>625</v>
      </c>
      <c r="S2" s="73">
        <f t="shared" ref="S2:S33" si="8">(1/3-0.21*(MIN($W$3,O2)/MAX($W$3,O2))*(MIN($W$3,O2)^4/(12*MAX($W$3,O2)^4)))*MAX($W$3,O2)*MIN($W$3,O2)^3</f>
        <v>77013403.310835585</v>
      </c>
      <c r="T2" s="62">
        <f t="shared" ref="T2:T33" si="9">$W$3*O2^3/12</f>
        <v>19293750</v>
      </c>
      <c r="V2" s="14" t="s">
        <v>22</v>
      </c>
      <c r="W2" s="14">
        <v>1250</v>
      </c>
    </row>
    <row r="3" spans="1:23" ht="15.75" thickBot="1" x14ac:dyDescent="0.3">
      <c r="A3" s="75" t="s">
        <v>0</v>
      </c>
      <c r="B3" s="98">
        <v>2</v>
      </c>
      <c r="C3" s="24">
        <v>2</v>
      </c>
      <c r="D3" s="3">
        <v>3.68</v>
      </c>
      <c r="E3" s="3">
        <v>25.5</v>
      </c>
      <c r="F3" s="3">
        <f t="shared" si="0"/>
        <v>0.2944</v>
      </c>
      <c r="G3" s="3">
        <f t="shared" si="1"/>
        <v>9945</v>
      </c>
      <c r="H3" s="8">
        <f t="shared" si="2"/>
        <v>1.9571560680461904E-5</v>
      </c>
      <c r="I3" s="3">
        <f t="shared" si="3"/>
        <v>7.5788751714677641E-3</v>
      </c>
      <c r="J3" s="8">
        <f t="shared" si="4"/>
        <v>0.78161956170948321</v>
      </c>
      <c r="K3" s="8">
        <f t="shared" si="5"/>
        <v>2.8916053439510185E-8</v>
      </c>
      <c r="L3" s="3">
        <f t="shared" si="6"/>
        <v>1.5740740740740741E-3</v>
      </c>
      <c r="M3" s="3">
        <v>390</v>
      </c>
      <c r="N3" s="3">
        <v>81</v>
      </c>
      <c r="O3" s="3">
        <v>105</v>
      </c>
      <c r="P3" s="3">
        <v>251.33</v>
      </c>
      <c r="Q3" s="3">
        <f t="shared" si="7"/>
        <v>1.5514197530864198</v>
      </c>
      <c r="R3" s="3">
        <v>625</v>
      </c>
      <c r="S3" s="3">
        <f t="shared" si="8"/>
        <v>77013403.310835585</v>
      </c>
      <c r="T3" s="63">
        <f t="shared" si="9"/>
        <v>19293750</v>
      </c>
      <c r="V3" s="14" t="s">
        <v>6</v>
      </c>
      <c r="W3" s="14">
        <v>200</v>
      </c>
    </row>
    <row r="4" spans="1:23" ht="15.75" thickBot="1" x14ac:dyDescent="0.3">
      <c r="A4" s="75" t="s">
        <v>0</v>
      </c>
      <c r="B4" s="98">
        <v>3</v>
      </c>
      <c r="C4" s="30">
        <v>3</v>
      </c>
      <c r="D4" s="17">
        <v>4.68</v>
      </c>
      <c r="E4" s="17">
        <v>26.5</v>
      </c>
      <c r="F4" s="17">
        <f t="shared" si="0"/>
        <v>0.37440000000000001</v>
      </c>
      <c r="G4" s="17">
        <f t="shared" si="1"/>
        <v>10335</v>
      </c>
      <c r="H4" s="21">
        <f t="shared" si="2"/>
        <v>2.0339072864009429E-5</v>
      </c>
      <c r="I4" s="17">
        <f t="shared" si="3"/>
        <v>7.8760859625057154E-3</v>
      </c>
      <c r="J4" s="21">
        <f t="shared" si="4"/>
        <v>0.81227130922750224</v>
      </c>
      <c r="K4" s="21">
        <f t="shared" si="5"/>
        <v>3.0050016319490974E-8</v>
      </c>
      <c r="L4" s="17">
        <f t="shared" si="6"/>
        <v>1.6358024691358025E-3</v>
      </c>
      <c r="M4" s="17">
        <v>390</v>
      </c>
      <c r="N4" s="17">
        <v>81</v>
      </c>
      <c r="O4" s="17">
        <v>105</v>
      </c>
      <c r="P4" s="17">
        <v>251.33</v>
      </c>
      <c r="Q4" s="17">
        <f t="shared" si="7"/>
        <v>1.5514197530864198</v>
      </c>
      <c r="R4" s="17">
        <v>625</v>
      </c>
      <c r="S4" s="17">
        <f t="shared" si="8"/>
        <v>77013403.310835585</v>
      </c>
      <c r="T4" s="64">
        <f t="shared" si="9"/>
        <v>19293750</v>
      </c>
      <c r="V4" s="14" t="s">
        <v>7</v>
      </c>
      <c r="W4" s="14">
        <v>31.4</v>
      </c>
    </row>
    <row r="5" spans="1:23" ht="15.75" thickBot="1" x14ac:dyDescent="0.3">
      <c r="A5" s="76" t="s">
        <v>1</v>
      </c>
      <c r="B5" s="99">
        <v>4</v>
      </c>
      <c r="C5" s="92" t="s">
        <v>27</v>
      </c>
      <c r="D5" s="19">
        <f>D7*1.3</f>
        <v>5.3950000000000005</v>
      </c>
      <c r="E5" s="19">
        <f>0.2*E7</f>
        <v>6.28</v>
      </c>
      <c r="F5" s="8">
        <f t="shared" si="0"/>
        <v>0.43160000000000004</v>
      </c>
      <c r="G5" s="8">
        <f t="shared" si="1"/>
        <v>2449.2000000000003</v>
      </c>
      <c r="H5" s="8">
        <f t="shared" si="2"/>
        <v>4.8199765126784615E-6</v>
      </c>
      <c r="I5" s="8">
        <f t="shared" si="3"/>
        <v>1.8664837677183359E-3</v>
      </c>
      <c r="J5" s="8">
        <f t="shared" si="4"/>
        <v>0.19249297441315905</v>
      </c>
      <c r="K5" s="8">
        <f t="shared" si="5"/>
        <v>7.1212868862793717E-9</v>
      </c>
      <c r="L5" s="8">
        <f t="shared" si="6"/>
        <v>3.8765432098765434E-4</v>
      </c>
      <c r="M5" s="8">
        <v>390</v>
      </c>
      <c r="N5" s="8">
        <v>81</v>
      </c>
      <c r="O5" s="8">
        <v>105</v>
      </c>
      <c r="P5" s="8">
        <v>251.33</v>
      </c>
      <c r="Q5" s="8">
        <f t="shared" si="7"/>
        <v>1.5514197530864198</v>
      </c>
      <c r="R5" s="8">
        <v>625</v>
      </c>
      <c r="S5" s="8">
        <f t="shared" si="8"/>
        <v>77013403.310835585</v>
      </c>
      <c r="T5" s="62">
        <f t="shared" si="9"/>
        <v>19293750</v>
      </c>
      <c r="V5" s="14" t="s">
        <v>8</v>
      </c>
      <c r="W5" s="14">
        <f>4700*SQRT(W4)</f>
        <v>26336.780365109171</v>
      </c>
    </row>
    <row r="6" spans="1:23" ht="15.75" thickBot="1" x14ac:dyDescent="0.3">
      <c r="A6" s="76" t="s">
        <v>1</v>
      </c>
      <c r="B6" s="100">
        <v>5</v>
      </c>
      <c r="C6" s="24">
        <v>2</v>
      </c>
      <c r="D6" s="3">
        <v>3.585</v>
      </c>
      <c r="E6" s="3">
        <v>25</v>
      </c>
      <c r="F6" s="3">
        <f t="shared" si="0"/>
        <v>0.2868</v>
      </c>
      <c r="G6" s="3">
        <f t="shared" si="1"/>
        <v>9750</v>
      </c>
      <c r="H6" s="8">
        <f t="shared" si="2"/>
        <v>1.9187804588688139E-5</v>
      </c>
      <c r="I6" s="3">
        <f t="shared" si="3"/>
        <v>7.4302697759487885E-3</v>
      </c>
      <c r="J6" s="8">
        <f t="shared" si="4"/>
        <v>0.76629368795047381</v>
      </c>
      <c r="K6" s="8">
        <f t="shared" si="5"/>
        <v>2.834907199951979E-8</v>
      </c>
      <c r="L6" s="3">
        <f t="shared" si="6"/>
        <v>1.5432098765432098E-3</v>
      </c>
      <c r="M6" s="3">
        <v>390</v>
      </c>
      <c r="N6" s="3">
        <v>81</v>
      </c>
      <c r="O6" s="3">
        <v>105</v>
      </c>
      <c r="P6" s="3">
        <v>251.33</v>
      </c>
      <c r="Q6" s="3">
        <f t="shared" si="7"/>
        <v>1.5514197530864198</v>
      </c>
      <c r="R6" s="3">
        <v>625</v>
      </c>
      <c r="S6" s="3">
        <f t="shared" si="8"/>
        <v>77013403.310835585</v>
      </c>
      <c r="T6" s="63">
        <f t="shared" si="9"/>
        <v>19293750</v>
      </c>
      <c r="V6" s="14" t="s">
        <v>16</v>
      </c>
      <c r="W6" s="14">
        <f>W5/(2*(1+0.15))</f>
        <v>11450.774071786596</v>
      </c>
    </row>
    <row r="7" spans="1:23" ht="15.75" thickBot="1" x14ac:dyDescent="0.3">
      <c r="A7" s="76" t="s">
        <v>1</v>
      </c>
      <c r="B7" s="100">
        <v>6</v>
      </c>
      <c r="C7" s="25">
        <v>3</v>
      </c>
      <c r="D7" s="11">
        <v>4.1500000000000004</v>
      </c>
      <c r="E7" s="11">
        <v>31.4</v>
      </c>
      <c r="F7" s="11">
        <f t="shared" si="0"/>
        <v>0.33200000000000007</v>
      </c>
      <c r="G7" s="11">
        <f t="shared" si="1"/>
        <v>12246</v>
      </c>
      <c r="H7" s="4">
        <f t="shared" si="2"/>
        <v>2.4099882563392303E-5</v>
      </c>
      <c r="I7" s="11">
        <f t="shared" si="3"/>
        <v>9.3324188385916773E-3</v>
      </c>
      <c r="J7" s="4">
        <f t="shared" si="4"/>
        <v>0.96246487206579512</v>
      </c>
      <c r="K7" s="4">
        <f t="shared" si="5"/>
        <v>3.5606434431396852E-8</v>
      </c>
      <c r="L7" s="11">
        <f t="shared" si="6"/>
        <v>1.9382716049382714E-3</v>
      </c>
      <c r="M7" s="11">
        <v>390</v>
      </c>
      <c r="N7" s="11">
        <v>81</v>
      </c>
      <c r="O7" s="11">
        <v>105</v>
      </c>
      <c r="P7" s="11">
        <v>251.33</v>
      </c>
      <c r="Q7" s="11">
        <f t="shared" si="7"/>
        <v>1.5514197530864198</v>
      </c>
      <c r="R7" s="11">
        <v>625</v>
      </c>
      <c r="S7" s="11">
        <f t="shared" si="8"/>
        <v>77013403.310835585</v>
      </c>
      <c r="T7" s="65">
        <f t="shared" si="9"/>
        <v>19293750</v>
      </c>
    </row>
    <row r="8" spans="1:23" ht="15.75" thickBot="1" x14ac:dyDescent="0.3">
      <c r="A8" s="77" t="s">
        <v>2</v>
      </c>
      <c r="B8" s="77">
        <v>7</v>
      </c>
      <c r="C8" s="92" t="s">
        <v>28</v>
      </c>
      <c r="D8" s="19">
        <f>D5</f>
        <v>5.3950000000000005</v>
      </c>
      <c r="E8" s="19">
        <f>0.2*E7</f>
        <v>6.28</v>
      </c>
      <c r="F8" s="8">
        <f t="shared" si="0"/>
        <v>0.43160000000000004</v>
      </c>
      <c r="G8" s="8">
        <f t="shared" si="1"/>
        <v>2449.2000000000003</v>
      </c>
      <c r="H8" s="8">
        <f t="shared" si="2"/>
        <v>4.8199765126784615E-6</v>
      </c>
      <c r="I8" s="8">
        <f t="shared" si="3"/>
        <v>1.8664837677183359E-3</v>
      </c>
      <c r="J8" s="8">
        <f t="shared" si="4"/>
        <v>0.19249297441315905</v>
      </c>
      <c r="K8" s="8">
        <f t="shared" si="5"/>
        <v>7.1212868862793717E-9</v>
      </c>
      <c r="L8" s="8">
        <f t="shared" si="6"/>
        <v>3.8765432098765434E-4</v>
      </c>
      <c r="M8" s="8">
        <v>390</v>
      </c>
      <c r="N8" s="8">
        <v>81</v>
      </c>
      <c r="O8" s="8">
        <v>105</v>
      </c>
      <c r="P8" s="8">
        <v>251.33</v>
      </c>
      <c r="Q8" s="8">
        <f t="shared" si="7"/>
        <v>1.5514197530864198</v>
      </c>
      <c r="R8" s="8">
        <v>625</v>
      </c>
      <c r="S8" s="8">
        <f t="shared" si="8"/>
        <v>77013403.310835585</v>
      </c>
      <c r="T8" s="62">
        <f t="shared" si="9"/>
        <v>19293750</v>
      </c>
    </row>
    <row r="9" spans="1:23" ht="15.75" thickBot="1" x14ac:dyDescent="0.3">
      <c r="A9" s="77" t="s">
        <v>2</v>
      </c>
      <c r="B9" s="77">
        <v>8</v>
      </c>
      <c r="C9" s="24">
        <v>3</v>
      </c>
      <c r="D9" s="13">
        <f>Table11[[#This Row],[V (KN)]]/E6*D6</f>
        <v>3.2265000000000001</v>
      </c>
      <c r="E9" s="3">
        <v>22.5</v>
      </c>
      <c r="F9" s="3">
        <f t="shared" si="0"/>
        <v>0.25812000000000002</v>
      </c>
      <c r="G9" s="3">
        <f t="shared" si="1"/>
        <v>8775</v>
      </c>
      <c r="H9" s="8">
        <f t="shared" si="2"/>
        <v>1.7269024129819325E-5</v>
      </c>
      <c r="I9" s="3">
        <f t="shared" si="3"/>
        <v>6.6872427983539094E-3</v>
      </c>
      <c r="J9" s="8">
        <f t="shared" si="4"/>
        <v>0.68966431915542636</v>
      </c>
      <c r="K9" s="8">
        <f t="shared" si="5"/>
        <v>2.551416479956781E-8</v>
      </c>
      <c r="L9" s="3">
        <f t="shared" si="6"/>
        <v>1.3888888888888889E-3</v>
      </c>
      <c r="M9" s="3">
        <v>390</v>
      </c>
      <c r="N9" s="3">
        <v>81</v>
      </c>
      <c r="O9" s="3">
        <v>105</v>
      </c>
      <c r="P9" s="3">
        <v>251.33</v>
      </c>
      <c r="Q9" s="3">
        <f t="shared" si="7"/>
        <v>1.5514197530864198</v>
      </c>
      <c r="R9" s="3">
        <v>625</v>
      </c>
      <c r="S9" s="3">
        <f t="shared" si="8"/>
        <v>77013403.310835585</v>
      </c>
      <c r="T9" s="63">
        <f t="shared" si="9"/>
        <v>19293750</v>
      </c>
    </row>
    <row r="10" spans="1:23" ht="15" thickBot="1" x14ac:dyDescent="0.35">
      <c r="A10" s="77" t="s">
        <v>2</v>
      </c>
      <c r="B10" s="77">
        <v>9</v>
      </c>
      <c r="C10" s="24">
        <v>4</v>
      </c>
      <c r="D10" s="13">
        <f>Table11[[#This Row],[V (KN)]]/E7*D7</f>
        <v>3.3702229299363062</v>
      </c>
      <c r="E10" s="3">
        <v>25.5</v>
      </c>
      <c r="F10" s="3">
        <f t="shared" si="0"/>
        <v>0.2696178343949045</v>
      </c>
      <c r="G10" s="3">
        <f t="shared" si="1"/>
        <v>9945</v>
      </c>
      <c r="H10" s="8">
        <f t="shared" si="2"/>
        <v>1.9571560680461904E-5</v>
      </c>
      <c r="I10" s="3">
        <f t="shared" si="3"/>
        <v>7.5788751714677641E-3</v>
      </c>
      <c r="J10" s="8">
        <f t="shared" si="4"/>
        <v>0.78161956170948321</v>
      </c>
      <c r="K10" s="8">
        <f t="shared" si="5"/>
        <v>2.8916053439510185E-8</v>
      </c>
      <c r="L10" s="3">
        <f t="shared" si="6"/>
        <v>1.5740740740740741E-3</v>
      </c>
      <c r="M10" s="3">
        <v>390</v>
      </c>
      <c r="N10" s="3">
        <v>81</v>
      </c>
      <c r="O10" s="3">
        <v>105</v>
      </c>
      <c r="P10" s="3">
        <v>251.33</v>
      </c>
      <c r="Q10" s="3">
        <f t="shared" si="7"/>
        <v>1.5514197530864198</v>
      </c>
      <c r="R10" s="3">
        <v>625</v>
      </c>
      <c r="S10" s="3">
        <f t="shared" si="8"/>
        <v>77013403.310835585</v>
      </c>
      <c r="T10" s="63">
        <f t="shared" si="9"/>
        <v>19293750</v>
      </c>
      <c r="V10" s="2" t="s">
        <v>51</v>
      </c>
    </row>
    <row r="11" spans="1:23" ht="15" thickBot="1" x14ac:dyDescent="0.35">
      <c r="A11" s="77" t="s">
        <v>2</v>
      </c>
      <c r="B11" s="77">
        <v>10</v>
      </c>
      <c r="C11" s="25">
        <v>2</v>
      </c>
      <c r="D11" s="20">
        <f>Table11[[#This Row],[V (KN)]]/E6*D6</f>
        <v>2.5811999999999999</v>
      </c>
      <c r="E11" s="20">
        <f>0.8*E13</f>
        <v>18</v>
      </c>
      <c r="F11" s="11">
        <f t="shared" si="0"/>
        <v>0.20649599999999999</v>
      </c>
      <c r="G11" s="11">
        <f t="shared" si="1"/>
        <v>7020</v>
      </c>
      <c r="H11" s="4">
        <f t="shared" si="2"/>
        <v>1.3815219303855461E-5</v>
      </c>
      <c r="I11" s="11">
        <f t="shared" si="3"/>
        <v>5.3497942386831277E-3</v>
      </c>
      <c r="J11" s="4">
        <f t="shared" si="4"/>
        <v>0.55173145532434109</v>
      </c>
      <c r="K11" s="4">
        <f t="shared" si="5"/>
        <v>2.0411331839654248E-8</v>
      </c>
      <c r="L11" s="11">
        <f t="shared" si="6"/>
        <v>1.1111111111111111E-3</v>
      </c>
      <c r="M11" s="11">
        <v>390</v>
      </c>
      <c r="N11" s="11">
        <v>81</v>
      </c>
      <c r="O11" s="11">
        <v>105</v>
      </c>
      <c r="P11" s="11">
        <v>251.33</v>
      </c>
      <c r="Q11" s="11">
        <f t="shared" si="7"/>
        <v>1.5514197530864198</v>
      </c>
      <c r="R11" s="11">
        <v>625</v>
      </c>
      <c r="S11" s="11">
        <f t="shared" si="8"/>
        <v>77013403.310835585</v>
      </c>
      <c r="T11" s="65">
        <f t="shared" si="9"/>
        <v>19293750</v>
      </c>
    </row>
    <row r="12" spans="1:23" ht="15" thickBot="1" x14ac:dyDescent="0.35">
      <c r="A12" s="78" t="s">
        <v>30</v>
      </c>
      <c r="B12" s="78">
        <v>11</v>
      </c>
      <c r="C12" s="92" t="s">
        <v>29</v>
      </c>
      <c r="D12" s="19">
        <f>1.2*D14</f>
        <v>10.835999999999999</v>
      </c>
      <c r="E12" s="19">
        <f>0.2*E11</f>
        <v>3.6</v>
      </c>
      <c r="F12" s="8">
        <f t="shared" si="0"/>
        <v>0.86687999999999987</v>
      </c>
      <c r="G12" s="8">
        <f t="shared" si="1"/>
        <v>1404</v>
      </c>
      <c r="H12" s="8">
        <f t="shared" si="2"/>
        <v>1.4227932273760876E-6</v>
      </c>
      <c r="I12" s="8">
        <f t="shared" si="3"/>
        <v>6.2477750088999644E-4</v>
      </c>
      <c r="J12" s="8">
        <f t="shared" si="4"/>
        <v>6.3562410238875558E-2</v>
      </c>
      <c r="K12" s="8">
        <f t="shared" si="5"/>
        <v>2.1110698693902933E-9</v>
      </c>
      <c r="L12" s="8">
        <f t="shared" si="6"/>
        <v>1.6981132075471699E-4</v>
      </c>
      <c r="M12" s="8">
        <v>390</v>
      </c>
      <c r="N12" s="8">
        <v>106</v>
      </c>
      <c r="O12" s="8">
        <v>131</v>
      </c>
      <c r="P12" s="8">
        <v>314.16000000000003</v>
      </c>
      <c r="Q12" s="8">
        <f t="shared" si="7"/>
        <v>1.4818867924528303</v>
      </c>
      <c r="R12" s="8">
        <v>663.3</v>
      </c>
      <c r="S12" s="8">
        <f t="shared" si="8"/>
        <v>148924121.73289105</v>
      </c>
      <c r="T12" s="62">
        <f t="shared" si="9"/>
        <v>37468183.333333336</v>
      </c>
    </row>
    <row r="13" spans="1:23" ht="15" thickBot="1" x14ac:dyDescent="0.35">
      <c r="A13" s="78" t="s">
        <v>30</v>
      </c>
      <c r="B13" s="78">
        <v>12</v>
      </c>
      <c r="C13" s="27">
        <v>2</v>
      </c>
      <c r="D13" s="3">
        <v>6.49</v>
      </c>
      <c r="E13" s="3">
        <v>22.5</v>
      </c>
      <c r="F13" s="3">
        <f t="shared" si="0"/>
        <v>0.51919999999999999</v>
      </c>
      <c r="G13" s="3">
        <f t="shared" si="1"/>
        <v>8775</v>
      </c>
      <c r="H13" s="8">
        <f t="shared" si="2"/>
        <v>8.8924576711005473E-6</v>
      </c>
      <c r="I13" s="3">
        <f t="shared" si="3"/>
        <v>3.9048593805624779E-3</v>
      </c>
      <c r="J13" s="8">
        <f t="shared" si="4"/>
        <v>0.39726506399297223</v>
      </c>
      <c r="K13" s="8">
        <f t="shared" si="5"/>
        <v>1.3194186683689334E-8</v>
      </c>
      <c r="L13" s="3">
        <f t="shared" si="6"/>
        <v>1.0613207547169811E-3</v>
      </c>
      <c r="M13" s="3">
        <v>390</v>
      </c>
      <c r="N13" s="3">
        <v>106</v>
      </c>
      <c r="O13" s="3">
        <v>131</v>
      </c>
      <c r="P13" s="3">
        <v>314.16000000000003</v>
      </c>
      <c r="Q13" s="3">
        <f t="shared" si="7"/>
        <v>1.4818867924528303</v>
      </c>
      <c r="R13" s="3">
        <v>663.3</v>
      </c>
      <c r="S13" s="3">
        <f t="shared" si="8"/>
        <v>148924121.73289105</v>
      </c>
      <c r="T13" s="63">
        <f t="shared" si="9"/>
        <v>37468183.333333336</v>
      </c>
    </row>
    <row r="14" spans="1:23" ht="15" thickBot="1" x14ac:dyDescent="0.35">
      <c r="A14" s="78" t="s">
        <v>30</v>
      </c>
      <c r="B14" s="78">
        <v>13</v>
      </c>
      <c r="C14" s="95">
        <v>3</v>
      </c>
      <c r="D14" s="11">
        <v>9.0299999999999994</v>
      </c>
      <c r="E14" s="11">
        <v>33.79</v>
      </c>
      <c r="F14" s="11">
        <f t="shared" si="0"/>
        <v>0.72239999999999993</v>
      </c>
      <c r="G14" s="11">
        <f t="shared" si="1"/>
        <v>13178.1</v>
      </c>
      <c r="H14" s="4">
        <f t="shared" si="2"/>
        <v>1.3354495320288333E-5</v>
      </c>
      <c r="I14" s="11">
        <f t="shared" si="3"/>
        <v>5.8642310430758278E-3</v>
      </c>
      <c r="J14" s="4">
        <f t="shared" si="4"/>
        <v>0.5966038449921125</v>
      </c>
      <c r="K14" s="4">
        <f t="shared" si="5"/>
        <v>1.9814736357416114E-8</v>
      </c>
      <c r="L14" s="11">
        <f t="shared" si="6"/>
        <v>1.5938679245283019E-3</v>
      </c>
      <c r="M14" s="11">
        <v>390</v>
      </c>
      <c r="N14" s="11">
        <v>106</v>
      </c>
      <c r="O14" s="11">
        <v>131</v>
      </c>
      <c r="P14" s="11">
        <v>314.16000000000003</v>
      </c>
      <c r="Q14" s="11">
        <f t="shared" si="7"/>
        <v>1.4818867924528303</v>
      </c>
      <c r="R14" s="11">
        <v>663.3</v>
      </c>
      <c r="S14" s="11">
        <f t="shared" si="8"/>
        <v>148924121.73289105</v>
      </c>
      <c r="T14" s="65">
        <f t="shared" si="9"/>
        <v>37468183.333333336</v>
      </c>
    </row>
    <row r="15" spans="1:23" ht="15" thickBot="1" x14ac:dyDescent="0.35">
      <c r="A15" s="79" t="s">
        <v>31</v>
      </c>
      <c r="B15" s="79">
        <v>14</v>
      </c>
      <c r="C15" s="23">
        <v>2</v>
      </c>
      <c r="D15" s="8">
        <v>6.06</v>
      </c>
      <c r="E15" s="8">
        <v>27.5</v>
      </c>
      <c r="F15" s="8">
        <f t="shared" si="0"/>
        <v>0.48480000000000001</v>
      </c>
      <c r="G15" s="8">
        <f t="shared" si="1"/>
        <v>10725</v>
      </c>
      <c r="H15" s="8">
        <f t="shared" si="2"/>
        <v>1.0868559375789558E-5</v>
      </c>
      <c r="I15" s="8">
        <f t="shared" si="3"/>
        <v>4.7726059095763614E-3</v>
      </c>
      <c r="J15" s="8">
        <f t="shared" si="4"/>
        <v>0.48554618932474386</v>
      </c>
      <c r="K15" s="8">
        <f t="shared" si="5"/>
        <v>1.612622816895363E-8</v>
      </c>
      <c r="L15" s="8">
        <f t="shared" si="6"/>
        <v>1.2971698113207546E-3</v>
      </c>
      <c r="M15" s="8">
        <v>390</v>
      </c>
      <c r="N15" s="8">
        <v>106</v>
      </c>
      <c r="O15" s="8">
        <v>131</v>
      </c>
      <c r="P15" s="8">
        <v>314.16000000000003</v>
      </c>
      <c r="Q15" s="8">
        <f t="shared" si="7"/>
        <v>1.4818867924528303</v>
      </c>
      <c r="R15" s="8">
        <v>663.3</v>
      </c>
      <c r="S15" s="8">
        <f t="shared" si="8"/>
        <v>148924121.73289105</v>
      </c>
      <c r="T15" s="62">
        <f t="shared" si="9"/>
        <v>37468183.333333336</v>
      </c>
    </row>
    <row r="16" spans="1:23" ht="15" thickBot="1" x14ac:dyDescent="0.35">
      <c r="A16" s="79" t="s">
        <v>31</v>
      </c>
      <c r="B16" s="79">
        <v>15</v>
      </c>
      <c r="C16" s="24">
        <v>4</v>
      </c>
      <c r="D16" s="13">
        <v>6.19</v>
      </c>
      <c r="E16" s="13">
        <v>28.5</v>
      </c>
      <c r="F16" s="3">
        <f t="shared" si="0"/>
        <v>0.49520000000000008</v>
      </c>
      <c r="G16" s="3">
        <f t="shared" si="1"/>
        <v>11115</v>
      </c>
      <c r="H16" s="8">
        <f t="shared" si="2"/>
        <v>1.1263779716727358E-5</v>
      </c>
      <c r="I16" s="3">
        <f t="shared" si="3"/>
        <v>4.9461552153791388E-3</v>
      </c>
      <c r="J16" s="8">
        <f t="shared" si="4"/>
        <v>0.50320241439109814</v>
      </c>
      <c r="K16" s="8">
        <f t="shared" si="5"/>
        <v>1.671263646600649E-8</v>
      </c>
      <c r="L16" s="3">
        <f t="shared" si="6"/>
        <v>1.3443396226415095E-3</v>
      </c>
      <c r="M16" s="3">
        <v>390</v>
      </c>
      <c r="N16" s="3">
        <v>106</v>
      </c>
      <c r="O16" s="3">
        <v>131</v>
      </c>
      <c r="P16" s="3">
        <v>314.16000000000003</v>
      </c>
      <c r="Q16" s="3">
        <f t="shared" si="7"/>
        <v>1.4818867924528303</v>
      </c>
      <c r="R16" s="3">
        <v>663.3</v>
      </c>
      <c r="S16" s="3">
        <f t="shared" si="8"/>
        <v>148924121.73289105</v>
      </c>
      <c r="T16" s="63">
        <f t="shared" si="9"/>
        <v>37468183.333333336</v>
      </c>
    </row>
    <row r="17" spans="1:22" ht="15" thickBot="1" x14ac:dyDescent="0.35">
      <c r="A17" s="79" t="s">
        <v>31</v>
      </c>
      <c r="B17" s="79">
        <v>16</v>
      </c>
      <c r="C17" s="30">
        <v>5</v>
      </c>
      <c r="D17" s="17">
        <v>7.41</v>
      </c>
      <c r="E17" s="17">
        <v>34</v>
      </c>
      <c r="F17" s="17">
        <f t="shared" si="0"/>
        <v>0.59279999999999999</v>
      </c>
      <c r="G17" s="17">
        <f t="shared" si="1"/>
        <v>13260</v>
      </c>
      <c r="H17" s="21">
        <f t="shared" si="2"/>
        <v>1.343749159188527E-5</v>
      </c>
      <c r="I17" s="17">
        <f t="shared" si="3"/>
        <v>5.9006763972944106E-3</v>
      </c>
      <c r="J17" s="21">
        <f t="shared" si="4"/>
        <v>0.60031165225604688</v>
      </c>
      <c r="K17" s="21">
        <f t="shared" si="5"/>
        <v>1.9937882099797215E-8</v>
      </c>
      <c r="L17" s="17">
        <f t="shared" si="6"/>
        <v>1.6037735849056603E-3</v>
      </c>
      <c r="M17" s="17">
        <v>390</v>
      </c>
      <c r="N17" s="17">
        <v>106</v>
      </c>
      <c r="O17" s="17">
        <v>131</v>
      </c>
      <c r="P17" s="17">
        <v>314.16000000000003</v>
      </c>
      <c r="Q17" s="17">
        <f t="shared" si="7"/>
        <v>1.4818867924528303</v>
      </c>
      <c r="R17" s="17">
        <v>663.3</v>
      </c>
      <c r="S17" s="17">
        <f t="shared" si="8"/>
        <v>148924121.73289105</v>
      </c>
      <c r="T17" s="64">
        <f t="shared" si="9"/>
        <v>37468183.333333336</v>
      </c>
    </row>
    <row r="18" spans="1:22" ht="15" thickBot="1" x14ac:dyDescent="0.35">
      <c r="A18" s="80" t="s">
        <v>32</v>
      </c>
      <c r="B18" s="80">
        <v>17</v>
      </c>
      <c r="C18" s="96" t="s">
        <v>33</v>
      </c>
      <c r="D18" s="8">
        <v>9.9</v>
      </c>
      <c r="E18" s="8">
        <v>6</v>
      </c>
      <c r="F18" s="8">
        <f t="shared" si="0"/>
        <v>0.79200000000000004</v>
      </c>
      <c r="G18" s="8">
        <f t="shared" si="1"/>
        <v>2340</v>
      </c>
      <c r="H18" s="8">
        <f t="shared" si="2"/>
        <v>2.3713220456268123E-6</v>
      </c>
      <c r="I18" s="8">
        <f t="shared" si="3"/>
        <v>1.0412958348166607E-3</v>
      </c>
      <c r="J18" s="8">
        <f t="shared" si="4"/>
        <v>0.10593735039812593</v>
      </c>
      <c r="K18" s="8">
        <f t="shared" si="5"/>
        <v>3.5184497823171557E-9</v>
      </c>
      <c r="L18" s="8">
        <f t="shared" si="6"/>
        <v>2.8301886792452831E-4</v>
      </c>
      <c r="M18" s="8">
        <v>390</v>
      </c>
      <c r="N18" s="8">
        <v>106</v>
      </c>
      <c r="O18" s="8">
        <v>131</v>
      </c>
      <c r="P18" s="8">
        <v>314.16000000000003</v>
      </c>
      <c r="Q18" s="8">
        <f t="shared" si="7"/>
        <v>1.4818867924528303</v>
      </c>
      <c r="R18" s="8">
        <v>663.3</v>
      </c>
      <c r="S18" s="4">
        <f t="shared" si="8"/>
        <v>148924121.73289105</v>
      </c>
      <c r="T18" s="66">
        <f t="shared" si="9"/>
        <v>37468183.333333336</v>
      </c>
    </row>
    <row r="19" spans="1:22" ht="15" thickBot="1" x14ac:dyDescent="0.35">
      <c r="A19" s="80" t="s">
        <v>32</v>
      </c>
      <c r="B19" s="80">
        <v>18</v>
      </c>
      <c r="C19" s="3">
        <v>2</v>
      </c>
      <c r="D19" s="3">
        <v>5.8</v>
      </c>
      <c r="E19" s="3">
        <f>47/2</f>
        <v>23.5</v>
      </c>
      <c r="F19" s="3">
        <f t="shared" si="0"/>
        <v>0.46400000000000002</v>
      </c>
      <c r="G19" s="3">
        <f t="shared" si="1"/>
        <v>9165</v>
      </c>
      <c r="H19" s="3">
        <f t="shared" si="2"/>
        <v>9.287678012038348E-6</v>
      </c>
      <c r="I19" s="3">
        <f t="shared" si="3"/>
        <v>4.0784086863652549E-3</v>
      </c>
      <c r="J19" s="3">
        <f t="shared" si="4"/>
        <v>0.41492128905932657</v>
      </c>
      <c r="K19" s="3">
        <f t="shared" si="5"/>
        <v>1.3780594980742192E-8</v>
      </c>
      <c r="L19" s="3">
        <f t="shared" si="6"/>
        <v>1.1084905660377359E-3</v>
      </c>
      <c r="M19" s="3">
        <v>390</v>
      </c>
      <c r="N19" s="3">
        <v>106</v>
      </c>
      <c r="O19" s="3">
        <v>131</v>
      </c>
      <c r="P19" s="3">
        <v>314.16000000000003</v>
      </c>
      <c r="Q19" s="3">
        <f t="shared" si="7"/>
        <v>1.4818867924528303</v>
      </c>
      <c r="R19" s="3">
        <v>663.3</v>
      </c>
      <c r="S19" s="11">
        <f t="shared" si="8"/>
        <v>148924121.73289105</v>
      </c>
      <c r="T19" s="65">
        <f t="shared" si="9"/>
        <v>37468183.333333336</v>
      </c>
      <c r="V19"/>
    </row>
    <row r="20" spans="1:22" ht="15" thickBot="1" x14ac:dyDescent="0.35">
      <c r="A20" s="80" t="s">
        <v>32</v>
      </c>
      <c r="B20" s="80">
        <v>19</v>
      </c>
      <c r="C20" s="3">
        <v>3</v>
      </c>
      <c r="D20" s="3">
        <v>7.9</v>
      </c>
      <c r="E20" s="3">
        <f>66/2</f>
        <v>33</v>
      </c>
      <c r="F20" s="3">
        <f t="shared" si="0"/>
        <v>0.63200000000000001</v>
      </c>
      <c r="G20" s="3">
        <f t="shared" si="1"/>
        <v>12870</v>
      </c>
      <c r="H20" s="3">
        <f t="shared" si="2"/>
        <v>1.3042271250947469E-5</v>
      </c>
      <c r="I20" s="3">
        <f t="shared" si="3"/>
        <v>5.727127091491634E-3</v>
      </c>
      <c r="J20" s="3">
        <f t="shared" si="4"/>
        <v>0.58265542718969265</v>
      </c>
      <c r="K20" s="3">
        <f t="shared" si="5"/>
        <v>1.9351473802744355E-8</v>
      </c>
      <c r="L20" s="3">
        <f t="shared" si="6"/>
        <v>1.5566037735849057E-3</v>
      </c>
      <c r="M20" s="3">
        <v>390</v>
      </c>
      <c r="N20" s="3">
        <v>106</v>
      </c>
      <c r="O20" s="3">
        <v>131</v>
      </c>
      <c r="P20" s="3">
        <v>314.16000000000003</v>
      </c>
      <c r="Q20" s="3">
        <f t="shared" si="7"/>
        <v>1.4818867924528303</v>
      </c>
      <c r="R20" s="11">
        <v>663.3</v>
      </c>
      <c r="S20" s="11">
        <f t="shared" si="8"/>
        <v>148924121.73289105</v>
      </c>
      <c r="T20" s="65">
        <f t="shared" si="9"/>
        <v>37468183.333333336</v>
      </c>
      <c r="V20"/>
    </row>
    <row r="21" spans="1:22" ht="15" thickBot="1" x14ac:dyDescent="0.35">
      <c r="A21" s="80" t="s">
        <v>32</v>
      </c>
      <c r="B21" s="80">
        <v>20</v>
      </c>
      <c r="C21" s="11">
        <v>4</v>
      </c>
      <c r="D21" s="11">
        <v>8.44</v>
      </c>
      <c r="E21" s="11">
        <f>71/2</f>
        <v>35.5</v>
      </c>
      <c r="F21" s="11">
        <f t="shared" si="0"/>
        <v>0.67519999999999991</v>
      </c>
      <c r="G21" s="11">
        <f t="shared" si="1"/>
        <v>13845</v>
      </c>
      <c r="H21" s="11">
        <f t="shared" si="2"/>
        <v>1.4030322103291974E-5</v>
      </c>
      <c r="I21" s="11">
        <f t="shared" si="3"/>
        <v>6.1610003559985759E-3</v>
      </c>
      <c r="J21" s="11">
        <f t="shared" si="4"/>
        <v>0.62679598985557838</v>
      </c>
      <c r="K21" s="11">
        <f t="shared" si="5"/>
        <v>2.0817494545376505E-8</v>
      </c>
      <c r="L21" s="11">
        <f t="shared" si="6"/>
        <v>1.6745283018867925E-3</v>
      </c>
      <c r="M21" s="11">
        <v>390</v>
      </c>
      <c r="N21" s="11">
        <v>106</v>
      </c>
      <c r="O21" s="11">
        <v>131</v>
      </c>
      <c r="P21" s="11">
        <v>314.16000000000003</v>
      </c>
      <c r="Q21" s="11">
        <f t="shared" si="7"/>
        <v>1.4818867924528303</v>
      </c>
      <c r="R21" s="11">
        <v>663.3</v>
      </c>
      <c r="S21" s="11">
        <f t="shared" si="8"/>
        <v>148924121.73289105</v>
      </c>
      <c r="T21" s="65">
        <f t="shared" si="9"/>
        <v>37468183.333333336</v>
      </c>
      <c r="V21"/>
    </row>
    <row r="22" spans="1:22" ht="15" thickBot="1" x14ac:dyDescent="0.35">
      <c r="A22" s="81" t="s">
        <v>35</v>
      </c>
      <c r="B22" s="81">
        <v>21</v>
      </c>
      <c r="C22" s="96" t="s">
        <v>34</v>
      </c>
      <c r="D22" s="8">
        <v>6.8</v>
      </c>
      <c r="E22" s="8">
        <f>31.76/2</f>
        <v>15.88</v>
      </c>
      <c r="F22" s="8">
        <f t="shared" si="0"/>
        <v>0.54399999999999993</v>
      </c>
      <c r="G22" s="8">
        <f t="shared" si="1"/>
        <v>6193.2000000000007</v>
      </c>
      <c r="H22" s="8">
        <f t="shared" si="2"/>
        <v>3.1986898289095867E-6</v>
      </c>
      <c r="I22" s="8">
        <f t="shared" si="3"/>
        <v>1.6027120749443613E-3</v>
      </c>
      <c r="J22" s="8">
        <f t="shared" si="4"/>
        <v>0.17105249225722538</v>
      </c>
      <c r="K22" s="8">
        <f t="shared" si="5"/>
        <v>4.8096309512410517E-9</v>
      </c>
      <c r="L22" s="8">
        <f t="shared" si="6"/>
        <v>5.712230215827338E-4</v>
      </c>
      <c r="M22" s="8">
        <v>390</v>
      </c>
      <c r="N22" s="8">
        <v>139</v>
      </c>
      <c r="O22" s="8">
        <v>164</v>
      </c>
      <c r="P22" s="8">
        <v>392.7</v>
      </c>
      <c r="Q22" s="8">
        <f t="shared" si="7"/>
        <v>1.412589928057554</v>
      </c>
      <c r="R22" s="8">
        <v>663.3</v>
      </c>
      <c r="S22" s="8">
        <f t="shared" si="8"/>
        <v>288339338.92909938</v>
      </c>
      <c r="T22" s="62">
        <f t="shared" si="9"/>
        <v>73515733.333333328</v>
      </c>
      <c r="V22"/>
    </row>
    <row r="23" spans="1:22" ht="15" thickBot="1" x14ac:dyDescent="0.35">
      <c r="A23" s="81" t="s">
        <v>35</v>
      </c>
      <c r="B23" s="81">
        <v>22</v>
      </c>
      <c r="C23" s="17">
        <v>1</v>
      </c>
      <c r="D23" s="17">
        <v>6.5</v>
      </c>
      <c r="E23" s="17">
        <v>41.4</v>
      </c>
      <c r="F23" s="17">
        <f t="shared" si="0"/>
        <v>0.52</v>
      </c>
      <c r="G23" s="17">
        <f t="shared" si="1"/>
        <v>16146</v>
      </c>
      <c r="H23" s="17">
        <f t="shared" si="2"/>
        <v>8.3391535841849419E-6</v>
      </c>
      <c r="I23" s="17">
        <f t="shared" si="3"/>
        <v>4.1783551576005384E-3</v>
      </c>
      <c r="J23" s="17">
        <f t="shared" si="4"/>
        <v>0.44594289543130539</v>
      </c>
      <c r="K23" s="17">
        <f t="shared" si="5"/>
        <v>1.253896230361332E-8</v>
      </c>
      <c r="L23" s="17">
        <f t="shared" si="6"/>
        <v>1.4892086330935252E-3</v>
      </c>
      <c r="M23" s="17">
        <v>390</v>
      </c>
      <c r="N23" s="17">
        <v>139</v>
      </c>
      <c r="O23" s="17">
        <v>164</v>
      </c>
      <c r="P23" s="17">
        <v>392.7</v>
      </c>
      <c r="Q23" s="17">
        <f t="shared" si="7"/>
        <v>1.412589928057554</v>
      </c>
      <c r="R23" s="17">
        <v>663.3</v>
      </c>
      <c r="S23" s="17">
        <f t="shared" si="8"/>
        <v>288339338.92909938</v>
      </c>
      <c r="T23" s="64">
        <f t="shared" si="9"/>
        <v>73515733.333333328</v>
      </c>
    </row>
    <row r="24" spans="1:22" ht="15" thickBot="1" x14ac:dyDescent="0.35">
      <c r="A24" s="82" t="s">
        <v>36</v>
      </c>
      <c r="B24" s="82">
        <v>23</v>
      </c>
      <c r="C24" s="6">
        <v>2</v>
      </c>
      <c r="D24" s="8">
        <v>4.1500000000000004</v>
      </c>
      <c r="E24" s="8">
        <f>46/2</f>
        <v>23</v>
      </c>
      <c r="F24" s="8">
        <f t="shared" si="0"/>
        <v>0.33200000000000007</v>
      </c>
      <c r="G24" s="8">
        <f t="shared" si="1"/>
        <v>8970</v>
      </c>
      <c r="H24" s="8">
        <f t="shared" si="2"/>
        <v>4.6328631023249671E-6</v>
      </c>
      <c r="I24" s="8">
        <f t="shared" si="3"/>
        <v>2.3213084208891879E-3</v>
      </c>
      <c r="J24" s="8">
        <f t="shared" si="4"/>
        <v>0.24774605301739189</v>
      </c>
      <c r="K24" s="8">
        <f t="shared" si="5"/>
        <v>6.9660901686740671E-9</v>
      </c>
      <c r="L24" s="8">
        <f t="shared" si="6"/>
        <v>8.2733812949640291E-4</v>
      </c>
      <c r="M24" s="8">
        <v>390</v>
      </c>
      <c r="N24" s="8">
        <v>139</v>
      </c>
      <c r="O24" s="8">
        <v>164</v>
      </c>
      <c r="P24" s="8">
        <v>392.7</v>
      </c>
      <c r="Q24" s="8">
        <f t="shared" si="7"/>
        <v>1.412589928057554</v>
      </c>
      <c r="R24" s="8">
        <v>663.3</v>
      </c>
      <c r="S24" s="8">
        <f t="shared" si="8"/>
        <v>288339338.92909938</v>
      </c>
      <c r="T24" s="62">
        <f t="shared" si="9"/>
        <v>73515733.333333328</v>
      </c>
    </row>
    <row r="25" spans="1:22" ht="15" thickBot="1" x14ac:dyDescent="0.35">
      <c r="A25" s="82" t="s">
        <v>36</v>
      </c>
      <c r="B25" s="82">
        <v>24</v>
      </c>
      <c r="C25" s="31">
        <v>3</v>
      </c>
      <c r="D25" s="3">
        <v>5.5</v>
      </c>
      <c r="E25" s="3">
        <f>69/2</f>
        <v>34.5</v>
      </c>
      <c r="F25" s="3">
        <f t="shared" si="0"/>
        <v>0.44</v>
      </c>
      <c r="G25" s="3">
        <f t="shared" si="1"/>
        <v>13455</v>
      </c>
      <c r="H25" s="3">
        <f t="shared" si="2"/>
        <v>6.949294653487451E-6</v>
      </c>
      <c r="I25" s="3">
        <f t="shared" si="3"/>
        <v>3.481962631333782E-3</v>
      </c>
      <c r="J25" s="3">
        <f t="shared" si="4"/>
        <v>0.37161907952608786</v>
      </c>
      <c r="K25" s="3">
        <f t="shared" si="5"/>
        <v>1.04491352530111E-8</v>
      </c>
      <c r="L25" s="3">
        <f t="shared" si="6"/>
        <v>1.2410071942446043E-3</v>
      </c>
      <c r="M25" s="3">
        <v>390</v>
      </c>
      <c r="N25" s="3">
        <v>139</v>
      </c>
      <c r="O25" s="3">
        <v>164</v>
      </c>
      <c r="P25" s="3">
        <v>392.7</v>
      </c>
      <c r="Q25" s="3">
        <f t="shared" si="7"/>
        <v>1.412589928057554</v>
      </c>
      <c r="R25" s="3">
        <v>663.3</v>
      </c>
      <c r="S25" s="3">
        <f t="shared" si="8"/>
        <v>288339338.92909938</v>
      </c>
      <c r="T25" s="63">
        <f t="shared" si="9"/>
        <v>73515733.333333328</v>
      </c>
    </row>
    <row r="26" spans="1:22" ht="15" thickBot="1" x14ac:dyDescent="0.35">
      <c r="A26" s="82" t="s">
        <v>36</v>
      </c>
      <c r="B26" s="82">
        <v>25</v>
      </c>
      <c r="C26" s="32">
        <v>4</v>
      </c>
      <c r="D26" s="17">
        <v>7.2</v>
      </c>
      <c r="E26" s="17">
        <v>42.3</v>
      </c>
      <c r="F26" s="17">
        <f t="shared" si="0"/>
        <v>0.57600000000000007</v>
      </c>
      <c r="G26" s="17">
        <f t="shared" si="1"/>
        <v>16497</v>
      </c>
      <c r="H26" s="17">
        <f t="shared" si="2"/>
        <v>8.5204395316672232E-6</v>
      </c>
      <c r="I26" s="17">
        <f t="shared" si="3"/>
        <v>4.2691889653744628E-3</v>
      </c>
      <c r="J26" s="17">
        <f t="shared" si="4"/>
        <v>0.45563730620155118</v>
      </c>
      <c r="K26" s="17">
        <f t="shared" si="5"/>
        <v>1.2811548440648392E-8</v>
      </c>
      <c r="L26" s="17">
        <f t="shared" si="6"/>
        <v>1.5215827338129495E-3</v>
      </c>
      <c r="M26" s="17">
        <v>390</v>
      </c>
      <c r="N26" s="17">
        <v>139</v>
      </c>
      <c r="O26" s="17">
        <v>164</v>
      </c>
      <c r="P26" s="17">
        <v>392.7</v>
      </c>
      <c r="Q26" s="17">
        <f t="shared" si="7"/>
        <v>1.412589928057554</v>
      </c>
      <c r="R26" s="17">
        <v>663.3</v>
      </c>
      <c r="S26" s="17">
        <f t="shared" si="8"/>
        <v>288339338.92909938</v>
      </c>
      <c r="T26" s="64">
        <f t="shared" si="9"/>
        <v>73515733.333333328</v>
      </c>
    </row>
    <row r="27" spans="1:22" ht="15" thickBot="1" x14ac:dyDescent="0.35">
      <c r="A27" s="83" t="s">
        <v>37</v>
      </c>
      <c r="B27" s="83">
        <v>26</v>
      </c>
      <c r="C27" s="33">
        <v>2</v>
      </c>
      <c r="D27" s="8">
        <v>3.92</v>
      </c>
      <c r="E27" s="8">
        <v>25</v>
      </c>
      <c r="F27" s="8">
        <f t="shared" si="0"/>
        <v>0.31359999999999999</v>
      </c>
      <c r="G27" s="8">
        <f t="shared" si="1"/>
        <v>9750</v>
      </c>
      <c r="H27" s="8">
        <f t="shared" si="2"/>
        <v>5.0357207633967036E-6</v>
      </c>
      <c r="I27" s="8">
        <f t="shared" si="3"/>
        <v>2.5231613270534649E-3</v>
      </c>
      <c r="J27" s="8">
        <f t="shared" si="4"/>
        <v>0.2692891880623825</v>
      </c>
      <c r="K27" s="8">
        <f t="shared" si="5"/>
        <v>7.5718371398631168E-9</v>
      </c>
      <c r="L27" s="8">
        <f t="shared" si="6"/>
        <v>8.9928057553956839E-4</v>
      </c>
      <c r="M27" s="8">
        <v>390</v>
      </c>
      <c r="N27" s="8">
        <v>139</v>
      </c>
      <c r="O27" s="8">
        <v>164</v>
      </c>
      <c r="P27" s="8">
        <v>392.7</v>
      </c>
      <c r="Q27" s="8">
        <f t="shared" si="7"/>
        <v>1.412589928057554</v>
      </c>
      <c r="R27" s="8">
        <v>663.3</v>
      </c>
      <c r="S27" s="8">
        <f t="shared" si="8"/>
        <v>288339338.92909938</v>
      </c>
      <c r="T27" s="62">
        <f t="shared" si="9"/>
        <v>73515733.333333328</v>
      </c>
    </row>
    <row r="28" spans="1:22" ht="15" thickBot="1" x14ac:dyDescent="0.35">
      <c r="A28" s="83" t="s">
        <v>37</v>
      </c>
      <c r="B28" s="83">
        <v>27</v>
      </c>
      <c r="C28" s="93" t="s">
        <v>28</v>
      </c>
      <c r="D28" s="3">
        <v>9.67</v>
      </c>
      <c r="E28" s="3">
        <f>64.39/2</f>
        <v>32.195</v>
      </c>
      <c r="F28" s="3">
        <f t="shared" si="0"/>
        <v>0.77359999999999995</v>
      </c>
      <c r="G28" s="3">
        <f t="shared" si="1"/>
        <v>12556.05</v>
      </c>
      <c r="H28" s="3">
        <f t="shared" si="2"/>
        <v>6.4850011991022745E-6</v>
      </c>
      <c r="I28" s="3">
        <f t="shared" si="3"/>
        <v>3.2493271569794522E-3</v>
      </c>
      <c r="J28" s="3">
        <f t="shared" si="4"/>
        <v>0.34679061638673614</v>
      </c>
      <c r="K28" s="3">
        <f t="shared" si="5"/>
        <v>9.7510118687157211E-9</v>
      </c>
      <c r="L28" s="3">
        <f t="shared" si="6"/>
        <v>1.1580935251798562E-3</v>
      </c>
      <c r="M28" s="3">
        <v>390</v>
      </c>
      <c r="N28" s="3">
        <v>139</v>
      </c>
      <c r="O28" s="3">
        <v>164</v>
      </c>
      <c r="P28" s="3">
        <v>392.7</v>
      </c>
      <c r="Q28" s="3">
        <f t="shared" si="7"/>
        <v>1.412589928057554</v>
      </c>
      <c r="R28" s="3">
        <v>663.3</v>
      </c>
      <c r="S28" s="3">
        <f t="shared" si="8"/>
        <v>288339338.92909938</v>
      </c>
      <c r="T28" s="63">
        <f t="shared" si="9"/>
        <v>73515733.333333328</v>
      </c>
    </row>
    <row r="29" spans="1:22" ht="15" thickBot="1" x14ac:dyDescent="0.35">
      <c r="A29" s="83" t="s">
        <v>37</v>
      </c>
      <c r="B29" s="83">
        <v>28</v>
      </c>
      <c r="C29" s="24">
        <v>3</v>
      </c>
      <c r="D29" s="3">
        <v>4.6500000000000004</v>
      </c>
      <c r="E29" s="3">
        <f>65/2</f>
        <v>32.5</v>
      </c>
      <c r="F29" s="3">
        <f t="shared" si="0"/>
        <v>0.372</v>
      </c>
      <c r="G29" s="3">
        <f t="shared" si="1"/>
        <v>12675</v>
      </c>
      <c r="H29" s="3">
        <f t="shared" si="2"/>
        <v>6.5464369924157145E-6</v>
      </c>
      <c r="I29" s="3">
        <f t="shared" si="3"/>
        <v>3.2801097251695045E-3</v>
      </c>
      <c r="J29" s="3">
        <f t="shared" si="4"/>
        <v>0.35007594448109725</v>
      </c>
      <c r="K29" s="3">
        <f t="shared" si="5"/>
        <v>9.8433882818220515E-9</v>
      </c>
      <c r="L29" s="3">
        <f t="shared" si="6"/>
        <v>1.1690647482014388E-3</v>
      </c>
      <c r="M29" s="3">
        <v>390</v>
      </c>
      <c r="N29" s="3">
        <v>139</v>
      </c>
      <c r="O29" s="3">
        <v>164</v>
      </c>
      <c r="P29" s="3">
        <v>392.7</v>
      </c>
      <c r="Q29" s="3">
        <f t="shared" si="7"/>
        <v>1.412589928057554</v>
      </c>
      <c r="R29" s="3">
        <v>663.3</v>
      </c>
      <c r="S29" s="3">
        <f t="shared" si="8"/>
        <v>288339338.92909938</v>
      </c>
      <c r="T29" s="63">
        <f t="shared" si="9"/>
        <v>73515733.333333328</v>
      </c>
    </row>
    <row r="30" spans="1:22" ht="15" thickBot="1" x14ac:dyDescent="0.35">
      <c r="A30" s="83" t="s">
        <v>37</v>
      </c>
      <c r="B30" s="83">
        <v>29</v>
      </c>
      <c r="C30" s="24">
        <v>4</v>
      </c>
      <c r="D30" s="3">
        <v>6.82</v>
      </c>
      <c r="E30" s="3">
        <f>86/2</f>
        <v>43</v>
      </c>
      <c r="F30" s="3">
        <f t="shared" si="0"/>
        <v>0.54559999999999997</v>
      </c>
      <c r="G30" s="3">
        <f t="shared" si="1"/>
        <v>16770</v>
      </c>
      <c r="H30" s="3">
        <f t="shared" si="2"/>
        <v>8.6614397130423298E-6</v>
      </c>
      <c r="I30" s="3">
        <f t="shared" si="3"/>
        <v>4.3398374825319597E-3</v>
      </c>
      <c r="J30" s="3">
        <f t="shared" si="4"/>
        <v>0.46317740346729791</v>
      </c>
      <c r="K30" s="3">
        <f t="shared" si="5"/>
        <v>1.3023559880564561E-8</v>
      </c>
      <c r="L30" s="3">
        <f t="shared" si="6"/>
        <v>1.5467625899280575E-3</v>
      </c>
      <c r="M30" s="3">
        <v>390</v>
      </c>
      <c r="N30" s="3">
        <v>139</v>
      </c>
      <c r="O30" s="3">
        <v>164</v>
      </c>
      <c r="P30" s="3">
        <v>392.7</v>
      </c>
      <c r="Q30" s="3">
        <f t="shared" si="7"/>
        <v>1.412589928057554</v>
      </c>
      <c r="R30" s="3">
        <v>663.3</v>
      </c>
      <c r="S30" s="3">
        <f t="shared" si="8"/>
        <v>288339338.92909938</v>
      </c>
      <c r="T30" s="63">
        <f t="shared" si="9"/>
        <v>73515733.333333328</v>
      </c>
    </row>
    <row r="31" spans="1:22" ht="15" thickBot="1" x14ac:dyDescent="0.35">
      <c r="A31" s="83" t="s">
        <v>37</v>
      </c>
      <c r="B31" s="83">
        <v>30</v>
      </c>
      <c r="C31" s="30">
        <v>5</v>
      </c>
      <c r="D31" s="17">
        <v>9.32</v>
      </c>
      <c r="E31" s="17">
        <v>57</v>
      </c>
      <c r="F31" s="17">
        <f t="shared" si="0"/>
        <v>0.74560000000000004</v>
      </c>
      <c r="G31" s="17">
        <f t="shared" si="1"/>
        <v>22230</v>
      </c>
      <c r="H31" s="17">
        <f t="shared" si="2"/>
        <v>1.1481443340544485E-5</v>
      </c>
      <c r="I31" s="17">
        <f t="shared" si="3"/>
        <v>5.7528078256819009E-3</v>
      </c>
      <c r="J31" s="17">
        <f t="shared" si="4"/>
        <v>0.61397934878223204</v>
      </c>
      <c r="K31" s="17">
        <f t="shared" si="5"/>
        <v>1.7263788678887904E-8</v>
      </c>
      <c r="L31" s="17">
        <f t="shared" si="6"/>
        <v>2.0503597122302156E-3</v>
      </c>
      <c r="M31" s="17">
        <v>390</v>
      </c>
      <c r="N31" s="17">
        <v>139</v>
      </c>
      <c r="O31" s="17">
        <v>164</v>
      </c>
      <c r="P31" s="17">
        <v>392.7</v>
      </c>
      <c r="Q31" s="17">
        <f t="shared" si="7"/>
        <v>1.412589928057554</v>
      </c>
      <c r="R31" s="17">
        <v>663.3</v>
      </c>
      <c r="S31" s="17">
        <f t="shared" si="8"/>
        <v>288339338.92909938</v>
      </c>
      <c r="T31" s="64">
        <f t="shared" si="9"/>
        <v>73515733.333333328</v>
      </c>
    </row>
    <row r="32" spans="1:22" ht="15" thickBot="1" x14ac:dyDescent="0.35">
      <c r="A32" s="84" t="s">
        <v>38</v>
      </c>
      <c r="B32" s="85">
        <v>31</v>
      </c>
      <c r="C32" s="6" t="s">
        <v>41</v>
      </c>
      <c r="D32" s="8">
        <v>7.2</v>
      </c>
      <c r="E32" s="8">
        <v>50</v>
      </c>
      <c r="F32" s="8">
        <f t="shared" si="0"/>
        <v>0.57600000000000007</v>
      </c>
      <c r="G32" s="8">
        <f t="shared" si="1"/>
        <v>19500</v>
      </c>
      <c r="H32" s="8">
        <f t="shared" si="2"/>
        <v>6.5801799000988136E-6</v>
      </c>
      <c r="I32" s="8">
        <f t="shared" si="3"/>
        <v>3.6696902405058528E-3</v>
      </c>
      <c r="J32" s="8">
        <f t="shared" si="4"/>
        <v>0.42041999736531194</v>
      </c>
      <c r="K32" s="8">
        <f t="shared" si="5"/>
        <v>1.0101208194398959E-8</v>
      </c>
      <c r="L32" s="8">
        <f t="shared" si="6"/>
        <v>1.5337423312883436E-3</v>
      </c>
      <c r="M32" s="8">
        <v>390</v>
      </c>
      <c r="N32" s="8">
        <v>163</v>
      </c>
      <c r="O32" s="8">
        <v>189</v>
      </c>
      <c r="P32" s="8">
        <v>452.39</v>
      </c>
      <c r="Q32" s="8">
        <f t="shared" si="7"/>
        <v>1.3876993865030673</v>
      </c>
      <c r="R32" s="8">
        <v>629</v>
      </c>
      <c r="S32" s="8">
        <f t="shared" si="8"/>
        <v>432276708.56195867</v>
      </c>
      <c r="T32" s="62">
        <f t="shared" si="9"/>
        <v>112521150</v>
      </c>
    </row>
    <row r="33" spans="1:22" ht="15" thickBot="1" x14ac:dyDescent="0.35">
      <c r="A33" s="85" t="s">
        <v>39</v>
      </c>
      <c r="B33" s="85">
        <v>32</v>
      </c>
      <c r="C33" s="34" t="s">
        <v>42</v>
      </c>
      <c r="D33" s="3">
        <v>6.53</v>
      </c>
      <c r="E33" s="3">
        <v>50.7</v>
      </c>
      <c r="F33" s="3">
        <f t="shared" si="0"/>
        <v>0.52240000000000009</v>
      </c>
      <c r="G33" s="3">
        <f t="shared" si="1"/>
        <v>19773</v>
      </c>
      <c r="H33" s="3">
        <f t="shared" si="2"/>
        <v>6.672302418700197E-6</v>
      </c>
      <c r="I33" s="3">
        <f t="shared" si="3"/>
        <v>3.7210659038729348E-3</v>
      </c>
      <c r="J33" s="3">
        <f t="shared" si="4"/>
        <v>0.42630587732842629</v>
      </c>
      <c r="K33" s="3">
        <f t="shared" si="5"/>
        <v>1.0242625109120545E-8</v>
      </c>
      <c r="L33" s="3">
        <f t="shared" si="6"/>
        <v>1.5552147239263805E-3</v>
      </c>
      <c r="M33" s="3">
        <v>390</v>
      </c>
      <c r="N33" s="8">
        <v>163</v>
      </c>
      <c r="O33" s="8">
        <v>189</v>
      </c>
      <c r="P33" s="8">
        <v>452.39</v>
      </c>
      <c r="Q33" s="3">
        <f t="shared" si="7"/>
        <v>1.3876993865030673</v>
      </c>
      <c r="R33" s="3">
        <v>629</v>
      </c>
      <c r="S33" s="3">
        <f t="shared" si="8"/>
        <v>432276708.56195867</v>
      </c>
      <c r="T33" s="63">
        <f t="shared" si="9"/>
        <v>112521150</v>
      </c>
    </row>
    <row r="34" spans="1:22" ht="15" thickBot="1" x14ac:dyDescent="0.35">
      <c r="A34" s="86" t="s">
        <v>40</v>
      </c>
      <c r="B34" s="85">
        <v>33</v>
      </c>
      <c r="C34" s="35" t="s">
        <v>43</v>
      </c>
      <c r="D34" s="17">
        <v>5.4</v>
      </c>
      <c r="E34" s="17">
        <v>44.9</v>
      </c>
      <c r="F34" s="17">
        <f t="shared" ref="F34:F55" si="10">D34/$W$2*100</f>
        <v>0.432</v>
      </c>
      <c r="G34" s="17">
        <f t="shared" ref="G34:G55" si="11">E34*M34</f>
        <v>17511</v>
      </c>
      <c r="H34" s="17">
        <f t="shared" ref="H34:H55" si="12">G34/($W$5*T34*0.001)</f>
        <v>5.9090015502887345E-6</v>
      </c>
      <c r="I34" s="17">
        <f t="shared" ref="I34:I55" si="13">G34/($W$3*N34^2)</f>
        <v>3.2953818359742555E-3</v>
      </c>
      <c r="J34" s="17">
        <f t="shared" ref="J34:J55" si="14">G34/(P34*R34*N34*0.001)</f>
        <v>0.3775371576340501</v>
      </c>
      <c r="K34" s="17">
        <f t="shared" ref="K34:K55" si="15">E34/($W$6*S34*0.001)</f>
        <v>9.0708849585702656E-9</v>
      </c>
      <c r="L34" s="17">
        <f t="shared" ref="L34:L55" si="16">E34/($W$3*N34)</f>
        <v>1.3773006134969324E-3</v>
      </c>
      <c r="M34" s="17">
        <v>390</v>
      </c>
      <c r="N34" s="21">
        <v>163</v>
      </c>
      <c r="O34" s="21">
        <v>189</v>
      </c>
      <c r="P34" s="21">
        <v>452.39</v>
      </c>
      <c r="Q34" s="17">
        <f t="shared" ref="Q34:Q55" si="17">P34/($W$3*N34)*100</f>
        <v>1.3876993865030673</v>
      </c>
      <c r="R34" s="17">
        <v>629</v>
      </c>
      <c r="S34" s="17">
        <f t="shared" ref="S34:S55" si="18">(1/3-0.21*(MIN($W$3,O34)/MAX($W$3,O34))*(MIN($W$3,O34)^4/(12*MAX($W$3,O34)^4)))*MAX($W$3,O34)*MIN($W$3,O34)^3</f>
        <v>432276708.56195867</v>
      </c>
      <c r="T34" s="64">
        <f t="shared" ref="T34:T55" si="19">$W$3*O34^3/12</f>
        <v>112521150</v>
      </c>
    </row>
    <row r="35" spans="1:22" ht="15" thickBot="1" x14ac:dyDescent="0.35">
      <c r="A35" s="87" t="s">
        <v>44</v>
      </c>
      <c r="B35" s="87">
        <v>34</v>
      </c>
      <c r="C35" s="39">
        <v>2</v>
      </c>
      <c r="D35" s="8">
        <v>3.25</v>
      </c>
      <c r="E35" s="19">
        <f>71.3/2</f>
        <v>35.65</v>
      </c>
      <c r="F35" s="36">
        <f t="shared" si="10"/>
        <v>0.26</v>
      </c>
      <c r="G35" s="8">
        <f t="shared" si="11"/>
        <v>13903.5</v>
      </c>
      <c r="H35" s="8">
        <f t="shared" si="12"/>
        <v>2.409776144137305E-6</v>
      </c>
      <c r="I35" s="8">
        <f t="shared" si="13"/>
        <v>1.5763605442176871E-3</v>
      </c>
      <c r="J35" s="8">
        <f t="shared" si="14"/>
        <v>0.18613552633502012</v>
      </c>
      <c r="K35" s="8">
        <f t="shared" si="15"/>
        <v>5.0632151118157129E-9</v>
      </c>
      <c r="L35" s="8">
        <f t="shared" si="16"/>
        <v>8.4880952380952382E-4</v>
      </c>
      <c r="M35" s="36">
        <v>390</v>
      </c>
      <c r="N35" s="36">
        <v>210</v>
      </c>
      <c r="O35" s="36">
        <v>236</v>
      </c>
      <c r="P35" s="36">
        <v>565.49</v>
      </c>
      <c r="Q35" s="36">
        <f t="shared" si="17"/>
        <v>1.3464047619047619</v>
      </c>
      <c r="R35" s="36">
        <v>629</v>
      </c>
      <c r="S35" s="36">
        <f t="shared" si="18"/>
        <v>614891244.82907891</v>
      </c>
      <c r="T35" s="67">
        <f t="shared" si="19"/>
        <v>219070933.33333334</v>
      </c>
      <c r="U35" s="1"/>
      <c r="V35" s="1"/>
    </row>
    <row r="36" spans="1:22" ht="15" thickBot="1" x14ac:dyDescent="0.35">
      <c r="A36" s="87" t="s">
        <v>44</v>
      </c>
      <c r="B36" s="87">
        <v>35</v>
      </c>
      <c r="C36" s="34">
        <v>3</v>
      </c>
      <c r="D36" s="3">
        <v>3.53</v>
      </c>
      <c r="E36" s="13">
        <f>85/2</f>
        <v>42.5</v>
      </c>
      <c r="F36" s="7">
        <f t="shared" si="10"/>
        <v>0.28239999999999998</v>
      </c>
      <c r="G36" s="3">
        <f t="shared" si="11"/>
        <v>16575</v>
      </c>
      <c r="H36" s="3">
        <f t="shared" si="12"/>
        <v>2.8728046599112333E-6</v>
      </c>
      <c r="I36" s="3">
        <f t="shared" si="13"/>
        <v>1.879251700680272E-3</v>
      </c>
      <c r="J36" s="3">
        <f t="shared" si="14"/>
        <v>0.22190069759434378</v>
      </c>
      <c r="K36" s="3">
        <f t="shared" si="15"/>
        <v>6.0360909467648754E-9</v>
      </c>
      <c r="L36" s="3">
        <f t="shared" si="16"/>
        <v>1.0119047619047618E-3</v>
      </c>
      <c r="M36" s="7">
        <v>390</v>
      </c>
      <c r="N36" s="7">
        <v>210</v>
      </c>
      <c r="O36" s="7">
        <v>236</v>
      </c>
      <c r="P36" s="7">
        <v>565.49</v>
      </c>
      <c r="Q36" s="7">
        <f t="shared" si="17"/>
        <v>1.3464047619047619</v>
      </c>
      <c r="R36" s="7">
        <v>629</v>
      </c>
      <c r="S36" s="7">
        <f t="shared" si="18"/>
        <v>614891244.82907891</v>
      </c>
      <c r="T36" s="68">
        <f t="shared" si="19"/>
        <v>219070933.33333334</v>
      </c>
      <c r="U36" s="1"/>
      <c r="V36" s="1"/>
    </row>
    <row r="37" spans="1:22" ht="15" thickBot="1" x14ac:dyDescent="0.35">
      <c r="A37" s="87" t="s">
        <v>44</v>
      </c>
      <c r="B37" s="87">
        <v>36</v>
      </c>
      <c r="C37" s="34">
        <v>4</v>
      </c>
      <c r="D37" s="3">
        <v>3.85</v>
      </c>
      <c r="E37" s="13">
        <f>94/2</f>
        <v>47</v>
      </c>
      <c r="F37" s="3">
        <f t="shared" si="10"/>
        <v>0.30800000000000005</v>
      </c>
      <c r="G37" s="3">
        <f t="shared" si="11"/>
        <v>18330</v>
      </c>
      <c r="H37" s="3">
        <f t="shared" si="12"/>
        <v>3.176983976843011E-6</v>
      </c>
      <c r="I37" s="3">
        <f t="shared" si="13"/>
        <v>2.078231292517007E-3</v>
      </c>
      <c r="J37" s="3">
        <f t="shared" si="14"/>
        <v>0.24539606557492136</v>
      </c>
      <c r="K37" s="3">
        <f t="shared" si="15"/>
        <v>6.6752064587752736E-9</v>
      </c>
      <c r="L37" s="3">
        <f t="shared" si="16"/>
        <v>1.1190476190476191E-3</v>
      </c>
      <c r="M37" s="7">
        <v>390</v>
      </c>
      <c r="N37" s="7">
        <v>210</v>
      </c>
      <c r="O37" s="7">
        <v>236</v>
      </c>
      <c r="P37" s="7">
        <v>565.49</v>
      </c>
      <c r="Q37" s="7">
        <f t="shared" si="17"/>
        <v>1.3464047619047619</v>
      </c>
      <c r="R37" s="7">
        <v>629</v>
      </c>
      <c r="S37" s="7">
        <f t="shared" si="18"/>
        <v>614891244.82907891</v>
      </c>
      <c r="T37" s="68">
        <f t="shared" si="19"/>
        <v>219070933.33333334</v>
      </c>
    </row>
    <row r="38" spans="1:22" ht="15" thickBot="1" x14ac:dyDescent="0.35">
      <c r="A38" s="87" t="s">
        <v>44</v>
      </c>
      <c r="B38" s="87">
        <v>37</v>
      </c>
      <c r="C38" s="34">
        <v>5</v>
      </c>
      <c r="D38" s="3">
        <v>4.55</v>
      </c>
      <c r="E38" s="3">
        <f>124/2</f>
        <v>62</v>
      </c>
      <c r="F38" s="3">
        <f t="shared" si="10"/>
        <v>0.36399999999999999</v>
      </c>
      <c r="G38" s="3">
        <f t="shared" si="11"/>
        <v>24180</v>
      </c>
      <c r="H38" s="3">
        <f t="shared" si="12"/>
        <v>4.1909150332822701E-6</v>
      </c>
      <c r="I38" s="3">
        <f t="shared" si="13"/>
        <v>2.7414965986394557E-3</v>
      </c>
      <c r="J38" s="3">
        <f t="shared" si="14"/>
        <v>0.32371395884351328</v>
      </c>
      <c r="K38" s="3">
        <f t="shared" si="15"/>
        <v>8.8055914988099353E-9</v>
      </c>
      <c r="L38" s="3">
        <f t="shared" si="16"/>
        <v>1.4761904761904762E-3</v>
      </c>
      <c r="M38" s="7">
        <v>390</v>
      </c>
      <c r="N38" s="7">
        <v>210</v>
      </c>
      <c r="O38" s="7">
        <v>236</v>
      </c>
      <c r="P38" s="7">
        <v>565.49</v>
      </c>
      <c r="Q38" s="7">
        <f t="shared" si="17"/>
        <v>1.3464047619047619</v>
      </c>
      <c r="R38" s="7">
        <v>629</v>
      </c>
      <c r="S38" s="7">
        <f t="shared" si="18"/>
        <v>614891244.82907891</v>
      </c>
      <c r="T38" s="68">
        <f t="shared" si="19"/>
        <v>219070933.33333334</v>
      </c>
    </row>
    <row r="39" spans="1:22" ht="15" thickBot="1" x14ac:dyDescent="0.35">
      <c r="A39" s="87" t="s">
        <v>44</v>
      </c>
      <c r="B39" s="87">
        <v>38</v>
      </c>
      <c r="C39" s="40">
        <v>6</v>
      </c>
      <c r="D39" s="17">
        <v>4.6399999999999997</v>
      </c>
      <c r="E39" s="17">
        <f>126.5/2</f>
        <v>63.25</v>
      </c>
      <c r="F39" s="17">
        <f t="shared" si="10"/>
        <v>0.37119999999999997</v>
      </c>
      <c r="G39" s="17">
        <f t="shared" si="11"/>
        <v>24667.5</v>
      </c>
      <c r="H39" s="17">
        <f t="shared" si="12"/>
        <v>4.2754092879855416E-6</v>
      </c>
      <c r="I39" s="17">
        <f t="shared" si="13"/>
        <v>2.796768707482993E-3</v>
      </c>
      <c r="J39" s="17">
        <f t="shared" si="14"/>
        <v>0.33024044994922924</v>
      </c>
      <c r="K39" s="17">
        <f t="shared" si="15"/>
        <v>8.983123585479491E-9</v>
      </c>
      <c r="L39" s="17">
        <f t="shared" si="16"/>
        <v>1.505952380952381E-3</v>
      </c>
      <c r="M39" s="41">
        <v>390</v>
      </c>
      <c r="N39" s="41">
        <v>210</v>
      </c>
      <c r="O39" s="41">
        <v>236</v>
      </c>
      <c r="P39" s="41">
        <v>565.49</v>
      </c>
      <c r="Q39" s="41">
        <f t="shared" si="17"/>
        <v>1.3464047619047619</v>
      </c>
      <c r="R39" s="41">
        <v>629</v>
      </c>
      <c r="S39" s="41">
        <f t="shared" si="18"/>
        <v>614891244.82907891</v>
      </c>
      <c r="T39" s="69">
        <f t="shared" si="19"/>
        <v>219070933.33333334</v>
      </c>
    </row>
    <row r="40" spans="1:22" ht="15" thickBot="1" x14ac:dyDescent="0.35">
      <c r="A40" s="88" t="s">
        <v>45</v>
      </c>
      <c r="B40" s="88">
        <v>39</v>
      </c>
      <c r="C40" s="23">
        <v>2</v>
      </c>
      <c r="D40" s="8">
        <v>2.13</v>
      </c>
      <c r="E40" s="8">
        <f>104/2</f>
        <v>52</v>
      </c>
      <c r="F40" s="8">
        <f t="shared" si="10"/>
        <v>0.1704</v>
      </c>
      <c r="G40" s="8">
        <f t="shared" si="11"/>
        <v>20280</v>
      </c>
      <c r="H40" s="8">
        <f t="shared" si="12"/>
        <v>3.5149609956560972E-6</v>
      </c>
      <c r="I40" s="8">
        <f t="shared" si="13"/>
        <v>2.2993197278911564E-3</v>
      </c>
      <c r="J40" s="8">
        <f t="shared" si="14"/>
        <v>0.27150202999778533</v>
      </c>
      <c r="K40" s="8">
        <f t="shared" si="15"/>
        <v>7.3853348054534947E-9</v>
      </c>
      <c r="L40" s="8">
        <f t="shared" si="16"/>
        <v>1.238095238095238E-3</v>
      </c>
      <c r="M40" s="36">
        <v>390</v>
      </c>
      <c r="N40" s="36">
        <v>210</v>
      </c>
      <c r="O40" s="36">
        <v>236</v>
      </c>
      <c r="P40" s="36">
        <v>565.49</v>
      </c>
      <c r="Q40" s="36">
        <f t="shared" si="17"/>
        <v>1.3464047619047619</v>
      </c>
      <c r="R40" s="36">
        <v>629</v>
      </c>
      <c r="S40" s="36">
        <f t="shared" si="18"/>
        <v>614891244.82907891</v>
      </c>
      <c r="T40" s="67">
        <f t="shared" si="19"/>
        <v>219070933.33333334</v>
      </c>
    </row>
    <row r="41" spans="1:22" ht="15" thickBot="1" x14ac:dyDescent="0.35">
      <c r="A41" s="88" t="s">
        <v>45</v>
      </c>
      <c r="B41" s="88">
        <v>40</v>
      </c>
      <c r="C41" s="24">
        <v>3</v>
      </c>
      <c r="D41" s="3">
        <v>2.77</v>
      </c>
      <c r="E41" s="3">
        <f>120/2</f>
        <v>60</v>
      </c>
      <c r="F41" s="3">
        <f t="shared" si="10"/>
        <v>0.22160000000000002</v>
      </c>
      <c r="G41" s="3">
        <f t="shared" si="11"/>
        <v>23400</v>
      </c>
      <c r="H41" s="3">
        <f t="shared" si="12"/>
        <v>4.0557242257570349E-6</v>
      </c>
      <c r="I41" s="3">
        <f t="shared" si="13"/>
        <v>2.6530612244897961E-3</v>
      </c>
      <c r="J41" s="3">
        <f t="shared" si="14"/>
        <v>0.3132715730743677</v>
      </c>
      <c r="K41" s="3">
        <f t="shared" si="15"/>
        <v>8.5215401601386469E-9</v>
      </c>
      <c r="L41" s="3">
        <f t="shared" si="16"/>
        <v>1.4285714285714286E-3</v>
      </c>
      <c r="M41" s="7">
        <v>390</v>
      </c>
      <c r="N41" s="7">
        <v>210</v>
      </c>
      <c r="O41" s="7">
        <v>236</v>
      </c>
      <c r="P41" s="7">
        <v>565.49</v>
      </c>
      <c r="Q41" s="7">
        <f t="shared" si="17"/>
        <v>1.3464047619047619</v>
      </c>
      <c r="R41" s="7">
        <v>629</v>
      </c>
      <c r="S41" s="7">
        <f t="shared" si="18"/>
        <v>614891244.82907891</v>
      </c>
      <c r="T41" s="68">
        <f t="shared" si="19"/>
        <v>219070933.33333334</v>
      </c>
    </row>
    <row r="42" spans="1:22" ht="15" thickBot="1" x14ac:dyDescent="0.35">
      <c r="A42" s="88" t="s">
        <v>45</v>
      </c>
      <c r="B42" s="88">
        <v>41</v>
      </c>
      <c r="C42" s="24">
        <v>4</v>
      </c>
      <c r="D42" s="3">
        <v>2.82</v>
      </c>
      <c r="E42" s="3">
        <f>124/2</f>
        <v>62</v>
      </c>
      <c r="F42" s="3">
        <f t="shared" si="10"/>
        <v>0.22559999999999997</v>
      </c>
      <c r="G42" s="3">
        <f t="shared" si="11"/>
        <v>24180</v>
      </c>
      <c r="H42" s="3">
        <f t="shared" si="12"/>
        <v>4.1909150332822701E-6</v>
      </c>
      <c r="I42" s="3">
        <f t="shared" si="13"/>
        <v>2.7414965986394557E-3</v>
      </c>
      <c r="J42" s="3">
        <f t="shared" si="14"/>
        <v>0.32371395884351328</v>
      </c>
      <c r="K42" s="3">
        <f t="shared" si="15"/>
        <v>8.8055914988099353E-9</v>
      </c>
      <c r="L42" s="3">
        <f t="shared" si="16"/>
        <v>1.4761904761904762E-3</v>
      </c>
      <c r="M42" s="7">
        <v>390</v>
      </c>
      <c r="N42" s="7">
        <v>210</v>
      </c>
      <c r="O42" s="7">
        <v>236</v>
      </c>
      <c r="P42" s="7">
        <v>565.49</v>
      </c>
      <c r="Q42" s="7">
        <f t="shared" si="17"/>
        <v>1.3464047619047619</v>
      </c>
      <c r="R42" s="7">
        <v>629</v>
      </c>
      <c r="S42" s="7">
        <f t="shared" si="18"/>
        <v>614891244.82907891</v>
      </c>
      <c r="T42" s="68">
        <f t="shared" si="19"/>
        <v>219070933.33333334</v>
      </c>
    </row>
    <row r="43" spans="1:22" ht="15" thickBot="1" x14ac:dyDescent="0.35">
      <c r="A43" s="88" t="s">
        <v>45</v>
      </c>
      <c r="B43" s="88">
        <v>42</v>
      </c>
      <c r="C43" s="24">
        <v>5</v>
      </c>
      <c r="D43" s="3">
        <v>3.51</v>
      </c>
      <c r="E43" s="3">
        <f>133/2</f>
        <v>66.5</v>
      </c>
      <c r="F43" s="3">
        <f t="shared" si="10"/>
        <v>0.28079999999999999</v>
      </c>
      <c r="G43" s="3">
        <f t="shared" si="11"/>
        <v>25935</v>
      </c>
      <c r="H43" s="3">
        <f t="shared" si="12"/>
        <v>4.4950943502140473E-6</v>
      </c>
      <c r="I43" s="3">
        <f t="shared" si="13"/>
        <v>2.9404761904761904E-3</v>
      </c>
      <c r="J43" s="3">
        <f t="shared" si="14"/>
        <v>0.34720932682409084</v>
      </c>
      <c r="K43" s="3">
        <f t="shared" si="15"/>
        <v>9.4447070108203351E-9</v>
      </c>
      <c r="L43" s="3">
        <f t="shared" si="16"/>
        <v>1.5833333333333333E-3</v>
      </c>
      <c r="M43" s="7">
        <v>390</v>
      </c>
      <c r="N43" s="7">
        <v>210</v>
      </c>
      <c r="O43" s="7">
        <v>236</v>
      </c>
      <c r="P43" s="7">
        <v>565.49</v>
      </c>
      <c r="Q43" s="7">
        <f t="shared" si="17"/>
        <v>1.3464047619047619</v>
      </c>
      <c r="R43" s="7">
        <v>629</v>
      </c>
      <c r="S43" s="7">
        <f t="shared" si="18"/>
        <v>614891244.82907891</v>
      </c>
      <c r="T43" s="68">
        <f t="shared" si="19"/>
        <v>219070933.33333334</v>
      </c>
    </row>
    <row r="44" spans="1:22" ht="15" thickBot="1" x14ac:dyDescent="0.35">
      <c r="A44" s="88" t="s">
        <v>45</v>
      </c>
      <c r="B44" s="88">
        <v>43</v>
      </c>
      <c r="C44" s="30">
        <v>6</v>
      </c>
      <c r="D44" s="17">
        <v>3.66</v>
      </c>
      <c r="E44" s="17">
        <v>70.099999999999994</v>
      </c>
      <c r="F44" s="17">
        <f t="shared" si="10"/>
        <v>0.2928</v>
      </c>
      <c r="G44" s="17">
        <f t="shared" si="11"/>
        <v>27338.999999999996</v>
      </c>
      <c r="H44" s="17">
        <f t="shared" si="12"/>
        <v>4.7384378037594686E-6</v>
      </c>
      <c r="I44" s="17">
        <f t="shared" si="13"/>
        <v>3.0996598639455777E-3</v>
      </c>
      <c r="J44" s="17">
        <f t="shared" si="14"/>
        <v>0.36600562120855284</v>
      </c>
      <c r="K44" s="17">
        <f t="shared" si="15"/>
        <v>9.9559994204286527E-9</v>
      </c>
      <c r="L44" s="17">
        <f t="shared" si="16"/>
        <v>1.6690476190476188E-3</v>
      </c>
      <c r="M44" s="41">
        <v>390</v>
      </c>
      <c r="N44" s="41">
        <v>210</v>
      </c>
      <c r="O44" s="41">
        <v>236</v>
      </c>
      <c r="P44" s="41">
        <v>565.49</v>
      </c>
      <c r="Q44" s="41">
        <f t="shared" si="17"/>
        <v>1.3464047619047619</v>
      </c>
      <c r="R44" s="41">
        <v>629</v>
      </c>
      <c r="S44" s="41">
        <f t="shared" si="18"/>
        <v>614891244.82907891</v>
      </c>
      <c r="T44" s="69">
        <f t="shared" si="19"/>
        <v>219070933.33333334</v>
      </c>
    </row>
    <row r="45" spans="1:22" ht="15" thickBot="1" x14ac:dyDescent="0.35">
      <c r="A45" s="89" t="s">
        <v>46</v>
      </c>
      <c r="B45" s="89">
        <v>44</v>
      </c>
      <c r="C45" s="23">
        <v>2</v>
      </c>
      <c r="D45" s="8">
        <v>3.6</v>
      </c>
      <c r="E45" s="8">
        <f>96/2</f>
        <v>48</v>
      </c>
      <c r="F45" s="8">
        <f t="shared" si="10"/>
        <v>0.28800000000000003</v>
      </c>
      <c r="G45" s="17">
        <f t="shared" si="11"/>
        <v>18720</v>
      </c>
      <c r="H45" s="8">
        <f t="shared" si="12"/>
        <v>3.2445793806056281E-6</v>
      </c>
      <c r="I45" s="8">
        <f t="shared" si="13"/>
        <v>2.1224489795918368E-3</v>
      </c>
      <c r="J45" s="8">
        <f t="shared" si="14"/>
        <v>0.25061725845949412</v>
      </c>
      <c r="K45" s="8">
        <f t="shared" si="15"/>
        <v>6.8172321281109178E-9</v>
      </c>
      <c r="L45" s="8">
        <f t="shared" si="16"/>
        <v>1.1428571428571429E-3</v>
      </c>
      <c r="M45" s="36">
        <v>390</v>
      </c>
      <c r="N45" s="36">
        <v>210</v>
      </c>
      <c r="O45" s="36">
        <v>236</v>
      </c>
      <c r="P45" s="36">
        <v>565.49</v>
      </c>
      <c r="Q45" s="36">
        <f t="shared" si="17"/>
        <v>1.3464047619047619</v>
      </c>
      <c r="R45" s="36">
        <v>629</v>
      </c>
      <c r="S45" s="36">
        <f t="shared" si="18"/>
        <v>614891244.82907891</v>
      </c>
      <c r="T45" s="67">
        <f t="shared" si="19"/>
        <v>219070933.33333334</v>
      </c>
    </row>
    <row r="46" spans="1:22" ht="15" thickBot="1" x14ac:dyDescent="0.35">
      <c r="A46" s="89" t="s">
        <v>46</v>
      </c>
      <c r="B46" s="89">
        <v>45</v>
      </c>
      <c r="C46" s="24">
        <v>3</v>
      </c>
      <c r="D46" s="3">
        <v>3.93</v>
      </c>
      <c r="E46" s="3">
        <f>120/2</f>
        <v>60</v>
      </c>
      <c r="F46" s="3">
        <f t="shared" si="10"/>
        <v>0.31440000000000001</v>
      </c>
      <c r="G46" s="17">
        <f t="shared" si="11"/>
        <v>23400</v>
      </c>
      <c r="H46" s="3">
        <f t="shared" si="12"/>
        <v>4.0557242257570349E-6</v>
      </c>
      <c r="I46" s="3">
        <f t="shared" si="13"/>
        <v>2.6530612244897961E-3</v>
      </c>
      <c r="J46" s="3">
        <f t="shared" si="14"/>
        <v>0.3132715730743677</v>
      </c>
      <c r="K46" s="3">
        <f t="shared" si="15"/>
        <v>8.5215401601386469E-9</v>
      </c>
      <c r="L46" s="3">
        <f t="shared" si="16"/>
        <v>1.4285714285714286E-3</v>
      </c>
      <c r="M46" s="7">
        <v>390</v>
      </c>
      <c r="N46" s="7">
        <v>210</v>
      </c>
      <c r="O46" s="7">
        <v>236</v>
      </c>
      <c r="P46" s="7">
        <v>565.49</v>
      </c>
      <c r="Q46" s="7">
        <f t="shared" si="17"/>
        <v>1.3464047619047619</v>
      </c>
      <c r="R46" s="7">
        <v>629</v>
      </c>
      <c r="S46" s="7">
        <f t="shared" si="18"/>
        <v>614891244.82907891</v>
      </c>
      <c r="T46" s="68">
        <f t="shared" si="19"/>
        <v>219070933.33333334</v>
      </c>
    </row>
    <row r="47" spans="1:22" ht="15" thickBot="1" x14ac:dyDescent="0.35">
      <c r="A47" s="89" t="s">
        <v>46</v>
      </c>
      <c r="B47" s="89">
        <v>46</v>
      </c>
      <c r="C47" s="30">
        <v>4</v>
      </c>
      <c r="D47" s="17">
        <v>3.97</v>
      </c>
      <c r="E47" s="17">
        <f>124/2</f>
        <v>62</v>
      </c>
      <c r="F47" s="17">
        <f t="shared" si="10"/>
        <v>0.31759999999999999</v>
      </c>
      <c r="G47" s="17">
        <f t="shared" si="11"/>
        <v>24180</v>
      </c>
      <c r="H47" s="17">
        <f t="shared" si="12"/>
        <v>4.1909150332822701E-6</v>
      </c>
      <c r="I47" s="17">
        <f t="shared" si="13"/>
        <v>2.7414965986394557E-3</v>
      </c>
      <c r="J47" s="17">
        <f t="shared" si="14"/>
        <v>0.32371395884351328</v>
      </c>
      <c r="K47" s="17">
        <f t="shared" si="15"/>
        <v>8.8055914988099353E-9</v>
      </c>
      <c r="L47" s="17">
        <f t="shared" si="16"/>
        <v>1.4761904761904762E-3</v>
      </c>
      <c r="M47" s="41">
        <v>390</v>
      </c>
      <c r="N47" s="41">
        <v>210</v>
      </c>
      <c r="O47" s="41">
        <v>236</v>
      </c>
      <c r="P47" s="41">
        <v>565.49</v>
      </c>
      <c r="Q47" s="41">
        <f t="shared" si="17"/>
        <v>1.3464047619047619</v>
      </c>
      <c r="R47" s="41">
        <v>629</v>
      </c>
      <c r="S47" s="41">
        <f t="shared" si="18"/>
        <v>614891244.82907891</v>
      </c>
      <c r="T47" s="69">
        <f t="shared" si="19"/>
        <v>219070933.33333334</v>
      </c>
    </row>
    <row r="48" spans="1:22" ht="15" thickBot="1" x14ac:dyDescent="0.35">
      <c r="A48" s="90" t="s">
        <v>47</v>
      </c>
      <c r="B48" s="90">
        <v>47</v>
      </c>
      <c r="C48" s="46">
        <v>2</v>
      </c>
      <c r="D48" s="47">
        <v>2.87</v>
      </c>
      <c r="E48" s="47">
        <f>144/2</f>
        <v>72</v>
      </c>
      <c r="F48" s="47">
        <f t="shared" si="10"/>
        <v>0.22960000000000003</v>
      </c>
      <c r="G48" s="17">
        <f t="shared" si="11"/>
        <v>25200</v>
      </c>
      <c r="H48" s="21">
        <f t="shared" si="12"/>
        <v>1.5270550307411107E-6</v>
      </c>
      <c r="I48" s="21">
        <f t="shared" si="13"/>
        <v>1.3368842109730606E-3</v>
      </c>
      <c r="J48" s="21">
        <f t="shared" si="14"/>
        <v>0.16009984321770188</v>
      </c>
      <c r="K48" s="21">
        <f t="shared" si="15"/>
        <v>7.0667033414538448E-9</v>
      </c>
      <c r="L48" s="21">
        <f t="shared" si="16"/>
        <v>1.1726384364820848E-3</v>
      </c>
      <c r="M48" s="47">
        <v>350</v>
      </c>
      <c r="N48" s="47">
        <v>307</v>
      </c>
      <c r="O48" s="47">
        <v>335</v>
      </c>
      <c r="P48" s="47">
        <v>804.25</v>
      </c>
      <c r="Q48" s="47">
        <f t="shared" si="17"/>
        <v>1.3098534201954397</v>
      </c>
      <c r="R48" s="47">
        <v>637.5</v>
      </c>
      <c r="S48" s="47">
        <f t="shared" si="18"/>
        <v>889776211.12658358</v>
      </c>
      <c r="T48" s="70">
        <f t="shared" si="19"/>
        <v>626589583.33333337</v>
      </c>
      <c r="U48"/>
    </row>
    <row r="49" spans="1:21" ht="15" thickBot="1" x14ac:dyDescent="0.35">
      <c r="A49" s="90" t="s">
        <v>47</v>
      </c>
      <c r="B49" s="90">
        <v>48</v>
      </c>
      <c r="C49" s="45">
        <v>3</v>
      </c>
      <c r="D49" s="44">
        <v>3.33</v>
      </c>
      <c r="E49" s="44">
        <f>177/2</f>
        <v>88.5</v>
      </c>
      <c r="F49" s="44">
        <f t="shared" si="10"/>
        <v>0.26640000000000003</v>
      </c>
      <c r="G49" s="17">
        <f t="shared" si="11"/>
        <v>30975</v>
      </c>
      <c r="H49" s="17">
        <f t="shared" si="12"/>
        <v>1.8770051419526153E-6</v>
      </c>
      <c r="I49" s="17">
        <f t="shared" si="13"/>
        <v>1.6432535093210538E-3</v>
      </c>
      <c r="J49" s="17">
        <f t="shared" si="14"/>
        <v>0.19678939062175857</v>
      </c>
      <c r="K49" s="17">
        <f t="shared" si="15"/>
        <v>8.6861561905370184E-9</v>
      </c>
      <c r="L49" s="17">
        <f t="shared" si="16"/>
        <v>1.4413680781758958E-3</v>
      </c>
      <c r="M49" s="44">
        <v>350</v>
      </c>
      <c r="N49" s="44">
        <v>307</v>
      </c>
      <c r="O49" s="44">
        <v>335</v>
      </c>
      <c r="P49" s="44">
        <v>804.25</v>
      </c>
      <c r="Q49" s="44">
        <f t="shared" si="17"/>
        <v>1.3098534201954397</v>
      </c>
      <c r="R49" s="44">
        <v>637.5</v>
      </c>
      <c r="S49" s="44">
        <f t="shared" si="18"/>
        <v>889776211.12658358</v>
      </c>
      <c r="T49" s="71">
        <f t="shared" si="19"/>
        <v>626589583.33333337</v>
      </c>
      <c r="U49"/>
    </row>
    <row r="50" spans="1:21" ht="15" thickBot="1" x14ac:dyDescent="0.35">
      <c r="A50" s="90" t="s">
        <v>47</v>
      </c>
      <c r="B50" s="90">
        <v>49</v>
      </c>
      <c r="C50" s="45">
        <v>4</v>
      </c>
      <c r="D50" s="44">
        <v>3.45</v>
      </c>
      <c r="E50" s="44">
        <f>181/2</f>
        <v>90.5</v>
      </c>
      <c r="F50" s="44">
        <f t="shared" si="10"/>
        <v>0.27600000000000002</v>
      </c>
      <c r="G50" s="17">
        <f t="shared" si="11"/>
        <v>31675</v>
      </c>
      <c r="H50" s="17">
        <f t="shared" si="12"/>
        <v>1.9194233372509797E-6</v>
      </c>
      <c r="I50" s="17">
        <f t="shared" si="13"/>
        <v>1.6803891818480833E-3</v>
      </c>
      <c r="J50" s="17">
        <f t="shared" si="14"/>
        <v>0.20123660848891695</v>
      </c>
      <c r="K50" s="17">
        <f t="shared" si="15"/>
        <v>8.882453505577403E-9</v>
      </c>
      <c r="L50" s="17">
        <f t="shared" si="16"/>
        <v>1.4739413680781759E-3</v>
      </c>
      <c r="M50" s="44">
        <v>350</v>
      </c>
      <c r="N50" s="44">
        <v>307</v>
      </c>
      <c r="O50" s="44">
        <v>335</v>
      </c>
      <c r="P50" s="44">
        <v>804.25</v>
      </c>
      <c r="Q50" s="44">
        <f t="shared" si="17"/>
        <v>1.3098534201954397</v>
      </c>
      <c r="R50" s="44">
        <v>637.5</v>
      </c>
      <c r="S50" s="44">
        <f t="shared" si="18"/>
        <v>889776211.12658358</v>
      </c>
      <c r="T50" s="71">
        <f t="shared" si="19"/>
        <v>626589583.33333337</v>
      </c>
      <c r="U50"/>
    </row>
    <row r="51" spans="1:21" ht="15" thickBot="1" x14ac:dyDescent="0.35">
      <c r="A51" s="90" t="s">
        <v>47</v>
      </c>
      <c r="B51" s="90">
        <v>50</v>
      </c>
      <c r="C51" s="45">
        <v>5</v>
      </c>
      <c r="D51" s="44">
        <v>3.65</v>
      </c>
      <c r="E51" s="44">
        <f>196/2</f>
        <v>98</v>
      </c>
      <c r="F51" s="44">
        <f t="shared" si="10"/>
        <v>0.29199999999999998</v>
      </c>
      <c r="G51" s="17">
        <f t="shared" si="11"/>
        <v>34300</v>
      </c>
      <c r="H51" s="17">
        <f t="shared" si="12"/>
        <v>2.0784915696198451E-6</v>
      </c>
      <c r="I51" s="17">
        <f t="shared" si="13"/>
        <v>1.8196479538244437E-3</v>
      </c>
      <c r="J51" s="17">
        <f t="shared" si="14"/>
        <v>0.21791367549076091</v>
      </c>
      <c r="K51" s="17">
        <f t="shared" si="15"/>
        <v>9.6185684369788443E-9</v>
      </c>
      <c r="L51" s="17">
        <f t="shared" si="16"/>
        <v>1.5960912052117263E-3</v>
      </c>
      <c r="M51" s="44">
        <v>350</v>
      </c>
      <c r="N51" s="44">
        <v>307</v>
      </c>
      <c r="O51" s="44">
        <v>335</v>
      </c>
      <c r="P51" s="44">
        <v>804.25</v>
      </c>
      <c r="Q51" s="44">
        <f t="shared" si="17"/>
        <v>1.3098534201954397</v>
      </c>
      <c r="R51" s="44">
        <v>637.5</v>
      </c>
      <c r="S51" s="44">
        <f t="shared" si="18"/>
        <v>889776211.12658358</v>
      </c>
      <c r="T51" s="71">
        <f t="shared" si="19"/>
        <v>626589583.33333337</v>
      </c>
    </row>
    <row r="52" spans="1:21" ht="15" thickBot="1" x14ac:dyDescent="0.35">
      <c r="A52" s="90" t="s">
        <v>47</v>
      </c>
      <c r="B52" s="90">
        <v>51</v>
      </c>
      <c r="C52" s="43">
        <v>8</v>
      </c>
      <c r="D52" s="52">
        <v>9.4499999999999993</v>
      </c>
      <c r="E52" s="52">
        <v>151</v>
      </c>
      <c r="F52" s="52">
        <f t="shared" si="10"/>
        <v>0.75599999999999989</v>
      </c>
      <c r="G52" s="17">
        <f t="shared" si="11"/>
        <v>52850</v>
      </c>
      <c r="H52" s="17">
        <f t="shared" si="12"/>
        <v>3.202573745026496E-6</v>
      </c>
      <c r="I52" s="17">
        <f t="shared" si="13"/>
        <v>2.8037432757907245E-3</v>
      </c>
      <c r="J52" s="17">
        <f t="shared" si="14"/>
        <v>0.33576494897045811</v>
      </c>
      <c r="K52" s="17">
        <f t="shared" si="15"/>
        <v>1.4820447285549036E-8</v>
      </c>
      <c r="L52" s="17">
        <f t="shared" si="16"/>
        <v>2.4592833876221497E-3</v>
      </c>
      <c r="M52" s="52">
        <v>350</v>
      </c>
      <c r="N52" s="52">
        <v>307</v>
      </c>
      <c r="O52" s="52">
        <v>335</v>
      </c>
      <c r="P52" s="52">
        <v>804.25</v>
      </c>
      <c r="Q52" s="52">
        <f t="shared" si="17"/>
        <v>1.3098534201954397</v>
      </c>
      <c r="R52" s="52">
        <v>637.5</v>
      </c>
      <c r="S52" s="52">
        <f t="shared" si="18"/>
        <v>889776211.12658358</v>
      </c>
      <c r="T52" s="72">
        <f t="shared" si="19"/>
        <v>626589583.33333337</v>
      </c>
    </row>
    <row r="53" spans="1:21" ht="15" thickBot="1" x14ac:dyDescent="0.35">
      <c r="A53" s="91" t="s">
        <v>48</v>
      </c>
      <c r="B53" s="91">
        <v>52</v>
      </c>
      <c r="C53" s="54">
        <v>2</v>
      </c>
      <c r="D53" s="8">
        <v>3.51</v>
      </c>
      <c r="E53" s="19">
        <f>0.8*E54</f>
        <v>72</v>
      </c>
      <c r="F53" s="47">
        <f t="shared" si="10"/>
        <v>0.28079999999999999</v>
      </c>
      <c r="G53" s="8">
        <f t="shared" si="11"/>
        <v>25200</v>
      </c>
      <c r="H53" s="8">
        <f t="shared" si="12"/>
        <v>1.5270550307411107E-6</v>
      </c>
      <c r="I53" s="8">
        <f t="shared" si="13"/>
        <v>1.3368842109730606E-3</v>
      </c>
      <c r="J53" s="8">
        <f t="shared" si="14"/>
        <v>0.15934996104806395</v>
      </c>
      <c r="K53" s="8">
        <f t="shared" si="15"/>
        <v>7.0667033414538448E-9</v>
      </c>
      <c r="L53" s="8">
        <f t="shared" si="16"/>
        <v>1.1726384364820848E-3</v>
      </c>
      <c r="M53" s="47">
        <v>350</v>
      </c>
      <c r="N53" s="47">
        <v>307</v>
      </c>
      <c r="O53" s="47">
        <v>335</v>
      </c>
      <c r="P53" s="47">
        <v>804.25</v>
      </c>
      <c r="Q53" s="47">
        <f t="shared" si="17"/>
        <v>1.3098534201954397</v>
      </c>
      <c r="R53" s="47">
        <v>640.5</v>
      </c>
      <c r="S53" s="47">
        <f t="shared" si="18"/>
        <v>889776211.12658358</v>
      </c>
      <c r="T53" s="70">
        <f t="shared" si="19"/>
        <v>626589583.33333337</v>
      </c>
    </row>
    <row r="54" spans="1:21" ht="15" thickBot="1" x14ac:dyDescent="0.35">
      <c r="A54" s="91" t="s">
        <v>48</v>
      </c>
      <c r="B54" s="91">
        <v>53</v>
      </c>
      <c r="C54" s="24">
        <v>6</v>
      </c>
      <c r="D54" s="7">
        <v>4.33</v>
      </c>
      <c r="E54" s="7">
        <f>180/2</f>
        <v>90</v>
      </c>
      <c r="F54" s="44">
        <f t="shared" si="10"/>
        <v>0.34639999999999999</v>
      </c>
      <c r="G54" s="3">
        <f t="shared" si="11"/>
        <v>31500</v>
      </c>
      <c r="H54" s="3">
        <f t="shared" si="12"/>
        <v>1.9088187884263886E-6</v>
      </c>
      <c r="I54" s="3">
        <f t="shared" si="13"/>
        <v>1.6711052637163259E-3</v>
      </c>
      <c r="J54" s="3">
        <f t="shared" si="14"/>
        <v>0.19918745131007992</v>
      </c>
      <c r="K54" s="3">
        <f t="shared" si="15"/>
        <v>8.833379176817306E-9</v>
      </c>
      <c r="L54" s="3">
        <f t="shared" si="16"/>
        <v>1.4657980456026058E-3</v>
      </c>
      <c r="M54" s="44">
        <v>350</v>
      </c>
      <c r="N54" s="44">
        <v>307</v>
      </c>
      <c r="O54" s="44">
        <v>335</v>
      </c>
      <c r="P54" s="44">
        <v>804.25</v>
      </c>
      <c r="Q54" s="44">
        <f t="shared" si="17"/>
        <v>1.3098534201954397</v>
      </c>
      <c r="R54" s="44">
        <v>640.5</v>
      </c>
      <c r="S54" s="44">
        <f t="shared" si="18"/>
        <v>889776211.12658358</v>
      </c>
      <c r="T54" s="71">
        <f t="shared" si="19"/>
        <v>626589583.33333337</v>
      </c>
    </row>
    <row r="55" spans="1:21" ht="15" thickBot="1" x14ac:dyDescent="0.35">
      <c r="A55" s="91" t="s">
        <v>48</v>
      </c>
      <c r="B55" s="91">
        <v>54</v>
      </c>
      <c r="C55" s="30">
        <v>7</v>
      </c>
      <c r="D55" s="17">
        <v>7.79</v>
      </c>
      <c r="E55" s="17">
        <f>374.5/2</f>
        <v>187.25</v>
      </c>
      <c r="F55" s="52">
        <f t="shared" si="10"/>
        <v>0.62319999999999998</v>
      </c>
      <c r="G55" s="17">
        <f t="shared" si="11"/>
        <v>65537.5</v>
      </c>
      <c r="H55" s="17">
        <f t="shared" si="12"/>
        <v>3.9714035348093469E-6</v>
      </c>
      <c r="I55" s="17">
        <f t="shared" si="13"/>
        <v>3.4768273403431335E-3</v>
      </c>
      <c r="J55" s="17">
        <f t="shared" si="14"/>
        <v>0.41442055842013853</v>
      </c>
      <c r="K55" s="17">
        <f t="shared" si="15"/>
        <v>1.8378336120656007E-8</v>
      </c>
      <c r="L55" s="17">
        <f t="shared" si="16"/>
        <v>3.0496742671009772E-3</v>
      </c>
      <c r="M55" s="52">
        <v>350</v>
      </c>
      <c r="N55" s="52">
        <v>307</v>
      </c>
      <c r="O55" s="52">
        <v>335</v>
      </c>
      <c r="P55" s="52">
        <v>804.25</v>
      </c>
      <c r="Q55" s="52">
        <f t="shared" si="17"/>
        <v>1.3098534201954397</v>
      </c>
      <c r="R55" s="52">
        <v>640.5</v>
      </c>
      <c r="S55" s="52">
        <f t="shared" si="18"/>
        <v>889776211.12658358</v>
      </c>
      <c r="T55" s="72">
        <f t="shared" si="19"/>
        <v>626589583.33333337</v>
      </c>
    </row>
    <row r="56" spans="1:21" x14ac:dyDescent="0.3">
      <c r="A56" s="402" t="s">
        <v>49</v>
      </c>
      <c r="B56" s="101"/>
      <c r="C56"/>
    </row>
    <row r="57" spans="1:21" x14ac:dyDescent="0.3">
      <c r="A57" s="403"/>
      <c r="B57" s="101"/>
      <c r="C57"/>
    </row>
    <row r="58" spans="1:21" x14ac:dyDescent="0.3">
      <c r="A58" s="403"/>
      <c r="B58" s="101"/>
    </row>
    <row r="59" spans="1:21" x14ac:dyDescent="0.3">
      <c r="A59" s="403"/>
      <c r="B59" s="101"/>
    </row>
    <row r="60" spans="1:21" ht="15" thickBot="1" x14ac:dyDescent="0.35">
      <c r="A60" s="404"/>
      <c r="B60" s="101"/>
    </row>
  </sheetData>
  <mergeCells count="1">
    <mergeCell ref="A56:A60"/>
  </mergeCells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L53"/>
  <sheetViews>
    <sheetView topLeftCell="A25" zoomScaleNormal="100" workbookViewId="0">
      <selection activeCell="X1" sqref="X1"/>
    </sheetView>
  </sheetViews>
  <sheetFormatPr defaultColWidth="9.109375" defaultRowHeight="14.4" x14ac:dyDescent="0.3"/>
  <cols>
    <col min="1" max="2" width="20" style="2" customWidth="1"/>
    <col min="3" max="3" width="14" style="2" customWidth="1"/>
    <col min="4" max="4" width="16" style="2" customWidth="1"/>
    <col min="5" max="5" width="10.88671875" style="2" customWidth="1"/>
    <col min="6" max="6" width="18.33203125" style="2" customWidth="1"/>
    <col min="7" max="7" width="13.44140625" style="2" customWidth="1"/>
    <col min="8" max="8" width="11.88671875" style="2" customWidth="1"/>
    <col min="9" max="9" width="11.44140625" style="2" customWidth="1"/>
    <col min="10" max="10" width="13.109375" style="2" customWidth="1"/>
    <col min="11" max="11" width="8.88671875" style="2" customWidth="1"/>
    <col min="12" max="12" width="9.44140625" style="2" customWidth="1"/>
    <col min="13" max="17" width="10" style="2" customWidth="1"/>
    <col min="18" max="21" width="13.88671875" style="2" customWidth="1"/>
    <col min="22" max="22" width="16" style="2" customWidth="1"/>
    <col min="23" max="25" width="15.88671875" style="2" customWidth="1"/>
    <col min="26" max="26" width="9.44140625" style="2" customWidth="1"/>
    <col min="27" max="28" width="9.5546875" style="2" customWidth="1"/>
    <col min="29" max="29" width="12.6640625" style="2" customWidth="1"/>
    <col min="30" max="30" width="12.44140625" style="2" customWidth="1"/>
    <col min="31" max="31" width="10.6640625" style="2" customWidth="1"/>
    <col min="32" max="32" width="11.6640625" style="2" customWidth="1"/>
    <col min="33" max="33" width="11" style="2" customWidth="1"/>
    <col min="34" max="34" width="12.44140625" customWidth="1"/>
    <col min="35" max="35" width="14.33203125" style="2" customWidth="1"/>
    <col min="36" max="16384" width="9.109375" style="2"/>
  </cols>
  <sheetData>
    <row r="1" spans="1:38" ht="79.5" customHeight="1" x14ac:dyDescent="0.3">
      <c r="A1" s="190" t="s">
        <v>50</v>
      </c>
      <c r="B1" s="73" t="s">
        <v>52</v>
      </c>
      <c r="C1" s="73" t="s">
        <v>4</v>
      </c>
      <c r="D1" s="191" t="s">
        <v>194</v>
      </c>
      <c r="E1" s="73" t="s">
        <v>24</v>
      </c>
      <c r="F1" s="191" t="s">
        <v>63</v>
      </c>
      <c r="G1" s="73" t="s">
        <v>23</v>
      </c>
      <c r="H1" s="73" t="s">
        <v>3</v>
      </c>
      <c r="I1" s="73" t="s">
        <v>13</v>
      </c>
      <c r="J1" s="73" t="s">
        <v>14</v>
      </c>
      <c r="K1" s="73" t="s">
        <v>20</v>
      </c>
      <c r="L1" s="73" t="s">
        <v>19</v>
      </c>
      <c r="M1" s="73" t="s">
        <v>53</v>
      </c>
      <c r="N1" s="73" t="s">
        <v>54</v>
      </c>
      <c r="O1" s="73" t="s">
        <v>79</v>
      </c>
      <c r="P1" s="73" t="s">
        <v>81</v>
      </c>
      <c r="Q1" s="73" t="s">
        <v>82</v>
      </c>
      <c r="R1" s="73" t="s">
        <v>83</v>
      </c>
      <c r="S1" s="73" t="s">
        <v>86</v>
      </c>
      <c r="T1" s="73" t="s">
        <v>87</v>
      </c>
      <c r="U1" s="73" t="s">
        <v>89</v>
      </c>
      <c r="V1" s="73" t="s">
        <v>140</v>
      </c>
      <c r="W1" s="73" t="s">
        <v>103</v>
      </c>
      <c r="X1" s="73" t="s">
        <v>302</v>
      </c>
      <c r="Y1" s="191" t="s">
        <v>240</v>
      </c>
      <c r="Z1" s="73" t="s">
        <v>5</v>
      </c>
      <c r="AA1" s="73" t="s">
        <v>9</v>
      </c>
      <c r="AB1" s="73" t="s">
        <v>12</v>
      </c>
      <c r="AC1" s="73" t="s">
        <v>10</v>
      </c>
      <c r="AD1" s="73" t="s">
        <v>11</v>
      </c>
      <c r="AE1" s="73" t="s">
        <v>18</v>
      </c>
      <c r="AF1" s="73" t="s">
        <v>15</v>
      </c>
      <c r="AG1" s="192" t="s">
        <v>17</v>
      </c>
      <c r="AH1" t="s">
        <v>75</v>
      </c>
    </row>
    <row r="2" spans="1:38" x14ac:dyDescent="0.3">
      <c r="A2" s="193" t="s">
        <v>0</v>
      </c>
      <c r="B2" s="194">
        <v>2</v>
      </c>
      <c r="C2" s="3">
        <v>2</v>
      </c>
      <c r="D2" s="3">
        <f>Table112[[#This Row],[a (mm)]]/Table112[[#This Row],[d (mm)]]</f>
        <v>4.8148148148148149</v>
      </c>
      <c r="E2" s="3">
        <v>25.5</v>
      </c>
      <c r="F2" s="3">
        <f>Table112[[#This Row],[d (mm)]]</f>
        <v>81</v>
      </c>
      <c r="G2" s="3">
        <f t="shared" ref="G2:G48" si="0">E2*Z2</f>
        <v>9945</v>
      </c>
      <c r="H2" s="3">
        <f t="shared" ref="H2:H48" si="1">G2/($AJ$5*AG2*0.001)</f>
        <v>3.1314497088739043E-6</v>
      </c>
      <c r="I2" s="103">
        <f t="shared" ref="I2:I48" si="2">G2/($AJ$2*AA2^2)</f>
        <v>1.2126200274348423E-3</v>
      </c>
      <c r="J2" s="3">
        <f t="shared" ref="J2:J48" si="3">G2/(AC2*AE2*AA2*0.001)</f>
        <v>0.78161956170948321</v>
      </c>
      <c r="K2" s="3">
        <f t="shared" ref="K2:K48" si="4">E2/($AJ$4*AF2*0.001)</f>
        <v>1.6836583642561794E-6</v>
      </c>
      <c r="L2" s="3">
        <f t="shared" ref="L2:L48" si="5">E2/($AJ$3*AA2)</f>
        <v>1.5740740740740741E-3</v>
      </c>
      <c r="M2" s="3">
        <f>Table112[[#This Row],[M (KN.mm)]]/($AJ$3*Table112[[#This Row],[d (mm)]])</f>
        <v>0.61388888888888893</v>
      </c>
      <c r="N2" s="3">
        <f>Table112[[#This Row],[M (KN.mm)]]/($AJ$3*Table112[[#This Row],[h (mm)]])</f>
        <v>0.47357142857142859</v>
      </c>
      <c r="O2" s="3">
        <f>Table112[[#This Row],[M (KN.mm)]]/($AJ$3*Table112[[#This Row],[h (mm)]]*$AJ$2)</f>
        <v>3.7885714285714286E-4</v>
      </c>
      <c r="P2" s="3">
        <f>Table112[[#This Row],[M (KN.mm)]]/($AJ$3*Table112[[#This Row],[d (mm)]]*$AJ$2)</f>
        <v>4.9111111111111111E-4</v>
      </c>
      <c r="Q2" s="3">
        <f>Table112[[#This Row],[M (KN.mm)]]/($AJ$3*Table112[[#This Row],[h (mm)]]*$AJ$2*$AJ$4)</f>
        <v>1.2065514103730665E-5</v>
      </c>
      <c r="R2" s="3">
        <f>Table112[[#This Row],[M (KN.mm)]]/($AJ$3*Table112[[#This Row],[h (mm)]]*($AJ$2-Table112[[#This Row],[a (mm)]]))</f>
        <v>5.5066445182724248E-4</v>
      </c>
      <c r="S2" s="3">
        <f>Table112[[#This Row],[M (KN.mm)]]/(Table112[[#This Row],[a (mm)]]*$AJ$3*Table112[[#This Row],[h (mm)]]*($AJ$2-Table112[[#This Row],[a (mm)]]))</f>
        <v>1.4119601328903655E-6</v>
      </c>
      <c r="T2" s="3">
        <f>Table112[[#This Row],[M (KN.mm)]]/(Table112[[#This Row],[a (mm)]]^2*$AJ$3*Table112[[#This Row],[h (mm)]])</f>
        <v>3.1135531135531136E-6</v>
      </c>
      <c r="U2" s="3">
        <f>Table112[[#This Row],[M (KN.mm)]]/($AJ$3*Table112[[#This Row],[d (mm)]]*Table112[[#This Row],[pho (%)]])</f>
        <v>0.39569490311542593</v>
      </c>
      <c r="V2" s="3">
        <f>E2*224.8/(2*SQRT($AJ$4*145.037)*$AJ$3*Table112[[#This Row],[d (mm)]]*(1/25.4)^2)</f>
        <v>1.6914325436739335</v>
      </c>
      <c r="W2" s="3">
        <f>Table112[[#This Row],[M (KN.mm)]]/$G$3</f>
        <v>0.96226415094339623</v>
      </c>
      <c r="X2" s="3">
        <f>Table112[[#This Row],[V/(2*sqrt(fc) bd)]]</f>
        <v>1.6914325436739335</v>
      </c>
      <c r="Y2" s="3">
        <f>2*SQRT($AJ$4*145.037)/Table112[[#This Row],[pho (%)]]*Table112[[#This Row],[a (mm)]]*1/(224.8*25.4^2)</f>
        <v>0.23394069399654774</v>
      </c>
      <c r="Z2" s="3">
        <v>390</v>
      </c>
      <c r="AA2" s="3">
        <v>81</v>
      </c>
      <c r="AB2" s="3">
        <v>105</v>
      </c>
      <c r="AC2" s="3">
        <v>251.33</v>
      </c>
      <c r="AD2" s="3">
        <f>AC2/($AJ$3*AA2)*100</f>
        <v>1.5514197530864198</v>
      </c>
      <c r="AE2" s="3">
        <v>625</v>
      </c>
      <c r="AF2" s="3">
        <f t="shared" ref="AF2:AF48" si="6">(1/3-0.21*(MIN($AJ$2,AB2)/MAX($AJ$2,AB2))*(MIN($AJ$2,AB2)^4/(12*MAX($AJ$2,AB2)^4)))*MAX($AJ$2,AB2)*MIN($AJ$2,AB2)^3</f>
        <v>482343644.0959937</v>
      </c>
      <c r="AG2" s="63">
        <f t="shared" ref="AG2:AG48" si="7">$AJ$2*AB2^3/12</f>
        <v>120585937.5</v>
      </c>
      <c r="AI2" s="14" t="s">
        <v>22</v>
      </c>
      <c r="AJ2" s="14">
        <v>1250</v>
      </c>
    </row>
    <row r="3" spans="1:38" x14ac:dyDescent="0.3">
      <c r="A3" s="193" t="s">
        <v>0</v>
      </c>
      <c r="B3" s="194">
        <v>3</v>
      </c>
      <c r="C3" s="3">
        <v>3</v>
      </c>
      <c r="D3" s="3">
        <f>Table112[[#This Row],[a (mm)]]/Table112[[#This Row],[d (mm)]]</f>
        <v>4.8148148148148149</v>
      </c>
      <c r="E3" s="3">
        <v>26.5</v>
      </c>
      <c r="F3" s="3">
        <f>Table112[[#This Row],[d (mm)]]</f>
        <v>81</v>
      </c>
      <c r="G3" s="3">
        <f t="shared" si="0"/>
        <v>10335</v>
      </c>
      <c r="H3" s="3">
        <f t="shared" si="1"/>
        <v>3.2542516582415087E-6</v>
      </c>
      <c r="I3" s="103">
        <f t="shared" si="2"/>
        <v>1.2601737540009145E-3</v>
      </c>
      <c r="J3" s="3">
        <f t="shared" si="3"/>
        <v>0.81227130922750224</v>
      </c>
      <c r="K3" s="3">
        <f t="shared" si="4"/>
        <v>1.7496841824623042E-6</v>
      </c>
      <c r="L3" s="3">
        <f t="shared" si="5"/>
        <v>1.6358024691358025E-3</v>
      </c>
      <c r="M3" s="3">
        <f>Table112[[#This Row],[M (KN.mm)]]/($AJ$3*Table112[[#This Row],[d (mm)]])</f>
        <v>0.63796296296296295</v>
      </c>
      <c r="N3" s="3">
        <f>Table112[[#This Row],[M (KN.mm)]]/($AJ$3*Table112[[#This Row],[h (mm)]])</f>
        <v>0.49214285714285716</v>
      </c>
      <c r="O3" s="3">
        <f>Table112[[#This Row],[M (KN.mm)]]/($AJ$3*Table112[[#This Row],[h (mm)]]*$AJ$2)</f>
        <v>3.937142857142857E-4</v>
      </c>
      <c r="P3" s="3">
        <f>Table112[[#This Row],[M (KN.mm)]]/($AJ$3*Table112[[#This Row],[d (mm)]]*$AJ$2)</f>
        <v>5.1037037037037034E-4</v>
      </c>
      <c r="Q3" s="3">
        <f>Table112[[#This Row],[M (KN.mm)]]/($AJ$3*Table112[[#This Row],[h (mm)]]*$AJ$2*$AJ$4)</f>
        <v>1.253867151956324E-5</v>
      </c>
      <c r="R3" s="3">
        <f>Table112[[#This Row],[M (KN.mm)]]/($AJ$3*Table112[[#This Row],[h (mm)]]*($AJ$2-Table112[[#This Row],[a (mm)]]))</f>
        <v>5.7225913621262461E-4</v>
      </c>
      <c r="S3" s="3">
        <f>Table112[[#This Row],[M (KN.mm)]]/(Table112[[#This Row],[a (mm)]]*$AJ$3*Table112[[#This Row],[h (mm)]]*($AJ$2-Table112[[#This Row],[a (mm)]]))</f>
        <v>1.4673311184939093E-6</v>
      </c>
      <c r="T3" s="3">
        <f>Table112[[#This Row],[M (KN.mm)]]/(Table112[[#This Row],[a (mm)]]^2*$AJ$3*Table112[[#This Row],[h (mm)]])</f>
        <v>3.2356532356532357E-6</v>
      </c>
      <c r="U3" s="3">
        <f>Table112[[#This Row],[M (KN.mm)]]/($AJ$3*Table112[[#This Row],[d (mm)]]*Table112[[#This Row],[pho (%)]])</f>
        <v>0.41121235029642306</v>
      </c>
      <c r="V3" s="3">
        <f>E3*224.8/(2*SQRT($AJ$4*145.037)*$AJ$3*Table112[[#This Row],[d (mm)]]*(1/25.4)^2)</f>
        <v>1.7577632316611467</v>
      </c>
      <c r="W3" s="3">
        <f>Table112[[#This Row],[M (KN.mm)]]/$G$3</f>
        <v>1</v>
      </c>
      <c r="X3" s="3">
        <f>Table112[[#This Row],[V/(2*sqrt(fc) bd)]]</f>
        <v>1.7577632316611467</v>
      </c>
      <c r="Y3" s="3">
        <f>2*SQRT($AJ$4*145.037)/Table112[[#This Row],[pho (%)]]*Table112[[#This Row],[a (mm)]]*1/(224.8*25.4^2)</f>
        <v>0.23394069399654774</v>
      </c>
      <c r="Z3" s="3">
        <v>390</v>
      </c>
      <c r="AA3" s="3">
        <v>81</v>
      </c>
      <c r="AB3" s="3">
        <v>105</v>
      </c>
      <c r="AC3" s="3">
        <v>251.33</v>
      </c>
      <c r="AD3" s="3">
        <f t="shared" ref="AD3:AD48" si="8">AC3/($AJ$3*AA3)*100</f>
        <v>1.5514197530864198</v>
      </c>
      <c r="AE3" s="3">
        <v>625</v>
      </c>
      <c r="AF3" s="3">
        <f t="shared" si="6"/>
        <v>482343644.0959937</v>
      </c>
      <c r="AG3" s="63">
        <f t="shared" si="7"/>
        <v>120585937.5</v>
      </c>
      <c r="AI3" s="14" t="s">
        <v>6</v>
      </c>
      <c r="AJ3" s="14">
        <v>200</v>
      </c>
      <c r="AL3" s="2">
        <f>AJ2/25.4</f>
        <v>49.212598425196852</v>
      </c>
    </row>
    <row r="4" spans="1:38" x14ac:dyDescent="0.3">
      <c r="A4" s="195" t="s">
        <v>1</v>
      </c>
      <c r="B4" s="196">
        <v>5</v>
      </c>
      <c r="C4" s="3">
        <v>2</v>
      </c>
      <c r="D4" s="3">
        <f>Table112[[#This Row],[a (mm)]]/Table112[[#This Row],[d (mm)]]</f>
        <v>4.8148148148148149</v>
      </c>
      <c r="E4" s="3">
        <v>25</v>
      </c>
      <c r="F4" s="3">
        <f>Table112[[#This Row],[d (mm)]]</f>
        <v>81</v>
      </c>
      <c r="G4" s="3">
        <f t="shared" si="0"/>
        <v>9750</v>
      </c>
      <c r="H4" s="3">
        <f t="shared" si="1"/>
        <v>3.0700487341901024E-6</v>
      </c>
      <c r="I4" s="3">
        <f t="shared" si="2"/>
        <v>1.1888431641518061E-3</v>
      </c>
      <c r="J4" s="3">
        <f t="shared" si="3"/>
        <v>0.76629368795047381</v>
      </c>
      <c r="K4" s="3">
        <f t="shared" si="4"/>
        <v>1.6506454551531173E-6</v>
      </c>
      <c r="L4" s="3">
        <f t="shared" si="5"/>
        <v>1.5432098765432098E-3</v>
      </c>
      <c r="M4" s="3">
        <f>Table112[[#This Row],[M (KN.mm)]]/($AJ$3*Table112[[#This Row],[d (mm)]])</f>
        <v>0.60185185185185186</v>
      </c>
      <c r="N4" s="3">
        <f>Table112[[#This Row],[M (KN.mm)]]/($AJ$3*Table112[[#This Row],[h (mm)]])</f>
        <v>0.4642857142857143</v>
      </c>
      <c r="O4" s="3">
        <f>Table112[[#This Row],[M (KN.mm)]]/($AJ$3*Table112[[#This Row],[h (mm)]]*$AJ$2)</f>
        <v>3.7142857142857143E-4</v>
      </c>
      <c r="P4" s="3">
        <f>Table112[[#This Row],[M (KN.mm)]]/($AJ$3*Table112[[#This Row],[d (mm)]]*$AJ$2)</f>
        <v>4.814814814814815E-4</v>
      </c>
      <c r="Q4" s="3">
        <f>Table112[[#This Row],[M (KN.mm)]]/($AJ$3*Table112[[#This Row],[h (mm)]]*$AJ$2*$AJ$4)</f>
        <v>1.1828935395814377E-5</v>
      </c>
      <c r="R4" s="3">
        <f>Table112[[#This Row],[M (KN.mm)]]/($AJ$3*Table112[[#This Row],[h (mm)]]*($AJ$2-Table112[[#This Row],[a (mm)]]))</f>
        <v>5.3986710963455152E-4</v>
      </c>
      <c r="S4" s="3">
        <f>Table112[[#This Row],[M (KN.mm)]]/(Table112[[#This Row],[a (mm)]]*$AJ$3*Table112[[#This Row],[h (mm)]]*($AJ$2-Table112[[#This Row],[a (mm)]]))</f>
        <v>1.3842746400885937E-6</v>
      </c>
      <c r="T4" s="3">
        <f>Table112[[#This Row],[M (KN.mm)]]/(Table112[[#This Row],[a (mm)]]^2*$AJ$3*Table112[[#This Row],[h (mm)]])</f>
        <v>3.0525030525030525E-6</v>
      </c>
      <c r="U4" s="3">
        <f>Table112[[#This Row],[M (KN.mm)]]/($AJ$3*Table112[[#This Row],[d (mm)]]*Table112[[#This Row],[pho (%)]])</f>
        <v>0.38793617952492737</v>
      </c>
      <c r="V4" s="3">
        <f>E4*224.8/(2*SQRT($AJ$4*145.037)*$AJ$3*Table112[[#This Row],[d (mm)]]*(1/25.4)^2)</f>
        <v>1.6582671996803269</v>
      </c>
      <c r="W4" s="3">
        <f>Table112[[#This Row],[M (KN.mm)]]/$G$5</f>
        <v>0.79617834394904463</v>
      </c>
      <c r="X4" s="3">
        <f>Table112[[#This Row],[V/(2*sqrt(fc) bd)]]</f>
        <v>1.6582671996803269</v>
      </c>
      <c r="Y4" s="3">
        <f>2*SQRT($AJ$4*145.037)/Table112[[#This Row],[pho (%)]]*Table112[[#This Row],[a (mm)]]*1/(224.8*25.4^2)</f>
        <v>0.23394069399654774</v>
      </c>
      <c r="Z4" s="3">
        <v>390</v>
      </c>
      <c r="AA4" s="3">
        <v>81</v>
      </c>
      <c r="AB4" s="3">
        <v>105</v>
      </c>
      <c r="AC4" s="3">
        <v>251.33</v>
      </c>
      <c r="AD4" s="3">
        <f t="shared" si="8"/>
        <v>1.5514197530864198</v>
      </c>
      <c r="AE4" s="3">
        <v>625</v>
      </c>
      <c r="AF4" s="3">
        <f t="shared" si="6"/>
        <v>482343644.0959937</v>
      </c>
      <c r="AG4" s="63">
        <f t="shared" si="7"/>
        <v>120585937.5</v>
      </c>
      <c r="AI4" s="14" t="s">
        <v>7</v>
      </c>
      <c r="AJ4" s="14">
        <v>31.4</v>
      </c>
    </row>
    <row r="5" spans="1:38" x14ac:dyDescent="0.3">
      <c r="A5" s="195" t="s">
        <v>1</v>
      </c>
      <c r="B5" s="196">
        <v>6</v>
      </c>
      <c r="C5" s="3">
        <v>3</v>
      </c>
      <c r="D5" s="3">
        <f>Table112[[#This Row],[a (mm)]]/Table112[[#This Row],[d (mm)]]</f>
        <v>4.8148148148148149</v>
      </c>
      <c r="E5" s="3">
        <v>31.4</v>
      </c>
      <c r="F5" s="3">
        <f>Table112[[#This Row],[d (mm)]]</f>
        <v>81</v>
      </c>
      <c r="G5" s="3">
        <f t="shared" si="0"/>
        <v>12246</v>
      </c>
      <c r="H5" s="3">
        <f t="shared" si="1"/>
        <v>3.8559812101427685E-6</v>
      </c>
      <c r="I5" s="103">
        <f t="shared" si="2"/>
        <v>1.4931870141746686E-3</v>
      </c>
      <c r="J5" s="3">
        <f t="shared" si="3"/>
        <v>0.96246487206579512</v>
      </c>
      <c r="K5" s="3">
        <f t="shared" si="4"/>
        <v>2.0732106916723153E-6</v>
      </c>
      <c r="L5" s="3">
        <f t="shared" si="5"/>
        <v>1.9382716049382714E-3</v>
      </c>
      <c r="M5" s="3">
        <f>Table112[[#This Row],[M (KN.mm)]]/($AJ$3*Table112[[#This Row],[d (mm)]])</f>
        <v>0.75592592592592589</v>
      </c>
      <c r="N5" s="3">
        <f>Table112[[#This Row],[M (KN.mm)]]/($AJ$3*Table112[[#This Row],[h (mm)]])</f>
        <v>0.58314285714285718</v>
      </c>
      <c r="O5" s="3">
        <f>Table112[[#This Row],[M (KN.mm)]]/($AJ$3*Table112[[#This Row],[h (mm)]]*$AJ$2)</f>
        <v>4.6651428571428574E-4</v>
      </c>
      <c r="P5" s="3">
        <f>Table112[[#This Row],[M (KN.mm)]]/($AJ$3*Table112[[#This Row],[d (mm)]]*$AJ$2)</f>
        <v>6.0474074074074076E-4</v>
      </c>
      <c r="Q5" s="3">
        <f>Table112[[#This Row],[M (KN.mm)]]/($AJ$3*Table112[[#This Row],[h (mm)]]*$AJ$2*$AJ$4)</f>
        <v>1.4857142857142857E-5</v>
      </c>
      <c r="R5" s="3">
        <f>Table112[[#This Row],[M (KN.mm)]]/($AJ$3*Table112[[#This Row],[h (mm)]]*($AJ$2-Table112[[#This Row],[a (mm)]]))</f>
        <v>6.780730897009967E-4</v>
      </c>
      <c r="S5" s="3">
        <f>Table112[[#This Row],[M (KN.mm)]]/(Table112[[#This Row],[a (mm)]]*$AJ$3*Table112[[#This Row],[h (mm)]]*($AJ$2-Table112[[#This Row],[a (mm)]]))</f>
        <v>1.7386489479512734E-6</v>
      </c>
      <c r="T5" s="3">
        <f>Table112[[#This Row],[M (KN.mm)]]/(Table112[[#This Row],[a (mm)]]^2*$AJ$3*Table112[[#This Row],[h (mm)]])</f>
        <v>3.8339438339438343E-6</v>
      </c>
      <c r="U5" s="3">
        <f>Table112[[#This Row],[M (KN.mm)]]/($AJ$3*Table112[[#This Row],[d (mm)]]*Table112[[#This Row],[pho (%)]])</f>
        <v>0.4872478414833088</v>
      </c>
      <c r="V5" s="3">
        <f>E5*224.8/(2*SQRT($AJ$4*145.037)*$AJ$3*Table112[[#This Row],[d (mm)]]*(1/25.4)^2)</f>
        <v>2.0827836027984907</v>
      </c>
      <c r="W5" s="3">
        <f>Table112[[#This Row],[M (KN.mm)]]/$G$5</f>
        <v>1</v>
      </c>
      <c r="X5" s="3">
        <f>Table112[[#This Row],[V/(2*sqrt(fc) bd)]]</f>
        <v>2.0827836027984907</v>
      </c>
      <c r="Y5" s="3">
        <f>2*SQRT($AJ$4*145.037)/Table112[[#This Row],[pho (%)]]*Table112[[#This Row],[a (mm)]]*1/(224.8*25.4^2)</f>
        <v>0.23394069399654774</v>
      </c>
      <c r="Z5" s="3">
        <v>390</v>
      </c>
      <c r="AA5" s="3">
        <v>81</v>
      </c>
      <c r="AB5" s="3">
        <v>105</v>
      </c>
      <c r="AC5" s="3">
        <v>251.33</v>
      </c>
      <c r="AD5" s="3">
        <f t="shared" si="8"/>
        <v>1.5514197530864198</v>
      </c>
      <c r="AE5" s="3">
        <v>625</v>
      </c>
      <c r="AF5" s="3">
        <f t="shared" si="6"/>
        <v>482343644.0959937</v>
      </c>
      <c r="AG5" s="63">
        <f t="shared" si="7"/>
        <v>120585937.5</v>
      </c>
      <c r="AI5" s="14" t="s">
        <v>8</v>
      </c>
      <c r="AJ5" s="14">
        <f>4700*SQRT(AJ4)</f>
        <v>26336.780365109171</v>
      </c>
    </row>
    <row r="6" spans="1:38" x14ac:dyDescent="0.3">
      <c r="A6" s="197" t="s">
        <v>2</v>
      </c>
      <c r="B6" s="198">
        <v>8</v>
      </c>
      <c r="C6" s="3">
        <v>3</v>
      </c>
      <c r="D6" s="3">
        <f>Table112[[#This Row],[a (mm)]]/Table112[[#This Row],[d (mm)]]</f>
        <v>4.8148148148148149</v>
      </c>
      <c r="E6" s="3">
        <v>22.5</v>
      </c>
      <c r="F6" s="3">
        <f>Table112[[#This Row],[d (mm)]]</f>
        <v>81</v>
      </c>
      <c r="G6" s="3">
        <f t="shared" si="0"/>
        <v>8775</v>
      </c>
      <c r="H6" s="3">
        <f t="shared" si="1"/>
        <v>2.7630438607710921E-6</v>
      </c>
      <c r="I6" s="3">
        <f t="shared" si="2"/>
        <v>1.0699588477366254E-3</v>
      </c>
      <c r="J6" s="3">
        <f t="shared" si="3"/>
        <v>0.68966431915542636</v>
      </c>
      <c r="K6" s="3">
        <f t="shared" si="4"/>
        <v>1.4855809096378055E-6</v>
      </c>
      <c r="L6" s="3">
        <f t="shared" si="5"/>
        <v>1.3888888888888889E-3</v>
      </c>
      <c r="M6" s="3">
        <f>Table112[[#This Row],[M (KN.mm)]]/($AJ$3*Table112[[#This Row],[d (mm)]])</f>
        <v>0.54166666666666663</v>
      </c>
      <c r="N6" s="3">
        <f>Table112[[#This Row],[M (KN.mm)]]/($AJ$3*Table112[[#This Row],[h (mm)]])</f>
        <v>0.41785714285714287</v>
      </c>
      <c r="O6" s="3">
        <f>Table112[[#This Row],[M (KN.mm)]]/($AJ$3*Table112[[#This Row],[h (mm)]]*$AJ$2)</f>
        <v>3.3428571428571426E-4</v>
      </c>
      <c r="P6" s="3">
        <f>Table112[[#This Row],[M (KN.mm)]]/($AJ$3*Table112[[#This Row],[d (mm)]]*$AJ$2)</f>
        <v>4.3333333333333331E-4</v>
      </c>
      <c r="Q6" s="3">
        <f>Table112[[#This Row],[M (KN.mm)]]/($AJ$3*Table112[[#This Row],[h (mm)]]*$AJ$2*$AJ$4)</f>
        <v>1.064604185623294E-5</v>
      </c>
      <c r="R6" s="3">
        <f>Table112[[#This Row],[M (KN.mm)]]/($AJ$3*Table112[[#This Row],[h (mm)]]*($AJ$2-Table112[[#This Row],[a (mm)]]))</f>
        <v>4.8588039867109636E-4</v>
      </c>
      <c r="S6" s="3">
        <f>Table112[[#This Row],[M (KN.mm)]]/(Table112[[#This Row],[a (mm)]]*$AJ$3*Table112[[#This Row],[h (mm)]]*($AJ$2-Table112[[#This Row],[a (mm)]]))</f>
        <v>1.2458471760797342E-6</v>
      </c>
      <c r="T6" s="3">
        <f>Table112[[#This Row],[M (KN.mm)]]/(Table112[[#This Row],[a (mm)]]^2*$AJ$3*Table112[[#This Row],[h (mm)]])</f>
        <v>2.7472527472527472E-6</v>
      </c>
      <c r="U6" s="3">
        <f>Table112[[#This Row],[M (KN.mm)]]/($AJ$3*Table112[[#This Row],[d (mm)]]*Table112[[#This Row],[pho (%)]])</f>
        <v>0.34914256157243467</v>
      </c>
      <c r="V6" s="3">
        <f>E6*224.8/(2*SQRT($AJ$4*145.037)*$AJ$3*Table112[[#This Row],[d (mm)]]*(1/25.4)^2)</f>
        <v>1.4924404797122941</v>
      </c>
      <c r="W6" s="3">
        <f>Table112[[#This Row],[M (KN.mm)]]/$G$7</f>
        <v>0.88235294117647056</v>
      </c>
      <c r="X6" s="3">
        <f>Table112[[#This Row],[V/(2*sqrt(fc) bd)]]</f>
        <v>1.4924404797122941</v>
      </c>
      <c r="Y6" s="3">
        <f>2*SQRT($AJ$4*145.037)/Table112[[#This Row],[pho (%)]]*Table112[[#This Row],[a (mm)]]*1/(224.8*25.4^2)</f>
        <v>0.23394069399654774</v>
      </c>
      <c r="Z6" s="3">
        <v>390</v>
      </c>
      <c r="AA6" s="3">
        <v>81</v>
      </c>
      <c r="AB6" s="3">
        <v>105</v>
      </c>
      <c r="AC6" s="3">
        <v>251.33</v>
      </c>
      <c r="AD6" s="3">
        <f t="shared" si="8"/>
        <v>1.5514197530864198</v>
      </c>
      <c r="AE6" s="3">
        <v>625</v>
      </c>
      <c r="AF6" s="3">
        <f t="shared" si="6"/>
        <v>482343644.0959937</v>
      </c>
      <c r="AG6" s="63">
        <f t="shared" si="7"/>
        <v>120585937.5</v>
      </c>
      <c r="AI6" s="14" t="s">
        <v>16</v>
      </c>
      <c r="AJ6" s="14">
        <f>AJ5/(2*(1+0.15))</f>
        <v>11450.774071786596</v>
      </c>
    </row>
    <row r="7" spans="1:38" x14ac:dyDescent="0.3">
      <c r="A7" s="197" t="s">
        <v>2</v>
      </c>
      <c r="B7" s="198">
        <v>9</v>
      </c>
      <c r="C7" s="3">
        <v>4</v>
      </c>
      <c r="D7" s="3">
        <f>Table112[[#This Row],[a (mm)]]/Table112[[#This Row],[d (mm)]]</f>
        <v>4.8148148148148149</v>
      </c>
      <c r="E7" s="3">
        <v>25.5</v>
      </c>
      <c r="F7" s="3">
        <f>Table112[[#This Row],[d (mm)]]</f>
        <v>81</v>
      </c>
      <c r="G7" s="3">
        <f t="shared" si="0"/>
        <v>9945</v>
      </c>
      <c r="H7" s="3">
        <f t="shared" si="1"/>
        <v>3.1314497088739043E-6</v>
      </c>
      <c r="I7" s="103">
        <f t="shared" si="2"/>
        <v>1.2126200274348423E-3</v>
      </c>
      <c r="J7" s="3">
        <f t="shared" si="3"/>
        <v>0.78161956170948321</v>
      </c>
      <c r="K7" s="3">
        <f t="shared" si="4"/>
        <v>1.6836583642561794E-6</v>
      </c>
      <c r="L7" s="3">
        <f t="shared" si="5"/>
        <v>1.5740740740740741E-3</v>
      </c>
      <c r="M7" s="3">
        <f>Table112[[#This Row],[M (KN.mm)]]/($AJ$3*Table112[[#This Row],[d (mm)]])</f>
        <v>0.61388888888888893</v>
      </c>
      <c r="N7" s="3">
        <f>Table112[[#This Row],[M (KN.mm)]]/($AJ$3*Table112[[#This Row],[h (mm)]])</f>
        <v>0.47357142857142859</v>
      </c>
      <c r="O7" s="3">
        <f>Table112[[#This Row],[M (KN.mm)]]/($AJ$3*Table112[[#This Row],[h (mm)]]*$AJ$2)</f>
        <v>3.7885714285714286E-4</v>
      </c>
      <c r="P7" s="3">
        <f>Table112[[#This Row],[M (KN.mm)]]/($AJ$3*Table112[[#This Row],[d (mm)]]*$AJ$2)</f>
        <v>4.9111111111111111E-4</v>
      </c>
      <c r="Q7" s="3">
        <f>Table112[[#This Row],[M (KN.mm)]]/($AJ$3*Table112[[#This Row],[h (mm)]]*$AJ$2*$AJ$4)</f>
        <v>1.2065514103730665E-5</v>
      </c>
      <c r="R7" s="3">
        <f>Table112[[#This Row],[M (KN.mm)]]/($AJ$3*Table112[[#This Row],[h (mm)]]*($AJ$2-Table112[[#This Row],[a (mm)]]))</f>
        <v>5.5066445182724248E-4</v>
      </c>
      <c r="S7" s="3">
        <f>Table112[[#This Row],[M (KN.mm)]]/(Table112[[#This Row],[a (mm)]]*$AJ$3*Table112[[#This Row],[h (mm)]]*($AJ$2-Table112[[#This Row],[a (mm)]]))</f>
        <v>1.4119601328903655E-6</v>
      </c>
      <c r="T7" s="3">
        <f>Table112[[#This Row],[M (KN.mm)]]/(Table112[[#This Row],[a (mm)]]^2*$AJ$3*Table112[[#This Row],[h (mm)]])</f>
        <v>3.1135531135531136E-6</v>
      </c>
      <c r="U7" s="3">
        <f>Table112[[#This Row],[M (KN.mm)]]/($AJ$3*Table112[[#This Row],[d (mm)]]*Table112[[#This Row],[pho (%)]])</f>
        <v>0.39569490311542593</v>
      </c>
      <c r="V7" s="3">
        <f>E7*224.8/(2*SQRT($AJ$4*145.037)*$AJ$3*Table112[[#This Row],[d (mm)]]*(1/25.4)^2)</f>
        <v>1.6914325436739335</v>
      </c>
      <c r="W7" s="3">
        <f>Table112[[#This Row],[M (KN.mm)]]/$G$7</f>
        <v>1</v>
      </c>
      <c r="X7" s="3">
        <f>Table112[[#This Row],[V/(2*sqrt(fc) bd)]]</f>
        <v>1.6914325436739335</v>
      </c>
      <c r="Y7" s="3">
        <f>2*SQRT($AJ$4*145.037)/Table112[[#This Row],[pho (%)]]*Table112[[#This Row],[a (mm)]]*1/(224.8*25.4^2)</f>
        <v>0.23394069399654774</v>
      </c>
      <c r="Z7" s="3">
        <v>390</v>
      </c>
      <c r="AA7" s="3">
        <v>81</v>
      </c>
      <c r="AB7" s="3">
        <v>105</v>
      </c>
      <c r="AC7" s="3">
        <v>251.33</v>
      </c>
      <c r="AD7" s="3">
        <f t="shared" si="8"/>
        <v>1.5514197530864198</v>
      </c>
      <c r="AE7" s="3">
        <v>625</v>
      </c>
      <c r="AF7" s="3">
        <f t="shared" si="6"/>
        <v>482343644.0959937</v>
      </c>
      <c r="AG7" s="63">
        <f t="shared" si="7"/>
        <v>120585937.5</v>
      </c>
    </row>
    <row r="8" spans="1:38" x14ac:dyDescent="0.3">
      <c r="A8" s="197" t="s">
        <v>2</v>
      </c>
      <c r="B8" s="198">
        <v>10</v>
      </c>
      <c r="C8" s="3">
        <v>2</v>
      </c>
      <c r="D8" s="3">
        <f>Table112[[#This Row],[a (mm)]]/Table112[[#This Row],[d (mm)]]</f>
        <v>4.8148148148148149</v>
      </c>
      <c r="E8" s="13">
        <f>0.8*E9</f>
        <v>18</v>
      </c>
      <c r="F8" s="3">
        <f>Table112[[#This Row],[d (mm)]]</f>
        <v>81</v>
      </c>
      <c r="G8" s="3">
        <f t="shared" si="0"/>
        <v>7020</v>
      </c>
      <c r="H8" s="3">
        <f t="shared" si="1"/>
        <v>2.2104350886168736E-6</v>
      </c>
      <c r="I8" s="3">
        <f t="shared" si="2"/>
        <v>8.5596707818930042E-4</v>
      </c>
      <c r="J8" s="3">
        <f t="shared" si="3"/>
        <v>0.55173145532434109</v>
      </c>
      <c r="K8" s="3">
        <f t="shared" si="4"/>
        <v>1.1884647277102443E-6</v>
      </c>
      <c r="L8" s="3">
        <f t="shared" si="5"/>
        <v>1.1111111111111111E-3</v>
      </c>
      <c r="M8" s="3">
        <f>Table112[[#This Row],[M (KN.mm)]]/($AJ$3*Table112[[#This Row],[d (mm)]])</f>
        <v>0.43333333333333335</v>
      </c>
      <c r="N8" s="3">
        <f>Table112[[#This Row],[M (KN.mm)]]/($AJ$3*Table112[[#This Row],[h (mm)]])</f>
        <v>0.3342857142857143</v>
      </c>
      <c r="O8" s="3">
        <f>Table112[[#This Row],[M (KN.mm)]]/($AJ$3*Table112[[#This Row],[h (mm)]]*$AJ$2)</f>
        <v>2.6742857142857145E-4</v>
      </c>
      <c r="P8" s="3">
        <f>Table112[[#This Row],[M (KN.mm)]]/($AJ$3*Table112[[#This Row],[d (mm)]]*$AJ$2)</f>
        <v>3.4666666666666667E-4</v>
      </c>
      <c r="Q8" s="3">
        <f>Table112[[#This Row],[M (KN.mm)]]/($AJ$3*Table112[[#This Row],[h (mm)]]*$AJ$2*$AJ$4)</f>
        <v>8.5168334849863506E-6</v>
      </c>
      <c r="R8" s="3">
        <f>Table112[[#This Row],[M (KN.mm)]]/($AJ$3*Table112[[#This Row],[h (mm)]]*($AJ$2-Table112[[#This Row],[a (mm)]]))</f>
        <v>3.887043189368771E-4</v>
      </c>
      <c r="S8" s="3">
        <f>Table112[[#This Row],[M (KN.mm)]]/(Table112[[#This Row],[a (mm)]]*$AJ$3*Table112[[#This Row],[h (mm)]]*($AJ$2-Table112[[#This Row],[a (mm)]]))</f>
        <v>9.9667774086378732E-7</v>
      </c>
      <c r="T8" s="3">
        <f>Table112[[#This Row],[M (KN.mm)]]/(Table112[[#This Row],[a (mm)]]^2*$AJ$3*Table112[[#This Row],[h (mm)]])</f>
        <v>2.197802197802198E-6</v>
      </c>
      <c r="U8" s="3">
        <f>Table112[[#This Row],[M (KN.mm)]]/($AJ$3*Table112[[#This Row],[d (mm)]]*Table112[[#This Row],[pho (%)]])</f>
        <v>0.27931404925794773</v>
      </c>
      <c r="V8" s="3">
        <f>E8*224.8/(2*SQRT($AJ$4*145.037)*$AJ$3*Table112[[#This Row],[d (mm)]]*(1/25.4)^2)</f>
        <v>1.1939523837698354</v>
      </c>
      <c r="W8" s="3">
        <f>Table112[[#This Row],[M (KN.mm)]]/$G$7</f>
        <v>0.70588235294117652</v>
      </c>
      <c r="X8" s="3">
        <f>Table112[[#This Row],[V/(2*sqrt(fc) bd)]]</f>
        <v>1.1939523837698354</v>
      </c>
      <c r="Y8" s="3">
        <f>2*SQRT($AJ$4*145.037)/Table112[[#This Row],[pho (%)]]*Table112[[#This Row],[a (mm)]]*1/(224.8*25.4^2)</f>
        <v>0.23394069399654774</v>
      </c>
      <c r="Z8" s="3">
        <v>390</v>
      </c>
      <c r="AA8" s="3">
        <v>81</v>
      </c>
      <c r="AB8" s="3">
        <v>105</v>
      </c>
      <c r="AC8" s="3">
        <v>251.33</v>
      </c>
      <c r="AD8" s="3">
        <f t="shared" si="8"/>
        <v>1.5514197530864198</v>
      </c>
      <c r="AE8" s="3">
        <v>625</v>
      </c>
      <c r="AF8" s="3">
        <f t="shared" si="6"/>
        <v>482343644.0959937</v>
      </c>
      <c r="AG8" s="63">
        <f t="shared" si="7"/>
        <v>120585937.5</v>
      </c>
    </row>
    <row r="9" spans="1:38" x14ac:dyDescent="0.3">
      <c r="A9" s="199" t="s">
        <v>30</v>
      </c>
      <c r="B9" s="200">
        <v>12</v>
      </c>
      <c r="C9" s="13">
        <v>2</v>
      </c>
      <c r="D9" s="3">
        <f>Table112[[#This Row],[a (mm)]]/Table112[[#This Row],[d (mm)]]</f>
        <v>3.6792452830188678</v>
      </c>
      <c r="E9" s="3">
        <v>22.5</v>
      </c>
      <c r="F9" s="3">
        <f>Table112[[#This Row],[d (mm)]]</f>
        <v>106</v>
      </c>
      <c r="G9" s="3">
        <f t="shared" si="0"/>
        <v>8775</v>
      </c>
      <c r="H9" s="3">
        <f t="shared" si="1"/>
        <v>1.4227932273760876E-6</v>
      </c>
      <c r="I9" s="3">
        <f t="shared" si="2"/>
        <v>6.2477750088999644E-4</v>
      </c>
      <c r="J9" s="3">
        <f t="shared" si="3"/>
        <v>0.39726506399297223</v>
      </c>
      <c r="K9" s="3">
        <f t="shared" si="4"/>
        <v>7.6498076114782024E-7</v>
      </c>
      <c r="L9" s="3">
        <f t="shared" si="5"/>
        <v>1.0613207547169811E-3</v>
      </c>
      <c r="M9" s="3">
        <f>Table112[[#This Row],[M (KN.mm)]]/($AJ$3*Table112[[#This Row],[d (mm)]])</f>
        <v>0.41391509433962265</v>
      </c>
      <c r="N9" s="3">
        <f>Table112[[#This Row],[M (KN.mm)]]/($AJ$3*Table112[[#This Row],[h (mm)]])</f>
        <v>0.33492366412213742</v>
      </c>
      <c r="O9" s="3">
        <f>Table112[[#This Row],[M (KN.mm)]]/($AJ$3*Table112[[#This Row],[h (mm)]]*$AJ$2)</f>
        <v>2.6793893129770991E-4</v>
      </c>
      <c r="P9" s="3">
        <f>Table112[[#This Row],[M (KN.mm)]]/($AJ$3*Table112[[#This Row],[d (mm)]]*$AJ$2)</f>
        <v>3.3113207547169811E-4</v>
      </c>
      <c r="Q9" s="3">
        <f>Table112[[#This Row],[M (KN.mm)]]/($AJ$3*Table112[[#This Row],[h (mm)]]*$AJ$2*$AJ$4)</f>
        <v>8.5330869840035007E-6</v>
      </c>
      <c r="R9" s="3">
        <f>Table112[[#This Row],[M (KN.mm)]]/($AJ$3*Table112[[#This Row],[h (mm)]]*($AJ$2-Table112[[#This Row],[a (mm)]]))</f>
        <v>3.8944612107225281E-4</v>
      </c>
      <c r="S9" s="3">
        <f>Table112[[#This Row],[M (KN.mm)]]/(Table112[[#This Row],[a (mm)]]*$AJ$3*Table112[[#This Row],[h (mm)]]*($AJ$2-Table112[[#This Row],[a (mm)]]))</f>
        <v>9.9857979762116096E-7</v>
      </c>
      <c r="T9" s="3">
        <f>Table112[[#This Row],[M (KN.mm)]]/(Table112[[#This Row],[a (mm)]]^2*$AJ$3*Table112[[#This Row],[h (mm)]])</f>
        <v>2.2019964768056369E-6</v>
      </c>
      <c r="U9" s="3">
        <f>Table112[[#This Row],[M (KN.mm)]]/($AJ$3*Table112[[#This Row],[d (mm)]]*Table112[[#This Row],[pho (%)]])</f>
        <v>0.27931627196333075</v>
      </c>
      <c r="V9" s="3">
        <f>E9*224.8/(2*SQRT($AJ$4*145.037)*$AJ$3*Table112[[#This Row],[d (mm)]]*(1/25.4)^2)</f>
        <v>1.1404498005348664</v>
      </c>
      <c r="W9" s="3">
        <f>Table112[[#This Row],[M (KN.mm)]]/$G$10</f>
        <v>0.66587747854394785</v>
      </c>
      <c r="X9" s="3">
        <f>Table112[[#This Row],[V/(2*sqrt(fc) bd)]]</f>
        <v>1.1404498005348664</v>
      </c>
      <c r="Y9" s="3">
        <f>2*SQRT($AJ$4*145.037)/Table112[[#This Row],[pho (%)]]*Table112[[#This Row],[a (mm)]]*1/(224.8*25.4^2)</f>
        <v>0.24491763848994719</v>
      </c>
      <c r="Z9" s="3">
        <v>390</v>
      </c>
      <c r="AA9" s="3">
        <v>106</v>
      </c>
      <c r="AB9" s="3">
        <v>131</v>
      </c>
      <c r="AC9" s="3">
        <v>314.16000000000003</v>
      </c>
      <c r="AD9" s="3">
        <f t="shared" si="8"/>
        <v>1.4818867924528303</v>
      </c>
      <c r="AE9" s="3">
        <v>663.3</v>
      </c>
      <c r="AF9" s="3">
        <f t="shared" si="6"/>
        <v>936703961.65123475</v>
      </c>
      <c r="AG9" s="63">
        <f t="shared" si="7"/>
        <v>234176145.83333334</v>
      </c>
    </row>
    <row r="10" spans="1:38" x14ac:dyDescent="0.3">
      <c r="A10" s="199" t="s">
        <v>30</v>
      </c>
      <c r="B10" s="200">
        <v>13</v>
      </c>
      <c r="C10" s="13">
        <v>3</v>
      </c>
      <c r="D10" s="3">
        <f>Table112[[#This Row],[a (mm)]]/Table112[[#This Row],[d (mm)]]</f>
        <v>3.6792452830188678</v>
      </c>
      <c r="E10" s="3">
        <v>33.79</v>
      </c>
      <c r="F10" s="3">
        <f>Table112[[#This Row],[d (mm)]]</f>
        <v>106</v>
      </c>
      <c r="G10" s="3">
        <f t="shared" si="0"/>
        <v>13178.1</v>
      </c>
      <c r="H10" s="3">
        <f t="shared" si="1"/>
        <v>2.1367192512461332E-6</v>
      </c>
      <c r="I10" s="3">
        <f t="shared" si="2"/>
        <v>9.3827696689213248E-4</v>
      </c>
      <c r="J10" s="3">
        <f t="shared" si="3"/>
        <v>0.5966038449921125</v>
      </c>
      <c r="K10" s="3">
        <f t="shared" si="4"/>
        <v>1.1488311075193265E-6</v>
      </c>
      <c r="L10" s="3">
        <f t="shared" si="5"/>
        <v>1.5938679245283019E-3</v>
      </c>
      <c r="M10" s="3">
        <f>Table112[[#This Row],[M (KN.mm)]]/($AJ$3*Table112[[#This Row],[d (mm)]])</f>
        <v>0.62160849056603773</v>
      </c>
      <c r="N10" s="3">
        <f>Table112[[#This Row],[M (KN.mm)]]/($AJ$3*Table112[[#This Row],[h (mm)]])</f>
        <v>0.50298091603053441</v>
      </c>
      <c r="O10" s="3">
        <f>Table112[[#This Row],[M (KN.mm)]]/($AJ$3*Table112[[#This Row],[h (mm)]]*$AJ$2)</f>
        <v>4.0238473282442749E-4</v>
      </c>
      <c r="P10" s="3">
        <f>Table112[[#This Row],[M (KN.mm)]]/($AJ$3*Table112[[#This Row],[d (mm)]]*$AJ$2)</f>
        <v>4.9728679245283024E-4</v>
      </c>
      <c r="Q10" s="3">
        <f>Table112[[#This Row],[M (KN.mm)]]/($AJ$3*Table112[[#This Row],[h (mm)]]*$AJ$2*$AJ$4)</f>
        <v>1.2814800408421257E-5</v>
      </c>
      <c r="R10" s="3">
        <f>Table112[[#This Row],[M (KN.mm)]]/($AJ$3*Table112[[#This Row],[h (mm)]]*($AJ$2-Table112[[#This Row],[a (mm)]]))</f>
        <v>5.8486153026806318E-4</v>
      </c>
      <c r="S10" s="3">
        <f>Table112[[#This Row],[M (KN.mm)]]/(Table112[[#This Row],[a (mm)]]*$AJ$3*Table112[[#This Row],[h (mm)]]*($AJ$2-Table112[[#This Row],[a (mm)]]))</f>
        <v>1.4996449494052903E-6</v>
      </c>
      <c r="T10" s="3">
        <f>Table112[[#This Row],[M (KN.mm)]]/(Table112[[#This Row],[a (mm)]]^2*$AJ$3*Table112[[#This Row],[h (mm)]])</f>
        <v>3.3069093756116656E-6</v>
      </c>
      <c r="U10" s="3">
        <f>Table112[[#This Row],[M (KN.mm)]]/($AJ$3*Table112[[#This Row],[d (mm)]]*Table112[[#This Row],[pho (%)]])</f>
        <v>0.41947097020626428</v>
      </c>
      <c r="V10" s="3">
        <f>E10*224.8/(2*SQRT($AJ$4*145.037)*$AJ$3*Table112[[#This Row],[d (mm)]]*(1/25.4)^2)</f>
        <v>1.7127021671143616</v>
      </c>
      <c r="W10" s="3">
        <f>Table112[[#This Row],[M (KN.mm)]]/$G$10</f>
        <v>1</v>
      </c>
      <c r="X10" s="3">
        <f>Table112[[#This Row],[V/(2*sqrt(fc) bd)]]</f>
        <v>1.7127021671143616</v>
      </c>
      <c r="Y10" s="3">
        <f>2*SQRT($AJ$4*145.037)/Table112[[#This Row],[pho (%)]]*Table112[[#This Row],[a (mm)]]*1/(224.8*25.4^2)</f>
        <v>0.24491763848994719</v>
      </c>
      <c r="Z10" s="3">
        <v>390</v>
      </c>
      <c r="AA10" s="3">
        <v>106</v>
      </c>
      <c r="AB10" s="3">
        <v>131</v>
      </c>
      <c r="AC10" s="3">
        <v>314.16000000000003</v>
      </c>
      <c r="AD10" s="3">
        <f t="shared" si="8"/>
        <v>1.4818867924528303</v>
      </c>
      <c r="AE10" s="3">
        <v>663.3</v>
      </c>
      <c r="AF10" s="3">
        <f t="shared" si="6"/>
        <v>936703961.65123475</v>
      </c>
      <c r="AG10" s="63">
        <f t="shared" si="7"/>
        <v>234176145.83333334</v>
      </c>
    </row>
    <row r="11" spans="1:38" x14ac:dyDescent="0.3">
      <c r="A11" s="201" t="s">
        <v>31</v>
      </c>
      <c r="B11" s="202">
        <v>14</v>
      </c>
      <c r="C11" s="3">
        <v>2</v>
      </c>
      <c r="D11" s="3">
        <f>Table112[[#This Row],[a (mm)]]/Table112[[#This Row],[d (mm)]]</f>
        <v>3.6792452830188678</v>
      </c>
      <c r="E11" s="3">
        <v>27.5</v>
      </c>
      <c r="F11" s="3">
        <f>Table112[[#This Row],[d (mm)]]</f>
        <v>106</v>
      </c>
      <c r="G11" s="3">
        <f t="shared" si="0"/>
        <v>10725</v>
      </c>
      <c r="H11" s="3">
        <f t="shared" si="1"/>
        <v>1.7389695001263291E-6</v>
      </c>
      <c r="I11" s="3">
        <f t="shared" si="2"/>
        <v>7.636169455322179E-4</v>
      </c>
      <c r="J11" s="3">
        <f t="shared" si="3"/>
        <v>0.48554618932474386</v>
      </c>
      <c r="K11" s="3">
        <f t="shared" si="4"/>
        <v>9.3497648584733585E-7</v>
      </c>
      <c r="L11" s="3">
        <f t="shared" si="5"/>
        <v>1.2971698113207546E-3</v>
      </c>
      <c r="M11" s="3">
        <f>Table112[[#This Row],[M (KN.mm)]]/($AJ$3*Table112[[#This Row],[d (mm)]])</f>
        <v>0.50589622641509435</v>
      </c>
      <c r="N11" s="3">
        <f>Table112[[#This Row],[M (KN.mm)]]/($AJ$3*Table112[[#This Row],[h (mm)]])</f>
        <v>0.40935114503816794</v>
      </c>
      <c r="O11" s="3">
        <f>Table112[[#This Row],[M (KN.mm)]]/($AJ$3*Table112[[#This Row],[h (mm)]]*$AJ$2)</f>
        <v>3.2748091603053436E-4</v>
      </c>
      <c r="P11" s="3">
        <f>Table112[[#This Row],[M (KN.mm)]]/($AJ$3*Table112[[#This Row],[d (mm)]]*$AJ$2)</f>
        <v>4.0471698113207549E-4</v>
      </c>
      <c r="Q11" s="3">
        <f>Table112[[#This Row],[M (KN.mm)]]/($AJ$3*Table112[[#This Row],[h (mm)]]*$AJ$2*$AJ$4)</f>
        <v>1.0429328536004279E-5</v>
      </c>
      <c r="R11" s="3">
        <f>Table112[[#This Row],[M (KN.mm)]]/($AJ$3*Table112[[#This Row],[h (mm)]]*($AJ$2-Table112[[#This Row],[a (mm)]]))</f>
        <v>4.7598970353275344E-4</v>
      </c>
      <c r="S11" s="3">
        <f>Table112[[#This Row],[M (KN.mm)]]/(Table112[[#This Row],[a (mm)]]*$AJ$3*Table112[[#This Row],[h (mm)]]*($AJ$2-Table112[[#This Row],[a (mm)]]))</f>
        <v>1.2204864193147523E-6</v>
      </c>
      <c r="T11" s="3">
        <f>Table112[[#This Row],[M (KN.mm)]]/(Table112[[#This Row],[a (mm)]]^2*$AJ$3*Table112[[#This Row],[h (mm)]])</f>
        <v>2.6913290272068898E-6</v>
      </c>
      <c r="U11" s="3">
        <f>Table112[[#This Row],[M (KN.mm)]]/($AJ$3*Table112[[#This Row],[d (mm)]]*Table112[[#This Row],[pho (%)]])</f>
        <v>0.34138655462184869</v>
      </c>
      <c r="V11" s="3">
        <f>E11*224.8/(2*SQRT($AJ$4*145.037)*$AJ$3*Table112[[#This Row],[d (mm)]]*(1/25.4)^2)</f>
        <v>1.3938830895426144</v>
      </c>
      <c r="W11" s="3">
        <f>Table112[[#This Row],[M (KN.mm)]]/$G$13</f>
        <v>0.80882352941176472</v>
      </c>
      <c r="X11" s="3">
        <f>Table112[[#This Row],[V/(2*sqrt(fc) bd)]]</f>
        <v>1.3938830895426144</v>
      </c>
      <c r="Y11" s="3">
        <f>2*SQRT($AJ$4*145.037)/Table112[[#This Row],[pho (%)]]*Table112[[#This Row],[a (mm)]]*1/(224.8*25.4^2)</f>
        <v>0.24491763848994719</v>
      </c>
      <c r="Z11" s="3">
        <v>390</v>
      </c>
      <c r="AA11" s="3">
        <v>106</v>
      </c>
      <c r="AB11" s="3">
        <v>131</v>
      </c>
      <c r="AC11" s="3">
        <v>314.16000000000003</v>
      </c>
      <c r="AD11" s="3">
        <f t="shared" si="8"/>
        <v>1.4818867924528303</v>
      </c>
      <c r="AE11" s="3">
        <v>663.3</v>
      </c>
      <c r="AF11" s="3">
        <f t="shared" si="6"/>
        <v>936703961.65123475</v>
      </c>
      <c r="AG11" s="63">
        <f t="shared" si="7"/>
        <v>234176145.83333334</v>
      </c>
    </row>
    <row r="12" spans="1:38" x14ac:dyDescent="0.3">
      <c r="A12" s="201" t="s">
        <v>31</v>
      </c>
      <c r="B12" s="202">
        <v>15</v>
      </c>
      <c r="C12" s="3">
        <v>4</v>
      </c>
      <c r="D12" s="3">
        <f>Table112[[#This Row],[a (mm)]]/Table112[[#This Row],[d (mm)]]</f>
        <v>3.6792452830188678</v>
      </c>
      <c r="E12" s="13">
        <v>28.5</v>
      </c>
      <c r="F12" s="3">
        <f>Table112[[#This Row],[d (mm)]]</f>
        <v>106</v>
      </c>
      <c r="G12" s="3">
        <f t="shared" si="0"/>
        <v>11115</v>
      </c>
      <c r="H12" s="3">
        <f t="shared" si="1"/>
        <v>1.8022047546763776E-6</v>
      </c>
      <c r="I12" s="3">
        <f t="shared" si="2"/>
        <v>7.9138483446066215E-4</v>
      </c>
      <c r="J12" s="3">
        <f t="shared" si="3"/>
        <v>0.50320241439109814</v>
      </c>
      <c r="K12" s="3">
        <f t="shared" si="4"/>
        <v>9.6897563078723884E-7</v>
      </c>
      <c r="L12" s="3">
        <f t="shared" si="5"/>
        <v>1.3443396226415095E-3</v>
      </c>
      <c r="M12" s="3">
        <f>Table112[[#This Row],[M (KN.mm)]]/($AJ$3*Table112[[#This Row],[d (mm)]])</f>
        <v>0.52429245283018866</v>
      </c>
      <c r="N12" s="3">
        <f>Table112[[#This Row],[M (KN.mm)]]/($AJ$3*Table112[[#This Row],[h (mm)]])</f>
        <v>0.42423664122137406</v>
      </c>
      <c r="O12" s="3">
        <f>Table112[[#This Row],[M (KN.mm)]]/($AJ$3*Table112[[#This Row],[h (mm)]]*$AJ$2)</f>
        <v>3.3938931297709926E-4</v>
      </c>
      <c r="P12" s="3">
        <f>Table112[[#This Row],[M (KN.mm)]]/($AJ$3*Table112[[#This Row],[d (mm)]]*$AJ$2)</f>
        <v>4.1943396226415094E-4</v>
      </c>
      <c r="Q12" s="3">
        <f>Table112[[#This Row],[M (KN.mm)]]/($AJ$3*Table112[[#This Row],[h (mm)]]*$AJ$2*$AJ$4)</f>
        <v>1.0808576846404435E-5</v>
      </c>
      <c r="R12" s="3">
        <f>Table112[[#This Row],[M (KN.mm)]]/($AJ$3*Table112[[#This Row],[h (mm)]]*($AJ$2-Table112[[#This Row],[a (mm)]]))</f>
        <v>4.9329842002485353E-4</v>
      </c>
      <c r="S12" s="3">
        <f>Table112[[#This Row],[M (KN.mm)]]/(Table112[[#This Row],[a (mm)]]*$AJ$3*Table112[[#This Row],[h (mm)]]*($AJ$2-Table112[[#This Row],[a (mm)]]))</f>
        <v>1.2648677436534706E-6</v>
      </c>
      <c r="T12" s="3">
        <f>Table112[[#This Row],[M (KN.mm)]]/(Table112[[#This Row],[a (mm)]]^2*$AJ$3*Table112[[#This Row],[h (mm)]])</f>
        <v>2.7891955372871405E-6</v>
      </c>
      <c r="U12" s="3">
        <f>Table112[[#This Row],[M (KN.mm)]]/($AJ$3*Table112[[#This Row],[d (mm)]]*Table112[[#This Row],[pho (%)]])</f>
        <v>0.35380061115355227</v>
      </c>
      <c r="V12" s="3">
        <f>E12*224.8/(2*SQRT($AJ$4*145.037)*$AJ$3*Table112[[#This Row],[d (mm)]]*(1/25.4)^2)</f>
        <v>1.4445697473441641</v>
      </c>
      <c r="W12" s="3">
        <f>Table112[[#This Row],[M (KN.mm)]]/$G$13</f>
        <v>0.83823529411764708</v>
      </c>
      <c r="X12" s="3">
        <f>Table112[[#This Row],[V/(2*sqrt(fc) bd)]]</f>
        <v>1.4445697473441641</v>
      </c>
      <c r="Y12" s="3">
        <f>2*SQRT($AJ$4*145.037)/Table112[[#This Row],[pho (%)]]*Table112[[#This Row],[a (mm)]]*1/(224.8*25.4^2)</f>
        <v>0.24491763848994719</v>
      </c>
      <c r="Z12" s="3">
        <v>390</v>
      </c>
      <c r="AA12" s="3">
        <v>106</v>
      </c>
      <c r="AB12" s="3">
        <v>131</v>
      </c>
      <c r="AC12" s="3">
        <v>314.16000000000003</v>
      </c>
      <c r="AD12" s="3">
        <f t="shared" si="8"/>
        <v>1.4818867924528303</v>
      </c>
      <c r="AE12" s="3">
        <v>663.3</v>
      </c>
      <c r="AF12" s="3">
        <f t="shared" si="6"/>
        <v>936703961.65123475</v>
      </c>
      <c r="AG12" s="63">
        <f t="shared" si="7"/>
        <v>234176145.83333334</v>
      </c>
    </row>
    <row r="13" spans="1:38" x14ac:dyDescent="0.3">
      <c r="A13" s="201" t="s">
        <v>31</v>
      </c>
      <c r="B13" s="202">
        <v>16</v>
      </c>
      <c r="C13" s="3">
        <v>5</v>
      </c>
      <c r="D13" s="3">
        <f>Table112[[#This Row],[a (mm)]]/Table112[[#This Row],[d (mm)]]</f>
        <v>3.6792452830188678</v>
      </c>
      <c r="E13" s="3">
        <v>34</v>
      </c>
      <c r="F13" s="3">
        <f>Table112[[#This Row],[d (mm)]]</f>
        <v>106</v>
      </c>
      <c r="G13" s="3">
        <f t="shared" si="0"/>
        <v>13260</v>
      </c>
      <c r="H13" s="3">
        <f t="shared" si="1"/>
        <v>2.1499986547016433E-6</v>
      </c>
      <c r="I13" s="103">
        <f t="shared" si="2"/>
        <v>9.4410822356710573E-4</v>
      </c>
      <c r="J13" s="3">
        <f t="shared" si="3"/>
        <v>0.60031165225604688</v>
      </c>
      <c r="K13" s="3">
        <f t="shared" si="4"/>
        <v>1.1559709279567061E-6</v>
      </c>
      <c r="L13" s="3">
        <f t="shared" si="5"/>
        <v>1.6037735849056603E-3</v>
      </c>
      <c r="M13" s="3">
        <f>Table112[[#This Row],[M (KN.mm)]]/($AJ$3*Table112[[#This Row],[d (mm)]])</f>
        <v>0.62547169811320757</v>
      </c>
      <c r="N13" s="3">
        <f>Table112[[#This Row],[M (KN.mm)]]/($AJ$3*Table112[[#This Row],[h (mm)]])</f>
        <v>0.50610687022900769</v>
      </c>
      <c r="O13" s="3">
        <f>Table112[[#This Row],[M (KN.mm)]]/($AJ$3*Table112[[#This Row],[h (mm)]]*$AJ$2)</f>
        <v>4.0488549618320613E-4</v>
      </c>
      <c r="P13" s="3">
        <f>Table112[[#This Row],[M (KN.mm)]]/($AJ$3*Table112[[#This Row],[d (mm)]]*$AJ$2)</f>
        <v>5.0037735849056599E-4</v>
      </c>
      <c r="Q13" s="3">
        <f>Table112[[#This Row],[M (KN.mm)]]/($AJ$3*Table112[[#This Row],[h (mm)]]*$AJ$2*$AJ$4)</f>
        <v>1.2894442553605291E-5</v>
      </c>
      <c r="R13" s="3">
        <f>Table112[[#This Row],[M (KN.mm)]]/($AJ$3*Table112[[#This Row],[h (mm)]]*($AJ$2-Table112[[#This Row],[a (mm)]]))</f>
        <v>5.8849636073140426E-4</v>
      </c>
      <c r="S13" s="3">
        <f>Table112[[#This Row],[M (KN.mm)]]/(Table112[[#This Row],[a (mm)]]*$AJ$3*Table112[[#This Row],[h (mm)]]*($AJ$2-Table112[[#This Row],[a (mm)]]))</f>
        <v>1.5089650275164211E-6</v>
      </c>
      <c r="T13" s="3">
        <f>Table112[[#This Row],[M (KN.mm)]]/(Table112[[#This Row],[a (mm)]]^2*$AJ$3*Table112[[#This Row],[h (mm)]])</f>
        <v>3.3274613427285183E-6</v>
      </c>
      <c r="U13" s="3">
        <f>Table112[[#This Row],[M (KN.mm)]]/($AJ$3*Table112[[#This Row],[d (mm)]]*Table112[[#This Row],[pho (%)]])</f>
        <v>0.42207792207792205</v>
      </c>
      <c r="V13" s="3">
        <f>E13*224.8/(2*SQRT($AJ$4*145.037)*$AJ$3*Table112[[#This Row],[d (mm)]]*(1/25.4)^2)</f>
        <v>1.723346365252687</v>
      </c>
      <c r="W13" s="3">
        <f>Table112[[#This Row],[M (KN.mm)]]/$G$13</f>
        <v>1</v>
      </c>
      <c r="X13" s="3">
        <f>Table112[[#This Row],[V/(2*sqrt(fc) bd)]]</f>
        <v>1.723346365252687</v>
      </c>
      <c r="Y13" s="3">
        <f>2*SQRT($AJ$4*145.037)/Table112[[#This Row],[pho (%)]]*Table112[[#This Row],[a (mm)]]*1/(224.8*25.4^2)</f>
        <v>0.24491763848994719</v>
      </c>
      <c r="Z13" s="3">
        <v>390</v>
      </c>
      <c r="AA13" s="3">
        <v>106</v>
      </c>
      <c r="AB13" s="3">
        <v>131</v>
      </c>
      <c r="AC13" s="3">
        <v>314.16000000000003</v>
      </c>
      <c r="AD13" s="3">
        <f t="shared" si="8"/>
        <v>1.4818867924528303</v>
      </c>
      <c r="AE13" s="3">
        <v>663.3</v>
      </c>
      <c r="AF13" s="3">
        <f t="shared" si="6"/>
        <v>936703961.65123475</v>
      </c>
      <c r="AG13" s="63">
        <f t="shared" si="7"/>
        <v>234176145.83333334</v>
      </c>
    </row>
    <row r="14" spans="1:38" x14ac:dyDescent="0.3">
      <c r="A14" s="203" t="s">
        <v>32</v>
      </c>
      <c r="B14" s="204">
        <v>18</v>
      </c>
      <c r="C14" s="3">
        <v>2</v>
      </c>
      <c r="D14" s="3">
        <f>Table112[[#This Row],[a (mm)]]/Table112[[#This Row],[d (mm)]]</f>
        <v>3.6792452830188678</v>
      </c>
      <c r="E14" s="3">
        <f>47/2</f>
        <v>23.5</v>
      </c>
      <c r="F14" s="3">
        <f>Table112[[#This Row],[d (mm)]]</f>
        <v>106</v>
      </c>
      <c r="G14" s="3">
        <f t="shared" si="0"/>
        <v>9165</v>
      </c>
      <c r="H14" s="3">
        <f t="shared" si="1"/>
        <v>1.4860284819261358E-6</v>
      </c>
      <c r="I14" s="3">
        <f t="shared" si="2"/>
        <v>6.5254538981844069E-4</v>
      </c>
      <c r="J14" s="3">
        <f t="shared" si="3"/>
        <v>0.41492128905932657</v>
      </c>
      <c r="K14" s="3">
        <f t="shared" si="4"/>
        <v>7.9897990608772334E-7</v>
      </c>
      <c r="L14" s="3">
        <f t="shared" si="5"/>
        <v>1.1084905660377359E-3</v>
      </c>
      <c r="M14" s="3">
        <f>Table112[[#This Row],[M (KN.mm)]]/($AJ$3*Table112[[#This Row],[d (mm)]])</f>
        <v>0.43231132075471695</v>
      </c>
      <c r="N14" s="3">
        <f>Table112[[#This Row],[M (KN.mm)]]/($AJ$3*Table112[[#This Row],[h (mm)]])</f>
        <v>0.34980916030534354</v>
      </c>
      <c r="O14" s="3">
        <f>Table112[[#This Row],[M (KN.mm)]]/($AJ$3*Table112[[#This Row],[h (mm)]]*$AJ$2)</f>
        <v>2.7984732824427481E-4</v>
      </c>
      <c r="P14" s="3">
        <f>Table112[[#This Row],[M (KN.mm)]]/($AJ$3*Table112[[#This Row],[d (mm)]]*$AJ$2)</f>
        <v>3.458490566037736E-4</v>
      </c>
      <c r="Q14" s="3">
        <f>Table112[[#This Row],[M (KN.mm)]]/($AJ$3*Table112[[#This Row],[h (mm)]]*$AJ$2*$AJ$4)</f>
        <v>8.9123352944036566E-6</v>
      </c>
      <c r="R14" s="3">
        <f>Table112[[#This Row],[M (KN.mm)]]/($AJ$3*Table112[[#This Row],[h (mm)]]*($AJ$2-Table112[[#This Row],[a (mm)]]))</f>
        <v>4.0675483756435295E-4</v>
      </c>
      <c r="S14" s="3">
        <f>Table112[[#This Row],[M (KN.mm)]]/(Table112[[#This Row],[a (mm)]]*$AJ$3*Table112[[#This Row],[h (mm)]]*($AJ$2-Table112[[#This Row],[a (mm)]]))</f>
        <v>1.0429611219598792E-6</v>
      </c>
      <c r="T14" s="3">
        <f>Table112[[#This Row],[M (KN.mm)]]/(Table112[[#This Row],[a (mm)]]^2*$AJ$3*Table112[[#This Row],[h (mm)]])</f>
        <v>2.2998629868858876E-6</v>
      </c>
      <c r="U14" s="3">
        <f>Table112[[#This Row],[M (KN.mm)]]/($AJ$3*Table112[[#This Row],[d (mm)]]*Table112[[#This Row],[pho (%)]])</f>
        <v>0.29173032849503433</v>
      </c>
      <c r="V14" s="3">
        <f>E14*224.8/(2*SQRT($AJ$4*145.037)*$AJ$3*Table112[[#This Row],[d (mm)]]*(1/25.4)^2)</f>
        <v>1.1911364583364159</v>
      </c>
      <c r="W14" s="3">
        <f>Table112[[#This Row],[M (KN.mm)]]/$G$16</f>
        <v>0.6619718309859155</v>
      </c>
      <c r="X14" s="3">
        <f>Table112[[#This Row],[V/(2*sqrt(fc) bd)]]</f>
        <v>1.1911364583364159</v>
      </c>
      <c r="Y14" s="3">
        <f>2*SQRT($AJ$4*145.037)/Table112[[#This Row],[pho (%)]]*Table112[[#This Row],[a (mm)]]*1/(224.8*25.4^2)</f>
        <v>0.24491763848994719</v>
      </c>
      <c r="Z14" s="3">
        <v>390</v>
      </c>
      <c r="AA14" s="3">
        <v>106</v>
      </c>
      <c r="AB14" s="3">
        <v>131</v>
      </c>
      <c r="AC14" s="3">
        <v>314.16000000000003</v>
      </c>
      <c r="AD14" s="3">
        <f t="shared" si="8"/>
        <v>1.4818867924528303</v>
      </c>
      <c r="AE14" s="3">
        <v>663.3</v>
      </c>
      <c r="AF14" s="3">
        <f t="shared" si="6"/>
        <v>936703961.65123475</v>
      </c>
      <c r="AG14" s="63">
        <f t="shared" si="7"/>
        <v>234176145.83333334</v>
      </c>
      <c r="AI14"/>
    </row>
    <row r="15" spans="1:38" x14ac:dyDescent="0.3">
      <c r="A15" s="203" t="s">
        <v>32</v>
      </c>
      <c r="B15" s="204">
        <v>19</v>
      </c>
      <c r="C15" s="3">
        <v>3</v>
      </c>
      <c r="D15" s="3">
        <f>Table112[[#This Row],[a (mm)]]/Table112[[#This Row],[d (mm)]]</f>
        <v>3.6792452830188678</v>
      </c>
      <c r="E15" s="3">
        <f>66/2</f>
        <v>33</v>
      </c>
      <c r="F15" s="3">
        <f>Table112[[#This Row],[d (mm)]]</f>
        <v>106</v>
      </c>
      <c r="G15" s="3">
        <f t="shared" si="0"/>
        <v>12870</v>
      </c>
      <c r="H15" s="3">
        <f t="shared" si="1"/>
        <v>2.0867634001515951E-6</v>
      </c>
      <c r="I15" s="3">
        <f t="shared" si="2"/>
        <v>9.1634033463866148E-4</v>
      </c>
      <c r="J15" s="3">
        <f t="shared" si="3"/>
        <v>0.58265542718969265</v>
      </c>
      <c r="K15" s="3">
        <f t="shared" si="4"/>
        <v>1.1219717830168031E-6</v>
      </c>
      <c r="L15" s="3">
        <f t="shared" si="5"/>
        <v>1.5566037735849057E-3</v>
      </c>
      <c r="M15" s="3">
        <f>Table112[[#This Row],[M (KN.mm)]]/($AJ$3*Table112[[#This Row],[d (mm)]])</f>
        <v>0.60707547169811316</v>
      </c>
      <c r="N15" s="3">
        <f>Table112[[#This Row],[M (KN.mm)]]/($AJ$3*Table112[[#This Row],[h (mm)]])</f>
        <v>0.49122137404580152</v>
      </c>
      <c r="O15" s="3">
        <f>Table112[[#This Row],[M (KN.mm)]]/($AJ$3*Table112[[#This Row],[h (mm)]]*$AJ$2)</f>
        <v>3.9297709923664123E-4</v>
      </c>
      <c r="P15" s="3">
        <f>Table112[[#This Row],[M (KN.mm)]]/($AJ$3*Table112[[#This Row],[d (mm)]]*$AJ$2)</f>
        <v>4.8566037735849055E-4</v>
      </c>
      <c r="Q15" s="3">
        <f>Table112[[#This Row],[M (KN.mm)]]/($AJ$3*Table112[[#This Row],[h (mm)]]*$AJ$2*$AJ$4)</f>
        <v>1.2515194243205135E-5</v>
      </c>
      <c r="R15" s="3">
        <f>Table112[[#This Row],[M (KN.mm)]]/($AJ$3*Table112[[#This Row],[h (mm)]]*($AJ$2-Table112[[#This Row],[a (mm)]]))</f>
        <v>5.7118764423930407E-4</v>
      </c>
      <c r="S15" s="3">
        <f>Table112[[#This Row],[M (KN.mm)]]/(Table112[[#This Row],[a (mm)]]*$AJ$3*Table112[[#This Row],[h (mm)]]*($AJ$2-Table112[[#This Row],[a (mm)]]))</f>
        <v>1.4645837031777028E-6</v>
      </c>
      <c r="T15" s="3">
        <f>Table112[[#This Row],[M (KN.mm)]]/(Table112[[#This Row],[a (mm)]]^2*$AJ$3*Table112[[#This Row],[h (mm)]])</f>
        <v>3.2295948326482676E-6</v>
      </c>
      <c r="U15" s="3">
        <f>Table112[[#This Row],[M (KN.mm)]]/($AJ$3*Table112[[#This Row],[d (mm)]]*Table112[[#This Row],[pho (%)]])</f>
        <v>0.40966386554621842</v>
      </c>
      <c r="V15" s="3">
        <f>E15*224.8/(2*SQRT($AJ$4*145.037)*$AJ$3*Table112[[#This Row],[d (mm)]]*(1/25.4)^2)</f>
        <v>1.6726597074511373</v>
      </c>
      <c r="W15" s="3">
        <f>Table112[[#This Row],[M (KN.mm)]]/$G$16</f>
        <v>0.92957746478873238</v>
      </c>
      <c r="X15" s="3">
        <f>Table112[[#This Row],[V/(2*sqrt(fc) bd)]]</f>
        <v>1.6726597074511373</v>
      </c>
      <c r="Y15" s="3">
        <f>2*SQRT($AJ$4*145.037)/Table112[[#This Row],[pho (%)]]*Table112[[#This Row],[a (mm)]]*1/(224.8*25.4^2)</f>
        <v>0.24491763848994719</v>
      </c>
      <c r="Z15" s="3">
        <v>390</v>
      </c>
      <c r="AA15" s="3">
        <v>106</v>
      </c>
      <c r="AB15" s="3">
        <v>131</v>
      </c>
      <c r="AC15" s="3">
        <v>314.16000000000003</v>
      </c>
      <c r="AD15" s="3">
        <f t="shared" si="8"/>
        <v>1.4818867924528303</v>
      </c>
      <c r="AE15" s="3">
        <v>663.3</v>
      </c>
      <c r="AF15" s="3">
        <f t="shared" si="6"/>
        <v>936703961.65123475</v>
      </c>
      <c r="AG15" s="63">
        <f t="shared" si="7"/>
        <v>234176145.83333334</v>
      </c>
      <c r="AI15"/>
    </row>
    <row r="16" spans="1:38" x14ac:dyDescent="0.3">
      <c r="A16" s="203" t="s">
        <v>32</v>
      </c>
      <c r="B16" s="204">
        <v>20</v>
      </c>
      <c r="C16" s="3">
        <v>4</v>
      </c>
      <c r="D16" s="3">
        <f>Table112[[#This Row],[a (mm)]]/Table112[[#This Row],[d (mm)]]</f>
        <v>3.6792452830188678</v>
      </c>
      <c r="E16" s="3">
        <f>71/2</f>
        <v>35.5</v>
      </c>
      <c r="F16" s="3">
        <f>Table112[[#This Row],[d (mm)]]</f>
        <v>106</v>
      </c>
      <c r="G16" s="3">
        <f t="shared" si="0"/>
        <v>13845</v>
      </c>
      <c r="H16" s="3">
        <f t="shared" si="1"/>
        <v>2.2448515365267158E-6</v>
      </c>
      <c r="I16" s="3">
        <f t="shared" si="2"/>
        <v>9.8576005695977221E-4</v>
      </c>
      <c r="J16" s="3">
        <f t="shared" si="3"/>
        <v>0.62679598985557838</v>
      </c>
      <c r="K16" s="3">
        <f t="shared" si="4"/>
        <v>1.2069696453665609E-6</v>
      </c>
      <c r="L16" s="3">
        <f t="shared" si="5"/>
        <v>1.6745283018867925E-3</v>
      </c>
      <c r="M16" s="3">
        <f>Table112[[#This Row],[M (KN.mm)]]/($AJ$3*Table112[[#This Row],[d (mm)]])</f>
        <v>0.65306603773584904</v>
      </c>
      <c r="N16" s="3">
        <f>Table112[[#This Row],[M (KN.mm)]]/($AJ$3*Table112[[#This Row],[h (mm)]])</f>
        <v>0.52843511450381675</v>
      </c>
      <c r="O16" s="3">
        <f>Table112[[#This Row],[M (KN.mm)]]/($AJ$3*Table112[[#This Row],[h (mm)]]*$AJ$2)</f>
        <v>4.2274809160305346E-4</v>
      </c>
      <c r="P16" s="3">
        <f>Table112[[#This Row],[M (KN.mm)]]/($AJ$3*Table112[[#This Row],[d (mm)]]*$AJ$2)</f>
        <v>5.2245283018867927E-4</v>
      </c>
      <c r="Q16" s="3">
        <f>Table112[[#This Row],[M (KN.mm)]]/($AJ$3*Table112[[#This Row],[h (mm)]]*$AJ$2*$AJ$4)</f>
        <v>1.3463315019205523E-5</v>
      </c>
      <c r="R16" s="3">
        <f>Table112[[#This Row],[M (KN.mm)]]/($AJ$3*Table112[[#This Row],[h (mm)]]*($AJ$2-Table112[[#This Row],[a (mm)]]))</f>
        <v>6.1445943546955444E-4</v>
      </c>
      <c r="S16" s="3">
        <f>Table112[[#This Row],[M (KN.mm)]]/(Table112[[#This Row],[a (mm)]]*$AJ$3*Table112[[#This Row],[h (mm)]]*($AJ$2-Table112[[#This Row],[a (mm)]]))</f>
        <v>1.5755370140244985E-6</v>
      </c>
      <c r="T16" s="3">
        <f>Table112[[#This Row],[M (KN.mm)]]/(Table112[[#This Row],[a (mm)]]^2*$AJ$3*Table112[[#This Row],[h (mm)]])</f>
        <v>3.4742611078488943E-6</v>
      </c>
      <c r="U16" s="3">
        <f>Table112[[#This Row],[M (KN.mm)]]/($AJ$3*Table112[[#This Row],[d (mm)]]*Table112[[#This Row],[pho (%)]])</f>
        <v>0.44069900687547742</v>
      </c>
      <c r="V16" s="3">
        <f>E16*224.8/(2*SQRT($AJ$4*145.037)*$AJ$3*Table112[[#This Row],[d (mm)]]*(1/25.4)^2)</f>
        <v>1.7993763519550114</v>
      </c>
      <c r="W16" s="3">
        <f>Table112[[#This Row],[M (KN.mm)]]/$G$16</f>
        <v>1</v>
      </c>
      <c r="X16" s="3">
        <f>Table112[[#This Row],[V/(2*sqrt(fc) bd)]]</f>
        <v>1.7993763519550114</v>
      </c>
      <c r="Y16" s="3">
        <f>2*SQRT($AJ$4*145.037)/Table112[[#This Row],[pho (%)]]*Table112[[#This Row],[a (mm)]]*1/(224.8*25.4^2)</f>
        <v>0.24491763848994719</v>
      </c>
      <c r="Z16" s="3">
        <v>390</v>
      </c>
      <c r="AA16" s="3">
        <v>106</v>
      </c>
      <c r="AB16" s="3">
        <v>131</v>
      </c>
      <c r="AC16" s="3">
        <v>314.16000000000003</v>
      </c>
      <c r="AD16" s="3">
        <f t="shared" si="8"/>
        <v>1.4818867924528303</v>
      </c>
      <c r="AE16" s="3">
        <v>663.3</v>
      </c>
      <c r="AF16" s="3">
        <f t="shared" si="6"/>
        <v>936703961.65123475</v>
      </c>
      <c r="AG16" s="63">
        <f t="shared" si="7"/>
        <v>234176145.83333334</v>
      </c>
      <c r="AI16"/>
    </row>
    <row r="17" spans="1:35" x14ac:dyDescent="0.3">
      <c r="A17" s="205" t="s">
        <v>35</v>
      </c>
      <c r="B17" s="206">
        <v>22</v>
      </c>
      <c r="C17" s="3">
        <v>1</v>
      </c>
      <c r="D17" s="3">
        <f>Table112[[#This Row],[a (mm)]]/Table112[[#This Row],[d (mm)]]</f>
        <v>2.8057553956834531</v>
      </c>
      <c r="E17" s="3">
        <v>41.4</v>
      </c>
      <c r="F17" s="3">
        <f>Table112[[#This Row],[d (mm)]]</f>
        <v>139</v>
      </c>
      <c r="G17" s="3">
        <f t="shared" si="0"/>
        <v>16146</v>
      </c>
      <c r="H17" s="3">
        <f t="shared" si="1"/>
        <v>1.3342645734695906E-6</v>
      </c>
      <c r="I17" s="3">
        <f t="shared" si="2"/>
        <v>6.6853682521608618E-4</v>
      </c>
      <c r="J17" s="3">
        <f t="shared" si="3"/>
        <v>0.44594289543130539</v>
      </c>
      <c r="K17" s="3">
        <f t="shared" si="4"/>
        <v>7.1738332392980931E-7</v>
      </c>
      <c r="L17" s="3">
        <f t="shared" si="5"/>
        <v>1.4892086330935252E-3</v>
      </c>
      <c r="M17" s="3">
        <f>Table112[[#This Row],[M (KN.mm)]]/($AJ$3*Table112[[#This Row],[d (mm)]])</f>
        <v>0.58079136690647482</v>
      </c>
      <c r="N17" s="3">
        <f>Table112[[#This Row],[M (KN.mm)]]/($AJ$3*Table112[[#This Row],[h (mm)]])</f>
        <v>0.4922560975609756</v>
      </c>
      <c r="O17" s="3">
        <f>Table112[[#This Row],[M (KN.mm)]]/($AJ$3*Table112[[#This Row],[h (mm)]]*$AJ$2)</f>
        <v>3.9380487804878048E-4</v>
      </c>
      <c r="P17" s="3">
        <f>Table112[[#This Row],[M (KN.mm)]]/($AJ$3*Table112[[#This Row],[d (mm)]]*$AJ$2)</f>
        <v>4.6463309352517984E-4</v>
      </c>
      <c r="Q17" s="3">
        <f>Table112[[#This Row],[M (KN.mm)]]/($AJ$3*Table112[[#This Row],[h (mm)]]*$AJ$2*$AJ$4)</f>
        <v>1.254155662575734E-5</v>
      </c>
      <c r="R17" s="3">
        <f>Table112[[#This Row],[M (KN.mm)]]/($AJ$3*Table112[[#This Row],[h (mm)]]*($AJ$2-Table112[[#This Row],[a (mm)]]))</f>
        <v>5.7239081111741346E-4</v>
      </c>
      <c r="S17" s="3">
        <f>Table112[[#This Row],[M (KN.mm)]]/(Table112[[#This Row],[a (mm)]]*$AJ$3*Table112[[#This Row],[h (mm)]]*($AJ$2-Table112[[#This Row],[a (mm)]]))</f>
        <v>1.4676687464549063E-6</v>
      </c>
      <c r="T17" s="3">
        <f>Table112[[#This Row],[M (KN.mm)]]/(Table112[[#This Row],[a (mm)]]^2*$AJ$3*Table112[[#This Row],[h (mm)]])</f>
        <v>3.2363977485928705E-6</v>
      </c>
      <c r="U17" s="3">
        <f>Table112[[#This Row],[M (KN.mm)]]/($AJ$3*Table112[[#This Row],[d (mm)]]*Table112[[#This Row],[pho (%)]])</f>
        <v>0.41115355233002293</v>
      </c>
      <c r="V17" s="3">
        <f>E17*224.8/(2*SQRT($AJ$4*145.037)*$AJ$3*Table112[[#This Row],[d (mm)]]*(1/25.4)^2)</f>
        <v>1.6002397776713693</v>
      </c>
      <c r="W17" s="3">
        <f>Table112[[#This Row],[M (KN.mm)]]/$G$17</f>
        <v>1</v>
      </c>
      <c r="X17" s="3">
        <f>Table112[[#This Row],[V/(2*sqrt(fc) bd)]]</f>
        <v>1.6002397776713693</v>
      </c>
      <c r="Y17" s="3">
        <f>2*SQRT($AJ$4*145.037)/Table112[[#This Row],[pho (%)]]*Table112[[#This Row],[a (mm)]]*1/(224.8*25.4^2)</f>
        <v>0.25693246603851067</v>
      </c>
      <c r="Z17" s="3">
        <v>390</v>
      </c>
      <c r="AA17" s="3">
        <v>139</v>
      </c>
      <c r="AB17" s="3">
        <v>164</v>
      </c>
      <c r="AC17" s="3">
        <v>392.7</v>
      </c>
      <c r="AD17" s="3">
        <f t="shared" si="8"/>
        <v>1.412589928057554</v>
      </c>
      <c r="AE17" s="3">
        <v>663.3</v>
      </c>
      <c r="AF17" s="3">
        <f t="shared" si="6"/>
        <v>1837889582.3185046</v>
      </c>
      <c r="AG17" s="63">
        <f t="shared" si="7"/>
        <v>459473333.33333331</v>
      </c>
    </row>
    <row r="18" spans="1:35" x14ac:dyDescent="0.3">
      <c r="A18" s="207" t="s">
        <v>36</v>
      </c>
      <c r="B18" s="208">
        <v>23</v>
      </c>
      <c r="C18" s="3">
        <v>2</v>
      </c>
      <c r="D18" s="3">
        <f>Table112[[#This Row],[a (mm)]]/Table112[[#This Row],[d (mm)]]</f>
        <v>2.8057553956834531</v>
      </c>
      <c r="E18" s="3">
        <f>46/2</f>
        <v>23</v>
      </c>
      <c r="F18" s="3">
        <f>Table112[[#This Row],[d (mm)]]</f>
        <v>139</v>
      </c>
      <c r="G18" s="3">
        <f t="shared" si="0"/>
        <v>8970</v>
      </c>
      <c r="H18" s="3">
        <f t="shared" si="1"/>
        <v>7.4125809637199488E-7</v>
      </c>
      <c r="I18" s="3">
        <f t="shared" si="2"/>
        <v>3.7140934734227008E-4</v>
      </c>
      <c r="J18" s="3">
        <f t="shared" si="3"/>
        <v>0.24774605301739189</v>
      </c>
      <c r="K18" s="3">
        <f t="shared" si="4"/>
        <v>3.985462910721163E-7</v>
      </c>
      <c r="L18" s="3">
        <f t="shared" si="5"/>
        <v>8.2733812949640291E-4</v>
      </c>
      <c r="M18" s="3">
        <f>Table112[[#This Row],[M (KN.mm)]]/($AJ$3*Table112[[#This Row],[d (mm)]])</f>
        <v>0.32266187050359713</v>
      </c>
      <c r="N18" s="3">
        <f>Table112[[#This Row],[M (KN.mm)]]/($AJ$3*Table112[[#This Row],[h (mm)]])</f>
        <v>0.27347560975609758</v>
      </c>
      <c r="O18" s="3">
        <f>Table112[[#This Row],[M (KN.mm)]]/($AJ$3*Table112[[#This Row],[h (mm)]]*$AJ$2)</f>
        <v>2.1878048780487805E-4</v>
      </c>
      <c r="P18" s="3">
        <f>Table112[[#This Row],[M (KN.mm)]]/($AJ$3*Table112[[#This Row],[d (mm)]]*$AJ$2)</f>
        <v>2.5812949640287769E-4</v>
      </c>
      <c r="Q18" s="3">
        <f>Table112[[#This Row],[M (KN.mm)]]/($AJ$3*Table112[[#This Row],[h (mm)]]*$AJ$2*$AJ$4)</f>
        <v>6.967531458754078E-6</v>
      </c>
      <c r="R18" s="3">
        <f>Table112[[#This Row],[M (KN.mm)]]/($AJ$3*Table112[[#This Row],[h (mm)]]*($AJ$2-Table112[[#This Row],[a (mm)]]))</f>
        <v>3.1799489506522972E-4</v>
      </c>
      <c r="S18" s="3">
        <f>Table112[[#This Row],[M (KN.mm)]]/(Table112[[#This Row],[a (mm)]]*$AJ$3*Table112[[#This Row],[h (mm)]]*($AJ$2-Table112[[#This Row],[a (mm)]]))</f>
        <v>8.153715258082813E-7</v>
      </c>
      <c r="T18" s="3">
        <f>Table112[[#This Row],[M (KN.mm)]]/(Table112[[#This Row],[a (mm)]]^2*$AJ$3*Table112[[#This Row],[h (mm)]])</f>
        <v>1.7979987492182613E-6</v>
      </c>
      <c r="U18" s="3">
        <f>Table112[[#This Row],[M (KN.mm)]]/($AJ$3*Table112[[#This Row],[d (mm)]]*Table112[[#This Row],[pho (%)]])</f>
        <v>0.22841864018334607</v>
      </c>
      <c r="V18" s="3">
        <f>E18*224.8/(2*SQRT($AJ$4*145.037)*$AJ$3*Table112[[#This Row],[d (mm)]]*(1/25.4)^2)</f>
        <v>0.88902209870631643</v>
      </c>
      <c r="W18" s="3">
        <f>Table112[[#This Row],[M (KN.mm)]]/$G$20</f>
        <v>0.54373522458628842</v>
      </c>
      <c r="X18" s="3">
        <f>Table112[[#This Row],[V/(2*sqrt(fc) bd)]]</f>
        <v>0.88902209870631643</v>
      </c>
      <c r="Y18" s="3">
        <f>2*SQRT($AJ$4*145.037)/Table112[[#This Row],[pho (%)]]*Table112[[#This Row],[a (mm)]]*1/(224.8*25.4^2)</f>
        <v>0.25693246603851067</v>
      </c>
      <c r="Z18" s="3">
        <v>390</v>
      </c>
      <c r="AA18" s="3">
        <v>139</v>
      </c>
      <c r="AB18" s="3">
        <v>164</v>
      </c>
      <c r="AC18" s="3">
        <v>392.7</v>
      </c>
      <c r="AD18" s="3">
        <f t="shared" si="8"/>
        <v>1.412589928057554</v>
      </c>
      <c r="AE18" s="3">
        <v>663.3</v>
      </c>
      <c r="AF18" s="3">
        <f t="shared" si="6"/>
        <v>1837889582.3185046</v>
      </c>
      <c r="AG18" s="63">
        <f t="shared" si="7"/>
        <v>459473333.33333331</v>
      </c>
    </row>
    <row r="19" spans="1:35" x14ac:dyDescent="0.3">
      <c r="A19" s="207" t="s">
        <v>36</v>
      </c>
      <c r="B19" s="208">
        <v>24</v>
      </c>
      <c r="C19" s="209">
        <v>3</v>
      </c>
      <c r="D19" s="3">
        <f>Table112[[#This Row],[a (mm)]]/Table112[[#This Row],[d (mm)]]</f>
        <v>2.8057553956834531</v>
      </c>
      <c r="E19" s="3">
        <f>69/2</f>
        <v>34.5</v>
      </c>
      <c r="F19" s="3">
        <f>Table112[[#This Row],[d (mm)]]</f>
        <v>139</v>
      </c>
      <c r="G19" s="3">
        <f t="shared" si="0"/>
        <v>13455</v>
      </c>
      <c r="H19" s="3">
        <f t="shared" si="1"/>
        <v>1.1118871445579923E-6</v>
      </c>
      <c r="I19" s="3">
        <f t="shared" si="2"/>
        <v>5.5711402101340515E-4</v>
      </c>
      <c r="J19" s="3">
        <f t="shared" si="3"/>
        <v>0.37161907952608786</v>
      </c>
      <c r="K19" s="3">
        <f t="shared" si="4"/>
        <v>5.9781943660817443E-7</v>
      </c>
      <c r="L19" s="3">
        <f t="shared" si="5"/>
        <v>1.2410071942446043E-3</v>
      </c>
      <c r="M19" s="3">
        <f>Table112[[#This Row],[M (KN.mm)]]/($AJ$3*Table112[[#This Row],[d (mm)]])</f>
        <v>0.48399280575539566</v>
      </c>
      <c r="N19" s="3">
        <f>Table112[[#This Row],[M (KN.mm)]]/($AJ$3*Table112[[#This Row],[h (mm)]])</f>
        <v>0.41021341463414634</v>
      </c>
      <c r="O19" s="3">
        <f>Table112[[#This Row],[M (KN.mm)]]/($AJ$3*Table112[[#This Row],[h (mm)]]*$AJ$2)</f>
        <v>3.2817073170731705E-4</v>
      </c>
      <c r="P19" s="3">
        <f>Table112[[#This Row],[M (KN.mm)]]/($AJ$3*Table112[[#This Row],[d (mm)]]*$AJ$2)</f>
        <v>3.8719424460431656E-4</v>
      </c>
      <c r="Q19" s="3">
        <f>Table112[[#This Row],[M (KN.mm)]]/($AJ$3*Table112[[#This Row],[h (mm)]]*$AJ$2*$AJ$4)</f>
        <v>1.0451297188131116E-5</v>
      </c>
      <c r="R19" s="3">
        <f>Table112[[#This Row],[M (KN.mm)]]/($AJ$3*Table112[[#This Row],[h (mm)]]*($AJ$2-Table112[[#This Row],[a (mm)]]))</f>
        <v>4.769923425978446E-4</v>
      </c>
      <c r="S19" s="3">
        <f>Table112[[#This Row],[M (KN.mm)]]/(Table112[[#This Row],[a (mm)]]*$AJ$3*Table112[[#This Row],[h (mm)]]*($AJ$2-Table112[[#This Row],[a (mm)]]))</f>
        <v>1.2230572887124221E-6</v>
      </c>
      <c r="T19" s="3">
        <f>Table112[[#This Row],[M (KN.mm)]]/(Table112[[#This Row],[a (mm)]]^2*$AJ$3*Table112[[#This Row],[h (mm)]])</f>
        <v>2.6969981238273922E-6</v>
      </c>
      <c r="U19" s="3">
        <f>Table112[[#This Row],[M (KN.mm)]]/($AJ$3*Table112[[#This Row],[d (mm)]]*Table112[[#This Row],[pho (%)]])</f>
        <v>0.34262796027501907</v>
      </c>
      <c r="V19" s="3">
        <f>E19*224.8/(2*SQRT($AJ$4*145.037)*$AJ$3*Table112[[#This Row],[d (mm)]]*(1/25.4)^2)</f>
        <v>1.3335331480594745</v>
      </c>
      <c r="W19" s="3">
        <f>Table112[[#This Row],[M (KN.mm)]]/$G$20</f>
        <v>0.81560283687943258</v>
      </c>
      <c r="X19" s="3">
        <f>Table112[[#This Row],[V/(2*sqrt(fc) bd)]]</f>
        <v>1.3335331480594745</v>
      </c>
      <c r="Y19" s="3">
        <f>2*SQRT($AJ$4*145.037)/Table112[[#This Row],[pho (%)]]*Table112[[#This Row],[a (mm)]]*1/(224.8*25.4^2)</f>
        <v>0.25693246603851067</v>
      </c>
      <c r="Z19" s="3">
        <v>390</v>
      </c>
      <c r="AA19" s="3">
        <v>139</v>
      </c>
      <c r="AB19" s="3">
        <v>164</v>
      </c>
      <c r="AC19" s="3">
        <v>392.7</v>
      </c>
      <c r="AD19" s="3">
        <f t="shared" si="8"/>
        <v>1.412589928057554</v>
      </c>
      <c r="AE19" s="3">
        <v>663.3</v>
      </c>
      <c r="AF19" s="3">
        <f t="shared" si="6"/>
        <v>1837889582.3185046</v>
      </c>
      <c r="AG19" s="63">
        <f t="shared" si="7"/>
        <v>459473333.33333331</v>
      </c>
    </row>
    <row r="20" spans="1:35" x14ac:dyDescent="0.3">
      <c r="A20" s="207" t="s">
        <v>36</v>
      </c>
      <c r="B20" s="208">
        <v>25</v>
      </c>
      <c r="C20" s="209">
        <v>4</v>
      </c>
      <c r="D20" s="3">
        <f>Table112[[#This Row],[a (mm)]]/Table112[[#This Row],[d (mm)]]</f>
        <v>2.8057553956834531</v>
      </c>
      <c r="E20" s="3">
        <v>42.3</v>
      </c>
      <c r="F20" s="3">
        <f>Table112[[#This Row],[d (mm)]]</f>
        <v>139</v>
      </c>
      <c r="G20" s="3">
        <f t="shared" si="0"/>
        <v>16497</v>
      </c>
      <c r="H20" s="3">
        <f t="shared" si="1"/>
        <v>1.3632703250667557E-6</v>
      </c>
      <c r="I20" s="3">
        <f t="shared" si="2"/>
        <v>6.8307023445991408E-4</v>
      </c>
      <c r="J20" s="3">
        <f t="shared" si="3"/>
        <v>0.45563730620155118</v>
      </c>
      <c r="K20" s="3">
        <f t="shared" si="4"/>
        <v>7.3297861358045732E-7</v>
      </c>
      <c r="L20" s="3">
        <f t="shared" si="5"/>
        <v>1.5215827338129495E-3</v>
      </c>
      <c r="M20" s="3">
        <f>Table112[[#This Row],[M (KN.mm)]]/($AJ$3*Table112[[#This Row],[d (mm)]])</f>
        <v>0.59341726618705037</v>
      </c>
      <c r="N20" s="3">
        <f>Table112[[#This Row],[M (KN.mm)]]/($AJ$3*Table112[[#This Row],[h (mm)]])</f>
        <v>0.50295731707317071</v>
      </c>
      <c r="O20" s="3">
        <f>Table112[[#This Row],[M (KN.mm)]]/($AJ$3*Table112[[#This Row],[h (mm)]]*$AJ$2)</f>
        <v>4.0236585365853656E-4</v>
      </c>
      <c r="P20" s="3">
        <f>Table112[[#This Row],[M (KN.mm)]]/($AJ$3*Table112[[#This Row],[d (mm)]]*$AJ$2)</f>
        <v>4.747338129496403E-4</v>
      </c>
      <c r="Q20" s="3">
        <f>Table112[[#This Row],[M (KN.mm)]]/($AJ$3*Table112[[#This Row],[h (mm)]]*$AJ$2*$AJ$4)</f>
        <v>1.281419916109989E-5</v>
      </c>
      <c r="R20" s="3">
        <f>Table112[[#This Row],[M (KN.mm)]]/($AJ$3*Table112[[#This Row],[h (mm)]]*($AJ$2-Table112[[#This Row],[a (mm)]]))</f>
        <v>5.8483408961996597E-4</v>
      </c>
      <c r="S20" s="3">
        <f>Table112[[#This Row],[M (KN.mm)]]/(Table112[[#This Row],[a (mm)]]*$AJ$3*Table112[[#This Row],[h (mm)]]*($AJ$2-Table112[[#This Row],[a (mm)]]))</f>
        <v>1.4995745887691435E-6</v>
      </c>
      <c r="T20" s="3">
        <f>Table112[[#This Row],[M (KN.mm)]]/(Table112[[#This Row],[a (mm)]]^2*$AJ$3*Table112[[#This Row],[h (mm)]])</f>
        <v>3.3067542213883677E-6</v>
      </c>
      <c r="U20" s="3">
        <f>Table112[[#This Row],[M (KN.mm)]]/($AJ$3*Table112[[#This Row],[d (mm)]]*Table112[[#This Row],[pho (%)]])</f>
        <v>0.4200916730328495</v>
      </c>
      <c r="V20" s="3">
        <f>E20*224.8/(2*SQRT($AJ$4*145.037)*$AJ$3*Table112[[#This Row],[d (mm)]]*(1/25.4)^2)</f>
        <v>1.6350275989250946</v>
      </c>
      <c r="W20" s="3">
        <f>Table112[[#This Row],[M (KN.mm)]]/$G$20</f>
        <v>1</v>
      </c>
      <c r="X20" s="3">
        <f>Table112[[#This Row],[V/(2*sqrt(fc) bd)]]</f>
        <v>1.6350275989250946</v>
      </c>
      <c r="Y20" s="3">
        <f>2*SQRT($AJ$4*145.037)/Table112[[#This Row],[pho (%)]]*Table112[[#This Row],[a (mm)]]*1/(224.8*25.4^2)</f>
        <v>0.25693246603851067</v>
      </c>
      <c r="Z20" s="3">
        <v>390</v>
      </c>
      <c r="AA20" s="3">
        <v>139</v>
      </c>
      <c r="AB20" s="3">
        <v>164</v>
      </c>
      <c r="AC20" s="3">
        <v>392.7</v>
      </c>
      <c r="AD20" s="3">
        <f t="shared" si="8"/>
        <v>1.412589928057554</v>
      </c>
      <c r="AE20" s="3">
        <v>663.3</v>
      </c>
      <c r="AF20" s="3">
        <f t="shared" si="6"/>
        <v>1837889582.3185046</v>
      </c>
      <c r="AG20" s="63">
        <f t="shared" si="7"/>
        <v>459473333.33333331</v>
      </c>
    </row>
    <row r="21" spans="1:35" x14ac:dyDescent="0.3">
      <c r="A21" s="210" t="s">
        <v>37</v>
      </c>
      <c r="B21" s="211">
        <v>26</v>
      </c>
      <c r="C21" s="209">
        <v>2</v>
      </c>
      <c r="D21" s="3">
        <f>Table112[[#This Row],[a (mm)]]/Table112[[#This Row],[d (mm)]]</f>
        <v>2.8057553956834531</v>
      </c>
      <c r="E21" s="3">
        <v>25</v>
      </c>
      <c r="F21" s="3">
        <f>Table112[[#This Row],[d (mm)]]</f>
        <v>139</v>
      </c>
      <c r="G21" s="3">
        <f t="shared" si="0"/>
        <v>9750</v>
      </c>
      <c r="H21" s="3">
        <f t="shared" si="1"/>
        <v>8.0571532214347263E-7</v>
      </c>
      <c r="I21" s="3">
        <f t="shared" si="2"/>
        <v>4.0370581232855444E-4</v>
      </c>
      <c r="J21" s="3">
        <f t="shared" si="3"/>
        <v>0.2692891880623825</v>
      </c>
      <c r="K21" s="3">
        <f t="shared" si="4"/>
        <v>4.3320249029577858E-7</v>
      </c>
      <c r="L21" s="3">
        <f t="shared" si="5"/>
        <v>8.9928057553956839E-4</v>
      </c>
      <c r="M21" s="3">
        <f>Table112[[#This Row],[M (KN.mm)]]/($AJ$3*Table112[[#This Row],[d (mm)]])</f>
        <v>0.35071942446043164</v>
      </c>
      <c r="N21" s="3">
        <f>Table112[[#This Row],[M (KN.mm)]]/($AJ$3*Table112[[#This Row],[h (mm)]])</f>
        <v>0.2972560975609756</v>
      </c>
      <c r="O21" s="3">
        <f>Table112[[#This Row],[M (KN.mm)]]/($AJ$3*Table112[[#This Row],[h (mm)]]*$AJ$2)</f>
        <v>2.3780487804878048E-4</v>
      </c>
      <c r="P21" s="3">
        <f>Table112[[#This Row],[M (KN.mm)]]/($AJ$3*Table112[[#This Row],[d (mm)]]*$AJ$2)</f>
        <v>2.8057553956834533E-4</v>
      </c>
      <c r="Q21" s="3">
        <f>Table112[[#This Row],[M (KN.mm)]]/($AJ$3*Table112[[#This Row],[h (mm)]]*$AJ$2*$AJ$4)</f>
        <v>7.5734037595153018E-6</v>
      </c>
      <c r="R21" s="3">
        <f>Table112[[#This Row],[M (KN.mm)]]/($AJ$3*Table112[[#This Row],[h (mm)]]*($AJ$2-Table112[[#This Row],[a (mm)]]))</f>
        <v>3.4564662507090185E-4</v>
      </c>
      <c r="S21" s="3">
        <f>Table112[[#This Row],[M (KN.mm)]]/(Table112[[#This Row],[a (mm)]]*$AJ$3*Table112[[#This Row],[h (mm)]]*($AJ$2-Table112[[#This Row],[a (mm)]]))</f>
        <v>8.8627339761769713E-7</v>
      </c>
      <c r="T21" s="3">
        <f>Table112[[#This Row],[M (KN.mm)]]/(Table112[[#This Row],[a (mm)]]^2*$AJ$3*Table112[[#This Row],[h (mm)]])</f>
        <v>1.9543464665415885E-6</v>
      </c>
      <c r="U21" s="3">
        <f>Table112[[#This Row],[M (KN.mm)]]/($AJ$3*Table112[[#This Row],[d (mm)]]*Table112[[#This Row],[pho (%)]])</f>
        <v>0.24828113063407181</v>
      </c>
      <c r="V21" s="3">
        <f>E21*224.8/(2*SQRT($AJ$4*145.037)*$AJ$3*Table112[[#This Row],[d (mm)]]*(1/25.4)^2)</f>
        <v>0.96632836815903944</v>
      </c>
      <c r="W21" s="3">
        <f>Table112[[#This Row],[M (KN.mm)]]/$G$24</f>
        <v>0.43859649122807015</v>
      </c>
      <c r="X21" s="3">
        <f>Table112[[#This Row],[V/(2*sqrt(fc) bd)]]</f>
        <v>0.96632836815903944</v>
      </c>
      <c r="Y21" s="3">
        <f>2*SQRT($AJ$4*145.037)/Table112[[#This Row],[pho (%)]]*Table112[[#This Row],[a (mm)]]*1/(224.8*25.4^2)</f>
        <v>0.25693246603851067</v>
      </c>
      <c r="Z21" s="3">
        <v>390</v>
      </c>
      <c r="AA21" s="3">
        <v>139</v>
      </c>
      <c r="AB21" s="3">
        <v>164</v>
      </c>
      <c r="AC21" s="3">
        <v>392.7</v>
      </c>
      <c r="AD21" s="3">
        <f t="shared" si="8"/>
        <v>1.412589928057554</v>
      </c>
      <c r="AE21" s="3">
        <v>663.3</v>
      </c>
      <c r="AF21" s="3">
        <f t="shared" si="6"/>
        <v>1837889582.3185046</v>
      </c>
      <c r="AG21" s="63">
        <f t="shared" si="7"/>
        <v>459473333.33333331</v>
      </c>
    </row>
    <row r="22" spans="1:35" x14ac:dyDescent="0.3">
      <c r="A22" s="210" t="s">
        <v>37</v>
      </c>
      <c r="B22" s="211">
        <v>28</v>
      </c>
      <c r="C22" s="3">
        <v>3</v>
      </c>
      <c r="D22" s="3">
        <f>Table112[[#This Row],[a (mm)]]/Table112[[#This Row],[d (mm)]]</f>
        <v>2.8057553956834531</v>
      </c>
      <c r="E22" s="3">
        <f>65/2</f>
        <v>32.5</v>
      </c>
      <c r="F22" s="3">
        <f>Table112[[#This Row],[d (mm)]]</f>
        <v>139</v>
      </c>
      <c r="G22" s="3">
        <f t="shared" si="0"/>
        <v>12675</v>
      </c>
      <c r="H22" s="3">
        <f t="shared" si="1"/>
        <v>1.0474299187865144E-6</v>
      </c>
      <c r="I22" s="3">
        <f t="shared" si="2"/>
        <v>5.2481755602712074E-4</v>
      </c>
      <c r="J22" s="3">
        <f t="shared" si="3"/>
        <v>0.35007594448109725</v>
      </c>
      <c r="K22" s="3">
        <f t="shared" si="4"/>
        <v>5.6316323738451221E-7</v>
      </c>
      <c r="L22" s="3">
        <f t="shared" si="5"/>
        <v>1.1690647482014388E-3</v>
      </c>
      <c r="M22" s="3">
        <f>Table112[[#This Row],[M (KN.mm)]]/($AJ$3*Table112[[#This Row],[d (mm)]])</f>
        <v>0.45593525179856115</v>
      </c>
      <c r="N22" s="3">
        <f>Table112[[#This Row],[M (KN.mm)]]/($AJ$3*Table112[[#This Row],[h (mm)]])</f>
        <v>0.38643292682926828</v>
      </c>
      <c r="O22" s="3">
        <f>Table112[[#This Row],[M (KN.mm)]]/($AJ$3*Table112[[#This Row],[h (mm)]]*$AJ$2)</f>
        <v>3.0914634146341462E-4</v>
      </c>
      <c r="P22" s="3">
        <f>Table112[[#This Row],[M (KN.mm)]]/($AJ$3*Table112[[#This Row],[d (mm)]]*$AJ$2)</f>
        <v>3.6474820143884892E-4</v>
      </c>
      <c r="Q22" s="3">
        <f>Table112[[#This Row],[M (KN.mm)]]/($AJ$3*Table112[[#This Row],[h (mm)]]*$AJ$2*$AJ$4)</f>
        <v>9.8454248873698925E-6</v>
      </c>
      <c r="R22" s="3">
        <f>Table112[[#This Row],[M (KN.mm)]]/($AJ$3*Table112[[#This Row],[h (mm)]]*($AJ$2-Table112[[#This Row],[a (mm)]]))</f>
        <v>4.4934061259217241E-4</v>
      </c>
      <c r="S22" s="3">
        <f>Table112[[#This Row],[M (KN.mm)]]/(Table112[[#This Row],[a (mm)]]*$AJ$3*Table112[[#This Row],[h (mm)]]*($AJ$2-Table112[[#This Row],[a (mm)]]))</f>
        <v>1.1521554169030062E-6</v>
      </c>
      <c r="T22" s="3">
        <f>Table112[[#This Row],[M (KN.mm)]]/(Table112[[#This Row],[a (mm)]]^2*$AJ$3*Table112[[#This Row],[h (mm)]])</f>
        <v>2.540650406504065E-6</v>
      </c>
      <c r="U22" s="3">
        <f>Table112[[#This Row],[M (KN.mm)]]/($AJ$3*Table112[[#This Row],[d (mm)]]*Table112[[#This Row],[pho (%)]])</f>
        <v>0.32276546982429333</v>
      </c>
      <c r="V22" s="3">
        <f>E22*224.8/(2*SQRT($AJ$4*145.037)*$AJ$3*Table112[[#This Row],[d (mm)]]*(1/25.4)^2)</f>
        <v>1.2562268786067512</v>
      </c>
      <c r="W22" s="3">
        <f>Table112[[#This Row],[M (KN.mm)]]/$G$24</f>
        <v>0.57017543859649122</v>
      </c>
      <c r="X22" s="3">
        <f>Table112[[#This Row],[V/(2*sqrt(fc) bd)]]</f>
        <v>1.2562268786067512</v>
      </c>
      <c r="Y22" s="3">
        <f>2*SQRT($AJ$4*145.037)/Table112[[#This Row],[pho (%)]]*Table112[[#This Row],[a (mm)]]*1/(224.8*25.4^2)</f>
        <v>0.25693246603851067</v>
      </c>
      <c r="Z22" s="3">
        <v>390</v>
      </c>
      <c r="AA22" s="3">
        <v>139</v>
      </c>
      <c r="AB22" s="3">
        <v>164</v>
      </c>
      <c r="AC22" s="3">
        <v>392.7</v>
      </c>
      <c r="AD22" s="3">
        <f t="shared" si="8"/>
        <v>1.412589928057554</v>
      </c>
      <c r="AE22" s="3">
        <v>663.3</v>
      </c>
      <c r="AF22" s="3">
        <f t="shared" si="6"/>
        <v>1837889582.3185046</v>
      </c>
      <c r="AG22" s="63">
        <f t="shared" si="7"/>
        <v>459473333.33333331</v>
      </c>
    </row>
    <row r="23" spans="1:35" x14ac:dyDescent="0.3">
      <c r="A23" s="210" t="s">
        <v>37</v>
      </c>
      <c r="B23" s="211">
        <v>29</v>
      </c>
      <c r="C23" s="3">
        <v>4</v>
      </c>
      <c r="D23" s="3">
        <f>Table112[[#This Row],[a (mm)]]/Table112[[#This Row],[d (mm)]]</f>
        <v>2.8057553956834531</v>
      </c>
      <c r="E23" s="3">
        <f>86/2</f>
        <v>43</v>
      </c>
      <c r="F23" s="3">
        <f>Table112[[#This Row],[d (mm)]]</f>
        <v>139</v>
      </c>
      <c r="G23" s="3">
        <f t="shared" si="0"/>
        <v>16770</v>
      </c>
      <c r="H23" s="3">
        <f t="shared" si="1"/>
        <v>1.3858303540867729E-6</v>
      </c>
      <c r="I23" s="3">
        <f t="shared" si="2"/>
        <v>6.943739972051136E-4</v>
      </c>
      <c r="J23" s="3">
        <f t="shared" si="3"/>
        <v>0.46317740346729791</v>
      </c>
      <c r="K23" s="3">
        <f t="shared" si="4"/>
        <v>7.4510828330873922E-7</v>
      </c>
      <c r="L23" s="3">
        <f t="shared" si="5"/>
        <v>1.5467625899280575E-3</v>
      </c>
      <c r="M23" s="3">
        <f>Table112[[#This Row],[M (KN.mm)]]/($AJ$3*Table112[[#This Row],[d (mm)]])</f>
        <v>0.60323741007194243</v>
      </c>
      <c r="N23" s="3">
        <f>Table112[[#This Row],[M (KN.mm)]]/($AJ$3*Table112[[#This Row],[h (mm)]])</f>
        <v>0.511280487804878</v>
      </c>
      <c r="O23" s="3">
        <f>Table112[[#This Row],[M (KN.mm)]]/($AJ$3*Table112[[#This Row],[h (mm)]]*$AJ$2)</f>
        <v>4.0902439024390243E-4</v>
      </c>
      <c r="P23" s="3">
        <f>Table112[[#This Row],[M (KN.mm)]]/($AJ$3*Table112[[#This Row],[d (mm)]]*$AJ$2)</f>
        <v>4.8258992805755394E-4</v>
      </c>
      <c r="Q23" s="3">
        <f>Table112[[#This Row],[M (KN.mm)]]/($AJ$3*Table112[[#This Row],[h (mm)]]*$AJ$2*$AJ$4)</f>
        <v>1.302625446636632E-5</v>
      </c>
      <c r="R23" s="3">
        <f>Table112[[#This Row],[M (KN.mm)]]/($AJ$3*Table112[[#This Row],[h (mm)]]*($AJ$2-Table112[[#This Row],[a (mm)]]))</f>
        <v>5.9451219512195121E-4</v>
      </c>
      <c r="S23" s="3">
        <f>Table112[[#This Row],[M (KN.mm)]]/(Table112[[#This Row],[a (mm)]]*$AJ$3*Table112[[#This Row],[h (mm)]]*($AJ$2-Table112[[#This Row],[a (mm)]]))</f>
        <v>1.5243902439024391E-6</v>
      </c>
      <c r="T23" s="3">
        <f>Table112[[#This Row],[M (KN.mm)]]/(Table112[[#This Row],[a (mm)]]^2*$AJ$3*Table112[[#This Row],[h (mm)]])</f>
        <v>3.3614759224515321E-6</v>
      </c>
      <c r="U23" s="3">
        <f>Table112[[#This Row],[M (KN.mm)]]/($AJ$3*Table112[[#This Row],[d (mm)]]*Table112[[#This Row],[pho (%)]])</f>
        <v>0.42704354469060352</v>
      </c>
      <c r="V23" s="3">
        <f>E23*224.8/(2*SQRT($AJ$4*145.037)*$AJ$3*Table112[[#This Row],[d (mm)]]*(1/25.4)^2)</f>
        <v>1.6620847932335479</v>
      </c>
      <c r="W23" s="3">
        <f>Table112[[#This Row],[M (KN.mm)]]/$G$24</f>
        <v>0.75438596491228072</v>
      </c>
      <c r="X23" s="3">
        <f>Table112[[#This Row],[V/(2*sqrt(fc) bd)]]</f>
        <v>1.6620847932335479</v>
      </c>
      <c r="Y23" s="3">
        <f>2*SQRT($AJ$4*145.037)/Table112[[#This Row],[pho (%)]]*Table112[[#This Row],[a (mm)]]*1/(224.8*25.4^2)</f>
        <v>0.25693246603851067</v>
      </c>
      <c r="Z23" s="3">
        <v>390</v>
      </c>
      <c r="AA23" s="3">
        <v>139</v>
      </c>
      <c r="AB23" s="3">
        <v>164</v>
      </c>
      <c r="AC23" s="3">
        <v>392.7</v>
      </c>
      <c r="AD23" s="3">
        <f t="shared" si="8"/>
        <v>1.412589928057554</v>
      </c>
      <c r="AE23" s="3">
        <v>663.3</v>
      </c>
      <c r="AF23" s="3">
        <f t="shared" si="6"/>
        <v>1837889582.3185046</v>
      </c>
      <c r="AG23" s="63">
        <f t="shared" si="7"/>
        <v>459473333.33333331</v>
      </c>
    </row>
    <row r="24" spans="1:35" x14ac:dyDescent="0.3">
      <c r="A24" s="210" t="s">
        <v>37</v>
      </c>
      <c r="B24" s="211">
        <v>30</v>
      </c>
      <c r="C24" s="3">
        <v>5</v>
      </c>
      <c r="D24" s="3">
        <f>Table112[[#This Row],[a (mm)]]/Table112[[#This Row],[d (mm)]]</f>
        <v>2.8057553956834531</v>
      </c>
      <c r="E24" s="3">
        <v>57</v>
      </c>
      <c r="F24" s="3">
        <f>Table112[[#This Row],[d (mm)]]</f>
        <v>139</v>
      </c>
      <c r="G24" s="3">
        <f t="shared" si="0"/>
        <v>22230</v>
      </c>
      <c r="H24" s="3">
        <f t="shared" si="1"/>
        <v>1.8370309344871176E-6</v>
      </c>
      <c r="I24" s="103">
        <f t="shared" si="2"/>
        <v>9.2044925210910404E-4</v>
      </c>
      <c r="J24" s="3">
        <f t="shared" si="3"/>
        <v>0.61397934878223204</v>
      </c>
      <c r="K24" s="3">
        <f t="shared" si="4"/>
        <v>9.8770167787437531E-7</v>
      </c>
      <c r="L24" s="3">
        <f t="shared" si="5"/>
        <v>2.0503597122302156E-3</v>
      </c>
      <c r="M24" s="3">
        <f>Table112[[#This Row],[M (KN.mm)]]/($AJ$3*Table112[[#This Row],[d (mm)]])</f>
        <v>0.79964028776978413</v>
      </c>
      <c r="N24" s="3">
        <f>Table112[[#This Row],[M (KN.mm)]]/($AJ$3*Table112[[#This Row],[h (mm)]])</f>
        <v>0.67774390243902438</v>
      </c>
      <c r="O24" s="3">
        <f>Table112[[#This Row],[M (KN.mm)]]/($AJ$3*Table112[[#This Row],[h (mm)]]*$AJ$2)</f>
        <v>5.421951219512195E-4</v>
      </c>
      <c r="P24" s="3">
        <f>Table112[[#This Row],[M (KN.mm)]]/($AJ$3*Table112[[#This Row],[d (mm)]]*$AJ$2)</f>
        <v>6.3971223021582738E-4</v>
      </c>
      <c r="Q24" s="3">
        <f>Table112[[#This Row],[M (KN.mm)]]/($AJ$3*Table112[[#This Row],[h (mm)]]*$AJ$2*$AJ$4)</f>
        <v>1.726736057169489E-5</v>
      </c>
      <c r="R24" s="3">
        <f>Table112[[#This Row],[M (KN.mm)]]/($AJ$3*Table112[[#This Row],[h (mm)]]*($AJ$2-Table112[[#This Row],[a (mm)]]))</f>
        <v>7.880743051616563E-4</v>
      </c>
      <c r="S24" s="3">
        <f>Table112[[#This Row],[M (KN.mm)]]/(Table112[[#This Row],[a (mm)]]*$AJ$3*Table112[[#This Row],[h (mm)]]*($AJ$2-Table112[[#This Row],[a (mm)]]))</f>
        <v>2.0207033465683494E-6</v>
      </c>
      <c r="T24" s="3">
        <f>Table112[[#This Row],[M (KN.mm)]]/(Table112[[#This Row],[a (mm)]]^2*$AJ$3*Table112[[#This Row],[h (mm)]])</f>
        <v>4.4559099437148214E-6</v>
      </c>
      <c r="U24" s="3">
        <f>Table112[[#This Row],[M (KN.mm)]]/($AJ$3*Table112[[#This Row],[d (mm)]]*Table112[[#This Row],[pho (%)]])</f>
        <v>0.56608097784568367</v>
      </c>
      <c r="V24" s="3">
        <f>E24*224.8/(2*SQRT($AJ$4*145.037)*$AJ$3*Table112[[#This Row],[d (mm)]]*(1/25.4)^2)</f>
        <v>2.2032286794026099</v>
      </c>
      <c r="W24" s="3">
        <f>Table112[[#This Row],[M (KN.mm)]]/$G$24</f>
        <v>1</v>
      </c>
      <c r="X24" s="3">
        <f>Table112[[#This Row],[V/(2*sqrt(fc) bd)]]</f>
        <v>2.2032286794026099</v>
      </c>
      <c r="Y24" s="3">
        <f>2*SQRT($AJ$4*145.037)/Table112[[#This Row],[pho (%)]]*Table112[[#This Row],[a (mm)]]*1/(224.8*25.4^2)</f>
        <v>0.25693246603851067</v>
      </c>
      <c r="Z24" s="3">
        <v>390</v>
      </c>
      <c r="AA24" s="3">
        <v>139</v>
      </c>
      <c r="AB24" s="3">
        <v>164</v>
      </c>
      <c r="AC24" s="3">
        <v>392.7</v>
      </c>
      <c r="AD24" s="3">
        <f t="shared" si="8"/>
        <v>1.412589928057554</v>
      </c>
      <c r="AE24" s="3">
        <v>663.3</v>
      </c>
      <c r="AF24" s="3">
        <f t="shared" si="6"/>
        <v>1837889582.3185046</v>
      </c>
      <c r="AG24" s="63">
        <f t="shared" si="7"/>
        <v>459473333.33333331</v>
      </c>
    </row>
    <row r="25" spans="1:35" x14ac:dyDescent="0.3">
      <c r="A25" s="212" t="s">
        <v>38</v>
      </c>
      <c r="B25" s="213">
        <v>31</v>
      </c>
      <c r="C25" s="3" t="s">
        <v>41</v>
      </c>
      <c r="D25" s="3">
        <f>Table112[[#This Row],[a (mm)]]/Table112[[#This Row],[d (mm)]]</f>
        <v>2.3926380368098159</v>
      </c>
      <c r="E25" s="3">
        <v>50</v>
      </c>
      <c r="F25" s="3">
        <f>Table112[[#This Row],[d (mm)]]</f>
        <v>163</v>
      </c>
      <c r="G25" s="3">
        <f t="shared" si="0"/>
        <v>19500</v>
      </c>
      <c r="H25" s="3">
        <f t="shared" si="1"/>
        <v>1.0528287840158102E-6</v>
      </c>
      <c r="I25" s="3">
        <f t="shared" si="2"/>
        <v>5.8715043848093639E-4</v>
      </c>
      <c r="J25" s="3">
        <f t="shared" si="3"/>
        <v>0.42041999736531194</v>
      </c>
      <c r="K25" s="3">
        <f t="shared" si="4"/>
        <v>5.6606719509369527E-7</v>
      </c>
      <c r="L25" s="3">
        <f t="shared" si="5"/>
        <v>1.5337423312883436E-3</v>
      </c>
      <c r="M25" s="3">
        <f>Table112[[#This Row],[M (KN.mm)]]/($AJ$3*Table112[[#This Row],[d (mm)]])</f>
        <v>0.59815950920245398</v>
      </c>
      <c r="N25" s="3">
        <f>Table112[[#This Row],[M (KN.mm)]]/($AJ$3*Table112[[#This Row],[h (mm)]])</f>
        <v>0.51587301587301593</v>
      </c>
      <c r="O25" s="3">
        <f>Table112[[#This Row],[M (KN.mm)]]/($AJ$3*Table112[[#This Row],[h (mm)]]*$AJ$2)</f>
        <v>4.1269841269841269E-4</v>
      </c>
      <c r="P25" s="3">
        <f>Table112[[#This Row],[M (KN.mm)]]/($AJ$3*Table112[[#This Row],[d (mm)]]*$AJ$2)</f>
        <v>4.7852760736196321E-4</v>
      </c>
      <c r="Q25" s="3">
        <f>Table112[[#This Row],[M (KN.mm)]]/($AJ$3*Table112[[#This Row],[h (mm)]]*$AJ$2*$AJ$4)</f>
        <v>1.3143261550904864E-5</v>
      </c>
      <c r="R25" s="3">
        <f>Table112[[#This Row],[M (KN.mm)]]/($AJ$3*Table112[[#This Row],[h (mm)]]*($AJ$2-Table112[[#This Row],[a (mm)]]))</f>
        <v>5.9985234403839055E-4</v>
      </c>
      <c r="S25" s="3">
        <f>Table112[[#This Row],[M (KN.mm)]]/(Table112[[#This Row],[a (mm)]]*$AJ$3*Table112[[#This Row],[h (mm)]]*($AJ$2-Table112[[#This Row],[a (mm)]]))</f>
        <v>1.5380829334317706E-6</v>
      </c>
      <c r="T25" s="3">
        <f>Table112[[#This Row],[M (KN.mm)]]/(Table112[[#This Row],[a (mm)]]^2*$AJ$3*Table112[[#This Row],[h (mm)]])</f>
        <v>3.3916700583367249E-6</v>
      </c>
      <c r="U25" s="3">
        <f>Table112[[#This Row],[M (KN.mm)]]/($AJ$3*Table112[[#This Row],[d (mm)]]*Table112[[#This Row],[pho (%)]])</f>
        <v>0.43104401069873344</v>
      </c>
      <c r="V25" s="3">
        <f>E25*224.8/(2*SQRT($AJ$4*145.037)*$AJ$3*Table112[[#This Row],[d (mm)]]*(1/25.4)^2)</f>
        <v>1.6480937812773802</v>
      </c>
      <c r="W25" s="3">
        <f>Table112[[#This Row],[M (KN.mm)]]/$G$25</f>
        <v>1</v>
      </c>
      <c r="X25" s="3">
        <f>Table112[[#This Row],[V/(2*sqrt(fc) bd)]]</f>
        <v>1.6480937812773802</v>
      </c>
      <c r="Y25" s="3">
        <f>2*SQRT($AJ$4*145.037)/Table112[[#This Row],[pho (%)]]*Table112[[#This Row],[a (mm)]]*1/(224.8*25.4^2)</f>
        <v>0.2615409484554006</v>
      </c>
      <c r="Z25" s="3">
        <v>390</v>
      </c>
      <c r="AA25" s="3">
        <v>163</v>
      </c>
      <c r="AB25" s="3">
        <v>189</v>
      </c>
      <c r="AC25" s="3">
        <v>452.39</v>
      </c>
      <c r="AD25" s="3">
        <f t="shared" si="8"/>
        <v>1.3876993865030673</v>
      </c>
      <c r="AE25" s="3">
        <v>629</v>
      </c>
      <c r="AF25" s="3">
        <f t="shared" si="6"/>
        <v>2813017079.4202671</v>
      </c>
      <c r="AG25" s="63">
        <f t="shared" si="7"/>
        <v>703257187.5</v>
      </c>
    </row>
    <row r="26" spans="1:35" x14ac:dyDescent="0.3">
      <c r="A26" s="212" t="s">
        <v>39</v>
      </c>
      <c r="B26" s="213">
        <v>32</v>
      </c>
      <c r="C26" s="160" t="s">
        <v>42</v>
      </c>
      <c r="D26" s="3">
        <f>Table112[[#This Row],[a (mm)]]/Table112[[#This Row],[d (mm)]]</f>
        <v>2.3926380368098159</v>
      </c>
      <c r="E26" s="3">
        <v>50.7</v>
      </c>
      <c r="F26" s="3">
        <f>Table112[[#This Row],[d (mm)]]</f>
        <v>163</v>
      </c>
      <c r="G26" s="3">
        <f t="shared" si="0"/>
        <v>19773</v>
      </c>
      <c r="H26" s="3">
        <f t="shared" si="1"/>
        <v>1.0675683869920317E-6</v>
      </c>
      <c r="I26" s="3">
        <f t="shared" si="2"/>
        <v>5.9537054461966958E-4</v>
      </c>
      <c r="J26" s="3">
        <f t="shared" si="3"/>
        <v>0.42630587732842629</v>
      </c>
      <c r="K26" s="3">
        <f t="shared" si="4"/>
        <v>5.73992135825007E-7</v>
      </c>
      <c r="L26" s="3">
        <f t="shared" si="5"/>
        <v>1.5552147239263805E-3</v>
      </c>
      <c r="M26" s="3">
        <f>Table112[[#This Row],[M (KN.mm)]]/($AJ$3*Table112[[#This Row],[d (mm)]])</f>
        <v>0.60653374233128832</v>
      </c>
      <c r="N26" s="3">
        <f>Table112[[#This Row],[M (KN.mm)]]/($AJ$3*Table112[[#This Row],[h (mm)]])</f>
        <v>0.52309523809523806</v>
      </c>
      <c r="O26" s="3">
        <f>Table112[[#This Row],[M (KN.mm)]]/($AJ$3*Table112[[#This Row],[h (mm)]]*$AJ$2)</f>
        <v>4.1847619047619047E-4</v>
      </c>
      <c r="P26" s="3">
        <f>Table112[[#This Row],[M (KN.mm)]]/($AJ$3*Table112[[#This Row],[d (mm)]]*$AJ$2)</f>
        <v>4.852269938650307E-4</v>
      </c>
      <c r="Q26" s="3">
        <f>Table112[[#This Row],[M (KN.mm)]]/($AJ$3*Table112[[#This Row],[h (mm)]]*$AJ$2*$AJ$4)</f>
        <v>1.3327267212617531E-5</v>
      </c>
      <c r="R26" s="3">
        <f>Table112[[#This Row],[M (KN.mm)]]/($AJ$3*Table112[[#This Row],[h (mm)]]*($AJ$2-Table112[[#This Row],[a (mm)]]))</f>
        <v>6.0825027685492805E-4</v>
      </c>
      <c r="S26" s="3">
        <f>Table112[[#This Row],[M (KN.mm)]]/(Table112[[#This Row],[a (mm)]]*$AJ$3*Table112[[#This Row],[h (mm)]]*($AJ$2-Table112[[#This Row],[a (mm)]]))</f>
        <v>1.5596160944998155E-6</v>
      </c>
      <c r="T26" s="3">
        <f>Table112[[#This Row],[M (KN.mm)]]/(Table112[[#This Row],[a (mm)]]^2*$AJ$3*Table112[[#This Row],[h (mm)]])</f>
        <v>3.439153439153439E-6</v>
      </c>
      <c r="U26" s="3">
        <f>Table112[[#This Row],[M (KN.mm)]]/($AJ$3*Table112[[#This Row],[d (mm)]]*Table112[[#This Row],[pho (%)]])</f>
        <v>0.43707862684851573</v>
      </c>
      <c r="V26" s="3">
        <f>E26*224.8/(2*SQRT($AJ$4*145.037)*$AJ$3*Table112[[#This Row],[d (mm)]]*(1/25.4)^2)</f>
        <v>1.6711670942152634</v>
      </c>
      <c r="W26" s="3">
        <v>1</v>
      </c>
      <c r="X26" s="3">
        <f>Table112[[#This Row],[V/(2*sqrt(fc) bd)]]</f>
        <v>1.6711670942152634</v>
      </c>
      <c r="Y26" s="3">
        <f>2*SQRT($AJ$4*145.037)/Table112[[#This Row],[pho (%)]]*Table112[[#This Row],[a (mm)]]*1/(224.8*25.4^2)</f>
        <v>0.2615409484554006</v>
      </c>
      <c r="Z26" s="3">
        <v>390</v>
      </c>
      <c r="AA26" s="3">
        <v>163</v>
      </c>
      <c r="AB26" s="3">
        <v>189</v>
      </c>
      <c r="AC26" s="3">
        <v>452.39</v>
      </c>
      <c r="AD26" s="3">
        <f t="shared" si="8"/>
        <v>1.3876993865030673</v>
      </c>
      <c r="AE26" s="3">
        <v>629</v>
      </c>
      <c r="AF26" s="3">
        <f t="shared" si="6"/>
        <v>2813017079.4202671</v>
      </c>
      <c r="AG26" s="63">
        <f t="shared" si="7"/>
        <v>703257187.5</v>
      </c>
    </row>
    <row r="27" spans="1:35" x14ac:dyDescent="0.3">
      <c r="A27" s="212" t="s">
        <v>40</v>
      </c>
      <c r="B27" s="213">
        <v>33</v>
      </c>
      <c r="C27" s="7" t="s">
        <v>43</v>
      </c>
      <c r="D27" s="3">
        <f>Table112[[#This Row],[a (mm)]]/Table112[[#This Row],[d (mm)]]</f>
        <v>2.3926380368098159</v>
      </c>
      <c r="E27" s="3">
        <v>44.9</v>
      </c>
      <c r="F27" s="3">
        <f>Table112[[#This Row],[d (mm)]]</f>
        <v>163</v>
      </c>
      <c r="G27" s="3">
        <f t="shared" si="0"/>
        <v>17511</v>
      </c>
      <c r="H27" s="3">
        <f t="shared" si="1"/>
        <v>9.4544024804619757E-7</v>
      </c>
      <c r="I27" s="3">
        <f t="shared" si="2"/>
        <v>5.2726109375588089E-4</v>
      </c>
      <c r="J27" s="3">
        <f t="shared" si="3"/>
        <v>0.3775371576340501</v>
      </c>
      <c r="K27" s="3">
        <f t="shared" si="4"/>
        <v>5.0832834119413833E-7</v>
      </c>
      <c r="L27" s="3">
        <f t="shared" si="5"/>
        <v>1.3773006134969324E-3</v>
      </c>
      <c r="M27" s="3">
        <f>Table112[[#This Row],[M (KN.mm)]]/($AJ$3*Table112[[#This Row],[d (mm)]])</f>
        <v>0.5371472392638037</v>
      </c>
      <c r="N27" s="3">
        <f>Table112[[#This Row],[M (KN.mm)]]/($AJ$3*Table112[[#This Row],[h (mm)]])</f>
        <v>0.46325396825396825</v>
      </c>
      <c r="O27" s="3">
        <f>Table112[[#This Row],[M (KN.mm)]]/($AJ$3*Table112[[#This Row],[h (mm)]]*$AJ$2)</f>
        <v>3.7060317460317459E-4</v>
      </c>
      <c r="P27" s="3">
        <f>Table112[[#This Row],[M (KN.mm)]]/($AJ$3*Table112[[#This Row],[d (mm)]]*$AJ$2)</f>
        <v>4.2971779141104296E-4</v>
      </c>
      <c r="Q27" s="3">
        <f>Table112[[#This Row],[M (KN.mm)]]/($AJ$3*Table112[[#This Row],[h (mm)]]*$AJ$2*$AJ$4)</f>
        <v>1.1802648872712566E-5</v>
      </c>
      <c r="R27" s="3">
        <f>Table112[[#This Row],[M (KN.mm)]]/($AJ$3*Table112[[#This Row],[h (mm)]]*($AJ$2-Table112[[#This Row],[a (mm)]]))</f>
        <v>5.3866740494647473E-4</v>
      </c>
      <c r="S27" s="3">
        <f>Table112[[#This Row],[M (KN.mm)]]/(Table112[[#This Row],[a (mm)]]*$AJ$3*Table112[[#This Row],[h (mm)]]*($AJ$2-Table112[[#This Row],[a (mm)]]))</f>
        <v>1.3811984742217301E-6</v>
      </c>
      <c r="T27" s="3">
        <f>Table112[[#This Row],[M (KN.mm)]]/(Table112[[#This Row],[a (mm)]]^2*$AJ$3*Table112[[#This Row],[h (mm)]])</f>
        <v>3.045719712386379E-6</v>
      </c>
      <c r="U27" s="3">
        <f>Table112[[#This Row],[M (KN.mm)]]/($AJ$3*Table112[[#This Row],[d (mm)]]*Table112[[#This Row],[pho (%)]])</f>
        <v>0.38707752160746267</v>
      </c>
      <c r="V27" s="3">
        <f>E27*224.8/(2*SQRT($AJ$4*145.037)*$AJ$3*Table112[[#This Row],[d (mm)]]*(1/25.4)^2)</f>
        <v>1.4799882155870874</v>
      </c>
      <c r="W27" s="3">
        <v>1</v>
      </c>
      <c r="X27" s="3">
        <f>Table112[[#This Row],[V/(2*sqrt(fc) bd)]]</f>
        <v>1.4799882155870874</v>
      </c>
      <c r="Y27" s="3">
        <f>2*SQRT($AJ$4*145.037)/Table112[[#This Row],[pho (%)]]*Table112[[#This Row],[a (mm)]]*1/(224.8*25.4^2)</f>
        <v>0.2615409484554006</v>
      </c>
      <c r="Z27" s="3">
        <v>390</v>
      </c>
      <c r="AA27" s="3">
        <v>163</v>
      </c>
      <c r="AB27" s="3">
        <v>189</v>
      </c>
      <c r="AC27" s="3">
        <v>452.39</v>
      </c>
      <c r="AD27" s="3">
        <f t="shared" si="8"/>
        <v>1.3876993865030673</v>
      </c>
      <c r="AE27" s="3">
        <v>629</v>
      </c>
      <c r="AF27" s="3">
        <f t="shared" si="6"/>
        <v>2813017079.4202671</v>
      </c>
      <c r="AG27" s="63">
        <f t="shared" si="7"/>
        <v>703257187.5</v>
      </c>
    </row>
    <row r="28" spans="1:35" x14ac:dyDescent="0.3">
      <c r="A28" s="214" t="s">
        <v>44</v>
      </c>
      <c r="B28" s="215">
        <v>34</v>
      </c>
      <c r="C28" s="160">
        <v>2</v>
      </c>
      <c r="D28" s="3">
        <f>Table112[[#This Row],[a (mm)]]/Table112[[#This Row],[d (mm)]]</f>
        <v>1.8571428571428572</v>
      </c>
      <c r="E28" s="13">
        <f>71.3/2</f>
        <v>35.65</v>
      </c>
      <c r="F28" s="3">
        <f>Table112[[#This Row],[d (mm)]]</f>
        <v>210</v>
      </c>
      <c r="G28" s="3">
        <f t="shared" si="0"/>
        <v>13903.5</v>
      </c>
      <c r="H28" s="3">
        <f t="shared" si="1"/>
        <v>3.8556418306196877E-7</v>
      </c>
      <c r="I28" s="3">
        <f t="shared" si="2"/>
        <v>2.5221768707482992E-4</v>
      </c>
      <c r="J28" s="3">
        <f t="shared" si="3"/>
        <v>0.18613552633502012</v>
      </c>
      <c r="K28" s="3">
        <f t="shared" si="4"/>
        <v>2.0730538737587502E-7</v>
      </c>
      <c r="L28" s="3">
        <f t="shared" si="5"/>
        <v>8.4880952380952382E-4</v>
      </c>
      <c r="M28" s="3">
        <f>Table112[[#This Row],[M (KN.mm)]]/($AJ$3*Table112[[#This Row],[d (mm)]])</f>
        <v>0.33103571428571427</v>
      </c>
      <c r="N28" s="3">
        <f>Table112[[#This Row],[M (KN.mm)]]/($AJ$3*Table112[[#This Row],[h (mm)]])</f>
        <v>0.29456567796610167</v>
      </c>
      <c r="O28" s="3">
        <f>Table112[[#This Row],[M (KN.mm)]]/($AJ$3*Table112[[#This Row],[h (mm)]]*$AJ$2)</f>
        <v>2.3565254237288135E-4</v>
      </c>
      <c r="P28" s="3">
        <f>Table112[[#This Row],[M (KN.mm)]]/($AJ$3*Table112[[#This Row],[d (mm)]]*$AJ$2)</f>
        <v>2.6482857142857145E-4</v>
      </c>
      <c r="Q28" s="3">
        <f>Table112[[#This Row],[M (KN.mm)]]/($AJ$3*Table112[[#This Row],[h (mm)]]*$AJ$2*$AJ$4)</f>
        <v>7.5048580373529096E-6</v>
      </c>
      <c r="R28" s="3">
        <f>Table112[[#This Row],[M (KN.mm)]]/($AJ$3*Table112[[#This Row],[h (mm)]]*($AJ$2-Table112[[#This Row],[a (mm)]]))</f>
        <v>3.425182301931415E-4</v>
      </c>
      <c r="S28" s="3">
        <f>Table112[[#This Row],[M (KN.mm)]]/(Table112[[#This Row],[a (mm)]]*$AJ$3*Table112[[#This Row],[h (mm)]]*($AJ$2-Table112[[#This Row],[a (mm)]]))</f>
        <v>8.7825187229010638E-7</v>
      </c>
      <c r="T28" s="3">
        <f>Table112[[#This Row],[M (KN.mm)]]/(Table112[[#This Row],[a (mm)]]^2*$AJ$3*Table112[[#This Row],[h (mm)]])</f>
        <v>1.9366579747935681E-6</v>
      </c>
      <c r="U28" s="3">
        <f>Table112[[#This Row],[M (KN.mm)]]/($AJ$3*Table112[[#This Row],[d (mm)]]*Table112[[#This Row],[pho (%)]])</f>
        <v>0.24586641673592813</v>
      </c>
      <c r="V28" s="3">
        <f>E28*224.8/(2*SQRT($AJ$4*145.037)*$AJ$3*Table112[[#This Row],[d (mm)]]*(1/25.4)^2)</f>
        <v>0.91209433888702773</v>
      </c>
      <c r="W28" s="3">
        <f>Table112[[#This Row],[M (KN.mm)]]/$G$32</f>
        <v>0.5636363636363636</v>
      </c>
      <c r="X28" s="3">
        <f>Table112[[#This Row],[V/(2*sqrt(fc) bd)]]</f>
        <v>0.91209433888702773</v>
      </c>
      <c r="Y28" s="3">
        <f>2*SQRT($AJ$4*145.037)/Table112[[#This Row],[pho (%)]]*Table112[[#This Row],[a (mm)]]*1/(224.8*25.4^2)</f>
        <v>0.26956248520952747</v>
      </c>
      <c r="Z28" s="7">
        <v>390</v>
      </c>
      <c r="AA28" s="7">
        <v>210</v>
      </c>
      <c r="AB28" s="7">
        <v>236</v>
      </c>
      <c r="AC28" s="7">
        <v>565.49</v>
      </c>
      <c r="AD28" s="3">
        <f t="shared" si="8"/>
        <v>1.3464047619047619</v>
      </c>
      <c r="AE28" s="7">
        <v>629</v>
      </c>
      <c r="AF28" s="7">
        <f t="shared" si="6"/>
        <v>5476704357.9662561</v>
      </c>
      <c r="AG28" s="68">
        <f t="shared" si="7"/>
        <v>1369193333.3333333</v>
      </c>
      <c r="AI28" s="1"/>
    </row>
    <row r="29" spans="1:35" x14ac:dyDescent="0.3">
      <c r="A29" s="214" t="s">
        <v>44</v>
      </c>
      <c r="B29" s="215">
        <v>35</v>
      </c>
      <c r="C29" s="160">
        <v>3</v>
      </c>
      <c r="D29" s="3">
        <f>Table112[[#This Row],[a (mm)]]/Table112[[#This Row],[d (mm)]]</f>
        <v>1.8571428571428572</v>
      </c>
      <c r="E29" s="13">
        <f>85/2</f>
        <v>42.5</v>
      </c>
      <c r="F29" s="3">
        <f>Table112[[#This Row],[d (mm)]]</f>
        <v>210</v>
      </c>
      <c r="G29" s="3">
        <f t="shared" si="0"/>
        <v>16575</v>
      </c>
      <c r="H29" s="3">
        <f t="shared" si="1"/>
        <v>4.5964874558579731E-7</v>
      </c>
      <c r="I29" s="3">
        <f t="shared" si="2"/>
        <v>3.0068027210884354E-4</v>
      </c>
      <c r="J29" s="3">
        <f t="shared" si="3"/>
        <v>0.22190069759434378</v>
      </c>
      <c r="K29" s="3">
        <f t="shared" si="4"/>
        <v>2.4713825984501231E-7</v>
      </c>
      <c r="L29" s="3">
        <f t="shared" si="5"/>
        <v>1.0119047619047618E-3</v>
      </c>
      <c r="M29" s="3">
        <f>Table112[[#This Row],[M (KN.mm)]]/($AJ$3*Table112[[#This Row],[d (mm)]])</f>
        <v>0.39464285714285713</v>
      </c>
      <c r="N29" s="3">
        <f>Table112[[#This Row],[M (KN.mm)]]/($AJ$3*Table112[[#This Row],[h (mm)]])</f>
        <v>0.35116525423728812</v>
      </c>
      <c r="O29" s="3">
        <f>Table112[[#This Row],[M (KN.mm)]]/($AJ$3*Table112[[#This Row],[h (mm)]]*$AJ$2)</f>
        <v>2.8093220338983049E-4</v>
      </c>
      <c r="P29" s="3">
        <f>Table112[[#This Row],[M (KN.mm)]]/($AJ$3*Table112[[#This Row],[d (mm)]]*$AJ$2)</f>
        <v>3.1571428571428571E-4</v>
      </c>
      <c r="Q29" s="3">
        <f>Table112[[#This Row],[M (KN.mm)]]/($AJ$3*Table112[[#This Row],[h (mm)]]*$AJ$2*$AJ$4)</f>
        <v>8.9468854582748565E-6</v>
      </c>
      <c r="R29" s="3">
        <f>Table112[[#This Row],[M (KN.mm)]]/($AJ$3*Table112[[#This Row],[h (mm)]]*($AJ$2-Table112[[#This Row],[a (mm)]]))</f>
        <v>4.0833169097359085E-4</v>
      </c>
      <c r="S29" s="3">
        <f>Table112[[#This Row],[M (KN.mm)]]/(Table112[[#This Row],[a (mm)]]*$AJ$3*Table112[[#This Row],[h (mm)]]*($AJ$2-Table112[[#This Row],[a (mm)]]))</f>
        <v>1.0470043358297201E-6</v>
      </c>
      <c r="T29" s="3">
        <f>Table112[[#This Row],[M (KN.mm)]]/(Table112[[#This Row],[a (mm)]]^2*$AJ$3*Table112[[#This Row],[h (mm)]])</f>
        <v>2.3087787918296392E-6</v>
      </c>
      <c r="U29" s="3">
        <f>Table112[[#This Row],[M (KN.mm)]]/($AJ$3*Table112[[#This Row],[d (mm)]]*Table112[[#This Row],[pho (%)]])</f>
        <v>0.29310863145236876</v>
      </c>
      <c r="V29" s="3">
        <f>E29*224.8/(2*SQRT($AJ$4*145.037)*$AJ$3*Table112[[#This Row],[d (mm)]]*(1/25.4)^2)</f>
        <v>1.0873494923618143</v>
      </c>
      <c r="W29" s="3">
        <f>Table112[[#This Row],[M (KN.mm)]]/$G$32</f>
        <v>0.67193675889328064</v>
      </c>
      <c r="X29" s="3">
        <f>Table112[[#This Row],[V/(2*sqrt(fc) bd)]]</f>
        <v>1.0873494923618143</v>
      </c>
      <c r="Y29" s="3">
        <f>2*SQRT($AJ$4*145.037)/Table112[[#This Row],[pho (%)]]*Table112[[#This Row],[a (mm)]]*1/(224.8*25.4^2)</f>
        <v>0.26956248520952747</v>
      </c>
      <c r="Z29" s="7">
        <v>390</v>
      </c>
      <c r="AA29" s="7">
        <v>210</v>
      </c>
      <c r="AB29" s="7">
        <v>236</v>
      </c>
      <c r="AC29" s="7">
        <v>565.49</v>
      </c>
      <c r="AD29" s="3">
        <f t="shared" si="8"/>
        <v>1.3464047619047619</v>
      </c>
      <c r="AE29" s="7">
        <v>629</v>
      </c>
      <c r="AF29" s="7">
        <f t="shared" si="6"/>
        <v>5476704357.9662561</v>
      </c>
      <c r="AG29" s="68">
        <f t="shared" si="7"/>
        <v>1369193333.3333333</v>
      </c>
      <c r="AI29" s="1"/>
    </row>
    <row r="30" spans="1:35" x14ac:dyDescent="0.3">
      <c r="A30" s="214" t="s">
        <v>44</v>
      </c>
      <c r="B30" s="215">
        <v>36</v>
      </c>
      <c r="C30" s="160">
        <v>4</v>
      </c>
      <c r="D30" s="3">
        <f>Table112[[#This Row],[a (mm)]]/Table112[[#This Row],[d (mm)]]</f>
        <v>1.8571428571428572</v>
      </c>
      <c r="E30" s="13">
        <f>94/2</f>
        <v>47</v>
      </c>
      <c r="F30" s="3">
        <f>Table112[[#This Row],[d (mm)]]</f>
        <v>210</v>
      </c>
      <c r="G30" s="3">
        <f t="shared" si="0"/>
        <v>18330</v>
      </c>
      <c r="H30" s="3">
        <f t="shared" si="1"/>
        <v>5.0831743629488171E-7</v>
      </c>
      <c r="I30" s="3">
        <f t="shared" si="2"/>
        <v>3.3251700680272109E-4</v>
      </c>
      <c r="J30" s="3">
        <f t="shared" si="3"/>
        <v>0.24539606557492136</v>
      </c>
      <c r="K30" s="3">
        <f t="shared" si="4"/>
        <v>2.7330584029919009E-7</v>
      </c>
      <c r="L30" s="3">
        <f t="shared" si="5"/>
        <v>1.1190476190476191E-3</v>
      </c>
      <c r="M30" s="3">
        <f>Table112[[#This Row],[M (KN.mm)]]/($AJ$3*Table112[[#This Row],[d (mm)]])</f>
        <v>0.43642857142857144</v>
      </c>
      <c r="N30" s="3">
        <f>Table112[[#This Row],[M (KN.mm)]]/($AJ$3*Table112[[#This Row],[h (mm)]])</f>
        <v>0.38834745762711864</v>
      </c>
      <c r="O30" s="3">
        <f>Table112[[#This Row],[M (KN.mm)]]/($AJ$3*Table112[[#This Row],[h (mm)]]*$AJ$2)</f>
        <v>3.1067796610169493E-4</v>
      </c>
      <c r="P30" s="3">
        <f>Table112[[#This Row],[M (KN.mm)]]/($AJ$3*Table112[[#This Row],[d (mm)]]*$AJ$2)</f>
        <v>3.4914285714285716E-4</v>
      </c>
      <c r="Q30" s="3">
        <f>Table112[[#This Row],[M (KN.mm)]]/($AJ$3*Table112[[#This Row],[h (mm)]]*$AJ$2*$AJ$4)</f>
        <v>9.8942027420921954E-6</v>
      </c>
      <c r="R30" s="3">
        <f>Table112[[#This Row],[M (KN.mm)]]/($AJ$3*Table112[[#This Row],[h (mm)]]*($AJ$2-Table112[[#This Row],[a (mm)]]))</f>
        <v>4.5156681119432399E-4</v>
      </c>
      <c r="S30" s="3">
        <f>Table112[[#This Row],[M (KN.mm)]]/(Table112[[#This Row],[a (mm)]]*$AJ$3*Table112[[#This Row],[h (mm)]]*($AJ$2-Table112[[#This Row],[a (mm)]]))</f>
        <v>1.1578636184469847E-6</v>
      </c>
      <c r="T30" s="3">
        <f>Table112[[#This Row],[M (KN.mm)]]/(Table112[[#This Row],[a (mm)]]^2*$AJ$3*Table112[[#This Row],[h (mm)]])</f>
        <v>2.5532377227292482E-6</v>
      </c>
      <c r="U30" s="3">
        <f>Table112[[#This Row],[M (KN.mm)]]/($AJ$3*Table112[[#This Row],[d (mm)]]*Table112[[#This Row],[pho (%)]])</f>
        <v>0.32414366301791364</v>
      </c>
      <c r="V30" s="3">
        <f>E30*224.8/(2*SQRT($AJ$4*145.037)*$AJ$3*Table112[[#This Row],[d (mm)]]*(1/25.4)^2)</f>
        <v>1.2024806150824769</v>
      </c>
      <c r="W30" s="3">
        <f>Table112[[#This Row],[M (KN.mm)]]/$G$32</f>
        <v>0.74308300395256921</v>
      </c>
      <c r="X30" s="3">
        <f>Table112[[#This Row],[V/(2*sqrt(fc) bd)]]</f>
        <v>1.2024806150824769</v>
      </c>
      <c r="Y30" s="3">
        <f>2*SQRT($AJ$4*145.037)/Table112[[#This Row],[pho (%)]]*Table112[[#This Row],[a (mm)]]*1/(224.8*25.4^2)</f>
        <v>0.26956248520952747</v>
      </c>
      <c r="Z30" s="7">
        <v>390</v>
      </c>
      <c r="AA30" s="7">
        <v>210</v>
      </c>
      <c r="AB30" s="7">
        <v>236</v>
      </c>
      <c r="AC30" s="7">
        <v>565.49</v>
      </c>
      <c r="AD30" s="3">
        <f t="shared" si="8"/>
        <v>1.3464047619047619</v>
      </c>
      <c r="AE30" s="7">
        <v>629</v>
      </c>
      <c r="AF30" s="7">
        <f t="shared" si="6"/>
        <v>5476704357.9662561</v>
      </c>
      <c r="AG30" s="68">
        <f t="shared" si="7"/>
        <v>1369193333.3333333</v>
      </c>
    </row>
    <row r="31" spans="1:35" x14ac:dyDescent="0.3">
      <c r="A31" s="214" t="s">
        <v>44</v>
      </c>
      <c r="B31" s="215">
        <v>37</v>
      </c>
      <c r="C31" s="160">
        <v>5</v>
      </c>
      <c r="D31" s="3">
        <f>Table112[[#This Row],[a (mm)]]/Table112[[#This Row],[d (mm)]]</f>
        <v>1.8571428571428572</v>
      </c>
      <c r="E31" s="3">
        <f>124/2</f>
        <v>62</v>
      </c>
      <c r="F31" s="3">
        <f>Table112[[#This Row],[d (mm)]]</f>
        <v>210</v>
      </c>
      <c r="G31" s="3">
        <f t="shared" si="0"/>
        <v>24180</v>
      </c>
      <c r="H31" s="3">
        <f t="shared" si="1"/>
        <v>6.705464053251631E-7</v>
      </c>
      <c r="I31" s="3">
        <f t="shared" si="2"/>
        <v>4.3863945578231293E-4</v>
      </c>
      <c r="J31" s="3">
        <f t="shared" si="3"/>
        <v>0.32371395884351328</v>
      </c>
      <c r="K31" s="3">
        <f t="shared" si="4"/>
        <v>3.6053110847978266E-7</v>
      </c>
      <c r="L31" s="3">
        <f t="shared" si="5"/>
        <v>1.4761904761904762E-3</v>
      </c>
      <c r="M31" s="3">
        <f>Table112[[#This Row],[M (KN.mm)]]/($AJ$3*Table112[[#This Row],[d (mm)]])</f>
        <v>0.57571428571428573</v>
      </c>
      <c r="N31" s="3">
        <f>Table112[[#This Row],[M (KN.mm)]]/($AJ$3*Table112[[#This Row],[h (mm)]])</f>
        <v>0.51228813559322028</v>
      </c>
      <c r="O31" s="3">
        <f>Table112[[#This Row],[M (KN.mm)]]/($AJ$3*Table112[[#This Row],[h (mm)]]*$AJ$2)</f>
        <v>4.0983050847457627E-4</v>
      </c>
      <c r="P31" s="3">
        <f>Table112[[#This Row],[M (KN.mm)]]/($AJ$3*Table112[[#This Row],[d (mm)]]*$AJ$2)</f>
        <v>4.6057142857142857E-4</v>
      </c>
      <c r="Q31" s="3">
        <f>Table112[[#This Row],[M (KN.mm)]]/($AJ$3*Table112[[#This Row],[h (mm)]]*$AJ$2*$AJ$4)</f>
        <v>1.305192702148332E-5</v>
      </c>
      <c r="R31" s="3">
        <f>Table112[[#This Row],[M (KN.mm)]]/($AJ$3*Table112[[#This Row],[h (mm)]]*($AJ$2-Table112[[#This Row],[a (mm)]]))</f>
        <v>5.9568387859676789E-4</v>
      </c>
      <c r="S31" s="3">
        <f>Table112[[#This Row],[M (KN.mm)]]/(Table112[[#This Row],[a (mm)]]*$AJ$3*Table112[[#This Row],[h (mm)]]*($AJ$2-Table112[[#This Row],[a (mm)]]))</f>
        <v>1.527394560504533E-6</v>
      </c>
      <c r="T31" s="3">
        <f>Table112[[#This Row],[M (KN.mm)]]/(Table112[[#This Row],[a (mm)]]^2*$AJ$3*Table112[[#This Row],[h (mm)]])</f>
        <v>3.3681008257279443E-6</v>
      </c>
      <c r="U31" s="3">
        <f>Table112[[#This Row],[M (KN.mm)]]/($AJ$3*Table112[[#This Row],[d (mm)]]*Table112[[#This Row],[pho (%)]])</f>
        <v>0.42759376823639678</v>
      </c>
      <c r="V31" s="3">
        <f>E31*224.8/(2*SQRT($AJ$4*145.037)*$AJ$3*Table112[[#This Row],[d (mm)]]*(1/25.4)^2)</f>
        <v>1.5862510241513528</v>
      </c>
      <c r="W31" s="3">
        <f>Table112[[#This Row],[M (KN.mm)]]/$G$32</f>
        <v>0.98023715415019763</v>
      </c>
      <c r="X31" s="3">
        <f>Table112[[#This Row],[V/(2*sqrt(fc) bd)]]</f>
        <v>1.5862510241513528</v>
      </c>
      <c r="Y31" s="3">
        <f>2*SQRT($AJ$4*145.037)/Table112[[#This Row],[pho (%)]]*Table112[[#This Row],[a (mm)]]*1/(224.8*25.4^2)</f>
        <v>0.26956248520952747</v>
      </c>
      <c r="Z31" s="7">
        <v>390</v>
      </c>
      <c r="AA31" s="7">
        <v>210</v>
      </c>
      <c r="AB31" s="7">
        <v>236</v>
      </c>
      <c r="AC31" s="7">
        <v>565.49</v>
      </c>
      <c r="AD31" s="3">
        <f t="shared" si="8"/>
        <v>1.3464047619047619</v>
      </c>
      <c r="AE31" s="7">
        <v>629</v>
      </c>
      <c r="AF31" s="7">
        <f t="shared" si="6"/>
        <v>5476704357.9662561</v>
      </c>
      <c r="AG31" s="68">
        <f t="shared" si="7"/>
        <v>1369193333.3333333</v>
      </c>
    </row>
    <row r="32" spans="1:35" x14ac:dyDescent="0.3">
      <c r="A32" s="214" t="s">
        <v>44</v>
      </c>
      <c r="B32" s="215">
        <v>38</v>
      </c>
      <c r="C32" s="160">
        <v>6</v>
      </c>
      <c r="D32" s="3">
        <f>Table112[[#This Row],[a (mm)]]/Table112[[#This Row],[d (mm)]]</f>
        <v>1.8571428571428572</v>
      </c>
      <c r="E32" s="3">
        <f>126.5/2</f>
        <v>63.25</v>
      </c>
      <c r="F32" s="3">
        <f>Table112[[#This Row],[d (mm)]]</f>
        <v>210</v>
      </c>
      <c r="G32" s="3">
        <f t="shared" si="0"/>
        <v>24667.5</v>
      </c>
      <c r="H32" s="3">
        <f t="shared" si="1"/>
        <v>6.8406548607768657E-7</v>
      </c>
      <c r="I32" s="3">
        <f t="shared" si="2"/>
        <v>4.4748299319727889E-4</v>
      </c>
      <c r="J32" s="3">
        <f t="shared" si="3"/>
        <v>0.33024044994922924</v>
      </c>
      <c r="K32" s="3">
        <f t="shared" si="4"/>
        <v>3.6779988082816538E-7</v>
      </c>
      <c r="L32" s="3">
        <f t="shared" si="5"/>
        <v>1.505952380952381E-3</v>
      </c>
      <c r="M32" s="3">
        <f>Table112[[#This Row],[M (KN.mm)]]/($AJ$3*Table112[[#This Row],[d (mm)]])</f>
        <v>0.58732142857142855</v>
      </c>
      <c r="N32" s="3">
        <f>Table112[[#This Row],[M (KN.mm)]]/($AJ$3*Table112[[#This Row],[h (mm)]])</f>
        <v>0.52261652542372883</v>
      </c>
      <c r="O32" s="3">
        <f>Table112[[#This Row],[M (KN.mm)]]/($AJ$3*Table112[[#This Row],[h (mm)]]*$AJ$2)</f>
        <v>4.1809322033898303E-4</v>
      </c>
      <c r="P32" s="3">
        <f>Table112[[#This Row],[M (KN.mm)]]/($AJ$3*Table112[[#This Row],[d (mm)]]*$AJ$2)</f>
        <v>4.6985714285714285E-4</v>
      </c>
      <c r="Q32" s="3">
        <f>Table112[[#This Row],[M (KN.mm)]]/($AJ$3*Table112[[#This Row],[h (mm)]]*$AJ$2*$AJ$4)</f>
        <v>1.3315070711432581E-5</v>
      </c>
      <c r="R32" s="3">
        <f>Table112[[#This Row],[M (KN.mm)]]/($AJ$3*Table112[[#This Row],[h (mm)]]*($AJ$2-Table112[[#This Row],[a (mm)]]))</f>
        <v>6.0769363421363817E-4</v>
      </c>
      <c r="S32" s="3">
        <f>Table112[[#This Row],[M (KN.mm)]]/(Table112[[#This Row],[a (mm)]]*$AJ$3*Table112[[#This Row],[h (mm)]]*($AJ$2-Table112[[#This Row],[a (mm)]]))</f>
        <v>1.5581888056759953E-6</v>
      </c>
      <c r="T32" s="3">
        <f>Table112[[#This Row],[M (KN.mm)]]/(Table112[[#This Row],[a (mm)]]^2*$AJ$3*Table112[[#This Row],[h (mm)]])</f>
        <v>3.4360060843111693E-6</v>
      </c>
      <c r="U32" s="3">
        <f>Table112[[#This Row],[M (KN.mm)]]/($AJ$3*Table112[[#This Row],[d (mm)]]*Table112[[#This Row],[pho (%)]])</f>
        <v>0.43621461033793701</v>
      </c>
      <c r="V32" s="3">
        <f>E32*224.8/(2*SQRT($AJ$4*145.037)*$AJ$3*Table112[[#This Row],[d (mm)]]*(1/25.4)^2)</f>
        <v>1.618231891573759</v>
      </c>
      <c r="W32" s="3">
        <f>Table112[[#This Row],[M (KN.mm)]]/$G$32</f>
        <v>1</v>
      </c>
      <c r="X32" s="3">
        <f>Table112[[#This Row],[V/(2*sqrt(fc) bd)]]</f>
        <v>1.618231891573759</v>
      </c>
      <c r="Y32" s="3">
        <f>2*SQRT($AJ$4*145.037)/Table112[[#This Row],[pho (%)]]*Table112[[#This Row],[a (mm)]]*1/(224.8*25.4^2)</f>
        <v>0.26956248520952747</v>
      </c>
      <c r="Z32" s="7">
        <v>390</v>
      </c>
      <c r="AA32" s="7">
        <v>210</v>
      </c>
      <c r="AB32" s="7">
        <v>236</v>
      </c>
      <c r="AC32" s="7">
        <v>565.49</v>
      </c>
      <c r="AD32" s="3">
        <f t="shared" si="8"/>
        <v>1.3464047619047619</v>
      </c>
      <c r="AE32" s="7">
        <v>629</v>
      </c>
      <c r="AF32" s="7">
        <f t="shared" si="6"/>
        <v>5476704357.9662561</v>
      </c>
      <c r="AG32" s="68">
        <f t="shared" si="7"/>
        <v>1369193333.3333333</v>
      </c>
    </row>
    <row r="33" spans="1:33" x14ac:dyDescent="0.3">
      <c r="A33" s="216" t="s">
        <v>45</v>
      </c>
      <c r="B33" s="217">
        <v>39</v>
      </c>
      <c r="C33" s="3">
        <v>2</v>
      </c>
      <c r="D33" s="3">
        <f>Table112[[#This Row],[a (mm)]]/Table112[[#This Row],[d (mm)]]</f>
        <v>1.8571428571428572</v>
      </c>
      <c r="E33" s="3">
        <f>104/2</f>
        <v>52</v>
      </c>
      <c r="F33" s="3">
        <f>Table112[[#This Row],[d (mm)]]</f>
        <v>210</v>
      </c>
      <c r="G33" s="3">
        <f t="shared" si="0"/>
        <v>20280</v>
      </c>
      <c r="H33" s="3">
        <f t="shared" si="1"/>
        <v>5.6239375930497551E-7</v>
      </c>
      <c r="I33" s="3">
        <f t="shared" si="2"/>
        <v>3.6789115646258504E-4</v>
      </c>
      <c r="J33" s="3">
        <f t="shared" si="3"/>
        <v>0.27150202999778533</v>
      </c>
      <c r="K33" s="3">
        <f t="shared" si="4"/>
        <v>3.0238092969272093E-7</v>
      </c>
      <c r="L33" s="3">
        <f t="shared" si="5"/>
        <v>1.238095238095238E-3</v>
      </c>
      <c r="M33" s="3">
        <f>Table112[[#This Row],[M (KN.mm)]]/($AJ$3*Table112[[#This Row],[d (mm)]])</f>
        <v>0.48285714285714287</v>
      </c>
      <c r="N33" s="3">
        <f>Table112[[#This Row],[M (KN.mm)]]/($AJ$3*Table112[[#This Row],[h (mm)]])</f>
        <v>0.42966101694915254</v>
      </c>
      <c r="O33" s="3">
        <f>Table112[[#This Row],[M (KN.mm)]]/($AJ$3*Table112[[#This Row],[h (mm)]]*$AJ$2)</f>
        <v>3.4372881355932203E-4</v>
      </c>
      <c r="P33" s="3">
        <f>Table112[[#This Row],[M (KN.mm)]]/($AJ$3*Table112[[#This Row],[d (mm)]]*$AJ$2)</f>
        <v>3.8628571428571428E-4</v>
      </c>
      <c r="Q33" s="3">
        <f>Table112[[#This Row],[M (KN.mm)]]/($AJ$3*Table112[[#This Row],[h (mm)]]*$AJ$2*$AJ$4)</f>
        <v>1.0946777501889236E-5</v>
      </c>
      <c r="R33" s="3">
        <f>Table112[[#This Row],[M (KN.mm)]]/($AJ$3*Table112[[#This Row],[h (mm)]]*($AJ$2-Table112[[#This Row],[a (mm)]]))</f>
        <v>4.9960583366180525E-4</v>
      </c>
      <c r="S33" s="3">
        <f>Table112[[#This Row],[M (KN.mm)]]/(Table112[[#This Row],[a (mm)]]*$AJ$3*Table112[[#This Row],[h (mm)]]*($AJ$2-Table112[[#This Row],[a (mm)]]))</f>
        <v>1.2810405991328341E-6</v>
      </c>
      <c r="T33" s="3">
        <f>Table112[[#This Row],[M (KN.mm)]]/(Table112[[#This Row],[a (mm)]]^2*$AJ$3*Table112[[#This Row],[h (mm)]])</f>
        <v>2.8248587570621469E-6</v>
      </c>
      <c r="U33" s="3">
        <f>Table112[[#This Row],[M (KN.mm)]]/($AJ$3*Table112[[#This Row],[d (mm)]]*Table112[[#This Row],[pho (%)]])</f>
        <v>0.3586270314240747</v>
      </c>
      <c r="V33" s="3">
        <f>E33*224.8/(2*SQRT($AJ$4*145.037)*$AJ$3*Table112[[#This Row],[d (mm)]]*(1/25.4)^2)</f>
        <v>1.3304040847721021</v>
      </c>
      <c r="W33" s="3">
        <f>Table112[[#This Row],[M (KN.mm)]]/$G$37</f>
        <v>0.74179743223965777</v>
      </c>
      <c r="X33" s="3">
        <f>Table112[[#This Row],[V/(2*sqrt(fc) bd)]]</f>
        <v>1.3304040847721021</v>
      </c>
      <c r="Y33" s="3">
        <f>2*SQRT($AJ$4*145.037)/Table112[[#This Row],[pho (%)]]*Table112[[#This Row],[a (mm)]]*1/(224.8*25.4^2)</f>
        <v>0.26956248520952747</v>
      </c>
      <c r="Z33" s="7">
        <v>390</v>
      </c>
      <c r="AA33" s="7">
        <v>210</v>
      </c>
      <c r="AB33" s="7">
        <v>236</v>
      </c>
      <c r="AC33" s="7">
        <v>565.49</v>
      </c>
      <c r="AD33" s="3">
        <f t="shared" si="8"/>
        <v>1.3464047619047619</v>
      </c>
      <c r="AE33" s="7">
        <v>629</v>
      </c>
      <c r="AF33" s="7">
        <f t="shared" si="6"/>
        <v>5476704357.9662561</v>
      </c>
      <c r="AG33" s="68">
        <f t="shared" si="7"/>
        <v>1369193333.3333333</v>
      </c>
    </row>
    <row r="34" spans="1:33" x14ac:dyDescent="0.3">
      <c r="A34" s="216" t="s">
        <v>45</v>
      </c>
      <c r="B34" s="217">
        <v>40</v>
      </c>
      <c r="C34" s="3">
        <v>3</v>
      </c>
      <c r="D34" s="3">
        <f>Table112[[#This Row],[a (mm)]]/Table112[[#This Row],[d (mm)]]</f>
        <v>1.8571428571428572</v>
      </c>
      <c r="E34" s="3">
        <f>120/2</f>
        <v>60</v>
      </c>
      <c r="F34" s="3">
        <f>Table112[[#This Row],[d (mm)]]</f>
        <v>210</v>
      </c>
      <c r="G34" s="3">
        <f t="shared" si="0"/>
        <v>23400</v>
      </c>
      <c r="H34" s="3">
        <f t="shared" si="1"/>
        <v>6.4891587612112564E-7</v>
      </c>
      <c r="I34" s="3">
        <f t="shared" si="2"/>
        <v>4.2448979591836735E-4</v>
      </c>
      <c r="J34" s="3">
        <f t="shared" si="3"/>
        <v>0.3132715730743677</v>
      </c>
      <c r="K34" s="3">
        <f t="shared" si="4"/>
        <v>3.4890107272237032E-7</v>
      </c>
      <c r="L34" s="3">
        <f t="shared" si="5"/>
        <v>1.4285714285714286E-3</v>
      </c>
      <c r="M34" s="3">
        <f>Table112[[#This Row],[M (KN.mm)]]/($AJ$3*Table112[[#This Row],[d (mm)]])</f>
        <v>0.55714285714285716</v>
      </c>
      <c r="N34" s="3">
        <f>Table112[[#This Row],[M (KN.mm)]]/($AJ$3*Table112[[#This Row],[h (mm)]])</f>
        <v>0.49576271186440679</v>
      </c>
      <c r="O34" s="3">
        <f>Table112[[#This Row],[M (KN.mm)]]/($AJ$3*Table112[[#This Row],[h (mm)]]*$AJ$2)</f>
        <v>3.966101694915254E-4</v>
      </c>
      <c r="P34" s="3">
        <f>Table112[[#This Row],[M (KN.mm)]]/($AJ$3*Table112[[#This Row],[d (mm)]]*$AJ$2)</f>
        <v>4.4571428571428572E-4</v>
      </c>
      <c r="Q34" s="3">
        <f>Table112[[#This Row],[M (KN.mm)]]/($AJ$3*Table112[[#This Row],[h (mm)]]*$AJ$2*$AJ$4)</f>
        <v>1.2630897117564503E-5</v>
      </c>
      <c r="R34" s="3">
        <f>Table112[[#This Row],[M (KN.mm)]]/($AJ$3*Table112[[#This Row],[h (mm)]]*($AJ$2-Table112[[#This Row],[a (mm)]]))</f>
        <v>5.7646826960977527E-4</v>
      </c>
      <c r="S34" s="3">
        <f>Table112[[#This Row],[M (KN.mm)]]/(Table112[[#This Row],[a (mm)]]*$AJ$3*Table112[[#This Row],[h (mm)]]*($AJ$2-Table112[[#This Row],[a (mm)]]))</f>
        <v>1.4781237682301932E-6</v>
      </c>
      <c r="T34" s="3">
        <f>Table112[[#This Row],[M (KN.mm)]]/(Table112[[#This Row],[a (mm)]]^2*$AJ$3*Table112[[#This Row],[h (mm)]])</f>
        <v>3.2594524119947849E-6</v>
      </c>
      <c r="U34" s="3">
        <f>Table112[[#This Row],[M (KN.mm)]]/($AJ$3*Table112[[#This Row],[d (mm)]]*Table112[[#This Row],[pho (%)]])</f>
        <v>0.41380042087393232</v>
      </c>
      <c r="V34" s="3">
        <f>E34*224.8/(2*SQRT($AJ$4*145.037)*$AJ$3*Table112[[#This Row],[d (mm)]]*(1/25.4)^2)</f>
        <v>1.5350816362755026</v>
      </c>
      <c r="W34" s="3">
        <f>Table112[[#This Row],[M (KN.mm)]]/$G$37</f>
        <v>0.85592011412268199</v>
      </c>
      <c r="X34" s="3">
        <f>Table112[[#This Row],[V/(2*sqrt(fc) bd)]]</f>
        <v>1.5350816362755026</v>
      </c>
      <c r="Y34" s="3">
        <f>2*SQRT($AJ$4*145.037)/Table112[[#This Row],[pho (%)]]*Table112[[#This Row],[a (mm)]]*1/(224.8*25.4^2)</f>
        <v>0.26956248520952747</v>
      </c>
      <c r="Z34" s="7">
        <v>390</v>
      </c>
      <c r="AA34" s="7">
        <v>210</v>
      </c>
      <c r="AB34" s="7">
        <v>236</v>
      </c>
      <c r="AC34" s="7">
        <v>565.49</v>
      </c>
      <c r="AD34" s="3">
        <f t="shared" si="8"/>
        <v>1.3464047619047619</v>
      </c>
      <c r="AE34" s="7">
        <v>629</v>
      </c>
      <c r="AF34" s="7">
        <f t="shared" si="6"/>
        <v>5476704357.9662561</v>
      </c>
      <c r="AG34" s="68">
        <f t="shared" si="7"/>
        <v>1369193333.3333333</v>
      </c>
    </row>
    <row r="35" spans="1:33" x14ac:dyDescent="0.3">
      <c r="A35" s="216" t="s">
        <v>45</v>
      </c>
      <c r="B35" s="217">
        <v>41</v>
      </c>
      <c r="C35" s="3">
        <v>4</v>
      </c>
      <c r="D35" s="3">
        <f>Table112[[#This Row],[a (mm)]]/Table112[[#This Row],[d (mm)]]</f>
        <v>1.8571428571428572</v>
      </c>
      <c r="E35" s="3">
        <f>124/2</f>
        <v>62</v>
      </c>
      <c r="F35" s="3">
        <f>Table112[[#This Row],[d (mm)]]</f>
        <v>210</v>
      </c>
      <c r="G35" s="3">
        <f t="shared" si="0"/>
        <v>24180</v>
      </c>
      <c r="H35" s="3">
        <f t="shared" si="1"/>
        <v>6.705464053251631E-7</v>
      </c>
      <c r="I35" s="3">
        <f t="shared" si="2"/>
        <v>4.3863945578231293E-4</v>
      </c>
      <c r="J35" s="3">
        <f t="shared" si="3"/>
        <v>0.32371395884351328</v>
      </c>
      <c r="K35" s="3">
        <f t="shared" si="4"/>
        <v>3.6053110847978266E-7</v>
      </c>
      <c r="L35" s="3">
        <f t="shared" si="5"/>
        <v>1.4761904761904762E-3</v>
      </c>
      <c r="M35" s="3">
        <f>Table112[[#This Row],[M (KN.mm)]]/($AJ$3*Table112[[#This Row],[d (mm)]])</f>
        <v>0.57571428571428573</v>
      </c>
      <c r="N35" s="3">
        <f>Table112[[#This Row],[M (KN.mm)]]/($AJ$3*Table112[[#This Row],[h (mm)]])</f>
        <v>0.51228813559322028</v>
      </c>
      <c r="O35" s="3">
        <f>Table112[[#This Row],[M (KN.mm)]]/($AJ$3*Table112[[#This Row],[h (mm)]]*$AJ$2)</f>
        <v>4.0983050847457627E-4</v>
      </c>
      <c r="P35" s="3">
        <f>Table112[[#This Row],[M (KN.mm)]]/($AJ$3*Table112[[#This Row],[d (mm)]]*$AJ$2)</f>
        <v>4.6057142857142857E-4</v>
      </c>
      <c r="Q35" s="3">
        <f>Table112[[#This Row],[M (KN.mm)]]/($AJ$3*Table112[[#This Row],[h (mm)]]*$AJ$2*$AJ$4)</f>
        <v>1.305192702148332E-5</v>
      </c>
      <c r="R35" s="3">
        <f>Table112[[#This Row],[M (KN.mm)]]/($AJ$3*Table112[[#This Row],[h (mm)]]*($AJ$2-Table112[[#This Row],[a (mm)]]))</f>
        <v>5.9568387859676789E-4</v>
      </c>
      <c r="S35" s="3">
        <f>Table112[[#This Row],[M (KN.mm)]]/(Table112[[#This Row],[a (mm)]]*$AJ$3*Table112[[#This Row],[h (mm)]]*($AJ$2-Table112[[#This Row],[a (mm)]]))</f>
        <v>1.527394560504533E-6</v>
      </c>
      <c r="T35" s="3">
        <f>Table112[[#This Row],[M (KN.mm)]]/(Table112[[#This Row],[a (mm)]]^2*$AJ$3*Table112[[#This Row],[h (mm)]])</f>
        <v>3.3681008257279443E-6</v>
      </c>
      <c r="U35" s="3">
        <f>Table112[[#This Row],[M (KN.mm)]]/($AJ$3*Table112[[#This Row],[d (mm)]]*Table112[[#This Row],[pho (%)]])</f>
        <v>0.42759376823639678</v>
      </c>
      <c r="V35" s="3">
        <f>E35*224.8/(2*SQRT($AJ$4*145.037)*$AJ$3*Table112[[#This Row],[d (mm)]]*(1/25.4)^2)</f>
        <v>1.5862510241513528</v>
      </c>
      <c r="W35" s="3">
        <f>Table112[[#This Row],[M (KN.mm)]]/$G$37</f>
        <v>0.88445078459343807</v>
      </c>
      <c r="X35" s="3">
        <f>Table112[[#This Row],[V/(2*sqrt(fc) bd)]]</f>
        <v>1.5862510241513528</v>
      </c>
      <c r="Y35" s="3">
        <f>2*SQRT($AJ$4*145.037)/Table112[[#This Row],[pho (%)]]*Table112[[#This Row],[a (mm)]]*1/(224.8*25.4^2)</f>
        <v>0.26956248520952747</v>
      </c>
      <c r="Z35" s="7">
        <v>390</v>
      </c>
      <c r="AA35" s="7">
        <v>210</v>
      </c>
      <c r="AB35" s="7">
        <v>236</v>
      </c>
      <c r="AC35" s="7">
        <v>565.49</v>
      </c>
      <c r="AD35" s="3">
        <f t="shared" si="8"/>
        <v>1.3464047619047619</v>
      </c>
      <c r="AE35" s="7">
        <v>629</v>
      </c>
      <c r="AF35" s="7">
        <f t="shared" si="6"/>
        <v>5476704357.9662561</v>
      </c>
      <c r="AG35" s="68">
        <f t="shared" si="7"/>
        <v>1369193333.3333333</v>
      </c>
    </row>
    <row r="36" spans="1:33" x14ac:dyDescent="0.3">
      <c r="A36" s="216" t="s">
        <v>45</v>
      </c>
      <c r="B36" s="217">
        <v>42</v>
      </c>
      <c r="C36" s="3">
        <v>5</v>
      </c>
      <c r="D36" s="3">
        <f>Table112[[#This Row],[a (mm)]]/Table112[[#This Row],[d (mm)]]</f>
        <v>1.8571428571428572</v>
      </c>
      <c r="E36" s="3">
        <f>133/2</f>
        <v>66.5</v>
      </c>
      <c r="F36" s="3">
        <f>Table112[[#This Row],[d (mm)]]</f>
        <v>210</v>
      </c>
      <c r="G36" s="3">
        <f t="shared" si="0"/>
        <v>25935</v>
      </c>
      <c r="H36" s="3">
        <f t="shared" si="1"/>
        <v>7.192150960342475E-7</v>
      </c>
      <c r="I36" s="3">
        <f t="shared" si="2"/>
        <v>4.7047619047619048E-4</v>
      </c>
      <c r="J36" s="3">
        <f t="shared" si="3"/>
        <v>0.34720932682409084</v>
      </c>
      <c r="K36" s="3">
        <f t="shared" si="4"/>
        <v>3.8669868893396044E-7</v>
      </c>
      <c r="L36" s="3">
        <f t="shared" si="5"/>
        <v>1.5833333333333333E-3</v>
      </c>
      <c r="M36" s="3">
        <f>Table112[[#This Row],[M (KN.mm)]]/($AJ$3*Table112[[#This Row],[d (mm)]])</f>
        <v>0.61750000000000005</v>
      </c>
      <c r="N36" s="3">
        <f>Table112[[#This Row],[M (KN.mm)]]/($AJ$3*Table112[[#This Row],[h (mm)]])</f>
        <v>0.54947033898305087</v>
      </c>
      <c r="O36" s="3">
        <f>Table112[[#This Row],[M (KN.mm)]]/($AJ$3*Table112[[#This Row],[h (mm)]]*$AJ$2)</f>
        <v>4.3957627118644066E-4</v>
      </c>
      <c r="P36" s="3">
        <f>Table112[[#This Row],[M (KN.mm)]]/($AJ$3*Table112[[#This Row],[d (mm)]]*$AJ$2)</f>
        <v>4.9399999999999997E-4</v>
      </c>
      <c r="Q36" s="3">
        <f>Table112[[#This Row],[M (KN.mm)]]/($AJ$3*Table112[[#This Row],[h (mm)]]*$AJ$2*$AJ$4)</f>
        <v>1.3999244305300659E-5</v>
      </c>
      <c r="R36" s="3">
        <f>Table112[[#This Row],[M (KN.mm)]]/($AJ$3*Table112[[#This Row],[h (mm)]]*($AJ$2-Table112[[#This Row],[a (mm)]]))</f>
        <v>6.3891899881750097E-4</v>
      </c>
      <c r="S36" s="3">
        <f>Table112[[#This Row],[M (KN.mm)]]/(Table112[[#This Row],[a (mm)]]*$AJ$3*Table112[[#This Row],[h (mm)]]*($AJ$2-Table112[[#This Row],[a (mm)]]))</f>
        <v>1.6382538431217974E-6</v>
      </c>
      <c r="T36" s="3">
        <f>Table112[[#This Row],[M (KN.mm)]]/(Table112[[#This Row],[a (mm)]]^2*$AJ$3*Table112[[#This Row],[h (mm)]])</f>
        <v>3.6125597566275532E-6</v>
      </c>
      <c r="U36" s="3">
        <f>Table112[[#This Row],[M (KN.mm)]]/($AJ$3*Table112[[#This Row],[d (mm)]]*Table112[[#This Row],[pho (%)]])</f>
        <v>0.45862879980194166</v>
      </c>
      <c r="V36" s="3">
        <f>E36*224.8/(2*SQRT($AJ$4*145.037)*$AJ$3*Table112[[#This Row],[d (mm)]]*(1/25.4)^2)</f>
        <v>1.7013821468720154</v>
      </c>
      <c r="W36" s="3">
        <f>Table112[[#This Row],[M (KN.mm)]]/$G$37</f>
        <v>0.94864479315263917</v>
      </c>
      <c r="X36" s="3">
        <f>Table112[[#This Row],[V/(2*sqrt(fc) bd)]]</f>
        <v>1.7013821468720154</v>
      </c>
      <c r="Y36" s="3">
        <f>2*SQRT($AJ$4*145.037)/Table112[[#This Row],[pho (%)]]*Table112[[#This Row],[a (mm)]]*1/(224.8*25.4^2)</f>
        <v>0.26956248520952747</v>
      </c>
      <c r="Z36" s="7">
        <v>390</v>
      </c>
      <c r="AA36" s="7">
        <v>210</v>
      </c>
      <c r="AB36" s="7">
        <v>236</v>
      </c>
      <c r="AC36" s="7">
        <v>565.49</v>
      </c>
      <c r="AD36" s="3">
        <f t="shared" si="8"/>
        <v>1.3464047619047619</v>
      </c>
      <c r="AE36" s="7">
        <v>629</v>
      </c>
      <c r="AF36" s="7">
        <f t="shared" si="6"/>
        <v>5476704357.9662561</v>
      </c>
      <c r="AG36" s="68">
        <f t="shared" si="7"/>
        <v>1369193333.3333333</v>
      </c>
    </row>
    <row r="37" spans="1:33" x14ac:dyDescent="0.3">
      <c r="A37" s="216" t="s">
        <v>45</v>
      </c>
      <c r="B37" s="217">
        <v>43</v>
      </c>
      <c r="C37" s="3">
        <v>6</v>
      </c>
      <c r="D37" s="3">
        <f>Table112[[#This Row],[a (mm)]]/Table112[[#This Row],[d (mm)]]</f>
        <v>1.8571428571428572</v>
      </c>
      <c r="E37" s="3">
        <v>70.099999999999994</v>
      </c>
      <c r="F37" s="3">
        <f>Table112[[#This Row],[d (mm)]]</f>
        <v>210</v>
      </c>
      <c r="G37" s="3">
        <f t="shared" si="0"/>
        <v>27338.999999999996</v>
      </c>
      <c r="H37" s="3">
        <f t="shared" si="1"/>
        <v>7.5815004860151501E-7</v>
      </c>
      <c r="I37" s="3">
        <f t="shared" si="2"/>
        <v>4.9594557823129241E-4</v>
      </c>
      <c r="J37" s="3">
        <f t="shared" si="3"/>
        <v>0.36600562120855284</v>
      </c>
      <c r="K37" s="3">
        <f t="shared" si="4"/>
        <v>4.0763275329730262E-7</v>
      </c>
      <c r="L37" s="3">
        <f t="shared" si="5"/>
        <v>1.6690476190476188E-3</v>
      </c>
      <c r="M37" s="3">
        <f>Table112[[#This Row],[M (KN.mm)]]/($AJ$3*Table112[[#This Row],[d (mm)]])</f>
        <v>0.6509285714285713</v>
      </c>
      <c r="N37" s="3">
        <f>Table112[[#This Row],[M (KN.mm)]]/($AJ$3*Table112[[#This Row],[h (mm)]])</f>
        <v>0.57921610169491522</v>
      </c>
      <c r="O37" s="3">
        <f>Table112[[#This Row],[M (KN.mm)]]/($AJ$3*Table112[[#This Row],[h (mm)]]*$AJ$2)</f>
        <v>4.6337288135593212E-4</v>
      </c>
      <c r="P37" s="3">
        <f>Table112[[#This Row],[M (KN.mm)]]/($AJ$3*Table112[[#This Row],[d (mm)]]*$AJ$2)</f>
        <v>5.2074285714285705E-4</v>
      </c>
      <c r="Q37" s="3">
        <f>Table112[[#This Row],[M (KN.mm)]]/($AJ$3*Table112[[#This Row],[h (mm)]]*$AJ$2*$AJ$4)</f>
        <v>1.4757098132354527E-5</v>
      </c>
      <c r="R37" s="3">
        <f>Table112[[#This Row],[M (KN.mm)]]/($AJ$3*Table112[[#This Row],[h (mm)]]*($AJ$2-Table112[[#This Row],[a (mm)]]))</f>
        <v>6.7350709499408741E-4</v>
      </c>
      <c r="S37" s="3">
        <f>Table112[[#This Row],[M (KN.mm)]]/(Table112[[#This Row],[a (mm)]]*$AJ$3*Table112[[#This Row],[h (mm)]]*($AJ$2-Table112[[#This Row],[a (mm)]]))</f>
        <v>1.7269412692156087E-6</v>
      </c>
      <c r="T37" s="3">
        <f>Table112[[#This Row],[M (KN.mm)]]/(Table112[[#This Row],[a (mm)]]^2*$AJ$3*Table112[[#This Row],[h (mm)]])</f>
        <v>3.80812690134724E-6</v>
      </c>
      <c r="U37" s="3">
        <f>Table112[[#This Row],[M (KN.mm)]]/($AJ$3*Table112[[#This Row],[d (mm)]]*Table112[[#This Row],[pho (%)]])</f>
        <v>0.48345682505437754</v>
      </c>
      <c r="V37" s="3">
        <f>E37*224.8/(2*SQRT($AJ$4*145.037)*$AJ$3*Table112[[#This Row],[d (mm)]]*(1/25.4)^2)</f>
        <v>1.7934870450485454</v>
      </c>
      <c r="W37" s="3">
        <f>Table112[[#This Row],[M (KN.mm)]]/$G$37</f>
        <v>1</v>
      </c>
      <c r="X37" s="3">
        <f>Table112[[#This Row],[V/(2*sqrt(fc) bd)]]</f>
        <v>1.7934870450485454</v>
      </c>
      <c r="Y37" s="3">
        <f>2*SQRT($AJ$4*145.037)/Table112[[#This Row],[pho (%)]]*Table112[[#This Row],[a (mm)]]*1/(224.8*25.4^2)</f>
        <v>0.26956248520952747</v>
      </c>
      <c r="Z37" s="7">
        <v>390</v>
      </c>
      <c r="AA37" s="7">
        <v>210</v>
      </c>
      <c r="AB37" s="7">
        <v>236</v>
      </c>
      <c r="AC37" s="7">
        <v>565.49</v>
      </c>
      <c r="AD37" s="3">
        <f t="shared" si="8"/>
        <v>1.3464047619047619</v>
      </c>
      <c r="AE37" s="7">
        <v>629</v>
      </c>
      <c r="AF37" s="7">
        <f t="shared" si="6"/>
        <v>5476704357.9662561</v>
      </c>
      <c r="AG37" s="68">
        <f t="shared" si="7"/>
        <v>1369193333.3333333</v>
      </c>
    </row>
    <row r="38" spans="1:33" x14ac:dyDescent="0.3">
      <c r="A38" s="193" t="s">
        <v>46</v>
      </c>
      <c r="B38" s="194">
        <v>44</v>
      </c>
      <c r="C38" s="3">
        <v>2</v>
      </c>
      <c r="D38" s="3">
        <f>Table112[[#This Row],[a (mm)]]/Table112[[#This Row],[d (mm)]]</f>
        <v>1.8571428571428572</v>
      </c>
      <c r="E38" s="3">
        <f>96/2</f>
        <v>48</v>
      </c>
      <c r="F38" s="3">
        <f>Table112[[#This Row],[d (mm)]]</f>
        <v>210</v>
      </c>
      <c r="G38" s="3">
        <f t="shared" si="0"/>
        <v>18720</v>
      </c>
      <c r="H38" s="3">
        <f t="shared" si="1"/>
        <v>5.1913270089690049E-7</v>
      </c>
      <c r="I38" s="3">
        <f t="shared" si="2"/>
        <v>3.3959183673469388E-4</v>
      </c>
      <c r="J38" s="3">
        <f t="shared" si="3"/>
        <v>0.25061725845949412</v>
      </c>
      <c r="K38" s="3">
        <f t="shared" si="4"/>
        <v>2.7912085817789626E-7</v>
      </c>
      <c r="L38" s="3">
        <f t="shared" si="5"/>
        <v>1.1428571428571429E-3</v>
      </c>
      <c r="M38" s="3">
        <f>Table112[[#This Row],[M (KN.mm)]]/($AJ$3*Table112[[#This Row],[d (mm)]])</f>
        <v>0.44571428571428573</v>
      </c>
      <c r="N38" s="3">
        <f>Table112[[#This Row],[M (KN.mm)]]/($AJ$3*Table112[[#This Row],[h (mm)]])</f>
        <v>0.39661016949152544</v>
      </c>
      <c r="O38" s="3">
        <f>Table112[[#This Row],[M (KN.mm)]]/($AJ$3*Table112[[#This Row],[h (mm)]]*$AJ$2)</f>
        <v>3.1728813559322034E-4</v>
      </c>
      <c r="P38" s="3">
        <f>Table112[[#This Row],[M (KN.mm)]]/($AJ$3*Table112[[#This Row],[d (mm)]]*$AJ$2)</f>
        <v>3.5657142857142859E-4</v>
      </c>
      <c r="Q38" s="3">
        <f>Table112[[#This Row],[M (KN.mm)]]/($AJ$3*Table112[[#This Row],[h (mm)]]*$AJ$2*$AJ$4)</f>
        <v>1.0104717694051604E-5</v>
      </c>
      <c r="R38" s="3">
        <f>Table112[[#This Row],[M (KN.mm)]]/($AJ$3*Table112[[#This Row],[h (mm)]]*($AJ$2-Table112[[#This Row],[a (mm)]]))</f>
        <v>4.6117461568782024E-4</v>
      </c>
      <c r="S38" s="3">
        <f>Table112[[#This Row],[M (KN.mm)]]/(Table112[[#This Row],[a (mm)]]*$AJ$3*Table112[[#This Row],[h (mm)]]*($AJ$2-Table112[[#This Row],[a (mm)]]))</f>
        <v>1.1824990145841545E-6</v>
      </c>
      <c r="T38" s="3">
        <f>Table112[[#This Row],[M (KN.mm)]]/(Table112[[#This Row],[a (mm)]]^2*$AJ$3*Table112[[#This Row],[h (mm)]])</f>
        <v>2.6075619295958281E-6</v>
      </c>
      <c r="U38" s="3">
        <f>Table112[[#This Row],[M (KN.mm)]]/($AJ$3*Table112[[#This Row],[d (mm)]]*Table112[[#This Row],[pho (%)]])</f>
        <v>0.3310403366991459</v>
      </c>
      <c r="V38" s="3">
        <f>E38*224.8/(2*SQRT($AJ$4*145.037)*$AJ$3*Table112[[#This Row],[d (mm)]]*(1/25.4)^2)</f>
        <v>1.2280653090204021</v>
      </c>
      <c r="W38" s="3">
        <f>Table112[[#This Row],[M (KN.mm)]]/$G$40</f>
        <v>0.77419354838709675</v>
      </c>
      <c r="X38" s="3">
        <f>Table112[[#This Row],[V/(2*sqrt(fc) bd)]]</f>
        <v>1.2280653090204021</v>
      </c>
      <c r="Y38" s="3">
        <f>2*SQRT($AJ$4*145.037)/Table112[[#This Row],[pho (%)]]*Table112[[#This Row],[a (mm)]]*1/(224.8*25.4^2)</f>
        <v>0.26956248520952747</v>
      </c>
      <c r="Z38" s="7">
        <v>390</v>
      </c>
      <c r="AA38" s="7">
        <v>210</v>
      </c>
      <c r="AB38" s="7">
        <v>236</v>
      </c>
      <c r="AC38" s="7">
        <v>565.49</v>
      </c>
      <c r="AD38" s="3">
        <f t="shared" si="8"/>
        <v>1.3464047619047619</v>
      </c>
      <c r="AE38" s="7">
        <v>629</v>
      </c>
      <c r="AF38" s="7">
        <f t="shared" si="6"/>
        <v>5476704357.9662561</v>
      </c>
      <c r="AG38" s="68">
        <f t="shared" si="7"/>
        <v>1369193333.3333333</v>
      </c>
    </row>
    <row r="39" spans="1:33" x14ac:dyDescent="0.3">
      <c r="A39" s="193" t="s">
        <v>46</v>
      </c>
      <c r="B39" s="194">
        <v>45</v>
      </c>
      <c r="C39" s="3">
        <v>3</v>
      </c>
      <c r="D39" s="3">
        <f>Table112[[#This Row],[a (mm)]]/Table112[[#This Row],[d (mm)]]</f>
        <v>1.8571428571428572</v>
      </c>
      <c r="E39" s="3">
        <f>120/2</f>
        <v>60</v>
      </c>
      <c r="F39" s="3">
        <f>Table112[[#This Row],[d (mm)]]</f>
        <v>210</v>
      </c>
      <c r="G39" s="3">
        <f t="shared" si="0"/>
        <v>23400</v>
      </c>
      <c r="H39" s="3">
        <f t="shared" si="1"/>
        <v>6.4891587612112564E-7</v>
      </c>
      <c r="I39" s="3">
        <f t="shared" si="2"/>
        <v>4.2448979591836735E-4</v>
      </c>
      <c r="J39" s="3">
        <f t="shared" si="3"/>
        <v>0.3132715730743677</v>
      </c>
      <c r="K39" s="3">
        <f t="shared" si="4"/>
        <v>3.4890107272237032E-7</v>
      </c>
      <c r="L39" s="3">
        <f t="shared" si="5"/>
        <v>1.4285714285714286E-3</v>
      </c>
      <c r="M39" s="3">
        <f>Table112[[#This Row],[M (KN.mm)]]/($AJ$3*Table112[[#This Row],[d (mm)]])</f>
        <v>0.55714285714285716</v>
      </c>
      <c r="N39" s="3">
        <f>Table112[[#This Row],[M (KN.mm)]]/($AJ$3*Table112[[#This Row],[h (mm)]])</f>
        <v>0.49576271186440679</v>
      </c>
      <c r="O39" s="3">
        <f>Table112[[#This Row],[M (KN.mm)]]/($AJ$3*Table112[[#This Row],[h (mm)]]*$AJ$2)</f>
        <v>3.966101694915254E-4</v>
      </c>
      <c r="P39" s="3">
        <f>Table112[[#This Row],[M (KN.mm)]]/($AJ$3*Table112[[#This Row],[d (mm)]]*$AJ$2)</f>
        <v>4.4571428571428572E-4</v>
      </c>
      <c r="Q39" s="3">
        <f>Table112[[#This Row],[M (KN.mm)]]/($AJ$3*Table112[[#This Row],[h (mm)]]*$AJ$2*$AJ$4)</f>
        <v>1.2630897117564503E-5</v>
      </c>
      <c r="R39" s="3">
        <f>Table112[[#This Row],[M (KN.mm)]]/($AJ$3*Table112[[#This Row],[h (mm)]]*($AJ$2-Table112[[#This Row],[a (mm)]]))</f>
        <v>5.7646826960977527E-4</v>
      </c>
      <c r="S39" s="3">
        <f>Table112[[#This Row],[M (KN.mm)]]/(Table112[[#This Row],[a (mm)]]*$AJ$3*Table112[[#This Row],[h (mm)]]*($AJ$2-Table112[[#This Row],[a (mm)]]))</f>
        <v>1.4781237682301932E-6</v>
      </c>
      <c r="T39" s="3">
        <f>Table112[[#This Row],[M (KN.mm)]]/(Table112[[#This Row],[a (mm)]]^2*$AJ$3*Table112[[#This Row],[h (mm)]])</f>
        <v>3.2594524119947849E-6</v>
      </c>
      <c r="U39" s="3">
        <f>Table112[[#This Row],[M (KN.mm)]]/($AJ$3*Table112[[#This Row],[d (mm)]]*Table112[[#This Row],[pho (%)]])</f>
        <v>0.41380042087393232</v>
      </c>
      <c r="V39" s="3">
        <f>E39*224.8/(2*SQRT($AJ$4*145.037)*$AJ$3*Table112[[#This Row],[d (mm)]]*(1/25.4)^2)</f>
        <v>1.5350816362755026</v>
      </c>
      <c r="W39" s="3">
        <f>Table112[[#This Row],[M (KN.mm)]]/$G$40</f>
        <v>0.967741935483871</v>
      </c>
      <c r="X39" s="3">
        <f>Table112[[#This Row],[V/(2*sqrt(fc) bd)]]</f>
        <v>1.5350816362755026</v>
      </c>
      <c r="Y39" s="3">
        <f>2*SQRT($AJ$4*145.037)/Table112[[#This Row],[pho (%)]]*Table112[[#This Row],[a (mm)]]*1/(224.8*25.4^2)</f>
        <v>0.26956248520952747</v>
      </c>
      <c r="Z39" s="7">
        <v>390</v>
      </c>
      <c r="AA39" s="7">
        <v>210</v>
      </c>
      <c r="AB39" s="7">
        <v>236</v>
      </c>
      <c r="AC39" s="7">
        <v>565.49</v>
      </c>
      <c r="AD39" s="3">
        <f t="shared" si="8"/>
        <v>1.3464047619047619</v>
      </c>
      <c r="AE39" s="7">
        <v>629</v>
      </c>
      <c r="AF39" s="7">
        <f t="shared" si="6"/>
        <v>5476704357.9662561</v>
      </c>
      <c r="AG39" s="68">
        <f t="shared" si="7"/>
        <v>1369193333.3333333</v>
      </c>
    </row>
    <row r="40" spans="1:33" x14ac:dyDescent="0.3">
      <c r="A40" s="193" t="s">
        <v>46</v>
      </c>
      <c r="B40" s="194">
        <v>46</v>
      </c>
      <c r="C40" s="3">
        <v>4</v>
      </c>
      <c r="D40" s="3">
        <f>Table112[[#This Row],[a (mm)]]/Table112[[#This Row],[d (mm)]]</f>
        <v>1.8571428571428572</v>
      </c>
      <c r="E40" s="3">
        <f>124/2</f>
        <v>62</v>
      </c>
      <c r="F40" s="3">
        <f>Table112[[#This Row],[d (mm)]]</f>
        <v>210</v>
      </c>
      <c r="G40" s="3">
        <f t="shared" si="0"/>
        <v>24180</v>
      </c>
      <c r="H40" s="3">
        <f t="shared" si="1"/>
        <v>6.705464053251631E-7</v>
      </c>
      <c r="I40" s="3">
        <f t="shared" si="2"/>
        <v>4.3863945578231293E-4</v>
      </c>
      <c r="J40" s="3">
        <f t="shared" si="3"/>
        <v>0.32371395884351328</v>
      </c>
      <c r="K40" s="3">
        <f t="shared" si="4"/>
        <v>3.6053110847978266E-7</v>
      </c>
      <c r="L40" s="3">
        <f t="shared" si="5"/>
        <v>1.4761904761904762E-3</v>
      </c>
      <c r="M40" s="3">
        <f>Table112[[#This Row],[M (KN.mm)]]/($AJ$3*Table112[[#This Row],[d (mm)]])</f>
        <v>0.57571428571428573</v>
      </c>
      <c r="N40" s="3">
        <f>Table112[[#This Row],[M (KN.mm)]]/($AJ$3*Table112[[#This Row],[h (mm)]])</f>
        <v>0.51228813559322028</v>
      </c>
      <c r="O40" s="3">
        <f>Table112[[#This Row],[M (KN.mm)]]/($AJ$3*Table112[[#This Row],[h (mm)]]*$AJ$2)</f>
        <v>4.0983050847457627E-4</v>
      </c>
      <c r="P40" s="3">
        <f>Table112[[#This Row],[M (KN.mm)]]/($AJ$3*Table112[[#This Row],[d (mm)]]*$AJ$2)</f>
        <v>4.6057142857142857E-4</v>
      </c>
      <c r="Q40" s="3">
        <f>Table112[[#This Row],[M (KN.mm)]]/($AJ$3*Table112[[#This Row],[h (mm)]]*$AJ$2*$AJ$4)</f>
        <v>1.305192702148332E-5</v>
      </c>
      <c r="R40" s="3">
        <f>Table112[[#This Row],[M (KN.mm)]]/($AJ$3*Table112[[#This Row],[h (mm)]]*($AJ$2-Table112[[#This Row],[a (mm)]]))</f>
        <v>5.9568387859676789E-4</v>
      </c>
      <c r="S40" s="3">
        <f>Table112[[#This Row],[M (KN.mm)]]/(Table112[[#This Row],[a (mm)]]*$AJ$3*Table112[[#This Row],[h (mm)]]*($AJ$2-Table112[[#This Row],[a (mm)]]))</f>
        <v>1.527394560504533E-6</v>
      </c>
      <c r="T40" s="3">
        <f>Table112[[#This Row],[M (KN.mm)]]/(Table112[[#This Row],[a (mm)]]^2*$AJ$3*Table112[[#This Row],[h (mm)]])</f>
        <v>3.3681008257279443E-6</v>
      </c>
      <c r="U40" s="3">
        <f>Table112[[#This Row],[M (KN.mm)]]/($AJ$3*Table112[[#This Row],[d (mm)]]*Table112[[#This Row],[pho (%)]])</f>
        <v>0.42759376823639678</v>
      </c>
      <c r="V40" s="3">
        <f>E40*224.8/(2*SQRT($AJ$4*145.037)*$AJ$3*Table112[[#This Row],[d (mm)]]*(1/25.4)^2)</f>
        <v>1.5862510241513528</v>
      </c>
      <c r="W40" s="3">
        <f>Table112[[#This Row],[M (KN.mm)]]/$G$40</f>
        <v>1</v>
      </c>
      <c r="X40" s="3">
        <f>Table112[[#This Row],[V/(2*sqrt(fc) bd)]]</f>
        <v>1.5862510241513528</v>
      </c>
      <c r="Y40" s="3">
        <f>2*SQRT($AJ$4*145.037)/Table112[[#This Row],[pho (%)]]*Table112[[#This Row],[a (mm)]]*1/(224.8*25.4^2)</f>
        <v>0.26956248520952747</v>
      </c>
      <c r="Z40" s="7">
        <v>390</v>
      </c>
      <c r="AA40" s="7">
        <v>210</v>
      </c>
      <c r="AB40" s="7">
        <v>236</v>
      </c>
      <c r="AC40" s="7">
        <v>565.49</v>
      </c>
      <c r="AD40" s="3">
        <f t="shared" si="8"/>
        <v>1.3464047619047619</v>
      </c>
      <c r="AE40" s="7">
        <v>629</v>
      </c>
      <c r="AF40" s="7">
        <f t="shared" si="6"/>
        <v>5476704357.9662561</v>
      </c>
      <c r="AG40" s="68">
        <f t="shared" si="7"/>
        <v>1369193333.3333333</v>
      </c>
    </row>
    <row r="41" spans="1:33" x14ac:dyDescent="0.3">
      <c r="A41" s="218" t="s">
        <v>47</v>
      </c>
      <c r="B41" s="219">
        <v>47</v>
      </c>
      <c r="C41" s="44">
        <v>2</v>
      </c>
      <c r="D41" s="3">
        <f>Table112[[#This Row],[a (mm)]]/Table112[[#This Row],[d (mm)]]</f>
        <v>1.1400651465798046</v>
      </c>
      <c r="E41" s="44">
        <f>144/2</f>
        <v>72</v>
      </c>
      <c r="F41" s="3">
        <f>Table112[[#This Row],[d (mm)]]</f>
        <v>307</v>
      </c>
      <c r="G41" s="3">
        <f t="shared" si="0"/>
        <v>25200</v>
      </c>
      <c r="H41" s="3">
        <f t="shared" si="1"/>
        <v>2.4432880491857771E-7</v>
      </c>
      <c r="I41" s="3">
        <f t="shared" si="2"/>
        <v>2.1390147375568972E-4</v>
      </c>
      <c r="J41" s="3">
        <f t="shared" si="3"/>
        <v>0.16009984321770188</v>
      </c>
      <c r="K41" s="3">
        <f t="shared" si="4"/>
        <v>1.4638992638102107E-7</v>
      </c>
      <c r="L41" s="3">
        <f t="shared" si="5"/>
        <v>1.1726384364820848E-3</v>
      </c>
      <c r="M41" s="3">
        <f>Table112[[#This Row],[M (KN.mm)]]/($AJ$3*Table112[[#This Row],[d (mm)]])</f>
        <v>0.41042345276872966</v>
      </c>
      <c r="N41" s="3">
        <f>Table112[[#This Row],[M (KN.mm)]]/($AJ$3*Table112[[#This Row],[h (mm)]])</f>
        <v>0.37611940298507462</v>
      </c>
      <c r="O41" s="3">
        <f>Table112[[#This Row],[M (KN.mm)]]/($AJ$3*Table112[[#This Row],[h (mm)]]*$AJ$2)</f>
        <v>3.008955223880597E-4</v>
      </c>
      <c r="P41" s="3">
        <f>Table112[[#This Row],[M (KN.mm)]]/($AJ$3*Table112[[#This Row],[d (mm)]]*$AJ$2)</f>
        <v>3.2833876221498369E-4</v>
      </c>
      <c r="Q41" s="3">
        <f>Table112[[#This Row],[M (KN.mm)]]/($AJ$3*Table112[[#This Row],[h (mm)]]*$AJ$2*$AJ$4)</f>
        <v>9.5826599486643209E-6</v>
      </c>
      <c r="R41" s="3">
        <f>Table112[[#This Row],[M (KN.mm)]]/($AJ$3*Table112[[#This Row],[h (mm)]]*($AJ$2-Table112[[#This Row],[a (mm)]]))</f>
        <v>4.1791044776119402E-4</v>
      </c>
      <c r="S41" s="3">
        <f>Table112[[#This Row],[M (KN.mm)]]/(Table112[[#This Row],[a (mm)]]*$AJ$3*Table112[[#This Row],[h (mm)]]*($AJ$2-Table112[[#This Row],[a (mm)]]))</f>
        <v>1.1940298507462686E-6</v>
      </c>
      <c r="T41" s="3">
        <f>Table112[[#This Row],[M (KN.mm)]]/(Table112[[#This Row],[a (mm)]]^2*$AJ$3*Table112[[#This Row],[h (mm)]])</f>
        <v>3.0703624733475478E-6</v>
      </c>
      <c r="U41" s="3">
        <f>Table112[[#This Row],[M (KN.mm)]]/($AJ$3*Table112[[#This Row],[d (mm)]]*Table112[[#This Row],[pho (%)]])</f>
        <v>0.31333540565744483</v>
      </c>
      <c r="V41" s="3">
        <f>E41*224.8/(2*SQRT($AJ$4*145.037)*$AJ$3*Table112[[#This Row],[d (mm)]]*(1/25.4)^2)</f>
        <v>1.2600670108841259</v>
      </c>
      <c r="W41" s="3">
        <f>Table112[[#This Row],[M (KN.mm)]]/$G$45</f>
        <v>0.47682119205298013</v>
      </c>
      <c r="X41" s="3">
        <f>Table112[[#This Row],[V/(2*sqrt(fc) bd)]]</f>
        <v>1.2600670108841259</v>
      </c>
      <c r="Y41" s="3">
        <f>2*SQRT($AJ$4*145.037)/Table112[[#This Row],[pho (%)]]*Table112[[#This Row],[a (mm)]]*1/(224.8*25.4^2)</f>
        <v>0.24866566853265454</v>
      </c>
      <c r="Z41" s="44">
        <v>350</v>
      </c>
      <c r="AA41" s="44">
        <v>307</v>
      </c>
      <c r="AB41" s="44">
        <v>335</v>
      </c>
      <c r="AC41" s="44">
        <v>804.25</v>
      </c>
      <c r="AD41" s="3">
        <f t="shared" si="8"/>
        <v>1.3098534201954397</v>
      </c>
      <c r="AE41" s="44">
        <v>637.5</v>
      </c>
      <c r="AF41" s="44">
        <f t="shared" si="6"/>
        <v>15663602593.836174</v>
      </c>
      <c r="AG41" s="71">
        <f t="shared" si="7"/>
        <v>3916184895.8333335</v>
      </c>
    </row>
    <row r="42" spans="1:33" x14ac:dyDescent="0.3">
      <c r="A42" s="218" t="s">
        <v>47</v>
      </c>
      <c r="B42" s="219">
        <v>48</v>
      </c>
      <c r="C42" s="44">
        <v>3</v>
      </c>
      <c r="D42" s="3">
        <f>Table112[[#This Row],[a (mm)]]/Table112[[#This Row],[d (mm)]]</f>
        <v>1.1400651465798046</v>
      </c>
      <c r="E42" s="44">
        <f>177/2</f>
        <v>88.5</v>
      </c>
      <c r="F42" s="3">
        <f>Table112[[#This Row],[d (mm)]]</f>
        <v>307</v>
      </c>
      <c r="G42" s="3">
        <f t="shared" si="0"/>
        <v>30975</v>
      </c>
      <c r="H42" s="3">
        <f t="shared" si="1"/>
        <v>3.0032082271241844E-7</v>
      </c>
      <c r="I42" s="3">
        <f t="shared" si="2"/>
        <v>2.6292056149136863E-4</v>
      </c>
      <c r="J42" s="3">
        <f t="shared" si="3"/>
        <v>0.19678939062175857</v>
      </c>
      <c r="K42" s="3">
        <f t="shared" si="4"/>
        <v>1.7993761784333839E-7</v>
      </c>
      <c r="L42" s="3">
        <f t="shared" si="5"/>
        <v>1.4413680781758958E-3</v>
      </c>
      <c r="M42" s="3">
        <f>Table112[[#This Row],[M (KN.mm)]]/($AJ$3*Table112[[#This Row],[d (mm)]])</f>
        <v>0.50447882736156346</v>
      </c>
      <c r="N42" s="3">
        <f>Table112[[#This Row],[M (KN.mm)]]/($AJ$3*Table112[[#This Row],[h (mm)]])</f>
        <v>0.46231343283582088</v>
      </c>
      <c r="O42" s="3">
        <f>Table112[[#This Row],[M (KN.mm)]]/($AJ$3*Table112[[#This Row],[h (mm)]]*$AJ$2)</f>
        <v>3.698507462686567E-4</v>
      </c>
      <c r="P42" s="3">
        <f>Table112[[#This Row],[M (KN.mm)]]/($AJ$3*Table112[[#This Row],[d (mm)]]*$AJ$2)</f>
        <v>4.0358306188925083E-4</v>
      </c>
      <c r="Q42" s="3">
        <f>Table112[[#This Row],[M (KN.mm)]]/($AJ$3*Table112[[#This Row],[h (mm)]]*$AJ$2*$AJ$4)</f>
        <v>1.1778686186899895E-5</v>
      </c>
      <c r="R42" s="3">
        <f>Table112[[#This Row],[M (KN.mm)]]/($AJ$3*Table112[[#This Row],[h (mm)]]*($AJ$2-Table112[[#This Row],[a (mm)]]))</f>
        <v>5.1368159203980096E-4</v>
      </c>
      <c r="S42" s="3">
        <f>Table112[[#This Row],[M (KN.mm)]]/(Table112[[#This Row],[a (mm)]]*$AJ$3*Table112[[#This Row],[h (mm)]]*($AJ$2-Table112[[#This Row],[a (mm)]]))</f>
        <v>1.4676616915422885E-6</v>
      </c>
      <c r="T42" s="3">
        <f>Table112[[#This Row],[M (KN.mm)]]/(Table112[[#This Row],[a (mm)]]^2*$AJ$3*Table112[[#This Row],[h (mm)]])</f>
        <v>3.7739872068230278E-6</v>
      </c>
      <c r="U42" s="3">
        <f>Table112[[#This Row],[M (KN.mm)]]/($AJ$3*Table112[[#This Row],[d (mm)]]*Table112[[#This Row],[pho (%)]])</f>
        <v>0.38514143612060925</v>
      </c>
      <c r="V42" s="3">
        <f>E42*224.8/(2*SQRT($AJ$4*145.037)*$AJ$3*Table112[[#This Row],[d (mm)]]*(1/25.4)^2)</f>
        <v>1.5488323675450713</v>
      </c>
      <c r="W42" s="3">
        <f>Table112[[#This Row],[M (KN.mm)]]/$G$45</f>
        <v>0.58609271523178808</v>
      </c>
      <c r="X42" s="3">
        <f>Table112[[#This Row],[V/(2*sqrt(fc) bd)]]</f>
        <v>1.5488323675450713</v>
      </c>
      <c r="Y42" s="3">
        <f>2*SQRT($AJ$4*145.037)/Table112[[#This Row],[pho (%)]]*Table112[[#This Row],[a (mm)]]*1/(224.8*25.4^2)</f>
        <v>0.24866566853265454</v>
      </c>
      <c r="Z42" s="44">
        <v>350</v>
      </c>
      <c r="AA42" s="44">
        <v>307</v>
      </c>
      <c r="AB42" s="44">
        <v>335</v>
      </c>
      <c r="AC42" s="44">
        <v>804.25</v>
      </c>
      <c r="AD42" s="3">
        <f t="shared" si="8"/>
        <v>1.3098534201954397</v>
      </c>
      <c r="AE42" s="44">
        <v>637.5</v>
      </c>
      <c r="AF42" s="44">
        <f t="shared" si="6"/>
        <v>15663602593.836174</v>
      </c>
      <c r="AG42" s="71">
        <f t="shared" si="7"/>
        <v>3916184895.8333335</v>
      </c>
    </row>
    <row r="43" spans="1:33" x14ac:dyDescent="0.3">
      <c r="A43" s="218" t="s">
        <v>47</v>
      </c>
      <c r="B43" s="219">
        <v>49</v>
      </c>
      <c r="C43" s="44">
        <v>4</v>
      </c>
      <c r="D43" s="3">
        <f>Table112[[#This Row],[a (mm)]]/Table112[[#This Row],[d (mm)]]</f>
        <v>1.1400651465798046</v>
      </c>
      <c r="E43" s="44">
        <f>181/2</f>
        <v>90.5</v>
      </c>
      <c r="F43" s="3">
        <f>Table112[[#This Row],[d (mm)]]</f>
        <v>307</v>
      </c>
      <c r="G43" s="3">
        <f t="shared" si="0"/>
        <v>31675</v>
      </c>
      <c r="H43" s="3">
        <f t="shared" si="1"/>
        <v>3.0710773396015672E-7</v>
      </c>
      <c r="I43" s="3">
        <f t="shared" si="2"/>
        <v>2.6886226909569335E-4</v>
      </c>
      <c r="J43" s="3">
        <f t="shared" si="3"/>
        <v>0.20123660848891695</v>
      </c>
      <c r="K43" s="3">
        <f t="shared" si="4"/>
        <v>1.8400400468725567E-7</v>
      </c>
      <c r="L43" s="3">
        <f t="shared" si="5"/>
        <v>1.4739413680781759E-3</v>
      </c>
      <c r="M43" s="3">
        <f>Table112[[#This Row],[M (KN.mm)]]/($AJ$3*Table112[[#This Row],[d (mm)]])</f>
        <v>0.51587947882736152</v>
      </c>
      <c r="N43" s="3">
        <f>Table112[[#This Row],[M (KN.mm)]]/($AJ$3*Table112[[#This Row],[h (mm)]])</f>
        <v>0.47276119402985073</v>
      </c>
      <c r="O43" s="3">
        <f>Table112[[#This Row],[M (KN.mm)]]/($AJ$3*Table112[[#This Row],[h (mm)]]*$AJ$2)</f>
        <v>3.7820895522388062E-4</v>
      </c>
      <c r="P43" s="3">
        <f>Table112[[#This Row],[M (KN.mm)]]/($AJ$3*Table112[[#This Row],[d (mm)]]*$AJ$2)</f>
        <v>4.1270358306188924E-4</v>
      </c>
      <c r="Q43" s="3">
        <f>Table112[[#This Row],[M (KN.mm)]]/($AJ$3*Table112[[#This Row],[h (mm)]]*$AJ$2*$AJ$4)</f>
        <v>1.2044871185473904E-5</v>
      </c>
      <c r="R43" s="3">
        <f>Table112[[#This Row],[M (KN.mm)]]/($AJ$3*Table112[[#This Row],[h (mm)]]*($AJ$2-Table112[[#This Row],[a (mm)]]))</f>
        <v>5.2529021558872307E-4</v>
      </c>
      <c r="S43" s="3">
        <f>Table112[[#This Row],[M (KN.mm)]]/(Table112[[#This Row],[a (mm)]]*$AJ$3*Table112[[#This Row],[h (mm)]]*($AJ$2-Table112[[#This Row],[a (mm)]]))</f>
        <v>1.5008291873963515E-6</v>
      </c>
      <c r="T43" s="3">
        <f>Table112[[#This Row],[M (KN.mm)]]/(Table112[[#This Row],[a (mm)]]^2*$AJ$3*Table112[[#This Row],[h (mm)]])</f>
        <v>3.8592750533049044E-6</v>
      </c>
      <c r="U43" s="3">
        <f>Table112[[#This Row],[M (KN.mm)]]/($AJ$3*Table112[[#This Row],[d (mm)]]*Table112[[#This Row],[pho (%)]])</f>
        <v>0.39384519738887164</v>
      </c>
      <c r="V43" s="3">
        <f>E43*224.8/(2*SQRT($AJ$4*145.037)*$AJ$3*Table112[[#This Row],[d (mm)]]*(1/25.4)^2)</f>
        <v>1.5838342289585194</v>
      </c>
      <c r="W43" s="3">
        <f>Table112[[#This Row],[M (KN.mm)]]/$G$45</f>
        <v>0.59933774834437081</v>
      </c>
      <c r="X43" s="3">
        <f>Table112[[#This Row],[V/(2*sqrt(fc) bd)]]</f>
        <v>1.5838342289585194</v>
      </c>
      <c r="Y43" s="3">
        <f>2*SQRT($AJ$4*145.037)/Table112[[#This Row],[pho (%)]]*Table112[[#This Row],[a (mm)]]*1/(224.8*25.4^2)</f>
        <v>0.24866566853265454</v>
      </c>
      <c r="Z43" s="44">
        <v>350</v>
      </c>
      <c r="AA43" s="44">
        <v>307</v>
      </c>
      <c r="AB43" s="44">
        <v>335</v>
      </c>
      <c r="AC43" s="44">
        <v>804.25</v>
      </c>
      <c r="AD43" s="3">
        <f t="shared" si="8"/>
        <v>1.3098534201954397</v>
      </c>
      <c r="AE43" s="44">
        <v>637.5</v>
      </c>
      <c r="AF43" s="44">
        <f t="shared" si="6"/>
        <v>15663602593.836174</v>
      </c>
      <c r="AG43" s="71">
        <f t="shared" si="7"/>
        <v>3916184895.8333335</v>
      </c>
    </row>
    <row r="44" spans="1:33" x14ac:dyDescent="0.3">
      <c r="A44" s="218" t="s">
        <v>47</v>
      </c>
      <c r="B44" s="219">
        <v>50</v>
      </c>
      <c r="C44" s="44">
        <v>5</v>
      </c>
      <c r="D44" s="3">
        <f>Table112[[#This Row],[a (mm)]]/Table112[[#This Row],[d (mm)]]</f>
        <v>1.1400651465798046</v>
      </c>
      <c r="E44" s="44">
        <f>196/2</f>
        <v>98</v>
      </c>
      <c r="F44" s="3">
        <f>Table112[[#This Row],[d (mm)]]</f>
        <v>307</v>
      </c>
      <c r="G44" s="3">
        <f t="shared" si="0"/>
        <v>34300</v>
      </c>
      <c r="H44" s="3">
        <f t="shared" si="1"/>
        <v>3.3255865113917523E-7</v>
      </c>
      <c r="I44" s="3">
        <f t="shared" si="2"/>
        <v>2.9114367261191099E-4</v>
      </c>
      <c r="J44" s="3">
        <f t="shared" si="3"/>
        <v>0.21791367549076091</v>
      </c>
      <c r="K44" s="3">
        <f t="shared" si="4"/>
        <v>1.9925295535194535E-7</v>
      </c>
      <c r="L44" s="3">
        <f t="shared" si="5"/>
        <v>1.5960912052117263E-3</v>
      </c>
      <c r="M44" s="3">
        <f>Table112[[#This Row],[M (KN.mm)]]/($AJ$3*Table112[[#This Row],[d (mm)]])</f>
        <v>0.55863192182410426</v>
      </c>
      <c r="N44" s="3">
        <f>Table112[[#This Row],[M (KN.mm)]]/($AJ$3*Table112[[#This Row],[h (mm)]])</f>
        <v>0.5119402985074627</v>
      </c>
      <c r="O44" s="3">
        <f>Table112[[#This Row],[M (KN.mm)]]/($AJ$3*Table112[[#This Row],[h (mm)]]*$AJ$2)</f>
        <v>4.0955223880597015E-4</v>
      </c>
      <c r="P44" s="3">
        <f>Table112[[#This Row],[M (KN.mm)]]/($AJ$3*Table112[[#This Row],[d (mm)]]*$AJ$2)</f>
        <v>4.469055374592834E-4</v>
      </c>
      <c r="Q44" s="3">
        <f>Table112[[#This Row],[M (KN.mm)]]/($AJ$3*Table112[[#This Row],[h (mm)]]*$AJ$2*$AJ$4)</f>
        <v>1.3043064930126438E-5</v>
      </c>
      <c r="R44" s="3">
        <f>Table112[[#This Row],[M (KN.mm)]]/($AJ$3*Table112[[#This Row],[h (mm)]]*($AJ$2-Table112[[#This Row],[a (mm)]]))</f>
        <v>5.688225538971808E-4</v>
      </c>
      <c r="S44" s="3">
        <f>Table112[[#This Row],[M (KN.mm)]]/(Table112[[#This Row],[a (mm)]]*$AJ$3*Table112[[#This Row],[h (mm)]]*($AJ$2-Table112[[#This Row],[a (mm)]]))</f>
        <v>1.625207296849088E-6</v>
      </c>
      <c r="T44" s="3">
        <f>Table112[[#This Row],[M (KN.mm)]]/(Table112[[#This Row],[a (mm)]]^2*$AJ$3*Table112[[#This Row],[h (mm)]])</f>
        <v>4.1791044776119402E-6</v>
      </c>
      <c r="U44" s="3">
        <f>Table112[[#This Row],[M (KN.mm)]]/($AJ$3*Table112[[#This Row],[d (mm)]]*Table112[[#This Row],[pho (%)]])</f>
        <v>0.42648430214485544</v>
      </c>
      <c r="V44" s="3">
        <f>E44*224.8/(2*SQRT($AJ$4*145.037)*$AJ$3*Table112[[#This Row],[d (mm)]]*(1/25.4)^2)</f>
        <v>1.7150912092589492</v>
      </c>
      <c r="W44" s="3">
        <f>Table112[[#This Row],[M (KN.mm)]]/$G$45</f>
        <v>0.64900662251655628</v>
      </c>
      <c r="X44" s="3">
        <f>Table112[[#This Row],[V/(2*sqrt(fc) bd)]]</f>
        <v>1.7150912092589492</v>
      </c>
      <c r="Y44" s="3">
        <f>2*SQRT($AJ$4*145.037)/Table112[[#This Row],[pho (%)]]*Table112[[#This Row],[a (mm)]]*1/(224.8*25.4^2)</f>
        <v>0.24866566853265454</v>
      </c>
      <c r="Z44" s="44">
        <v>350</v>
      </c>
      <c r="AA44" s="44">
        <v>307</v>
      </c>
      <c r="AB44" s="44">
        <v>335</v>
      </c>
      <c r="AC44" s="44">
        <v>804.25</v>
      </c>
      <c r="AD44" s="3">
        <f t="shared" si="8"/>
        <v>1.3098534201954397</v>
      </c>
      <c r="AE44" s="44">
        <v>637.5</v>
      </c>
      <c r="AF44" s="44">
        <f t="shared" si="6"/>
        <v>15663602593.836174</v>
      </c>
      <c r="AG44" s="71">
        <f t="shared" si="7"/>
        <v>3916184895.8333335</v>
      </c>
    </row>
    <row r="45" spans="1:33" x14ac:dyDescent="0.3">
      <c r="A45" s="218" t="s">
        <v>47</v>
      </c>
      <c r="B45" s="219">
        <v>51</v>
      </c>
      <c r="C45" s="44">
        <v>8</v>
      </c>
      <c r="D45" s="3">
        <f>Table112[[#This Row],[a (mm)]]/Table112[[#This Row],[d (mm)]]</f>
        <v>1.1400651465798046</v>
      </c>
      <c r="E45" s="44">
        <v>151</v>
      </c>
      <c r="F45" s="3">
        <f>Table112[[#This Row],[d (mm)]]</f>
        <v>307</v>
      </c>
      <c r="G45" s="3">
        <f t="shared" si="0"/>
        <v>52850</v>
      </c>
      <c r="H45" s="3">
        <f t="shared" si="1"/>
        <v>5.1241179920423942E-7</v>
      </c>
      <c r="I45" s="3">
        <f t="shared" si="2"/>
        <v>4.4859892412651596E-4</v>
      </c>
      <c r="J45" s="3">
        <f t="shared" si="3"/>
        <v>0.33576494897045811</v>
      </c>
      <c r="K45" s="3">
        <f t="shared" si="4"/>
        <v>3.0701220671575253E-7</v>
      </c>
      <c r="L45" s="3">
        <f t="shared" si="5"/>
        <v>2.4592833876221497E-3</v>
      </c>
      <c r="M45" s="3">
        <f>Table112[[#This Row],[M (KN.mm)]]/($AJ$3*Table112[[#This Row],[d (mm)]])</f>
        <v>0.86074918566775249</v>
      </c>
      <c r="N45" s="3">
        <f>Table112[[#This Row],[M (KN.mm)]]/($AJ$3*Table112[[#This Row],[h (mm)]])</f>
        <v>0.78880597014925369</v>
      </c>
      <c r="O45" s="3">
        <f>Table112[[#This Row],[M (KN.mm)]]/($AJ$3*Table112[[#This Row],[h (mm)]]*$AJ$2)</f>
        <v>6.31044776119403E-4</v>
      </c>
      <c r="P45" s="3">
        <f>Table112[[#This Row],[M (KN.mm)]]/($AJ$3*Table112[[#This Row],[d (mm)]]*$AJ$2)</f>
        <v>6.8859934853420196E-4</v>
      </c>
      <c r="Q45" s="3">
        <f>Table112[[#This Row],[M (KN.mm)]]/($AJ$3*Table112[[#This Row],[h (mm)]]*$AJ$2*$AJ$4)</f>
        <v>2.0096967392337676E-5</v>
      </c>
      <c r="R45" s="3">
        <f>Table112[[#This Row],[M (KN.mm)]]/($AJ$3*Table112[[#This Row],[h (mm)]]*($AJ$2-Table112[[#This Row],[a (mm)]]))</f>
        <v>8.7645107794361531E-4</v>
      </c>
      <c r="S45" s="3">
        <f>Table112[[#This Row],[M (KN.mm)]]/(Table112[[#This Row],[a (mm)]]*$AJ$3*Table112[[#This Row],[h (mm)]]*($AJ$2-Table112[[#This Row],[a (mm)]]))</f>
        <v>2.5041459369817578E-6</v>
      </c>
      <c r="T45" s="3">
        <f>Table112[[#This Row],[M (KN.mm)]]/(Table112[[#This Row],[a (mm)]]^2*$AJ$3*Table112[[#This Row],[h (mm)]])</f>
        <v>6.4392324093816631E-6</v>
      </c>
      <c r="U45" s="3">
        <f>Table112[[#This Row],[M (KN.mm)]]/($AJ$3*Table112[[#This Row],[d (mm)]]*Table112[[#This Row],[pho (%)]])</f>
        <v>0.65713397575380794</v>
      </c>
      <c r="V45" s="3">
        <f>E45*224.8/(2*SQRT($AJ$4*145.037)*$AJ$3*Table112[[#This Row],[d (mm)]]*(1/25.4)^2)</f>
        <v>2.6426405367153198</v>
      </c>
      <c r="W45" s="3">
        <f>Table112[[#This Row],[M (KN.mm)]]/$G$45</f>
        <v>1</v>
      </c>
      <c r="X45" s="3">
        <f>Table112[[#This Row],[V/(2*sqrt(fc) bd)]]</f>
        <v>2.6426405367153198</v>
      </c>
      <c r="Y45" s="3">
        <f>2*SQRT($AJ$4*145.037)/Table112[[#This Row],[pho (%)]]*Table112[[#This Row],[a (mm)]]*1/(224.8*25.4^2)</f>
        <v>0.24866566853265454</v>
      </c>
      <c r="Z45" s="44">
        <v>350</v>
      </c>
      <c r="AA45" s="44">
        <v>307</v>
      </c>
      <c r="AB45" s="44">
        <v>335</v>
      </c>
      <c r="AC45" s="44">
        <v>804.25</v>
      </c>
      <c r="AD45" s="3">
        <f t="shared" si="8"/>
        <v>1.3098534201954397</v>
      </c>
      <c r="AE45" s="44">
        <v>637.5</v>
      </c>
      <c r="AF45" s="44">
        <f t="shared" si="6"/>
        <v>15663602593.836174</v>
      </c>
      <c r="AG45" s="71">
        <f t="shared" si="7"/>
        <v>3916184895.8333335</v>
      </c>
    </row>
    <row r="46" spans="1:33" x14ac:dyDescent="0.3">
      <c r="A46" s="220" t="s">
        <v>48</v>
      </c>
      <c r="B46" s="221">
        <v>52</v>
      </c>
      <c r="C46" s="7">
        <v>2</v>
      </c>
      <c r="D46" s="3">
        <f>Table112[[#This Row],[a (mm)]]/Table112[[#This Row],[d (mm)]]</f>
        <v>1.1400651465798046</v>
      </c>
      <c r="E46" s="13">
        <f>0.8*E47</f>
        <v>72</v>
      </c>
      <c r="F46" s="3">
        <f>Table112[[#This Row],[d (mm)]]</f>
        <v>307</v>
      </c>
      <c r="G46" s="3">
        <f t="shared" si="0"/>
        <v>25200</v>
      </c>
      <c r="H46" s="3">
        <f t="shared" si="1"/>
        <v>2.4432880491857771E-7</v>
      </c>
      <c r="I46" s="3">
        <f t="shared" si="2"/>
        <v>2.1390147375568972E-4</v>
      </c>
      <c r="J46" s="3">
        <f t="shared" si="3"/>
        <v>0.15934996104806395</v>
      </c>
      <c r="K46" s="3">
        <f t="shared" si="4"/>
        <v>1.4638992638102107E-7</v>
      </c>
      <c r="L46" s="3">
        <f t="shared" si="5"/>
        <v>1.1726384364820848E-3</v>
      </c>
      <c r="M46" s="3">
        <f>Table112[[#This Row],[M (KN.mm)]]/($AJ$3*Table112[[#This Row],[d (mm)]])</f>
        <v>0.41042345276872966</v>
      </c>
      <c r="N46" s="3">
        <f>Table112[[#This Row],[M (KN.mm)]]/($AJ$3*Table112[[#This Row],[h (mm)]])</f>
        <v>0.37611940298507462</v>
      </c>
      <c r="O46" s="3">
        <f>Table112[[#This Row],[M (KN.mm)]]/($AJ$3*Table112[[#This Row],[h (mm)]]*$AJ$2)</f>
        <v>3.008955223880597E-4</v>
      </c>
      <c r="P46" s="3">
        <f>Table112[[#This Row],[M (KN.mm)]]/($AJ$3*Table112[[#This Row],[d (mm)]]*$AJ$2)</f>
        <v>3.2833876221498369E-4</v>
      </c>
      <c r="Q46" s="3">
        <f>Table112[[#This Row],[M (KN.mm)]]/($AJ$3*Table112[[#This Row],[h (mm)]]*$AJ$2*$AJ$4)</f>
        <v>9.5826599486643209E-6</v>
      </c>
      <c r="R46" s="3">
        <f>Table112[[#This Row],[M (KN.mm)]]/($AJ$3*Table112[[#This Row],[h (mm)]]*($AJ$2-Table112[[#This Row],[a (mm)]]))</f>
        <v>4.1791044776119402E-4</v>
      </c>
      <c r="S46" s="3">
        <f>Table112[[#This Row],[M (KN.mm)]]/(Table112[[#This Row],[a (mm)]]*$AJ$3*Table112[[#This Row],[h (mm)]]*($AJ$2-Table112[[#This Row],[a (mm)]]))</f>
        <v>1.1940298507462686E-6</v>
      </c>
      <c r="T46" s="3">
        <f>Table112[[#This Row],[M (KN.mm)]]/(Table112[[#This Row],[a (mm)]]^2*$AJ$3*Table112[[#This Row],[h (mm)]])</f>
        <v>3.0703624733475478E-6</v>
      </c>
      <c r="U46" s="3">
        <f>Table112[[#This Row],[M (KN.mm)]]/($AJ$3*Table112[[#This Row],[d (mm)]]*Table112[[#This Row],[pho (%)]])</f>
        <v>0.31333540565744483</v>
      </c>
      <c r="V46" s="3">
        <f>E46*224.8/(2*SQRT($AJ$4*145.037)*$AJ$3*Table112[[#This Row],[d (mm)]]*(1/25.4)^2)</f>
        <v>1.2600670108841259</v>
      </c>
      <c r="W46" s="3">
        <f>Table112[[#This Row],[M (KN.mm)]]/$G$48</f>
        <v>0.38451268357810414</v>
      </c>
      <c r="X46" s="3">
        <f>Table112[[#This Row],[V/(2*sqrt(fc) bd)]]</f>
        <v>1.2600670108841259</v>
      </c>
      <c r="Y46" s="3">
        <f>2*SQRT($AJ$4*145.037)/Table112[[#This Row],[pho (%)]]*Table112[[#This Row],[a (mm)]]*1/(224.8*25.4^2)</f>
        <v>0.24866566853265454</v>
      </c>
      <c r="Z46" s="44">
        <v>350</v>
      </c>
      <c r="AA46" s="44">
        <v>307</v>
      </c>
      <c r="AB46" s="44">
        <v>335</v>
      </c>
      <c r="AC46" s="44">
        <v>804.25</v>
      </c>
      <c r="AD46" s="3">
        <f t="shared" si="8"/>
        <v>1.3098534201954397</v>
      </c>
      <c r="AE46" s="44">
        <v>640.5</v>
      </c>
      <c r="AF46" s="44">
        <f t="shared" si="6"/>
        <v>15663602593.836174</v>
      </c>
      <c r="AG46" s="71">
        <f t="shared" si="7"/>
        <v>3916184895.8333335</v>
      </c>
    </row>
    <row r="47" spans="1:33" x14ac:dyDescent="0.3">
      <c r="A47" s="220" t="s">
        <v>48</v>
      </c>
      <c r="B47" s="221">
        <v>53</v>
      </c>
      <c r="C47" s="3">
        <v>6</v>
      </c>
      <c r="D47" s="3">
        <f>Table112[[#This Row],[a (mm)]]/Table112[[#This Row],[d (mm)]]</f>
        <v>1.1400651465798046</v>
      </c>
      <c r="E47" s="7">
        <f>180/2</f>
        <v>90</v>
      </c>
      <c r="F47" s="3">
        <f>Table112[[#This Row],[d (mm)]]</f>
        <v>307</v>
      </c>
      <c r="G47" s="3">
        <f t="shared" si="0"/>
        <v>31500</v>
      </c>
      <c r="H47" s="3">
        <f t="shared" si="1"/>
        <v>3.0541100614822217E-7</v>
      </c>
      <c r="I47" s="3">
        <f t="shared" si="2"/>
        <v>2.6737684219461217E-4</v>
      </c>
      <c r="J47" s="3">
        <f t="shared" si="3"/>
        <v>0.19918745131007992</v>
      </c>
      <c r="K47" s="3">
        <f t="shared" si="4"/>
        <v>1.8298740797627635E-7</v>
      </c>
      <c r="L47" s="3">
        <f t="shared" si="5"/>
        <v>1.4657980456026058E-3</v>
      </c>
      <c r="M47" s="3">
        <f>Table112[[#This Row],[M (KN.mm)]]/($AJ$3*Table112[[#This Row],[d (mm)]])</f>
        <v>0.51302931596091206</v>
      </c>
      <c r="N47" s="3">
        <f>Table112[[#This Row],[M (KN.mm)]]/($AJ$3*Table112[[#This Row],[h (mm)]])</f>
        <v>0.47014925373134331</v>
      </c>
      <c r="O47" s="3">
        <f>Table112[[#This Row],[M (KN.mm)]]/($AJ$3*Table112[[#This Row],[h (mm)]]*$AJ$2)</f>
        <v>3.7611940298507463E-4</v>
      </c>
      <c r="P47" s="3">
        <f>Table112[[#This Row],[M (KN.mm)]]/($AJ$3*Table112[[#This Row],[d (mm)]]*$AJ$2)</f>
        <v>4.1042345276872966E-4</v>
      </c>
      <c r="Q47" s="3">
        <f>Table112[[#This Row],[M (KN.mm)]]/($AJ$3*Table112[[#This Row],[h (mm)]]*$AJ$2*$AJ$4)</f>
        <v>1.1978324935830402E-5</v>
      </c>
      <c r="R47" s="3">
        <f>Table112[[#This Row],[M (KN.mm)]]/($AJ$3*Table112[[#This Row],[h (mm)]]*($AJ$2-Table112[[#This Row],[a (mm)]]))</f>
        <v>5.2238805970149249E-4</v>
      </c>
      <c r="S47" s="3">
        <f>Table112[[#This Row],[M (KN.mm)]]/(Table112[[#This Row],[a (mm)]]*$AJ$3*Table112[[#This Row],[h (mm)]]*($AJ$2-Table112[[#This Row],[a (mm)]]))</f>
        <v>1.4925373134328358E-6</v>
      </c>
      <c r="T47" s="3">
        <f>Table112[[#This Row],[M (KN.mm)]]/(Table112[[#This Row],[a (mm)]]^2*$AJ$3*Table112[[#This Row],[h (mm)]])</f>
        <v>3.8379530916844354E-6</v>
      </c>
      <c r="U47" s="3">
        <f>Table112[[#This Row],[M (KN.mm)]]/($AJ$3*Table112[[#This Row],[d (mm)]]*Table112[[#This Row],[pho (%)]])</f>
        <v>0.39166925707180605</v>
      </c>
      <c r="V47" s="3">
        <f>E47*224.8/(2*SQRT($AJ$4*145.037)*$AJ$3*Table112[[#This Row],[d (mm)]]*(1/25.4)^2)</f>
        <v>1.5750837636051573</v>
      </c>
      <c r="W47" s="3">
        <f>Table112[[#This Row],[M (KN.mm)]]/$G$48</f>
        <v>0.48064085447263016</v>
      </c>
      <c r="X47" s="3">
        <f>Table112[[#This Row],[V/(2*sqrt(fc) bd)]]</f>
        <v>1.5750837636051573</v>
      </c>
      <c r="Y47" s="3">
        <f>2*SQRT($AJ$4*145.037)/Table112[[#This Row],[pho (%)]]*Table112[[#This Row],[a (mm)]]*1/(224.8*25.4^2)</f>
        <v>0.24866566853265454</v>
      </c>
      <c r="Z47" s="44">
        <v>350</v>
      </c>
      <c r="AA47" s="44">
        <v>307</v>
      </c>
      <c r="AB47" s="44">
        <v>335</v>
      </c>
      <c r="AC47" s="44">
        <v>804.25</v>
      </c>
      <c r="AD47" s="3">
        <f t="shared" si="8"/>
        <v>1.3098534201954397</v>
      </c>
      <c r="AE47" s="44">
        <v>640.5</v>
      </c>
      <c r="AF47" s="44">
        <f t="shared" si="6"/>
        <v>15663602593.836174</v>
      </c>
      <c r="AG47" s="71">
        <f t="shared" si="7"/>
        <v>3916184895.8333335</v>
      </c>
    </row>
    <row r="48" spans="1:33" x14ac:dyDescent="0.3">
      <c r="A48" s="222" t="s">
        <v>48</v>
      </c>
      <c r="B48" s="223">
        <v>54</v>
      </c>
      <c r="C48" s="17">
        <v>7</v>
      </c>
      <c r="D48" s="17">
        <f>Table112[[#This Row],[a (mm)]]/Table112[[#This Row],[d (mm)]]</f>
        <v>1.1400651465798046</v>
      </c>
      <c r="E48" s="17">
        <f>374.5/2</f>
        <v>187.25</v>
      </c>
      <c r="F48" s="17">
        <f>Table112[[#This Row],[d (mm)]]</f>
        <v>307</v>
      </c>
      <c r="G48" s="17">
        <f t="shared" si="0"/>
        <v>65537.5</v>
      </c>
      <c r="H48" s="17">
        <f t="shared" si="1"/>
        <v>6.3542456556949556E-7</v>
      </c>
      <c r="I48" s="17">
        <f t="shared" si="2"/>
        <v>5.5629237445490134E-4</v>
      </c>
      <c r="J48" s="17">
        <f t="shared" si="3"/>
        <v>0.41442055842013853</v>
      </c>
      <c r="K48" s="17">
        <f t="shared" si="4"/>
        <v>3.8071546826175272E-7</v>
      </c>
      <c r="L48" s="17">
        <f t="shared" si="5"/>
        <v>3.0496742671009772E-3</v>
      </c>
      <c r="M48" s="17">
        <f>Table112[[#This Row],[M (KN.mm)]]/($AJ$3*Table112[[#This Row],[d (mm)]])</f>
        <v>1.067385993485342</v>
      </c>
      <c r="N48" s="17">
        <f>Table112[[#This Row],[M (KN.mm)]]/($AJ$3*Table112[[#This Row],[h (mm)]])</f>
        <v>0.97817164179104477</v>
      </c>
      <c r="O48" s="17">
        <f>Table112[[#This Row],[M (KN.mm)]]/($AJ$3*Table112[[#This Row],[h (mm)]]*$AJ$2)</f>
        <v>7.8253731343283582E-4</v>
      </c>
      <c r="P48" s="17">
        <f>Table112[[#This Row],[M (KN.mm)]]/($AJ$3*Table112[[#This Row],[d (mm)]]*$AJ$2)</f>
        <v>8.5390879478827362E-4</v>
      </c>
      <c r="Q48" s="17">
        <f>Table112[[#This Row],[M (KN.mm)]]/($AJ$3*Table112[[#This Row],[h (mm)]]*$AJ$2*$AJ$4)</f>
        <v>2.4921570491491586E-5</v>
      </c>
      <c r="R48" s="17">
        <f>Table112[[#This Row],[M (KN.mm)]]/($AJ$3*Table112[[#This Row],[h (mm)]]*($AJ$2-Table112[[#This Row],[a (mm)]]))</f>
        <v>1.0868573797678275E-3</v>
      </c>
      <c r="S48" s="17">
        <f>Table112[[#This Row],[M (KN.mm)]]/(Table112[[#This Row],[a (mm)]]*$AJ$3*Table112[[#This Row],[h (mm)]]*($AJ$2-Table112[[#This Row],[a (mm)]]))</f>
        <v>3.1053067993366502E-6</v>
      </c>
      <c r="T48" s="17">
        <f>Table112[[#This Row],[M (KN.mm)]]/(Table112[[#This Row],[a (mm)]]^2*$AJ$3*Table112[[#This Row],[h (mm)]])</f>
        <v>7.985074626865672E-6</v>
      </c>
      <c r="U48" s="17">
        <f>Table112[[#This Row],[M (KN.mm)]]/($AJ$3*Table112[[#This Row],[d (mm)]]*Table112[[#This Row],[pho (%)]])</f>
        <v>0.81488964874106307</v>
      </c>
      <c r="V48" s="102">
        <f>E48*224.8/(2*SQRT($AJ$4*145.037)*$AJ$3*Table112[[#This Row],[d (mm)]]*(1/25.4)^2)</f>
        <v>3.2770492748340638</v>
      </c>
      <c r="W48" s="17">
        <f>Table112[[#This Row],[M (KN.mm)]]/$G$48</f>
        <v>1</v>
      </c>
      <c r="X48" s="17">
        <f>Table112[[#This Row],[V/(2*sqrt(fc) bd)]]</f>
        <v>3.2770492748340638</v>
      </c>
      <c r="Y48" s="3">
        <f>2*SQRT($AJ$4*145.037)/Table112[[#This Row],[pho (%)]]*Table112[[#This Row],[a (mm)]]*1/(224.8*25.4^2)</f>
        <v>0.24866566853265454</v>
      </c>
      <c r="Z48" s="52">
        <v>350</v>
      </c>
      <c r="AA48" s="52">
        <v>307</v>
      </c>
      <c r="AB48" s="52">
        <v>335</v>
      </c>
      <c r="AC48" s="52">
        <v>804.25</v>
      </c>
      <c r="AD48" s="17">
        <f t="shared" si="8"/>
        <v>1.3098534201954397</v>
      </c>
      <c r="AE48" s="52">
        <v>640.5</v>
      </c>
      <c r="AF48" s="52">
        <f t="shared" si="6"/>
        <v>15663602593.836174</v>
      </c>
      <c r="AG48" s="72">
        <f t="shared" si="7"/>
        <v>3916184895.8333335</v>
      </c>
    </row>
    <row r="49" spans="1:3" x14ac:dyDescent="0.3">
      <c r="A49"/>
      <c r="B49"/>
      <c r="C49"/>
    </row>
    <row r="50" spans="1:3" x14ac:dyDescent="0.3">
      <c r="A50"/>
      <c r="B50"/>
      <c r="C50"/>
    </row>
    <row r="51" spans="1:3" x14ac:dyDescent="0.3">
      <c r="A51"/>
      <c r="B51"/>
      <c r="C51"/>
    </row>
    <row r="52" spans="1:3" x14ac:dyDescent="0.3">
      <c r="A52"/>
      <c r="B52"/>
      <c r="C52"/>
    </row>
    <row r="53" spans="1:3" x14ac:dyDescent="0.3">
      <c r="A53"/>
      <c r="B53"/>
      <c r="C53"/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I87"/>
  <sheetViews>
    <sheetView topLeftCell="A37" workbookViewId="0">
      <selection activeCell="H46" sqref="H46:I46"/>
    </sheetView>
  </sheetViews>
  <sheetFormatPr defaultRowHeight="14.4" x14ac:dyDescent="0.3"/>
  <sheetData>
    <row r="2" spans="3:8" x14ac:dyDescent="0.3">
      <c r="C2" s="109" t="s">
        <v>298</v>
      </c>
      <c r="D2" s="109" t="s">
        <v>299</v>
      </c>
    </row>
    <row r="3" spans="3:8" x14ac:dyDescent="0.3">
      <c r="E3" s="109">
        <v>26.5</v>
      </c>
      <c r="F3" s="109">
        <v>15.14</v>
      </c>
    </row>
    <row r="4" spans="3:8" x14ac:dyDescent="0.3">
      <c r="E4" s="109">
        <v>31.4</v>
      </c>
      <c r="F4" s="109">
        <v>15.14</v>
      </c>
    </row>
    <row r="5" spans="3:8" x14ac:dyDescent="0.3">
      <c r="E5" s="109">
        <v>25.5</v>
      </c>
      <c r="F5" s="109">
        <v>15.14</v>
      </c>
    </row>
    <row r="6" spans="3:8" x14ac:dyDescent="0.3">
      <c r="E6" s="109">
        <v>33.79</v>
      </c>
      <c r="F6" s="109">
        <v>19.809999999999999</v>
      </c>
      <c r="G6">
        <v>0</v>
      </c>
      <c r="H6">
        <v>0</v>
      </c>
    </row>
    <row r="7" spans="3:8" x14ac:dyDescent="0.3">
      <c r="E7" s="109">
        <v>34</v>
      </c>
      <c r="F7" s="109">
        <v>19.809999999999999</v>
      </c>
      <c r="G7">
        <v>1200</v>
      </c>
      <c r="H7">
        <v>1200</v>
      </c>
    </row>
    <row r="8" spans="3:8" x14ac:dyDescent="0.3">
      <c r="E8" s="109">
        <v>35.5</v>
      </c>
      <c r="F8" s="109">
        <v>19.809999999999999</v>
      </c>
    </row>
    <row r="9" spans="3:8" x14ac:dyDescent="0.3">
      <c r="E9" s="109">
        <v>41.4</v>
      </c>
      <c r="F9" s="109">
        <v>25.98</v>
      </c>
    </row>
    <row r="10" spans="3:8" x14ac:dyDescent="0.3">
      <c r="E10" s="109">
        <v>42.3</v>
      </c>
      <c r="F10" s="109">
        <v>25.98</v>
      </c>
    </row>
    <row r="11" spans="3:8" x14ac:dyDescent="0.3">
      <c r="E11" s="109">
        <v>57</v>
      </c>
      <c r="F11" s="109">
        <v>25.98</v>
      </c>
    </row>
    <row r="12" spans="3:8" x14ac:dyDescent="0.3">
      <c r="E12" s="109">
        <v>50</v>
      </c>
      <c r="F12" s="109">
        <v>30.46</v>
      </c>
    </row>
    <row r="13" spans="3:8" x14ac:dyDescent="0.3">
      <c r="E13" s="109">
        <v>50.7</v>
      </c>
      <c r="F13" s="109">
        <v>30.46</v>
      </c>
    </row>
    <row r="14" spans="3:8" x14ac:dyDescent="0.3">
      <c r="E14" s="109">
        <v>44.9</v>
      </c>
      <c r="F14" s="109">
        <v>30.46</v>
      </c>
    </row>
    <row r="15" spans="3:8" x14ac:dyDescent="0.3">
      <c r="E15" s="109">
        <v>63.25</v>
      </c>
      <c r="F15" s="109">
        <v>39.25</v>
      </c>
    </row>
    <row r="16" spans="3:8" x14ac:dyDescent="0.3">
      <c r="E16" s="109">
        <v>70.099999999999994</v>
      </c>
      <c r="F16" s="109">
        <v>39.25</v>
      </c>
    </row>
    <row r="17" spans="3:6" x14ac:dyDescent="0.3">
      <c r="E17" s="109">
        <v>62</v>
      </c>
      <c r="F17" s="109">
        <v>39.25</v>
      </c>
    </row>
    <row r="18" spans="3:6" x14ac:dyDescent="0.3">
      <c r="E18" s="109">
        <v>151</v>
      </c>
      <c r="F18" s="109">
        <v>57.37</v>
      </c>
    </row>
    <row r="19" spans="3:6" x14ac:dyDescent="0.3">
      <c r="E19" s="109">
        <v>187.25</v>
      </c>
      <c r="F19" s="109">
        <v>57.37</v>
      </c>
    </row>
    <row r="20" spans="3:6" x14ac:dyDescent="0.3">
      <c r="C20" s="109">
        <v>324.7</v>
      </c>
      <c r="D20" s="109">
        <v>315.26072484614241</v>
      </c>
    </row>
    <row r="21" spans="3:6" x14ac:dyDescent="0.3">
      <c r="C21" s="109">
        <v>293.55</v>
      </c>
      <c r="D21" s="109">
        <v>360.19815692107983</v>
      </c>
    </row>
    <row r="22" spans="3:6" x14ac:dyDescent="0.3">
      <c r="C22" s="109">
        <v>75.599999999999994</v>
      </c>
      <c r="D22" s="109">
        <v>50.441715975382785</v>
      </c>
    </row>
    <row r="23" spans="3:6" x14ac:dyDescent="0.3">
      <c r="C23" s="109">
        <v>88.95</v>
      </c>
      <c r="D23" s="109">
        <v>50.441715975382785</v>
      </c>
    </row>
    <row r="24" spans="3:6" x14ac:dyDescent="0.3">
      <c r="C24" s="109">
        <v>97.85</v>
      </c>
      <c r="D24" s="109">
        <v>58.846249182011164</v>
      </c>
    </row>
    <row r="25" spans="3:6" x14ac:dyDescent="0.3">
      <c r="C25" s="109">
        <v>86.7</v>
      </c>
      <c r="D25" s="109">
        <v>57.631705107372774</v>
      </c>
    </row>
    <row r="26" spans="3:6" x14ac:dyDescent="0.3">
      <c r="C26" s="109">
        <v>48.924999999999997</v>
      </c>
      <c r="D26" s="109">
        <v>43.666203653414307</v>
      </c>
    </row>
    <row r="27" spans="3:6" x14ac:dyDescent="0.3">
      <c r="C27" s="109">
        <v>51</v>
      </c>
      <c r="D27" s="109">
        <v>44.480290845592471</v>
      </c>
    </row>
    <row r="28" spans="3:6" x14ac:dyDescent="0.3">
      <c r="C28" s="109">
        <v>133.5</v>
      </c>
      <c r="D28" s="109">
        <v>95.475820516409613</v>
      </c>
    </row>
    <row r="29" spans="3:6" x14ac:dyDescent="0.3">
      <c r="C29" s="109">
        <v>136.6</v>
      </c>
      <c r="D29" s="109">
        <v>218.1128658349013</v>
      </c>
    </row>
    <row r="30" spans="3:6" x14ac:dyDescent="0.3">
      <c r="C30" s="109">
        <v>146</v>
      </c>
      <c r="D30" s="109">
        <v>277.91275211563118</v>
      </c>
    </row>
    <row r="31" spans="3:6" x14ac:dyDescent="0.3">
      <c r="C31" s="109">
        <v>160</v>
      </c>
      <c r="D31" s="109">
        <v>359.85480101280268</v>
      </c>
    </row>
    <row r="32" spans="3:6" x14ac:dyDescent="0.3">
      <c r="C32" s="109">
        <v>58.6</v>
      </c>
      <c r="D32" s="109">
        <v>65.122551005708502</v>
      </c>
    </row>
    <row r="33" spans="3:9" x14ac:dyDescent="0.3">
      <c r="C33" s="109">
        <v>153.6</v>
      </c>
      <c r="D33" s="109">
        <v>287.39988916950136</v>
      </c>
    </row>
    <row r="34" spans="3:9" x14ac:dyDescent="0.3">
      <c r="C34" s="109">
        <v>253.7</v>
      </c>
      <c r="D34" s="109">
        <v>476.19309321559643</v>
      </c>
    </row>
    <row r="35" spans="3:9" x14ac:dyDescent="0.3">
      <c r="C35" s="109">
        <v>330.09</v>
      </c>
      <c r="D35" s="109">
        <v>710.51011021012994</v>
      </c>
    </row>
    <row r="36" spans="3:9" x14ac:dyDescent="0.3">
      <c r="C36" s="109">
        <v>422</v>
      </c>
      <c r="D36" s="109">
        <v>304.14091473389425</v>
      </c>
    </row>
    <row r="37" spans="3:9" x14ac:dyDescent="0.3">
      <c r="C37" s="109">
        <v>406</v>
      </c>
      <c r="D37" s="109">
        <v>355.96518421728706</v>
      </c>
    </row>
    <row r="38" spans="3:9" x14ac:dyDescent="0.3">
      <c r="C38" s="109">
        <v>60</v>
      </c>
      <c r="D38" s="109">
        <v>57.493854738296953</v>
      </c>
    </row>
    <row r="39" spans="3:9" x14ac:dyDescent="0.3">
      <c r="C39" s="109">
        <v>66.7</v>
      </c>
      <c r="D39" s="109">
        <v>57.742956546489154</v>
      </c>
    </row>
    <row r="40" spans="3:9" x14ac:dyDescent="0.3">
      <c r="C40" s="109">
        <v>68.900000000000006</v>
      </c>
      <c r="D40" s="109">
        <v>58.045099923767296</v>
      </c>
    </row>
    <row r="41" spans="3:9" x14ac:dyDescent="0.3">
      <c r="C41" s="109">
        <v>64.5</v>
      </c>
      <c r="D41" s="109">
        <v>58.032851892469481</v>
      </c>
    </row>
    <row r="42" spans="3:9" x14ac:dyDescent="0.3">
      <c r="C42" s="109">
        <v>289.12</v>
      </c>
      <c r="D42" s="109">
        <v>346.21389233163654</v>
      </c>
    </row>
    <row r="43" spans="3:9" x14ac:dyDescent="0.3">
      <c r="C43" s="109">
        <v>300.2</v>
      </c>
      <c r="D43" s="109">
        <v>347.03430439877314</v>
      </c>
    </row>
    <row r="44" spans="3:9" x14ac:dyDescent="0.3">
      <c r="C44" s="109">
        <v>60</v>
      </c>
      <c r="D44" s="109">
        <v>60.226251930410818</v>
      </c>
    </row>
    <row r="45" spans="3:9" x14ac:dyDescent="0.3">
      <c r="C45" s="109">
        <v>64.5</v>
      </c>
      <c r="D45" s="109">
        <v>59.564424986120599</v>
      </c>
    </row>
    <row r="46" spans="3:9" x14ac:dyDescent="0.3">
      <c r="C46" s="109">
        <v>1220.2</v>
      </c>
      <c r="D46" s="109">
        <v>2453.385027333662</v>
      </c>
      <c r="G46" t="s">
        <v>308</v>
      </c>
      <c r="H46" s="109">
        <v>1220.2</v>
      </c>
      <c r="I46" s="109">
        <v>2453.385027333662</v>
      </c>
    </row>
    <row r="47" spans="3:9" x14ac:dyDescent="0.3">
      <c r="C47" s="109">
        <v>114.5</v>
      </c>
      <c r="D47" s="109">
        <v>111.39914120993571</v>
      </c>
    </row>
    <row r="48" spans="3:9" x14ac:dyDescent="0.3">
      <c r="C48" s="109">
        <v>112</v>
      </c>
      <c r="D48" s="109">
        <v>112.57489031020607</v>
      </c>
    </row>
    <row r="49" spans="3:4" x14ac:dyDescent="0.3">
      <c r="C49" s="109">
        <v>471</v>
      </c>
      <c r="D49" s="109">
        <v>456.19893529712158</v>
      </c>
    </row>
    <row r="50" spans="3:4" x14ac:dyDescent="0.3">
      <c r="C50" s="109">
        <v>440</v>
      </c>
      <c r="D50" s="109">
        <v>448.69492671021681</v>
      </c>
    </row>
    <row r="51" spans="3:4" x14ac:dyDescent="0.3">
      <c r="C51" s="109">
        <v>1282</v>
      </c>
      <c r="D51" s="109">
        <v>1399.1036567734952</v>
      </c>
    </row>
    <row r="52" spans="3:4" x14ac:dyDescent="0.3">
      <c r="C52" s="109">
        <v>237.5</v>
      </c>
      <c r="D52" s="109">
        <v>217.6088277901716</v>
      </c>
    </row>
    <row r="53" spans="3:4" x14ac:dyDescent="0.3">
      <c r="C53" s="109">
        <v>253</v>
      </c>
      <c r="D53" s="109">
        <v>218.7031752928074</v>
      </c>
    </row>
    <row r="54" spans="3:4" x14ac:dyDescent="0.3">
      <c r="C54" s="109">
        <v>258.5</v>
      </c>
      <c r="D54" s="109">
        <v>218.52584307051055</v>
      </c>
    </row>
    <row r="55" spans="3:4" x14ac:dyDescent="0.3">
      <c r="C55" s="109">
        <v>248.5</v>
      </c>
      <c r="D55" s="109">
        <v>218.52584307051055</v>
      </c>
    </row>
    <row r="56" spans="3:4" x14ac:dyDescent="0.3">
      <c r="C56" s="109">
        <v>249.5</v>
      </c>
      <c r="D56" s="109">
        <v>432.21976677119284</v>
      </c>
    </row>
    <row r="57" spans="3:4" x14ac:dyDescent="0.3">
      <c r="C57" s="109">
        <v>227</v>
      </c>
      <c r="D57" s="109">
        <v>442.78360878303693</v>
      </c>
    </row>
    <row r="58" spans="3:4" x14ac:dyDescent="0.3">
      <c r="C58" s="109">
        <v>260</v>
      </c>
      <c r="D58" s="109">
        <v>598.38117144774571</v>
      </c>
    </row>
    <row r="59" spans="3:4" x14ac:dyDescent="0.3">
      <c r="C59" s="109">
        <v>694</v>
      </c>
      <c r="D59" s="109">
        <v>588.5440985337824</v>
      </c>
    </row>
    <row r="60" spans="3:4" x14ac:dyDescent="0.3">
      <c r="C60" s="109">
        <v>249.5</v>
      </c>
      <c r="D60" s="109">
        <v>390.84434845224735</v>
      </c>
    </row>
    <row r="61" spans="3:4" x14ac:dyDescent="0.3">
      <c r="C61" s="109">
        <v>250</v>
      </c>
      <c r="D61" s="109">
        <v>401.89079055787931</v>
      </c>
    </row>
    <row r="62" spans="3:4" x14ac:dyDescent="0.3">
      <c r="C62" s="109">
        <v>226.5</v>
      </c>
      <c r="D62" s="109">
        <v>369.73636943603475</v>
      </c>
    </row>
    <row r="63" spans="3:4" x14ac:dyDescent="0.3">
      <c r="C63" s="109">
        <v>272.5</v>
      </c>
      <c r="D63" s="109">
        <v>372.35864604944913</v>
      </c>
    </row>
    <row r="64" spans="3:4" x14ac:dyDescent="0.3">
      <c r="C64" s="109">
        <v>36.35</v>
      </c>
      <c r="D64" s="109">
        <v>36.721008118325614</v>
      </c>
    </row>
    <row r="65" spans="3:7" x14ac:dyDescent="0.3">
      <c r="C65" s="109">
        <v>38.049999999999997</v>
      </c>
      <c r="D65" s="109">
        <v>36.721008118325614</v>
      </c>
    </row>
    <row r="66" spans="3:7" x14ac:dyDescent="0.3">
      <c r="C66" s="109">
        <v>38.85</v>
      </c>
      <c r="D66" s="109">
        <v>35.51817294750655</v>
      </c>
    </row>
    <row r="67" spans="3:7" x14ac:dyDescent="0.3">
      <c r="C67" s="109">
        <v>37.950000000000003</v>
      </c>
      <c r="D67" s="109">
        <v>35.016285286734792</v>
      </c>
    </row>
    <row r="68" spans="3:7" x14ac:dyDescent="0.3">
      <c r="C68" s="109">
        <v>41.5</v>
      </c>
      <c r="D68" s="109">
        <v>30.602300724370938</v>
      </c>
    </row>
    <row r="69" spans="3:7" x14ac:dyDescent="0.3">
      <c r="C69" s="109">
        <v>34.5</v>
      </c>
      <c r="D69" s="109">
        <v>30.602300724370938</v>
      </c>
    </row>
    <row r="70" spans="3:7" x14ac:dyDescent="0.3">
      <c r="C70" s="109">
        <v>38.25</v>
      </c>
      <c r="D70" s="109">
        <v>37.415556800297637</v>
      </c>
    </row>
    <row r="71" spans="3:7" x14ac:dyDescent="0.3">
      <c r="C71" s="109">
        <v>40.299999999999997</v>
      </c>
      <c r="D71" s="109">
        <v>37.415556800297637</v>
      </c>
    </row>
    <row r="72" spans="3:7" x14ac:dyDescent="0.3">
      <c r="C72" s="109">
        <v>24.75</v>
      </c>
      <c r="D72" s="109">
        <v>36.14686198410422</v>
      </c>
    </row>
    <row r="73" spans="3:7" x14ac:dyDescent="0.3">
      <c r="C73" s="109">
        <v>37.450000000000003</v>
      </c>
      <c r="D73" s="109">
        <v>48.668335277749989</v>
      </c>
    </row>
    <row r="74" spans="3:7" x14ac:dyDescent="0.3">
      <c r="C74" s="109">
        <v>66</v>
      </c>
      <c r="D74" s="109">
        <v>49.876656311454809</v>
      </c>
    </row>
    <row r="75" spans="3:7" x14ac:dyDescent="0.3">
      <c r="C75" s="109">
        <v>171.5</v>
      </c>
      <c r="D75" s="109">
        <v>422.65048463655484</v>
      </c>
    </row>
    <row r="76" spans="3:7" x14ac:dyDescent="0.3">
      <c r="E76" s="109">
        <v>1365</v>
      </c>
      <c r="F76" s="109">
        <v>1008.3027479373087</v>
      </c>
      <c r="G76" t="s">
        <v>310</v>
      </c>
    </row>
    <row r="77" spans="3:7" x14ac:dyDescent="0.3">
      <c r="C77" s="109">
        <v>230</v>
      </c>
      <c r="D77" s="109">
        <v>530.9899984822747</v>
      </c>
    </row>
    <row r="78" spans="3:7" x14ac:dyDescent="0.3">
      <c r="C78" s="109">
        <v>200</v>
      </c>
      <c r="D78" s="109">
        <v>509.13336600687688</v>
      </c>
    </row>
    <row r="79" spans="3:7" x14ac:dyDescent="0.3">
      <c r="C79" s="109">
        <v>380</v>
      </c>
      <c r="D79" s="109">
        <v>489.8791857548851</v>
      </c>
    </row>
    <row r="80" spans="3:7" x14ac:dyDescent="0.3">
      <c r="E80" s="109">
        <v>353</v>
      </c>
      <c r="F80" s="109">
        <v>368.67415755023751</v>
      </c>
      <c r="G80" t="s">
        <v>309</v>
      </c>
    </row>
    <row r="81" spans="5:7" x14ac:dyDescent="0.3">
      <c r="E81" s="109">
        <v>779.75</v>
      </c>
      <c r="F81" s="109">
        <v>287.79617199530611</v>
      </c>
    </row>
    <row r="82" spans="5:7" x14ac:dyDescent="0.3">
      <c r="E82" s="109">
        <v>1107</v>
      </c>
      <c r="F82" s="109">
        <v>287.79617199530611</v>
      </c>
    </row>
    <row r="83" spans="5:7" x14ac:dyDescent="0.3">
      <c r="E83" s="109">
        <v>826.5</v>
      </c>
      <c r="F83" s="109">
        <v>309.14267918617435</v>
      </c>
    </row>
    <row r="84" spans="5:7" x14ac:dyDescent="0.3">
      <c r="E84" s="109">
        <v>675.5</v>
      </c>
      <c r="F84" s="109">
        <v>350.96734173726651</v>
      </c>
    </row>
    <row r="85" spans="5:7" x14ac:dyDescent="0.3">
      <c r="E85" s="109">
        <v>79.2</v>
      </c>
      <c r="F85" s="109">
        <v>69.891365221947837</v>
      </c>
      <c r="G85" t="s">
        <v>311</v>
      </c>
    </row>
    <row r="86" spans="5:7" x14ac:dyDescent="0.3">
      <c r="E86" s="109">
        <v>75</v>
      </c>
      <c r="F86" s="109">
        <v>70.068709747650161</v>
      </c>
    </row>
    <row r="87" spans="5:7" x14ac:dyDescent="0.3">
      <c r="E87" s="109">
        <v>84.5</v>
      </c>
      <c r="F87" s="109">
        <v>73.761756773501048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108"/>
  <sheetViews>
    <sheetView topLeftCell="A25" workbookViewId="0">
      <selection activeCell="C29" sqref="C29:D29"/>
    </sheetView>
  </sheetViews>
  <sheetFormatPr defaultRowHeight="14.4" x14ac:dyDescent="0.3"/>
  <sheetData>
    <row r="2" spans="3:4" x14ac:dyDescent="0.3">
      <c r="C2" s="109" t="s">
        <v>298</v>
      </c>
      <c r="D2" s="109" t="s">
        <v>299</v>
      </c>
    </row>
    <row r="3" spans="3:4" x14ac:dyDescent="0.3">
      <c r="C3" s="109">
        <v>324.7</v>
      </c>
      <c r="D3" s="109">
        <v>315.26072484614241</v>
      </c>
    </row>
    <row r="4" spans="3:4" x14ac:dyDescent="0.3">
      <c r="C4" s="109">
        <v>293.55</v>
      </c>
      <c r="D4" s="109">
        <v>360.19815692107983</v>
      </c>
    </row>
    <row r="5" spans="3:4" x14ac:dyDescent="0.3">
      <c r="C5" s="109">
        <v>75.599999999999994</v>
      </c>
      <c r="D5" s="109">
        <v>50.441715975382785</v>
      </c>
    </row>
    <row r="6" spans="3:4" x14ac:dyDescent="0.3">
      <c r="C6" s="109">
        <v>88.95</v>
      </c>
      <c r="D6" s="109">
        <v>50.441715975382785</v>
      </c>
    </row>
    <row r="7" spans="3:4" x14ac:dyDescent="0.3">
      <c r="C7" s="109">
        <v>97.85</v>
      </c>
      <c r="D7" s="109">
        <v>58.846249182011164</v>
      </c>
    </row>
    <row r="8" spans="3:4" x14ac:dyDescent="0.3">
      <c r="C8" s="109">
        <v>86.7</v>
      </c>
      <c r="D8" s="109">
        <v>57.631705107372774</v>
      </c>
    </row>
    <row r="9" spans="3:4" x14ac:dyDescent="0.3">
      <c r="C9" s="109">
        <v>48.924999999999997</v>
      </c>
      <c r="D9" s="109">
        <v>43.666203653414307</v>
      </c>
    </row>
    <row r="10" spans="3:4" x14ac:dyDescent="0.3">
      <c r="C10" s="109">
        <v>51</v>
      </c>
      <c r="D10" s="109">
        <v>44.480290845592471</v>
      </c>
    </row>
    <row r="11" spans="3:4" x14ac:dyDescent="0.3">
      <c r="C11" s="109">
        <v>133.5</v>
      </c>
      <c r="D11" s="109">
        <v>95.475820516409613</v>
      </c>
    </row>
    <row r="12" spans="3:4" x14ac:dyDescent="0.3">
      <c r="C12" s="109">
        <v>136.6</v>
      </c>
      <c r="D12" s="109">
        <v>218.1128658349013</v>
      </c>
    </row>
    <row r="13" spans="3:4" x14ac:dyDescent="0.3">
      <c r="C13" s="109">
        <v>146</v>
      </c>
      <c r="D13" s="109">
        <v>277.91275211563118</v>
      </c>
    </row>
    <row r="14" spans="3:4" x14ac:dyDescent="0.3">
      <c r="C14" s="109">
        <v>160</v>
      </c>
      <c r="D14" s="109">
        <v>359.85480101280268</v>
      </c>
    </row>
    <row r="15" spans="3:4" x14ac:dyDescent="0.3">
      <c r="C15" s="109">
        <v>58.6</v>
      </c>
      <c r="D15" s="109">
        <v>65.122551005708502</v>
      </c>
    </row>
    <row r="16" spans="3:4" x14ac:dyDescent="0.3">
      <c r="C16" s="109">
        <v>153.6</v>
      </c>
      <c r="D16" s="109">
        <v>287.39988916950136</v>
      </c>
    </row>
    <row r="17" spans="3:4" x14ac:dyDescent="0.3">
      <c r="C17" s="109">
        <v>253.7</v>
      </c>
      <c r="D17" s="109">
        <v>476.19309321559643</v>
      </c>
    </row>
    <row r="18" spans="3:4" x14ac:dyDescent="0.3">
      <c r="C18" s="109">
        <v>330.09</v>
      </c>
      <c r="D18" s="109">
        <v>710.51011021012994</v>
      </c>
    </row>
    <row r="19" spans="3:4" x14ac:dyDescent="0.3">
      <c r="C19" s="109">
        <v>422</v>
      </c>
      <c r="D19" s="109">
        <v>304.14091473389425</v>
      </c>
    </row>
    <row r="20" spans="3:4" x14ac:dyDescent="0.3">
      <c r="C20" s="109">
        <v>406</v>
      </c>
      <c r="D20" s="109">
        <v>355.96518421728706</v>
      </c>
    </row>
    <row r="21" spans="3:4" x14ac:dyDescent="0.3">
      <c r="C21" s="109">
        <v>60</v>
      </c>
      <c r="D21" s="109">
        <v>57.493854738296953</v>
      </c>
    </row>
    <row r="22" spans="3:4" x14ac:dyDescent="0.3">
      <c r="C22" s="109">
        <v>66.7</v>
      </c>
      <c r="D22" s="109">
        <v>57.742956546489154</v>
      </c>
    </row>
    <row r="23" spans="3:4" x14ac:dyDescent="0.3">
      <c r="C23" s="109">
        <v>68.900000000000006</v>
      </c>
      <c r="D23" s="109">
        <v>58.045099923767296</v>
      </c>
    </row>
    <row r="24" spans="3:4" x14ac:dyDescent="0.3">
      <c r="C24" s="109">
        <v>64.5</v>
      </c>
      <c r="D24" s="109">
        <v>58.032851892469481</v>
      </c>
    </row>
    <row r="25" spans="3:4" x14ac:dyDescent="0.3">
      <c r="C25" s="109">
        <v>289.12</v>
      </c>
      <c r="D25" s="109">
        <v>346.21389233163654</v>
      </c>
    </row>
    <row r="26" spans="3:4" x14ac:dyDescent="0.3">
      <c r="C26" s="109">
        <v>300.2</v>
      </c>
      <c r="D26" s="109">
        <v>347.03430439877314</v>
      </c>
    </row>
    <row r="27" spans="3:4" x14ac:dyDescent="0.3">
      <c r="C27" s="109">
        <v>60</v>
      </c>
      <c r="D27" s="109">
        <v>60.226251930410818</v>
      </c>
    </row>
    <row r="28" spans="3:4" x14ac:dyDescent="0.3">
      <c r="C28" s="109">
        <v>64.5</v>
      </c>
      <c r="D28" s="109">
        <v>59.564424986120599</v>
      </c>
    </row>
    <row r="30" spans="3:4" x14ac:dyDescent="0.3">
      <c r="C30" s="109">
        <v>114.5</v>
      </c>
      <c r="D30" s="109">
        <v>111.39914120993571</v>
      </c>
    </row>
    <row r="31" spans="3:4" x14ac:dyDescent="0.3">
      <c r="C31" s="109">
        <v>112</v>
      </c>
      <c r="D31" s="109">
        <v>112.57489031020607</v>
      </c>
    </row>
    <row r="32" spans="3:4" x14ac:dyDescent="0.3">
      <c r="C32" s="109">
        <v>471</v>
      </c>
      <c r="D32" s="109">
        <v>456.19893529712158</v>
      </c>
    </row>
    <row r="33" spans="3:4" x14ac:dyDescent="0.3">
      <c r="C33" s="109">
        <v>440</v>
      </c>
      <c r="D33" s="109">
        <v>448.69492671021681</v>
      </c>
    </row>
    <row r="34" spans="3:4" x14ac:dyDescent="0.3">
      <c r="C34" s="109">
        <v>1282</v>
      </c>
      <c r="D34" s="109">
        <v>1399.1036567734952</v>
      </c>
    </row>
    <row r="35" spans="3:4" x14ac:dyDescent="0.3">
      <c r="C35" s="109">
        <v>237.5</v>
      </c>
      <c r="D35" s="109">
        <v>217.6088277901716</v>
      </c>
    </row>
    <row r="36" spans="3:4" x14ac:dyDescent="0.3">
      <c r="C36" s="109">
        <v>253</v>
      </c>
      <c r="D36" s="109">
        <v>218.7031752928074</v>
      </c>
    </row>
    <row r="37" spans="3:4" x14ac:dyDescent="0.3">
      <c r="C37" s="109">
        <v>258.5</v>
      </c>
      <c r="D37" s="109">
        <v>218.52584307051055</v>
      </c>
    </row>
    <row r="38" spans="3:4" x14ac:dyDescent="0.3">
      <c r="C38" s="109">
        <v>248.5</v>
      </c>
      <c r="D38" s="109">
        <v>218.52584307051055</v>
      </c>
    </row>
    <row r="39" spans="3:4" x14ac:dyDescent="0.3">
      <c r="C39" s="109">
        <v>249.5</v>
      </c>
      <c r="D39" s="109">
        <v>432.21976677119284</v>
      </c>
    </row>
    <row r="40" spans="3:4" x14ac:dyDescent="0.3">
      <c r="C40" s="109">
        <v>227</v>
      </c>
      <c r="D40" s="109">
        <v>442.78360878303693</v>
      </c>
    </row>
    <row r="41" spans="3:4" x14ac:dyDescent="0.3">
      <c r="C41" s="109">
        <v>260</v>
      </c>
      <c r="D41" s="109">
        <v>598.38117144774571</v>
      </c>
    </row>
    <row r="42" spans="3:4" x14ac:dyDescent="0.3">
      <c r="C42" s="109">
        <v>694</v>
      </c>
      <c r="D42" s="109">
        <v>588.5440985337824</v>
      </c>
    </row>
    <row r="43" spans="3:4" x14ac:dyDescent="0.3">
      <c r="C43" s="109">
        <v>249.5</v>
      </c>
      <c r="D43" s="109">
        <v>390.84434845224735</v>
      </c>
    </row>
    <row r="44" spans="3:4" x14ac:dyDescent="0.3">
      <c r="C44" s="109">
        <v>250</v>
      </c>
      <c r="D44" s="109">
        <v>401.89079055787931</v>
      </c>
    </row>
    <row r="45" spans="3:4" x14ac:dyDescent="0.3">
      <c r="C45" s="109">
        <v>226.5</v>
      </c>
      <c r="D45" s="109">
        <v>369.73636943603475</v>
      </c>
    </row>
    <row r="46" spans="3:4" x14ac:dyDescent="0.3">
      <c r="C46" s="109">
        <v>272.5</v>
      </c>
      <c r="D46" s="109">
        <v>372.35864604944913</v>
      </c>
    </row>
    <row r="47" spans="3:4" x14ac:dyDescent="0.3">
      <c r="C47" s="109">
        <v>36.35</v>
      </c>
      <c r="D47" s="109">
        <v>36.721008118325614</v>
      </c>
    </row>
    <row r="48" spans="3:4" x14ac:dyDescent="0.3">
      <c r="C48" s="109">
        <v>38.049999999999997</v>
      </c>
      <c r="D48" s="109">
        <v>36.721008118325614</v>
      </c>
    </row>
    <row r="49" spans="3:4" x14ac:dyDescent="0.3">
      <c r="C49" s="109">
        <v>38.85</v>
      </c>
      <c r="D49" s="109">
        <v>35.51817294750655</v>
      </c>
    </row>
    <row r="50" spans="3:4" x14ac:dyDescent="0.3">
      <c r="C50" s="109">
        <v>37.950000000000003</v>
      </c>
      <c r="D50" s="109">
        <v>35.016285286734792</v>
      </c>
    </row>
    <row r="51" spans="3:4" x14ac:dyDescent="0.3">
      <c r="C51" s="109">
        <v>41.5</v>
      </c>
      <c r="D51" s="109">
        <v>30.602300724370938</v>
      </c>
    </row>
    <row r="52" spans="3:4" x14ac:dyDescent="0.3">
      <c r="C52" s="109">
        <v>34.5</v>
      </c>
      <c r="D52" s="109">
        <v>30.602300724370938</v>
      </c>
    </row>
    <row r="53" spans="3:4" x14ac:dyDescent="0.3">
      <c r="C53" s="109">
        <v>38.25</v>
      </c>
      <c r="D53" s="109">
        <v>37.415556800297637</v>
      </c>
    </row>
    <row r="54" spans="3:4" x14ac:dyDescent="0.3">
      <c r="C54" s="109">
        <v>40.299999999999997</v>
      </c>
      <c r="D54" s="109">
        <v>37.415556800297637</v>
      </c>
    </row>
    <row r="55" spans="3:4" x14ac:dyDescent="0.3">
      <c r="C55" s="109">
        <v>24.75</v>
      </c>
      <c r="D55" s="109">
        <v>36.14686198410422</v>
      </c>
    </row>
    <row r="56" spans="3:4" x14ac:dyDescent="0.3">
      <c r="C56" s="109">
        <v>37.450000000000003</v>
      </c>
      <c r="D56" s="109">
        <v>48.668335277749989</v>
      </c>
    </row>
    <row r="57" spans="3:4" x14ac:dyDescent="0.3">
      <c r="C57" s="109">
        <v>66</v>
      </c>
      <c r="D57" s="109">
        <v>49.876656311454809</v>
      </c>
    </row>
    <row r="58" spans="3:4" x14ac:dyDescent="0.3">
      <c r="C58" s="109">
        <v>171.5</v>
      </c>
      <c r="D58" s="109">
        <v>422.65048463655484</v>
      </c>
    </row>
    <row r="59" spans="3:4" x14ac:dyDescent="0.3">
      <c r="C59" s="109">
        <v>230</v>
      </c>
      <c r="D59" s="109">
        <v>530.9899984822747</v>
      </c>
    </row>
    <row r="60" spans="3:4" x14ac:dyDescent="0.3">
      <c r="C60" s="109">
        <v>200</v>
      </c>
      <c r="D60" s="109">
        <v>509.13336600687688</v>
      </c>
    </row>
    <row r="61" spans="3:4" x14ac:dyDescent="0.3">
      <c r="C61" s="109">
        <v>380</v>
      </c>
      <c r="D61" s="109">
        <v>489.8791857548851</v>
      </c>
    </row>
    <row r="62" spans="3:4" x14ac:dyDescent="0.3">
      <c r="C62" s="398">
        <f>1.29*D62</f>
        <v>799.80000000000007</v>
      </c>
      <c r="D62" s="398">
        <v>620</v>
      </c>
    </row>
    <row r="63" spans="3:4" x14ac:dyDescent="0.3">
      <c r="C63" s="398">
        <f>1.3*D63</f>
        <v>416</v>
      </c>
      <c r="D63" s="398">
        <v>320</v>
      </c>
    </row>
    <row r="64" spans="3:4" x14ac:dyDescent="0.3">
      <c r="C64" s="398">
        <f>1.31*D64</f>
        <v>282.96000000000004</v>
      </c>
      <c r="D64" s="398">
        <v>216</v>
      </c>
    </row>
    <row r="65" spans="3:4" x14ac:dyDescent="0.3">
      <c r="C65" s="398">
        <f>1.2*D65</f>
        <v>960</v>
      </c>
      <c r="D65" s="398">
        <v>800</v>
      </c>
    </row>
    <row r="66" spans="3:4" x14ac:dyDescent="0.3">
      <c r="C66" s="398">
        <f>1.17*D66</f>
        <v>727.74</v>
      </c>
      <c r="D66" s="398">
        <v>622</v>
      </c>
    </row>
    <row r="67" spans="3:4" x14ac:dyDescent="0.3">
      <c r="C67" s="398">
        <v>387</v>
      </c>
      <c r="D67" s="398">
        <f>C67/1.3</f>
        <v>297.69230769230768</v>
      </c>
    </row>
    <row r="68" spans="3:4" x14ac:dyDescent="0.3">
      <c r="C68" s="398">
        <v>324</v>
      </c>
      <c r="D68" s="398">
        <f>C68/1.35</f>
        <v>239.99999999999997</v>
      </c>
    </row>
    <row r="69" spans="3:4" x14ac:dyDescent="0.3">
      <c r="C69" s="398">
        <v>312</v>
      </c>
      <c r="D69" s="398">
        <f t="shared" ref="D69" si="0">C69/1.3</f>
        <v>240</v>
      </c>
    </row>
    <row r="70" spans="3:4" x14ac:dyDescent="0.3">
      <c r="C70" s="398">
        <v>424.5</v>
      </c>
      <c r="D70" s="398">
        <f>C70/1.16</f>
        <v>365.94827586206901</v>
      </c>
    </row>
    <row r="71" spans="3:4" x14ac:dyDescent="0.3">
      <c r="C71" s="398">
        <v>1000</v>
      </c>
      <c r="D71" s="398">
        <f>C71/1.33</f>
        <v>751.87969924812023</v>
      </c>
    </row>
    <row r="72" spans="3:4" x14ac:dyDescent="0.3">
      <c r="C72" s="398">
        <v>900</v>
      </c>
      <c r="D72" s="398">
        <f>C72/1.2</f>
        <v>750</v>
      </c>
    </row>
    <row r="73" spans="3:4" x14ac:dyDescent="0.3">
      <c r="C73" s="398">
        <v>825</v>
      </c>
      <c r="D73" s="398">
        <f>C73/0.92</f>
        <v>896.73913043478262</v>
      </c>
    </row>
    <row r="74" spans="3:4" x14ac:dyDescent="0.3">
      <c r="C74" s="398">
        <v>775</v>
      </c>
      <c r="D74" s="398">
        <f>C74/0.88</f>
        <v>880.68181818181813</v>
      </c>
    </row>
    <row r="75" spans="3:4" x14ac:dyDescent="0.3">
      <c r="C75" s="327">
        <v>100</v>
      </c>
      <c r="D75" s="327">
        <v>86</v>
      </c>
    </row>
    <row r="76" spans="3:4" x14ac:dyDescent="0.3">
      <c r="C76" s="327">
        <v>178</v>
      </c>
      <c r="D76" s="327">
        <v>125</v>
      </c>
    </row>
    <row r="77" spans="3:4" x14ac:dyDescent="0.3">
      <c r="C77" s="327">
        <v>242</v>
      </c>
      <c r="D77" s="327">
        <v>175</v>
      </c>
    </row>
    <row r="78" spans="3:4" x14ac:dyDescent="0.3">
      <c r="C78" s="327">
        <v>246</v>
      </c>
      <c r="D78" s="327">
        <v>179</v>
      </c>
    </row>
    <row r="79" spans="3:4" x14ac:dyDescent="0.3">
      <c r="C79" s="327">
        <v>130</v>
      </c>
      <c r="D79" s="327">
        <v>86</v>
      </c>
    </row>
    <row r="80" spans="3:4" x14ac:dyDescent="0.3">
      <c r="C80" s="327">
        <v>108</v>
      </c>
      <c r="D80" s="327">
        <v>95</v>
      </c>
    </row>
    <row r="81" spans="3:4" x14ac:dyDescent="0.3">
      <c r="C81" s="327">
        <v>180</v>
      </c>
      <c r="D81" s="327">
        <v>145</v>
      </c>
    </row>
    <row r="82" spans="3:4" x14ac:dyDescent="0.3">
      <c r="C82" s="327">
        <v>259</v>
      </c>
      <c r="D82" s="327">
        <v>180</v>
      </c>
    </row>
    <row r="83" spans="3:4" x14ac:dyDescent="0.3">
      <c r="C83" s="327">
        <v>309</v>
      </c>
      <c r="D83" s="327">
        <v>184</v>
      </c>
    </row>
    <row r="84" spans="3:4" x14ac:dyDescent="0.3">
      <c r="C84" s="327">
        <v>100</v>
      </c>
      <c r="D84" s="327">
        <v>99</v>
      </c>
    </row>
    <row r="85" spans="3:4" x14ac:dyDescent="0.3">
      <c r="C85" s="327">
        <v>204</v>
      </c>
      <c r="D85" s="327">
        <v>150</v>
      </c>
    </row>
    <row r="86" spans="3:4" x14ac:dyDescent="0.3">
      <c r="C86" s="327">
        <v>269</v>
      </c>
      <c r="D86" s="327">
        <v>185</v>
      </c>
    </row>
    <row r="87" spans="3:4" x14ac:dyDescent="0.3">
      <c r="C87" s="327">
        <v>255</v>
      </c>
      <c r="D87" s="327">
        <v>189</v>
      </c>
    </row>
    <row r="88" spans="3:4" x14ac:dyDescent="0.3">
      <c r="C88" s="327">
        <v>118</v>
      </c>
      <c r="D88" s="327">
        <v>118</v>
      </c>
    </row>
    <row r="89" spans="3:4" x14ac:dyDescent="0.3">
      <c r="C89" s="327">
        <v>226</v>
      </c>
      <c r="D89" s="327">
        <v>149</v>
      </c>
    </row>
    <row r="90" spans="3:4" x14ac:dyDescent="0.3">
      <c r="C90" s="327">
        <v>254</v>
      </c>
      <c r="D90" s="327">
        <v>175</v>
      </c>
    </row>
    <row r="91" spans="3:4" x14ac:dyDescent="0.3">
      <c r="C91" s="327">
        <v>267</v>
      </c>
      <c r="D91" s="327">
        <v>179</v>
      </c>
    </row>
    <row r="92" spans="3:4" x14ac:dyDescent="0.3">
      <c r="C92" s="327">
        <v>140</v>
      </c>
      <c r="D92" s="327">
        <v>118</v>
      </c>
    </row>
    <row r="93" spans="3:4" x14ac:dyDescent="0.3">
      <c r="C93" s="399">
        <v>343</v>
      </c>
      <c r="D93" s="399">
        <v>424.3</v>
      </c>
    </row>
    <row r="94" spans="3:4" x14ac:dyDescent="0.3">
      <c r="C94" s="399">
        <v>462</v>
      </c>
      <c r="D94" s="399">
        <v>424.3</v>
      </c>
    </row>
    <row r="95" spans="3:4" x14ac:dyDescent="0.3">
      <c r="C95" s="399">
        <v>310</v>
      </c>
      <c r="D95" s="399">
        <v>413.9</v>
      </c>
    </row>
    <row r="96" spans="3:4" x14ac:dyDescent="0.3">
      <c r="C96" s="399">
        <v>380</v>
      </c>
      <c r="D96" s="399">
        <v>413.9</v>
      </c>
    </row>
    <row r="97" spans="3:4" x14ac:dyDescent="0.3">
      <c r="C97" s="399">
        <v>94</v>
      </c>
      <c r="D97" s="399">
        <v>105</v>
      </c>
    </row>
    <row r="98" spans="3:4" x14ac:dyDescent="0.3">
      <c r="C98" s="399">
        <v>834</v>
      </c>
      <c r="D98" s="399">
        <v>1142</v>
      </c>
    </row>
    <row r="99" spans="3:4" x14ac:dyDescent="0.3">
      <c r="C99" s="399">
        <v>699</v>
      </c>
      <c r="D99" s="399">
        <v>1177</v>
      </c>
    </row>
    <row r="100" spans="3:4" x14ac:dyDescent="0.3">
      <c r="C100" s="327">
        <f>0.89*D100</f>
        <v>283.37599999999998</v>
      </c>
      <c r="D100" s="327">
        <v>318.39999999999998</v>
      </c>
    </row>
    <row r="101" spans="3:4" x14ac:dyDescent="0.3">
      <c r="C101" s="327">
        <f>0.7*D101</f>
        <v>275.17</v>
      </c>
      <c r="D101" s="327">
        <v>393.1</v>
      </c>
    </row>
    <row r="102" spans="3:4" x14ac:dyDescent="0.3">
      <c r="C102" s="327">
        <f>0.93*D102</f>
        <v>450.86400000000003</v>
      </c>
      <c r="D102" s="327">
        <v>484.8</v>
      </c>
    </row>
    <row r="103" spans="3:4" x14ac:dyDescent="0.3">
      <c r="C103" s="327">
        <f>0.8*D103</f>
        <v>396.88000000000005</v>
      </c>
      <c r="D103" s="327">
        <v>496.1</v>
      </c>
    </row>
    <row r="104" spans="3:4" x14ac:dyDescent="0.3">
      <c r="C104" s="400">
        <f>0.95*D104</f>
        <v>633.65</v>
      </c>
      <c r="D104" s="400">
        <v>667</v>
      </c>
    </row>
    <row r="105" spans="3:4" x14ac:dyDescent="0.3">
      <c r="C105" s="400">
        <f>0.48*D105</f>
        <v>351.84</v>
      </c>
      <c r="D105" s="400">
        <v>733</v>
      </c>
    </row>
    <row r="106" spans="3:4" x14ac:dyDescent="0.3">
      <c r="C106" s="401">
        <v>674</v>
      </c>
      <c r="D106" s="401">
        <v>772</v>
      </c>
    </row>
    <row r="107" spans="3:4" x14ac:dyDescent="0.3">
      <c r="C107" s="401">
        <v>550</v>
      </c>
      <c r="D107" s="401">
        <v>764</v>
      </c>
    </row>
    <row r="108" spans="3:4" x14ac:dyDescent="0.3">
      <c r="C108" s="401">
        <v>472</v>
      </c>
      <c r="D108" s="401">
        <v>776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48"/>
  <sheetViews>
    <sheetView zoomScaleNormal="100" workbookViewId="0">
      <selection activeCell="A3" sqref="A3:XFD3"/>
    </sheetView>
  </sheetViews>
  <sheetFormatPr defaultColWidth="9.109375" defaultRowHeight="14.4" x14ac:dyDescent="0.3"/>
  <cols>
    <col min="1" max="2" width="20" style="2" customWidth="1"/>
    <col min="3" max="3" width="14" style="2" customWidth="1"/>
    <col min="4" max="4" width="16" style="2" customWidth="1"/>
    <col min="5" max="5" width="10.88671875" style="2" customWidth="1"/>
    <col min="6" max="6" width="18.33203125" style="2" customWidth="1"/>
    <col min="7" max="7" width="13.44140625" style="2" customWidth="1"/>
    <col min="8" max="8" width="11.88671875" style="2" customWidth="1"/>
    <col min="9" max="9" width="11.44140625" style="2" customWidth="1"/>
    <col min="10" max="10" width="13.109375" style="2" customWidth="1"/>
    <col min="11" max="11" width="8.88671875" style="2" customWidth="1"/>
    <col min="12" max="12" width="9.44140625" style="2" customWidth="1"/>
    <col min="13" max="17" width="10" style="2" customWidth="1"/>
    <col min="18" max="21" width="13.88671875" style="2" customWidth="1"/>
    <col min="22" max="22" width="16" style="2" customWidth="1"/>
    <col min="23" max="29" width="15.88671875" style="2" customWidth="1"/>
    <col min="30" max="30" width="9.44140625" style="2" customWidth="1"/>
    <col min="31" max="32" width="9.5546875" style="2" customWidth="1"/>
    <col min="33" max="33" width="12.6640625" style="2" customWidth="1"/>
    <col min="34" max="34" width="12.44140625" style="2" customWidth="1"/>
    <col min="35" max="35" width="10.6640625" style="2" customWidth="1"/>
    <col min="36" max="36" width="11.6640625" style="2" customWidth="1"/>
    <col min="37" max="37" width="11" style="2" customWidth="1"/>
    <col min="38" max="38" width="12.44140625" customWidth="1"/>
    <col min="39" max="39" width="14.33203125" style="2" customWidth="1"/>
    <col min="40" max="16384" width="9.109375" style="2"/>
  </cols>
  <sheetData>
    <row r="1" spans="1:42" ht="79.5" customHeight="1" x14ac:dyDescent="0.3">
      <c r="A1" s="190" t="s">
        <v>50</v>
      </c>
      <c r="B1" s="73" t="s">
        <v>52</v>
      </c>
      <c r="C1" s="73" t="s">
        <v>4</v>
      </c>
      <c r="D1" s="191" t="s">
        <v>194</v>
      </c>
      <c r="E1" s="73" t="s">
        <v>24</v>
      </c>
      <c r="F1" s="191" t="s">
        <v>63</v>
      </c>
      <c r="G1" s="73" t="s">
        <v>23</v>
      </c>
      <c r="H1" s="73" t="s">
        <v>3</v>
      </c>
      <c r="I1" s="73" t="s">
        <v>307</v>
      </c>
      <c r="J1" s="73" t="s">
        <v>14</v>
      </c>
      <c r="K1" s="73" t="s">
        <v>20</v>
      </c>
      <c r="L1" s="73" t="s">
        <v>19</v>
      </c>
      <c r="M1" s="73" t="s">
        <v>53</v>
      </c>
      <c r="N1" s="73" t="s">
        <v>54</v>
      </c>
      <c r="O1" s="73" t="s">
        <v>79</v>
      </c>
      <c r="P1" s="73" t="s">
        <v>81</v>
      </c>
      <c r="Q1" s="73" t="s">
        <v>82</v>
      </c>
      <c r="R1" s="73" t="s">
        <v>83</v>
      </c>
      <c r="S1" s="73" t="s">
        <v>86</v>
      </c>
      <c r="T1" s="73" t="s">
        <v>87</v>
      </c>
      <c r="U1" s="73" t="s">
        <v>89</v>
      </c>
      <c r="V1" s="73" t="s">
        <v>140</v>
      </c>
      <c r="W1" s="73" t="s">
        <v>103</v>
      </c>
      <c r="X1" s="3" t="s">
        <v>302</v>
      </c>
      <c r="Y1" s="191" t="s">
        <v>60</v>
      </c>
      <c r="Z1" s="191" t="s">
        <v>306</v>
      </c>
      <c r="AA1" s="73" t="s">
        <v>304</v>
      </c>
      <c r="AB1" s="73" t="s">
        <v>305</v>
      </c>
      <c r="AC1" s="73" t="s">
        <v>67</v>
      </c>
      <c r="AD1" s="73" t="s">
        <v>5</v>
      </c>
      <c r="AE1" s="73" t="s">
        <v>9</v>
      </c>
      <c r="AF1" s="73" t="s">
        <v>12</v>
      </c>
      <c r="AG1" s="73" t="s">
        <v>10</v>
      </c>
      <c r="AH1" s="73" t="s">
        <v>11</v>
      </c>
      <c r="AI1" s="73" t="s">
        <v>18</v>
      </c>
      <c r="AJ1" s="73" t="s">
        <v>15</v>
      </c>
      <c r="AK1" s="192" t="s">
        <v>17</v>
      </c>
      <c r="AL1" t="s">
        <v>75</v>
      </c>
      <c r="AM1" s="356" t="s">
        <v>80</v>
      </c>
      <c r="AN1" s="356" t="s">
        <v>90</v>
      </c>
      <c r="AO1" s="356" t="s">
        <v>296</v>
      </c>
      <c r="AP1" s="356" t="s">
        <v>297</v>
      </c>
    </row>
    <row r="2" spans="1:42" x14ac:dyDescent="0.3">
      <c r="A2" s="195" t="s">
        <v>1</v>
      </c>
      <c r="B2" s="196">
        <v>5</v>
      </c>
      <c r="C2" s="3">
        <v>2</v>
      </c>
      <c r="D2" s="3">
        <f>Table11215[[#This Row],[a (mm)]]/Table11215[[#This Row],[d (mm)]]</f>
        <v>4.8148148148148149</v>
      </c>
      <c r="E2" s="3">
        <v>25</v>
      </c>
      <c r="F2" s="3">
        <f>Table11215[[#This Row],[d (mm)]]</f>
        <v>81</v>
      </c>
      <c r="G2" s="3">
        <f t="shared" ref="G2:G43" si="0">E2*AD2</f>
        <v>9750</v>
      </c>
      <c r="H2" s="3">
        <f t="shared" ref="H2:H43" si="1">G2/($AN$5*AK2*0.001)</f>
        <v>3.0700487341901024E-6</v>
      </c>
      <c r="I2" s="3">
        <f>G2/($AN$3*Table11215[[#This Row],[h]]^2)</f>
        <v>4.4217687074829936E-3</v>
      </c>
      <c r="J2" s="3">
        <f t="shared" ref="J2:J43" si="2">G2/(AG2*AI2*AE2*0.001)</f>
        <v>0.76629368795047381</v>
      </c>
      <c r="K2" s="3">
        <f t="shared" ref="K2:K43" si="3">E2/($AN$4*AJ2*0.001)</f>
        <v>1.6506454551531173E-6</v>
      </c>
      <c r="L2" s="3">
        <f t="shared" ref="L2:L43" si="4">E2/($AN$3*AE2)</f>
        <v>1.5432098765432098E-3</v>
      </c>
      <c r="M2" s="3">
        <f>Table11215[[#This Row],[M (KN.mm)]]/($AN$3*Table11215[[#This Row],[d (mm)]])</f>
        <v>0.60185185185185186</v>
      </c>
      <c r="N2" s="3">
        <f>Table11215[[#This Row],[M (KN.mm)]]/($AN$3*Table11215[[#This Row],[h (mm)]])</f>
        <v>0.4642857142857143</v>
      </c>
      <c r="O2" s="3">
        <f>Table11215[[#This Row],[M (KN.mm)]]/($AN$3*Table11215[[#This Row],[h (mm)]]*$AN$2)</f>
        <v>3.7142857142857143E-4</v>
      </c>
      <c r="P2" s="3">
        <f>Table11215[[#This Row],[M (KN.mm)]]/($AN$3*Table11215[[#This Row],[d (mm)]]*$AN$2)</f>
        <v>4.814814814814815E-4</v>
      </c>
      <c r="Q2" s="3">
        <f>Table11215[[#This Row],[M (KN.mm)]]/($AN$3*Table11215[[#This Row],[h (mm)]]*$AN$2*$AN$4)</f>
        <v>1.1828935395814377E-5</v>
      </c>
      <c r="R2" s="3">
        <f>Table11215[[#This Row],[M (KN.mm)]]/($AN$3*Table11215[[#This Row],[h (mm)]]*($AN$2-Table11215[[#This Row],[a (mm)]]))</f>
        <v>5.3986710963455152E-4</v>
      </c>
      <c r="S2" s="3">
        <f>Table11215[[#This Row],[M (KN.mm)]]/(Table11215[[#This Row],[a (mm)]]*$AN$3*Table11215[[#This Row],[h (mm)]]*($AN$2-Table11215[[#This Row],[a (mm)]]))</f>
        <v>1.3842746400885937E-6</v>
      </c>
      <c r="T2" s="3">
        <f>Table11215[[#This Row],[M (KN.mm)]]/(Table11215[[#This Row],[a (mm)]]^2*$AN$3*Table11215[[#This Row],[h (mm)]])</f>
        <v>3.0525030525030525E-6</v>
      </c>
      <c r="U2" s="3">
        <f>Table11215[[#This Row],[M (KN.mm)]]/($AN$3*Table11215[[#This Row],[d (mm)]]*Table11215[[#This Row],[pho (%)]])</f>
        <v>0.38793617952492737</v>
      </c>
      <c r="V2" s="3">
        <f>E2*224.8/(2*SQRT($AN$4*145.037)*$AN$3*Table11215[[#This Row],[d (mm)]]*(1/25.4)^2)</f>
        <v>1.6582671996803269</v>
      </c>
      <c r="W2" s="3">
        <f>Table11215[[#This Row],[M (KN.mm)]]/$G$3</f>
        <v>0.79617834394904463</v>
      </c>
      <c r="X2" s="3">
        <f>Table11215[[#This Row],[V/(2*sqrt(fc) bd)]]</f>
        <v>1.6582671996803269</v>
      </c>
      <c r="Y2" s="3">
        <f>Table11215[[#This Row],[a (mm)]]</f>
        <v>390</v>
      </c>
      <c r="Z2" s="3">
        <f>Table11215[[#This Row],[width]]*Table11215[[#This Row],[h]]^2</f>
        <v>2205000</v>
      </c>
      <c r="AA2" s="3">
        <f t="shared" ref="AA2:AA43" si="5">$AN$3</f>
        <v>200</v>
      </c>
      <c r="AB2" s="3">
        <f>Table11215[[#This Row],[a]]/Table11215[[#This Row],[h (mm)]]</f>
        <v>3.7142857142857144</v>
      </c>
      <c r="AC2" s="3">
        <f>Table11215[[#This Row],[h (mm)]]</f>
        <v>105</v>
      </c>
      <c r="AD2" s="3">
        <v>390</v>
      </c>
      <c r="AE2" s="3">
        <v>81</v>
      </c>
      <c r="AF2" s="3">
        <v>105</v>
      </c>
      <c r="AG2" s="3">
        <v>251.33</v>
      </c>
      <c r="AH2" s="3">
        <f t="shared" ref="AH2:AH43" si="6">AG2/($AN$3*AE2)*100</f>
        <v>1.5514197530864198</v>
      </c>
      <c r="AI2" s="3">
        <v>625</v>
      </c>
      <c r="AJ2" s="3">
        <f t="shared" ref="AJ2:AJ43" si="7">(1/3-0.21*(MIN($AN$2,AF2)/MAX($AN$2,AF2))*(MIN($AN$2,AF2)^4/(12*MAX($AN$2,AF2)^4)))*MAX($AN$2,AF2)*MIN($AN$2,AF2)^3</f>
        <v>482343644.0959937</v>
      </c>
      <c r="AK2" s="63">
        <f t="shared" ref="AK2:AK43" si="8">$AN$2*AF2^3/12</f>
        <v>120585937.5</v>
      </c>
      <c r="AM2" s="354" t="s">
        <v>22</v>
      </c>
      <c r="AN2" s="354">
        <v>1250</v>
      </c>
      <c r="AO2" s="354"/>
      <c r="AP2" s="354"/>
    </row>
    <row r="3" spans="1:42" x14ac:dyDescent="0.3">
      <c r="A3" s="195" t="s">
        <v>1</v>
      </c>
      <c r="B3" s="196">
        <v>6</v>
      </c>
      <c r="C3" s="3">
        <v>3</v>
      </c>
      <c r="D3" s="3">
        <f>Table11215[[#This Row],[a (mm)]]/Table11215[[#This Row],[d (mm)]]</f>
        <v>4.8148148148148149</v>
      </c>
      <c r="E3" s="3">
        <v>31.4</v>
      </c>
      <c r="F3" s="3">
        <f>Table11215[[#This Row],[d (mm)]]</f>
        <v>81</v>
      </c>
      <c r="G3" s="3">
        <f t="shared" si="0"/>
        <v>12246</v>
      </c>
      <c r="H3" s="3">
        <f t="shared" si="1"/>
        <v>3.8559812101427685E-6</v>
      </c>
      <c r="I3" s="3">
        <f>G3/($AN$3*Table11215[[#This Row],[h]]^2)</f>
        <v>5.5537414965986399E-3</v>
      </c>
      <c r="J3" s="3">
        <f t="shared" si="2"/>
        <v>0.96246487206579512</v>
      </c>
      <c r="K3" s="3">
        <f t="shared" si="3"/>
        <v>2.0732106916723153E-6</v>
      </c>
      <c r="L3" s="3">
        <f t="shared" si="4"/>
        <v>1.9382716049382714E-3</v>
      </c>
      <c r="M3" s="3">
        <f>Table11215[[#This Row],[M (KN.mm)]]/($AN$3*Table11215[[#This Row],[d (mm)]])</f>
        <v>0.75592592592592589</v>
      </c>
      <c r="N3" s="3">
        <f>Table11215[[#This Row],[M (KN.mm)]]/($AN$3*Table11215[[#This Row],[h (mm)]])</f>
        <v>0.58314285714285718</v>
      </c>
      <c r="O3" s="3">
        <f>Table11215[[#This Row],[M (KN.mm)]]/($AN$3*Table11215[[#This Row],[h (mm)]]*$AN$2)</f>
        <v>4.6651428571428574E-4</v>
      </c>
      <c r="P3" s="3">
        <f>Table11215[[#This Row],[M (KN.mm)]]/($AN$3*Table11215[[#This Row],[d (mm)]]*$AN$2)</f>
        <v>6.0474074074074076E-4</v>
      </c>
      <c r="Q3" s="3">
        <f>Table11215[[#This Row],[M (KN.mm)]]/($AN$3*Table11215[[#This Row],[h (mm)]]*$AN$2*$AN$4)</f>
        <v>1.4857142857142857E-5</v>
      </c>
      <c r="R3" s="3">
        <f>Table11215[[#This Row],[M (KN.mm)]]/($AN$3*Table11215[[#This Row],[h (mm)]]*($AN$2-Table11215[[#This Row],[a (mm)]]))</f>
        <v>6.780730897009967E-4</v>
      </c>
      <c r="S3" s="3">
        <f>Table11215[[#This Row],[M (KN.mm)]]/(Table11215[[#This Row],[a (mm)]]*$AN$3*Table11215[[#This Row],[h (mm)]]*($AN$2-Table11215[[#This Row],[a (mm)]]))</f>
        <v>1.7386489479512734E-6</v>
      </c>
      <c r="T3" s="3">
        <f>Table11215[[#This Row],[M (KN.mm)]]/(Table11215[[#This Row],[a (mm)]]^2*$AN$3*Table11215[[#This Row],[h (mm)]])</f>
        <v>3.8339438339438343E-6</v>
      </c>
      <c r="U3" s="3">
        <f>Table11215[[#This Row],[M (KN.mm)]]/($AN$3*Table11215[[#This Row],[d (mm)]]*Table11215[[#This Row],[pho (%)]])</f>
        <v>0.4872478414833088</v>
      </c>
      <c r="V3" s="3">
        <f>E3*224.8/(2*SQRT($AN$4*145.037)*$AN$3*Table11215[[#This Row],[d (mm)]]*(1/25.4)^2)</f>
        <v>2.0827836027984907</v>
      </c>
      <c r="W3" s="3">
        <f>Table11215[[#This Row],[M (KN.mm)]]/$G$3</f>
        <v>1</v>
      </c>
      <c r="X3" s="3">
        <f>Table11215[[#This Row],[V/(2*sqrt(fc) bd)]]</f>
        <v>2.0827836027984907</v>
      </c>
      <c r="Y3" s="3">
        <f>Table11215[[#This Row],[a (mm)]]</f>
        <v>390</v>
      </c>
      <c r="Z3" s="3">
        <f>Table11215[[#This Row],[width]]*Table11215[[#This Row],[h]]^2</f>
        <v>2205000</v>
      </c>
      <c r="AA3" s="3">
        <f t="shared" si="5"/>
        <v>200</v>
      </c>
      <c r="AB3" s="3">
        <f>Table11215[[#This Row],[a]]/Table11215[[#This Row],[h (mm)]]</f>
        <v>3.7142857142857144</v>
      </c>
      <c r="AC3" s="3">
        <f>Table11215[[#This Row],[h (mm)]]</f>
        <v>105</v>
      </c>
      <c r="AD3" s="3">
        <v>390</v>
      </c>
      <c r="AE3" s="3">
        <v>81</v>
      </c>
      <c r="AF3" s="3">
        <v>105</v>
      </c>
      <c r="AG3" s="3">
        <v>251.33</v>
      </c>
      <c r="AH3" s="3">
        <f t="shared" si="6"/>
        <v>1.5514197530864198</v>
      </c>
      <c r="AI3" s="3">
        <v>625</v>
      </c>
      <c r="AJ3" s="3">
        <f t="shared" si="7"/>
        <v>482343644.0959937</v>
      </c>
      <c r="AK3" s="63">
        <f t="shared" si="8"/>
        <v>120585937.5</v>
      </c>
      <c r="AM3" s="354" t="s">
        <v>6</v>
      </c>
      <c r="AN3" s="354">
        <v>200</v>
      </c>
      <c r="AO3" s="354"/>
      <c r="AP3" s="354">
        <f>AN2/25.4</f>
        <v>49.212598425196852</v>
      </c>
    </row>
    <row r="4" spans="1:42" x14ac:dyDescent="0.3">
      <c r="A4" s="197" t="s">
        <v>2</v>
      </c>
      <c r="B4" s="198">
        <v>8</v>
      </c>
      <c r="C4" s="3">
        <v>3</v>
      </c>
      <c r="D4" s="3">
        <f>Table11215[[#This Row],[a (mm)]]/Table11215[[#This Row],[d (mm)]]</f>
        <v>4.8148148148148149</v>
      </c>
      <c r="E4" s="3">
        <v>22.5</v>
      </c>
      <c r="F4" s="3">
        <f>Table11215[[#This Row],[d (mm)]]</f>
        <v>81</v>
      </c>
      <c r="G4" s="3">
        <f t="shared" si="0"/>
        <v>8775</v>
      </c>
      <c r="H4" s="3">
        <f t="shared" si="1"/>
        <v>2.7630438607710921E-6</v>
      </c>
      <c r="I4" s="3">
        <f>G4/($AN$3*Table11215[[#This Row],[h]]^2)</f>
        <v>3.9795918367346939E-3</v>
      </c>
      <c r="J4" s="3">
        <f t="shared" si="2"/>
        <v>0.68966431915542636</v>
      </c>
      <c r="K4" s="3">
        <f t="shared" si="3"/>
        <v>1.4855809096378055E-6</v>
      </c>
      <c r="L4" s="3">
        <f t="shared" si="4"/>
        <v>1.3888888888888889E-3</v>
      </c>
      <c r="M4" s="3">
        <f>Table11215[[#This Row],[M (KN.mm)]]/($AN$3*Table11215[[#This Row],[d (mm)]])</f>
        <v>0.54166666666666663</v>
      </c>
      <c r="N4" s="3">
        <f>Table11215[[#This Row],[M (KN.mm)]]/($AN$3*Table11215[[#This Row],[h (mm)]])</f>
        <v>0.41785714285714287</v>
      </c>
      <c r="O4" s="3">
        <f>Table11215[[#This Row],[M (KN.mm)]]/($AN$3*Table11215[[#This Row],[h (mm)]]*$AN$2)</f>
        <v>3.3428571428571426E-4</v>
      </c>
      <c r="P4" s="3">
        <f>Table11215[[#This Row],[M (KN.mm)]]/($AN$3*Table11215[[#This Row],[d (mm)]]*$AN$2)</f>
        <v>4.3333333333333331E-4</v>
      </c>
      <c r="Q4" s="3">
        <f>Table11215[[#This Row],[M (KN.mm)]]/($AN$3*Table11215[[#This Row],[h (mm)]]*$AN$2*$AN$4)</f>
        <v>1.064604185623294E-5</v>
      </c>
      <c r="R4" s="3">
        <f>Table11215[[#This Row],[M (KN.mm)]]/($AN$3*Table11215[[#This Row],[h (mm)]]*($AN$2-Table11215[[#This Row],[a (mm)]]))</f>
        <v>4.8588039867109636E-4</v>
      </c>
      <c r="S4" s="3">
        <f>Table11215[[#This Row],[M (KN.mm)]]/(Table11215[[#This Row],[a (mm)]]*$AN$3*Table11215[[#This Row],[h (mm)]]*($AN$2-Table11215[[#This Row],[a (mm)]]))</f>
        <v>1.2458471760797342E-6</v>
      </c>
      <c r="T4" s="3">
        <f>Table11215[[#This Row],[M (KN.mm)]]/(Table11215[[#This Row],[a (mm)]]^2*$AN$3*Table11215[[#This Row],[h (mm)]])</f>
        <v>2.7472527472527472E-6</v>
      </c>
      <c r="U4" s="3">
        <f>Table11215[[#This Row],[M (KN.mm)]]/($AN$3*Table11215[[#This Row],[d (mm)]]*Table11215[[#This Row],[pho (%)]])</f>
        <v>0.34914256157243467</v>
      </c>
      <c r="V4" s="3">
        <f>E4*224.8/(2*SQRT($AN$4*145.037)*$AN$3*Table11215[[#This Row],[d (mm)]]*(1/25.4)^2)</f>
        <v>1.4924404797122941</v>
      </c>
      <c r="W4" s="3">
        <f>Table11215[[#This Row],[M (KN.mm)]]/$G$5</f>
        <v>0.88235294117647056</v>
      </c>
      <c r="X4" s="3">
        <f>Table11215[[#This Row],[V/(2*sqrt(fc) bd)]]</f>
        <v>1.4924404797122941</v>
      </c>
      <c r="Y4" s="3">
        <f>Table11215[[#This Row],[a (mm)]]</f>
        <v>390</v>
      </c>
      <c r="Z4" s="3">
        <f>Table11215[[#This Row],[width]]*Table11215[[#This Row],[h]]^2</f>
        <v>2205000</v>
      </c>
      <c r="AA4" s="3">
        <f t="shared" si="5"/>
        <v>200</v>
      </c>
      <c r="AB4" s="3">
        <f>Table11215[[#This Row],[a]]/Table11215[[#This Row],[h (mm)]]</f>
        <v>3.7142857142857144</v>
      </c>
      <c r="AC4" s="3">
        <f>Table11215[[#This Row],[h (mm)]]</f>
        <v>105</v>
      </c>
      <c r="AD4" s="3">
        <v>390</v>
      </c>
      <c r="AE4" s="3">
        <v>81</v>
      </c>
      <c r="AF4" s="3">
        <v>105</v>
      </c>
      <c r="AG4" s="3">
        <v>251.33</v>
      </c>
      <c r="AH4" s="3">
        <f t="shared" si="6"/>
        <v>1.5514197530864198</v>
      </c>
      <c r="AI4" s="3">
        <v>625</v>
      </c>
      <c r="AJ4" s="3">
        <f t="shared" si="7"/>
        <v>482343644.0959937</v>
      </c>
      <c r="AK4" s="63">
        <f t="shared" si="8"/>
        <v>120585937.5</v>
      </c>
      <c r="AM4" s="354" t="s">
        <v>7</v>
      </c>
      <c r="AN4" s="354">
        <v>31.4</v>
      </c>
      <c r="AO4" s="354"/>
      <c r="AP4" s="354"/>
    </row>
    <row r="5" spans="1:42" x14ac:dyDescent="0.3">
      <c r="A5" s="197" t="s">
        <v>2</v>
      </c>
      <c r="B5" s="198">
        <v>9</v>
      </c>
      <c r="C5" s="3">
        <v>4</v>
      </c>
      <c r="D5" s="3">
        <f>Table11215[[#This Row],[a (mm)]]/Table11215[[#This Row],[d (mm)]]</f>
        <v>4.8148148148148149</v>
      </c>
      <c r="E5" s="3">
        <v>25.5</v>
      </c>
      <c r="F5" s="3">
        <f>Table11215[[#This Row],[d (mm)]]</f>
        <v>81</v>
      </c>
      <c r="G5" s="3">
        <f t="shared" si="0"/>
        <v>9945</v>
      </c>
      <c r="H5" s="3">
        <f t="shared" si="1"/>
        <v>3.1314497088739043E-6</v>
      </c>
      <c r="I5" s="3">
        <f>G5/($AN$3*Table11215[[#This Row],[h]]^2)</f>
        <v>4.5102040816326532E-3</v>
      </c>
      <c r="J5" s="3">
        <f t="shared" si="2"/>
        <v>0.78161956170948321</v>
      </c>
      <c r="K5" s="3">
        <f t="shared" si="3"/>
        <v>1.6836583642561794E-6</v>
      </c>
      <c r="L5" s="3">
        <f t="shared" si="4"/>
        <v>1.5740740740740741E-3</v>
      </c>
      <c r="M5" s="3">
        <f>Table11215[[#This Row],[M (KN.mm)]]/($AN$3*Table11215[[#This Row],[d (mm)]])</f>
        <v>0.61388888888888893</v>
      </c>
      <c r="N5" s="3">
        <f>Table11215[[#This Row],[M (KN.mm)]]/($AN$3*Table11215[[#This Row],[h (mm)]])</f>
        <v>0.47357142857142859</v>
      </c>
      <c r="O5" s="3">
        <f>Table11215[[#This Row],[M (KN.mm)]]/($AN$3*Table11215[[#This Row],[h (mm)]]*$AN$2)</f>
        <v>3.7885714285714286E-4</v>
      </c>
      <c r="P5" s="3">
        <f>Table11215[[#This Row],[M (KN.mm)]]/($AN$3*Table11215[[#This Row],[d (mm)]]*$AN$2)</f>
        <v>4.9111111111111111E-4</v>
      </c>
      <c r="Q5" s="3">
        <f>Table11215[[#This Row],[M (KN.mm)]]/($AN$3*Table11215[[#This Row],[h (mm)]]*$AN$2*$AN$4)</f>
        <v>1.2065514103730665E-5</v>
      </c>
      <c r="R5" s="3">
        <f>Table11215[[#This Row],[M (KN.mm)]]/($AN$3*Table11215[[#This Row],[h (mm)]]*($AN$2-Table11215[[#This Row],[a (mm)]]))</f>
        <v>5.5066445182724248E-4</v>
      </c>
      <c r="S5" s="3">
        <f>Table11215[[#This Row],[M (KN.mm)]]/(Table11215[[#This Row],[a (mm)]]*$AN$3*Table11215[[#This Row],[h (mm)]]*($AN$2-Table11215[[#This Row],[a (mm)]]))</f>
        <v>1.4119601328903655E-6</v>
      </c>
      <c r="T5" s="3">
        <f>Table11215[[#This Row],[M (KN.mm)]]/(Table11215[[#This Row],[a (mm)]]^2*$AN$3*Table11215[[#This Row],[h (mm)]])</f>
        <v>3.1135531135531136E-6</v>
      </c>
      <c r="U5" s="3">
        <f>Table11215[[#This Row],[M (KN.mm)]]/($AN$3*Table11215[[#This Row],[d (mm)]]*Table11215[[#This Row],[pho (%)]])</f>
        <v>0.39569490311542593</v>
      </c>
      <c r="V5" s="3">
        <f>E5*224.8/(2*SQRT($AN$4*145.037)*$AN$3*Table11215[[#This Row],[d (mm)]]*(1/25.4)^2)</f>
        <v>1.6914325436739335</v>
      </c>
      <c r="W5" s="3">
        <f>Table11215[[#This Row],[M (KN.mm)]]/$G$5</f>
        <v>1</v>
      </c>
      <c r="X5" s="3">
        <f>Table11215[[#This Row],[V/(2*sqrt(fc) bd)]]</f>
        <v>1.6914325436739335</v>
      </c>
      <c r="Y5" s="3">
        <f>Table11215[[#This Row],[a (mm)]]</f>
        <v>390</v>
      </c>
      <c r="Z5" s="3">
        <f>Table11215[[#This Row],[width]]*Table11215[[#This Row],[h]]^2</f>
        <v>2205000</v>
      </c>
      <c r="AA5" s="3">
        <f t="shared" si="5"/>
        <v>200</v>
      </c>
      <c r="AB5" s="3">
        <f>Table11215[[#This Row],[a]]/Table11215[[#This Row],[h (mm)]]</f>
        <v>3.7142857142857144</v>
      </c>
      <c r="AC5" s="3">
        <f>Table11215[[#This Row],[h (mm)]]</f>
        <v>105</v>
      </c>
      <c r="AD5" s="3">
        <v>390</v>
      </c>
      <c r="AE5" s="3">
        <v>81</v>
      </c>
      <c r="AF5" s="3">
        <v>105</v>
      </c>
      <c r="AG5" s="3">
        <v>251.33</v>
      </c>
      <c r="AH5" s="3">
        <f t="shared" si="6"/>
        <v>1.5514197530864198</v>
      </c>
      <c r="AI5" s="3">
        <v>625</v>
      </c>
      <c r="AJ5" s="3">
        <f t="shared" si="7"/>
        <v>482343644.0959937</v>
      </c>
      <c r="AK5" s="63">
        <f t="shared" si="8"/>
        <v>120585937.5</v>
      </c>
      <c r="AM5" s="354" t="s">
        <v>8</v>
      </c>
      <c r="AN5" s="354">
        <f>4700*SQRT(AN4)</f>
        <v>26336.780365109171</v>
      </c>
      <c r="AO5" s="354"/>
      <c r="AP5" s="354"/>
    </row>
    <row r="6" spans="1:42" x14ac:dyDescent="0.3">
      <c r="A6" s="197" t="s">
        <v>2</v>
      </c>
      <c r="B6" s="198">
        <v>10</v>
      </c>
      <c r="C6" s="3">
        <v>2</v>
      </c>
      <c r="D6" s="3">
        <f>Table11215[[#This Row],[a (mm)]]/Table11215[[#This Row],[d (mm)]]</f>
        <v>4.8148148148148149</v>
      </c>
      <c r="E6" s="13">
        <f>0.8*E7</f>
        <v>18</v>
      </c>
      <c r="F6" s="3">
        <f>Table11215[[#This Row],[d (mm)]]</f>
        <v>81</v>
      </c>
      <c r="G6" s="3">
        <f t="shared" si="0"/>
        <v>7020</v>
      </c>
      <c r="H6" s="3">
        <f t="shared" si="1"/>
        <v>2.2104350886168736E-6</v>
      </c>
      <c r="I6" s="3">
        <f>G6/($AN$3*Table11215[[#This Row],[h]]^2)</f>
        <v>3.1836734693877549E-3</v>
      </c>
      <c r="J6" s="3">
        <f t="shared" si="2"/>
        <v>0.55173145532434109</v>
      </c>
      <c r="K6" s="3">
        <f t="shared" si="3"/>
        <v>1.1884647277102443E-6</v>
      </c>
      <c r="L6" s="3">
        <f t="shared" si="4"/>
        <v>1.1111111111111111E-3</v>
      </c>
      <c r="M6" s="3">
        <f>Table11215[[#This Row],[M (KN.mm)]]/($AN$3*Table11215[[#This Row],[d (mm)]])</f>
        <v>0.43333333333333335</v>
      </c>
      <c r="N6" s="3">
        <f>Table11215[[#This Row],[M (KN.mm)]]/($AN$3*Table11215[[#This Row],[h (mm)]])</f>
        <v>0.3342857142857143</v>
      </c>
      <c r="O6" s="3">
        <f>Table11215[[#This Row],[M (KN.mm)]]/($AN$3*Table11215[[#This Row],[h (mm)]]*$AN$2)</f>
        <v>2.6742857142857145E-4</v>
      </c>
      <c r="P6" s="3">
        <f>Table11215[[#This Row],[M (KN.mm)]]/($AN$3*Table11215[[#This Row],[d (mm)]]*$AN$2)</f>
        <v>3.4666666666666667E-4</v>
      </c>
      <c r="Q6" s="3">
        <f>Table11215[[#This Row],[M (KN.mm)]]/($AN$3*Table11215[[#This Row],[h (mm)]]*$AN$2*$AN$4)</f>
        <v>8.5168334849863506E-6</v>
      </c>
      <c r="R6" s="3">
        <f>Table11215[[#This Row],[M (KN.mm)]]/($AN$3*Table11215[[#This Row],[h (mm)]]*($AN$2-Table11215[[#This Row],[a (mm)]]))</f>
        <v>3.887043189368771E-4</v>
      </c>
      <c r="S6" s="3">
        <f>Table11215[[#This Row],[M (KN.mm)]]/(Table11215[[#This Row],[a (mm)]]*$AN$3*Table11215[[#This Row],[h (mm)]]*($AN$2-Table11215[[#This Row],[a (mm)]]))</f>
        <v>9.9667774086378732E-7</v>
      </c>
      <c r="T6" s="3">
        <f>Table11215[[#This Row],[M (KN.mm)]]/(Table11215[[#This Row],[a (mm)]]^2*$AN$3*Table11215[[#This Row],[h (mm)]])</f>
        <v>2.197802197802198E-6</v>
      </c>
      <c r="U6" s="3">
        <f>Table11215[[#This Row],[M (KN.mm)]]/($AN$3*Table11215[[#This Row],[d (mm)]]*Table11215[[#This Row],[pho (%)]])</f>
        <v>0.27931404925794773</v>
      </c>
      <c r="V6" s="3">
        <f>E6*224.8/(2*SQRT($AN$4*145.037)*$AN$3*Table11215[[#This Row],[d (mm)]]*(1/25.4)^2)</f>
        <v>1.1939523837698354</v>
      </c>
      <c r="W6" s="3">
        <f>Table11215[[#This Row],[M (KN.mm)]]/$G$5</f>
        <v>0.70588235294117652</v>
      </c>
      <c r="X6" s="3">
        <f>Table11215[[#This Row],[V/(2*sqrt(fc) bd)]]</f>
        <v>1.1939523837698354</v>
      </c>
      <c r="Y6" s="3">
        <f>Table11215[[#This Row],[a (mm)]]</f>
        <v>390</v>
      </c>
      <c r="Z6" s="3">
        <f>Table11215[[#This Row],[width]]*Table11215[[#This Row],[h]]^2</f>
        <v>2205000</v>
      </c>
      <c r="AA6" s="3">
        <f t="shared" si="5"/>
        <v>200</v>
      </c>
      <c r="AB6" s="3">
        <f>Table11215[[#This Row],[a]]/Table11215[[#This Row],[h (mm)]]</f>
        <v>3.7142857142857144</v>
      </c>
      <c r="AC6" s="3">
        <f>Table11215[[#This Row],[h (mm)]]</f>
        <v>105</v>
      </c>
      <c r="AD6" s="3">
        <v>390</v>
      </c>
      <c r="AE6" s="3">
        <v>81</v>
      </c>
      <c r="AF6" s="3">
        <v>105</v>
      </c>
      <c r="AG6" s="3">
        <v>251.33</v>
      </c>
      <c r="AH6" s="3">
        <f t="shared" si="6"/>
        <v>1.5514197530864198</v>
      </c>
      <c r="AI6" s="3">
        <v>625</v>
      </c>
      <c r="AJ6" s="3">
        <f t="shared" si="7"/>
        <v>482343644.0959937</v>
      </c>
      <c r="AK6" s="63">
        <f t="shared" si="8"/>
        <v>120585937.5</v>
      </c>
      <c r="AM6" s="354" t="s">
        <v>16</v>
      </c>
      <c r="AN6" s="354">
        <f>AN5/(2*(1+0.15))</f>
        <v>11450.774071786596</v>
      </c>
      <c r="AO6" s="354"/>
      <c r="AP6" s="354"/>
    </row>
    <row r="7" spans="1:42" x14ac:dyDescent="0.3">
      <c r="A7" s="199" t="s">
        <v>30</v>
      </c>
      <c r="B7" s="200">
        <v>12</v>
      </c>
      <c r="C7" s="13">
        <v>2</v>
      </c>
      <c r="D7" s="3">
        <f>Table11215[[#This Row],[a (mm)]]/Table11215[[#This Row],[d (mm)]]</f>
        <v>3.6792452830188678</v>
      </c>
      <c r="E7" s="3">
        <v>22.5</v>
      </c>
      <c r="F7" s="3">
        <f>Table11215[[#This Row],[d (mm)]]</f>
        <v>106</v>
      </c>
      <c r="G7" s="3">
        <f t="shared" si="0"/>
        <v>8775</v>
      </c>
      <c r="H7" s="3">
        <f t="shared" si="1"/>
        <v>1.4227932273760876E-6</v>
      </c>
      <c r="I7" s="3">
        <f>G7/($AN$3*Table11215[[#This Row],[h]]^2)</f>
        <v>2.5566691917720411E-3</v>
      </c>
      <c r="J7" s="3">
        <f t="shared" si="2"/>
        <v>0.39726506399297223</v>
      </c>
      <c r="K7" s="3">
        <f t="shared" si="3"/>
        <v>7.6498076114782024E-7</v>
      </c>
      <c r="L7" s="3">
        <f t="shared" si="4"/>
        <v>1.0613207547169811E-3</v>
      </c>
      <c r="M7" s="3">
        <f>Table11215[[#This Row],[M (KN.mm)]]/($AN$3*Table11215[[#This Row],[d (mm)]])</f>
        <v>0.41391509433962265</v>
      </c>
      <c r="N7" s="3">
        <f>Table11215[[#This Row],[M (KN.mm)]]/($AN$3*Table11215[[#This Row],[h (mm)]])</f>
        <v>0.33492366412213742</v>
      </c>
      <c r="O7" s="3">
        <f>Table11215[[#This Row],[M (KN.mm)]]/($AN$3*Table11215[[#This Row],[h (mm)]]*$AN$2)</f>
        <v>2.6793893129770991E-4</v>
      </c>
      <c r="P7" s="3">
        <f>Table11215[[#This Row],[M (KN.mm)]]/($AN$3*Table11215[[#This Row],[d (mm)]]*$AN$2)</f>
        <v>3.3113207547169811E-4</v>
      </c>
      <c r="Q7" s="3">
        <f>Table11215[[#This Row],[M (KN.mm)]]/($AN$3*Table11215[[#This Row],[h (mm)]]*$AN$2*$AN$4)</f>
        <v>8.5330869840035007E-6</v>
      </c>
      <c r="R7" s="3">
        <f>Table11215[[#This Row],[M (KN.mm)]]/($AN$3*Table11215[[#This Row],[h (mm)]]*($AN$2-Table11215[[#This Row],[a (mm)]]))</f>
        <v>3.8944612107225281E-4</v>
      </c>
      <c r="S7" s="3">
        <f>Table11215[[#This Row],[M (KN.mm)]]/(Table11215[[#This Row],[a (mm)]]*$AN$3*Table11215[[#This Row],[h (mm)]]*($AN$2-Table11215[[#This Row],[a (mm)]]))</f>
        <v>9.9857979762116096E-7</v>
      </c>
      <c r="T7" s="3">
        <f>Table11215[[#This Row],[M (KN.mm)]]/(Table11215[[#This Row],[a (mm)]]^2*$AN$3*Table11215[[#This Row],[h (mm)]])</f>
        <v>2.2019964768056369E-6</v>
      </c>
      <c r="U7" s="3">
        <f>Table11215[[#This Row],[M (KN.mm)]]/($AN$3*Table11215[[#This Row],[d (mm)]]*Table11215[[#This Row],[pho (%)]])</f>
        <v>0.27931627196333075</v>
      </c>
      <c r="V7" s="3">
        <f>E7*224.8/(2*SQRT($AN$4*145.037)*$AN$3*Table11215[[#This Row],[d (mm)]]*(1/25.4)^2)</f>
        <v>1.1404498005348664</v>
      </c>
      <c r="W7" s="3">
        <f>Table11215[[#This Row],[M (KN.mm)]]/$G$8</f>
        <v>0.66587747854394785</v>
      </c>
      <c r="X7" s="3">
        <f>Table11215[[#This Row],[V/(2*sqrt(fc) bd)]]</f>
        <v>1.1404498005348664</v>
      </c>
      <c r="Y7" s="3">
        <f>Table11215[[#This Row],[a (mm)]]</f>
        <v>390</v>
      </c>
      <c r="Z7" s="3">
        <f>Table11215[[#This Row],[width]]*Table11215[[#This Row],[h]]^2</f>
        <v>3432200</v>
      </c>
      <c r="AA7" s="3">
        <f t="shared" si="5"/>
        <v>200</v>
      </c>
      <c r="AB7" s="3">
        <f>Table11215[[#This Row],[a]]/Table11215[[#This Row],[h (mm)]]</f>
        <v>2.9770992366412212</v>
      </c>
      <c r="AC7" s="3">
        <f>Table11215[[#This Row],[h (mm)]]</f>
        <v>131</v>
      </c>
      <c r="AD7" s="3">
        <v>390</v>
      </c>
      <c r="AE7" s="3">
        <v>106</v>
      </c>
      <c r="AF7" s="3">
        <v>131</v>
      </c>
      <c r="AG7" s="3">
        <v>314.16000000000003</v>
      </c>
      <c r="AH7" s="3">
        <f t="shared" si="6"/>
        <v>1.4818867924528303</v>
      </c>
      <c r="AI7" s="3">
        <v>663.3</v>
      </c>
      <c r="AJ7" s="3">
        <f t="shared" si="7"/>
        <v>936703961.65123475</v>
      </c>
      <c r="AK7" s="63">
        <f t="shared" si="8"/>
        <v>234176145.83333334</v>
      </c>
      <c r="AM7" s="354"/>
      <c r="AN7" s="354"/>
      <c r="AO7" s="354"/>
      <c r="AP7" s="354"/>
    </row>
    <row r="8" spans="1:42" x14ac:dyDescent="0.3">
      <c r="A8" s="199" t="s">
        <v>30</v>
      </c>
      <c r="B8" s="200">
        <v>13</v>
      </c>
      <c r="C8" s="13">
        <v>3</v>
      </c>
      <c r="D8" s="3">
        <f>Table11215[[#This Row],[a (mm)]]/Table11215[[#This Row],[d (mm)]]</f>
        <v>3.6792452830188678</v>
      </c>
      <c r="E8" s="3">
        <v>33.79</v>
      </c>
      <c r="F8" s="3">
        <f>Table11215[[#This Row],[d (mm)]]</f>
        <v>106</v>
      </c>
      <c r="G8" s="3">
        <f t="shared" si="0"/>
        <v>13178.1</v>
      </c>
      <c r="H8" s="3">
        <f t="shared" si="1"/>
        <v>2.1367192512461332E-6</v>
      </c>
      <c r="I8" s="3">
        <f>G8/($AN$3*Table11215[[#This Row],[h]]^2)</f>
        <v>3.8395489773323235E-3</v>
      </c>
      <c r="J8" s="3">
        <f t="shared" si="2"/>
        <v>0.5966038449921125</v>
      </c>
      <c r="K8" s="3">
        <f t="shared" si="3"/>
        <v>1.1488311075193265E-6</v>
      </c>
      <c r="L8" s="3">
        <f t="shared" si="4"/>
        <v>1.5938679245283019E-3</v>
      </c>
      <c r="M8" s="3">
        <f>Table11215[[#This Row],[M (KN.mm)]]/($AN$3*Table11215[[#This Row],[d (mm)]])</f>
        <v>0.62160849056603773</v>
      </c>
      <c r="N8" s="3">
        <f>Table11215[[#This Row],[M (KN.mm)]]/($AN$3*Table11215[[#This Row],[h (mm)]])</f>
        <v>0.50298091603053441</v>
      </c>
      <c r="O8" s="3">
        <f>Table11215[[#This Row],[M (KN.mm)]]/($AN$3*Table11215[[#This Row],[h (mm)]]*$AN$2)</f>
        <v>4.0238473282442749E-4</v>
      </c>
      <c r="P8" s="3">
        <f>Table11215[[#This Row],[M (KN.mm)]]/($AN$3*Table11215[[#This Row],[d (mm)]]*$AN$2)</f>
        <v>4.9728679245283024E-4</v>
      </c>
      <c r="Q8" s="3">
        <f>Table11215[[#This Row],[M (KN.mm)]]/($AN$3*Table11215[[#This Row],[h (mm)]]*$AN$2*$AN$4)</f>
        <v>1.2814800408421257E-5</v>
      </c>
      <c r="R8" s="3">
        <f>Table11215[[#This Row],[M (KN.mm)]]/($AN$3*Table11215[[#This Row],[h (mm)]]*($AN$2-Table11215[[#This Row],[a (mm)]]))</f>
        <v>5.8486153026806318E-4</v>
      </c>
      <c r="S8" s="3">
        <f>Table11215[[#This Row],[M (KN.mm)]]/(Table11215[[#This Row],[a (mm)]]*$AN$3*Table11215[[#This Row],[h (mm)]]*($AN$2-Table11215[[#This Row],[a (mm)]]))</f>
        <v>1.4996449494052903E-6</v>
      </c>
      <c r="T8" s="3">
        <f>Table11215[[#This Row],[M (KN.mm)]]/(Table11215[[#This Row],[a (mm)]]^2*$AN$3*Table11215[[#This Row],[h (mm)]])</f>
        <v>3.3069093756116656E-6</v>
      </c>
      <c r="U8" s="3">
        <f>Table11215[[#This Row],[M (KN.mm)]]/($AN$3*Table11215[[#This Row],[d (mm)]]*Table11215[[#This Row],[pho (%)]])</f>
        <v>0.41947097020626428</v>
      </c>
      <c r="V8" s="3">
        <f>E8*224.8/(2*SQRT($AN$4*145.037)*$AN$3*Table11215[[#This Row],[d (mm)]]*(1/25.4)^2)</f>
        <v>1.7127021671143616</v>
      </c>
      <c r="W8" s="3">
        <f>Table11215[[#This Row],[M (KN.mm)]]/$G$8</f>
        <v>1</v>
      </c>
      <c r="X8" s="3">
        <f>Table11215[[#This Row],[V/(2*sqrt(fc) bd)]]</f>
        <v>1.7127021671143616</v>
      </c>
      <c r="Y8" s="3">
        <f>Table11215[[#This Row],[a (mm)]]</f>
        <v>390</v>
      </c>
      <c r="Z8" s="3">
        <f>Table11215[[#This Row],[width]]*Table11215[[#This Row],[h]]^2</f>
        <v>3432200</v>
      </c>
      <c r="AA8" s="3">
        <f t="shared" si="5"/>
        <v>200</v>
      </c>
      <c r="AB8" s="3">
        <f>Table11215[[#This Row],[a]]/Table11215[[#This Row],[h (mm)]]</f>
        <v>2.9770992366412212</v>
      </c>
      <c r="AC8" s="3">
        <f>Table11215[[#This Row],[h (mm)]]</f>
        <v>131</v>
      </c>
      <c r="AD8" s="3">
        <v>390</v>
      </c>
      <c r="AE8" s="3">
        <v>106</v>
      </c>
      <c r="AF8" s="3">
        <v>131</v>
      </c>
      <c r="AG8" s="3">
        <v>314.16000000000003</v>
      </c>
      <c r="AH8" s="3">
        <f t="shared" si="6"/>
        <v>1.4818867924528303</v>
      </c>
      <c r="AI8" s="3">
        <v>663.3</v>
      </c>
      <c r="AJ8" s="3">
        <f t="shared" si="7"/>
        <v>936703961.65123475</v>
      </c>
      <c r="AK8" s="63">
        <f t="shared" si="8"/>
        <v>234176145.83333334</v>
      </c>
      <c r="AM8" s="354"/>
      <c r="AN8" s="354"/>
      <c r="AO8" s="354"/>
      <c r="AP8" s="354"/>
    </row>
    <row r="9" spans="1:42" x14ac:dyDescent="0.3">
      <c r="A9" s="201" t="s">
        <v>31</v>
      </c>
      <c r="B9" s="202">
        <v>14</v>
      </c>
      <c r="C9" s="3">
        <v>2</v>
      </c>
      <c r="D9" s="3">
        <f>Table11215[[#This Row],[a (mm)]]/Table11215[[#This Row],[d (mm)]]</f>
        <v>3.6792452830188678</v>
      </c>
      <c r="E9" s="3">
        <v>27.5</v>
      </c>
      <c r="F9" s="3">
        <f>Table11215[[#This Row],[d (mm)]]</f>
        <v>106</v>
      </c>
      <c r="G9" s="3">
        <f t="shared" si="0"/>
        <v>10725</v>
      </c>
      <c r="H9" s="3">
        <f t="shared" si="1"/>
        <v>1.7389695001263291E-6</v>
      </c>
      <c r="I9" s="3">
        <f>G9/($AN$3*Table11215[[#This Row],[h]]^2)</f>
        <v>3.1248179010547172E-3</v>
      </c>
      <c r="J9" s="3">
        <f t="shared" si="2"/>
        <v>0.48554618932474386</v>
      </c>
      <c r="K9" s="3">
        <f t="shared" si="3"/>
        <v>9.3497648584733585E-7</v>
      </c>
      <c r="L9" s="3">
        <f t="shared" si="4"/>
        <v>1.2971698113207546E-3</v>
      </c>
      <c r="M9" s="3">
        <f>Table11215[[#This Row],[M (KN.mm)]]/($AN$3*Table11215[[#This Row],[d (mm)]])</f>
        <v>0.50589622641509435</v>
      </c>
      <c r="N9" s="3">
        <f>Table11215[[#This Row],[M (KN.mm)]]/($AN$3*Table11215[[#This Row],[h (mm)]])</f>
        <v>0.40935114503816794</v>
      </c>
      <c r="O9" s="3">
        <f>Table11215[[#This Row],[M (KN.mm)]]/($AN$3*Table11215[[#This Row],[h (mm)]]*$AN$2)</f>
        <v>3.2748091603053436E-4</v>
      </c>
      <c r="P9" s="3">
        <f>Table11215[[#This Row],[M (KN.mm)]]/($AN$3*Table11215[[#This Row],[d (mm)]]*$AN$2)</f>
        <v>4.0471698113207549E-4</v>
      </c>
      <c r="Q9" s="3">
        <f>Table11215[[#This Row],[M (KN.mm)]]/($AN$3*Table11215[[#This Row],[h (mm)]]*$AN$2*$AN$4)</f>
        <v>1.0429328536004279E-5</v>
      </c>
      <c r="R9" s="3">
        <f>Table11215[[#This Row],[M (KN.mm)]]/($AN$3*Table11215[[#This Row],[h (mm)]]*($AN$2-Table11215[[#This Row],[a (mm)]]))</f>
        <v>4.7598970353275344E-4</v>
      </c>
      <c r="S9" s="3">
        <f>Table11215[[#This Row],[M (KN.mm)]]/(Table11215[[#This Row],[a (mm)]]*$AN$3*Table11215[[#This Row],[h (mm)]]*($AN$2-Table11215[[#This Row],[a (mm)]]))</f>
        <v>1.2204864193147523E-6</v>
      </c>
      <c r="T9" s="3">
        <f>Table11215[[#This Row],[M (KN.mm)]]/(Table11215[[#This Row],[a (mm)]]^2*$AN$3*Table11215[[#This Row],[h (mm)]])</f>
        <v>2.6913290272068898E-6</v>
      </c>
      <c r="U9" s="3">
        <f>Table11215[[#This Row],[M (KN.mm)]]/($AN$3*Table11215[[#This Row],[d (mm)]]*Table11215[[#This Row],[pho (%)]])</f>
        <v>0.34138655462184869</v>
      </c>
      <c r="V9" s="3">
        <f>E9*224.8/(2*SQRT($AN$4*145.037)*$AN$3*Table11215[[#This Row],[d (mm)]]*(1/25.4)^2)</f>
        <v>1.3938830895426144</v>
      </c>
      <c r="W9" s="3">
        <f>Table11215[[#This Row],[M (KN.mm)]]/$G$11</f>
        <v>0.80882352941176472</v>
      </c>
      <c r="X9" s="3">
        <f>Table11215[[#This Row],[V/(2*sqrt(fc) bd)]]</f>
        <v>1.3938830895426144</v>
      </c>
      <c r="Y9" s="3">
        <f>Table11215[[#This Row],[a (mm)]]</f>
        <v>390</v>
      </c>
      <c r="Z9" s="3">
        <f>Table11215[[#This Row],[width]]*Table11215[[#This Row],[h]]^2</f>
        <v>3432200</v>
      </c>
      <c r="AA9" s="3">
        <f t="shared" si="5"/>
        <v>200</v>
      </c>
      <c r="AB9" s="3">
        <f>Table11215[[#This Row],[a]]/Table11215[[#This Row],[h (mm)]]</f>
        <v>2.9770992366412212</v>
      </c>
      <c r="AC9" s="3">
        <f>Table11215[[#This Row],[h (mm)]]</f>
        <v>131</v>
      </c>
      <c r="AD9" s="3">
        <v>390</v>
      </c>
      <c r="AE9" s="3">
        <v>106</v>
      </c>
      <c r="AF9" s="3">
        <v>131</v>
      </c>
      <c r="AG9" s="3">
        <v>314.16000000000003</v>
      </c>
      <c r="AH9" s="3">
        <f t="shared" si="6"/>
        <v>1.4818867924528303</v>
      </c>
      <c r="AI9" s="3">
        <v>663.3</v>
      </c>
      <c r="AJ9" s="3">
        <f t="shared" si="7"/>
        <v>936703961.65123475</v>
      </c>
      <c r="AK9" s="63">
        <f t="shared" si="8"/>
        <v>234176145.83333334</v>
      </c>
      <c r="AM9" s="354"/>
      <c r="AN9" s="354"/>
      <c r="AO9" s="354"/>
      <c r="AP9" s="354"/>
    </row>
    <row r="10" spans="1:42" x14ac:dyDescent="0.3">
      <c r="A10" s="201" t="s">
        <v>31</v>
      </c>
      <c r="B10" s="202">
        <v>15</v>
      </c>
      <c r="C10" s="3">
        <v>4</v>
      </c>
      <c r="D10" s="3">
        <f>Table11215[[#This Row],[a (mm)]]/Table11215[[#This Row],[d (mm)]]</f>
        <v>3.6792452830188678</v>
      </c>
      <c r="E10" s="13">
        <v>28.5</v>
      </c>
      <c r="F10" s="3">
        <f>Table11215[[#This Row],[d (mm)]]</f>
        <v>106</v>
      </c>
      <c r="G10" s="3">
        <f t="shared" si="0"/>
        <v>11115</v>
      </c>
      <c r="H10" s="3">
        <f t="shared" si="1"/>
        <v>1.8022047546763776E-6</v>
      </c>
      <c r="I10" s="3">
        <f>G10/($AN$3*Table11215[[#This Row],[h]]^2)</f>
        <v>3.2384476429112522E-3</v>
      </c>
      <c r="J10" s="3">
        <f t="shared" si="2"/>
        <v>0.50320241439109814</v>
      </c>
      <c r="K10" s="3">
        <f t="shared" si="3"/>
        <v>9.6897563078723884E-7</v>
      </c>
      <c r="L10" s="3">
        <f t="shared" si="4"/>
        <v>1.3443396226415095E-3</v>
      </c>
      <c r="M10" s="3">
        <f>Table11215[[#This Row],[M (KN.mm)]]/($AN$3*Table11215[[#This Row],[d (mm)]])</f>
        <v>0.52429245283018866</v>
      </c>
      <c r="N10" s="3">
        <f>Table11215[[#This Row],[M (KN.mm)]]/($AN$3*Table11215[[#This Row],[h (mm)]])</f>
        <v>0.42423664122137406</v>
      </c>
      <c r="O10" s="3">
        <f>Table11215[[#This Row],[M (KN.mm)]]/($AN$3*Table11215[[#This Row],[h (mm)]]*$AN$2)</f>
        <v>3.3938931297709926E-4</v>
      </c>
      <c r="P10" s="3">
        <f>Table11215[[#This Row],[M (KN.mm)]]/($AN$3*Table11215[[#This Row],[d (mm)]]*$AN$2)</f>
        <v>4.1943396226415094E-4</v>
      </c>
      <c r="Q10" s="3">
        <f>Table11215[[#This Row],[M (KN.mm)]]/($AN$3*Table11215[[#This Row],[h (mm)]]*$AN$2*$AN$4)</f>
        <v>1.0808576846404435E-5</v>
      </c>
      <c r="R10" s="3">
        <f>Table11215[[#This Row],[M (KN.mm)]]/($AN$3*Table11215[[#This Row],[h (mm)]]*($AN$2-Table11215[[#This Row],[a (mm)]]))</f>
        <v>4.9329842002485353E-4</v>
      </c>
      <c r="S10" s="3">
        <f>Table11215[[#This Row],[M (KN.mm)]]/(Table11215[[#This Row],[a (mm)]]*$AN$3*Table11215[[#This Row],[h (mm)]]*($AN$2-Table11215[[#This Row],[a (mm)]]))</f>
        <v>1.2648677436534706E-6</v>
      </c>
      <c r="T10" s="3">
        <f>Table11215[[#This Row],[M (KN.mm)]]/(Table11215[[#This Row],[a (mm)]]^2*$AN$3*Table11215[[#This Row],[h (mm)]])</f>
        <v>2.7891955372871405E-6</v>
      </c>
      <c r="U10" s="3">
        <f>Table11215[[#This Row],[M (KN.mm)]]/($AN$3*Table11215[[#This Row],[d (mm)]]*Table11215[[#This Row],[pho (%)]])</f>
        <v>0.35380061115355227</v>
      </c>
      <c r="V10" s="3">
        <f>E10*224.8/(2*SQRT($AN$4*145.037)*$AN$3*Table11215[[#This Row],[d (mm)]]*(1/25.4)^2)</f>
        <v>1.4445697473441641</v>
      </c>
      <c r="W10" s="3">
        <f>Table11215[[#This Row],[M (KN.mm)]]/$G$11</f>
        <v>0.83823529411764708</v>
      </c>
      <c r="X10" s="3">
        <f>Table11215[[#This Row],[V/(2*sqrt(fc) bd)]]</f>
        <v>1.4445697473441641</v>
      </c>
      <c r="Y10" s="3">
        <f>Table11215[[#This Row],[a (mm)]]</f>
        <v>390</v>
      </c>
      <c r="Z10" s="3">
        <f>Table11215[[#This Row],[width]]*Table11215[[#This Row],[h]]^2</f>
        <v>3432200</v>
      </c>
      <c r="AA10" s="3">
        <f t="shared" si="5"/>
        <v>200</v>
      </c>
      <c r="AB10" s="3">
        <f>Table11215[[#This Row],[a]]/Table11215[[#This Row],[h (mm)]]</f>
        <v>2.9770992366412212</v>
      </c>
      <c r="AC10" s="3">
        <f>Table11215[[#This Row],[h (mm)]]</f>
        <v>131</v>
      </c>
      <c r="AD10" s="3">
        <v>390</v>
      </c>
      <c r="AE10" s="3">
        <v>106</v>
      </c>
      <c r="AF10" s="3">
        <v>131</v>
      </c>
      <c r="AG10" s="3">
        <v>314.16000000000003</v>
      </c>
      <c r="AH10" s="3">
        <f t="shared" si="6"/>
        <v>1.4818867924528303</v>
      </c>
      <c r="AI10" s="3">
        <v>663.3</v>
      </c>
      <c r="AJ10" s="3">
        <f t="shared" si="7"/>
        <v>936703961.65123475</v>
      </c>
      <c r="AK10" s="63">
        <f t="shared" si="8"/>
        <v>234176145.83333334</v>
      </c>
      <c r="AM10" s="354"/>
      <c r="AN10" s="354"/>
      <c r="AO10" s="354"/>
      <c r="AP10" s="354"/>
    </row>
    <row r="11" spans="1:42" x14ac:dyDescent="0.3">
      <c r="A11" s="201" t="s">
        <v>31</v>
      </c>
      <c r="B11" s="202">
        <v>16</v>
      </c>
      <c r="C11" s="3">
        <v>5</v>
      </c>
      <c r="D11" s="3">
        <f>Table11215[[#This Row],[a (mm)]]/Table11215[[#This Row],[d (mm)]]</f>
        <v>3.6792452830188678</v>
      </c>
      <c r="E11" s="3">
        <v>34</v>
      </c>
      <c r="F11" s="3">
        <f>Table11215[[#This Row],[d (mm)]]</f>
        <v>106</v>
      </c>
      <c r="G11" s="3">
        <f t="shared" si="0"/>
        <v>13260</v>
      </c>
      <c r="H11" s="3">
        <f t="shared" si="1"/>
        <v>2.1499986547016433E-6</v>
      </c>
      <c r="I11" s="3">
        <f>G11/($AN$3*Table11215[[#This Row],[h]]^2)</f>
        <v>3.8634112231221958E-3</v>
      </c>
      <c r="J11" s="3">
        <f t="shared" si="2"/>
        <v>0.60031165225604688</v>
      </c>
      <c r="K11" s="3">
        <f t="shared" si="3"/>
        <v>1.1559709279567061E-6</v>
      </c>
      <c r="L11" s="3">
        <f t="shared" si="4"/>
        <v>1.6037735849056603E-3</v>
      </c>
      <c r="M11" s="3">
        <f>Table11215[[#This Row],[M (KN.mm)]]/($AN$3*Table11215[[#This Row],[d (mm)]])</f>
        <v>0.62547169811320757</v>
      </c>
      <c r="N11" s="3">
        <f>Table11215[[#This Row],[M (KN.mm)]]/($AN$3*Table11215[[#This Row],[h (mm)]])</f>
        <v>0.50610687022900769</v>
      </c>
      <c r="O11" s="3">
        <f>Table11215[[#This Row],[M (KN.mm)]]/($AN$3*Table11215[[#This Row],[h (mm)]]*$AN$2)</f>
        <v>4.0488549618320613E-4</v>
      </c>
      <c r="P11" s="3">
        <f>Table11215[[#This Row],[M (KN.mm)]]/($AN$3*Table11215[[#This Row],[d (mm)]]*$AN$2)</f>
        <v>5.0037735849056599E-4</v>
      </c>
      <c r="Q11" s="3">
        <f>Table11215[[#This Row],[M (KN.mm)]]/($AN$3*Table11215[[#This Row],[h (mm)]]*$AN$2*$AN$4)</f>
        <v>1.2894442553605291E-5</v>
      </c>
      <c r="R11" s="3">
        <f>Table11215[[#This Row],[M (KN.mm)]]/($AN$3*Table11215[[#This Row],[h (mm)]]*($AN$2-Table11215[[#This Row],[a (mm)]]))</f>
        <v>5.8849636073140426E-4</v>
      </c>
      <c r="S11" s="3">
        <f>Table11215[[#This Row],[M (KN.mm)]]/(Table11215[[#This Row],[a (mm)]]*$AN$3*Table11215[[#This Row],[h (mm)]]*($AN$2-Table11215[[#This Row],[a (mm)]]))</f>
        <v>1.5089650275164211E-6</v>
      </c>
      <c r="T11" s="3">
        <f>Table11215[[#This Row],[M (KN.mm)]]/(Table11215[[#This Row],[a (mm)]]^2*$AN$3*Table11215[[#This Row],[h (mm)]])</f>
        <v>3.3274613427285183E-6</v>
      </c>
      <c r="U11" s="3">
        <f>Table11215[[#This Row],[M (KN.mm)]]/($AN$3*Table11215[[#This Row],[d (mm)]]*Table11215[[#This Row],[pho (%)]])</f>
        <v>0.42207792207792205</v>
      </c>
      <c r="V11" s="3">
        <f>E11*224.8/(2*SQRT($AN$4*145.037)*$AN$3*Table11215[[#This Row],[d (mm)]]*(1/25.4)^2)</f>
        <v>1.723346365252687</v>
      </c>
      <c r="W11" s="3">
        <f>Table11215[[#This Row],[M (KN.mm)]]/$G$11</f>
        <v>1</v>
      </c>
      <c r="X11" s="3">
        <f>Table11215[[#This Row],[V/(2*sqrt(fc) bd)]]</f>
        <v>1.723346365252687</v>
      </c>
      <c r="Y11" s="3">
        <f>Table11215[[#This Row],[a (mm)]]</f>
        <v>390</v>
      </c>
      <c r="Z11" s="3">
        <f>Table11215[[#This Row],[width]]*Table11215[[#This Row],[h]]^2</f>
        <v>3432200</v>
      </c>
      <c r="AA11" s="3">
        <f t="shared" si="5"/>
        <v>200</v>
      </c>
      <c r="AB11" s="3">
        <f>Table11215[[#This Row],[a]]/Table11215[[#This Row],[h (mm)]]</f>
        <v>2.9770992366412212</v>
      </c>
      <c r="AC11" s="3">
        <f>Table11215[[#This Row],[h (mm)]]</f>
        <v>131</v>
      </c>
      <c r="AD11" s="3">
        <v>390</v>
      </c>
      <c r="AE11" s="3">
        <v>106</v>
      </c>
      <c r="AF11" s="3">
        <v>131</v>
      </c>
      <c r="AG11" s="3">
        <v>314.16000000000003</v>
      </c>
      <c r="AH11" s="3">
        <f t="shared" si="6"/>
        <v>1.4818867924528303</v>
      </c>
      <c r="AI11" s="3">
        <v>663.3</v>
      </c>
      <c r="AJ11" s="3">
        <f t="shared" si="7"/>
        <v>936703961.65123475</v>
      </c>
      <c r="AK11" s="63">
        <f t="shared" si="8"/>
        <v>234176145.83333334</v>
      </c>
      <c r="AM11" s="354"/>
      <c r="AN11" s="354"/>
      <c r="AO11" s="354"/>
      <c r="AP11" s="354"/>
    </row>
    <row r="12" spans="1:42" x14ac:dyDescent="0.3">
      <c r="A12" s="203" t="s">
        <v>32</v>
      </c>
      <c r="B12" s="204">
        <v>18</v>
      </c>
      <c r="C12" s="3">
        <v>2</v>
      </c>
      <c r="D12" s="3">
        <f>Table11215[[#This Row],[a (mm)]]/Table11215[[#This Row],[d (mm)]]</f>
        <v>3.6792452830188678</v>
      </c>
      <c r="E12" s="3">
        <f>47/2</f>
        <v>23.5</v>
      </c>
      <c r="F12" s="3">
        <f>Table11215[[#This Row],[d (mm)]]</f>
        <v>106</v>
      </c>
      <c r="G12" s="3">
        <f t="shared" si="0"/>
        <v>9165</v>
      </c>
      <c r="H12" s="3">
        <f t="shared" si="1"/>
        <v>1.4860284819261358E-6</v>
      </c>
      <c r="I12" s="3">
        <f>G12/($AN$3*Table11215[[#This Row],[h]]^2)</f>
        <v>2.6702989336285766E-3</v>
      </c>
      <c r="J12" s="3">
        <f t="shared" si="2"/>
        <v>0.41492128905932657</v>
      </c>
      <c r="K12" s="3">
        <f t="shared" si="3"/>
        <v>7.9897990608772334E-7</v>
      </c>
      <c r="L12" s="3">
        <f t="shared" si="4"/>
        <v>1.1084905660377359E-3</v>
      </c>
      <c r="M12" s="3">
        <f>Table11215[[#This Row],[M (KN.mm)]]/($AN$3*Table11215[[#This Row],[d (mm)]])</f>
        <v>0.43231132075471695</v>
      </c>
      <c r="N12" s="3">
        <f>Table11215[[#This Row],[M (KN.mm)]]/($AN$3*Table11215[[#This Row],[h (mm)]])</f>
        <v>0.34980916030534354</v>
      </c>
      <c r="O12" s="3">
        <f>Table11215[[#This Row],[M (KN.mm)]]/($AN$3*Table11215[[#This Row],[h (mm)]]*$AN$2)</f>
        <v>2.7984732824427481E-4</v>
      </c>
      <c r="P12" s="3">
        <f>Table11215[[#This Row],[M (KN.mm)]]/($AN$3*Table11215[[#This Row],[d (mm)]]*$AN$2)</f>
        <v>3.458490566037736E-4</v>
      </c>
      <c r="Q12" s="3">
        <f>Table11215[[#This Row],[M (KN.mm)]]/($AN$3*Table11215[[#This Row],[h (mm)]]*$AN$2*$AN$4)</f>
        <v>8.9123352944036566E-6</v>
      </c>
      <c r="R12" s="3">
        <f>Table11215[[#This Row],[M (KN.mm)]]/($AN$3*Table11215[[#This Row],[h (mm)]]*($AN$2-Table11215[[#This Row],[a (mm)]]))</f>
        <v>4.0675483756435295E-4</v>
      </c>
      <c r="S12" s="3">
        <f>Table11215[[#This Row],[M (KN.mm)]]/(Table11215[[#This Row],[a (mm)]]*$AN$3*Table11215[[#This Row],[h (mm)]]*($AN$2-Table11215[[#This Row],[a (mm)]]))</f>
        <v>1.0429611219598792E-6</v>
      </c>
      <c r="T12" s="3">
        <f>Table11215[[#This Row],[M (KN.mm)]]/(Table11215[[#This Row],[a (mm)]]^2*$AN$3*Table11215[[#This Row],[h (mm)]])</f>
        <v>2.2998629868858876E-6</v>
      </c>
      <c r="U12" s="3">
        <f>Table11215[[#This Row],[M (KN.mm)]]/($AN$3*Table11215[[#This Row],[d (mm)]]*Table11215[[#This Row],[pho (%)]])</f>
        <v>0.29173032849503433</v>
      </c>
      <c r="V12" s="3">
        <f>E12*224.8/(2*SQRT($AN$4*145.037)*$AN$3*Table11215[[#This Row],[d (mm)]]*(1/25.4)^2)</f>
        <v>1.1911364583364159</v>
      </c>
      <c r="W12" s="3">
        <f>Table11215[[#This Row],[M (KN.mm)]]/$G$14</f>
        <v>0.6619718309859155</v>
      </c>
      <c r="X12" s="3">
        <f>Table11215[[#This Row],[V/(2*sqrt(fc) bd)]]</f>
        <v>1.1911364583364159</v>
      </c>
      <c r="Y12" s="3">
        <f>Table11215[[#This Row],[a (mm)]]</f>
        <v>390</v>
      </c>
      <c r="Z12" s="3">
        <f>Table11215[[#This Row],[width]]*Table11215[[#This Row],[h]]^2</f>
        <v>3432200</v>
      </c>
      <c r="AA12" s="3">
        <f t="shared" si="5"/>
        <v>200</v>
      </c>
      <c r="AB12" s="3">
        <f>Table11215[[#This Row],[a]]/Table11215[[#This Row],[h (mm)]]</f>
        <v>2.9770992366412212</v>
      </c>
      <c r="AC12" s="3">
        <f>Table11215[[#This Row],[h (mm)]]</f>
        <v>131</v>
      </c>
      <c r="AD12" s="3">
        <v>390</v>
      </c>
      <c r="AE12" s="3">
        <v>106</v>
      </c>
      <c r="AF12" s="3">
        <v>131</v>
      </c>
      <c r="AG12" s="3">
        <v>314.16000000000003</v>
      </c>
      <c r="AH12" s="3">
        <f t="shared" si="6"/>
        <v>1.4818867924528303</v>
      </c>
      <c r="AI12" s="3">
        <v>663.3</v>
      </c>
      <c r="AJ12" s="3">
        <f t="shared" si="7"/>
        <v>936703961.65123475</v>
      </c>
      <c r="AK12" s="63">
        <f t="shared" si="8"/>
        <v>234176145.83333334</v>
      </c>
      <c r="AM12" s="354"/>
      <c r="AN12" s="354"/>
      <c r="AO12" s="354"/>
      <c r="AP12" s="354"/>
    </row>
    <row r="13" spans="1:42" x14ac:dyDescent="0.3">
      <c r="A13" s="203" t="s">
        <v>32</v>
      </c>
      <c r="B13" s="204">
        <v>19</v>
      </c>
      <c r="C13" s="3">
        <v>3</v>
      </c>
      <c r="D13" s="3">
        <f>Table11215[[#This Row],[a (mm)]]/Table11215[[#This Row],[d (mm)]]</f>
        <v>3.6792452830188678</v>
      </c>
      <c r="E13" s="3">
        <f>66/2</f>
        <v>33</v>
      </c>
      <c r="F13" s="3">
        <f>Table11215[[#This Row],[d (mm)]]</f>
        <v>106</v>
      </c>
      <c r="G13" s="3">
        <f t="shared" si="0"/>
        <v>12870</v>
      </c>
      <c r="H13" s="3">
        <f t="shared" si="1"/>
        <v>2.0867634001515951E-6</v>
      </c>
      <c r="I13" s="3">
        <f>G13/($AN$3*Table11215[[#This Row],[h]]^2)</f>
        <v>3.7497814812656603E-3</v>
      </c>
      <c r="J13" s="3">
        <f t="shared" si="2"/>
        <v>0.58265542718969265</v>
      </c>
      <c r="K13" s="3">
        <f t="shared" si="3"/>
        <v>1.1219717830168031E-6</v>
      </c>
      <c r="L13" s="3">
        <f t="shared" si="4"/>
        <v>1.5566037735849057E-3</v>
      </c>
      <c r="M13" s="3">
        <f>Table11215[[#This Row],[M (KN.mm)]]/($AN$3*Table11215[[#This Row],[d (mm)]])</f>
        <v>0.60707547169811316</v>
      </c>
      <c r="N13" s="3">
        <f>Table11215[[#This Row],[M (KN.mm)]]/($AN$3*Table11215[[#This Row],[h (mm)]])</f>
        <v>0.49122137404580152</v>
      </c>
      <c r="O13" s="3">
        <f>Table11215[[#This Row],[M (KN.mm)]]/($AN$3*Table11215[[#This Row],[h (mm)]]*$AN$2)</f>
        <v>3.9297709923664123E-4</v>
      </c>
      <c r="P13" s="3">
        <f>Table11215[[#This Row],[M (KN.mm)]]/($AN$3*Table11215[[#This Row],[d (mm)]]*$AN$2)</f>
        <v>4.8566037735849055E-4</v>
      </c>
      <c r="Q13" s="3">
        <f>Table11215[[#This Row],[M (KN.mm)]]/($AN$3*Table11215[[#This Row],[h (mm)]]*$AN$2*$AN$4)</f>
        <v>1.2515194243205135E-5</v>
      </c>
      <c r="R13" s="3">
        <f>Table11215[[#This Row],[M (KN.mm)]]/($AN$3*Table11215[[#This Row],[h (mm)]]*($AN$2-Table11215[[#This Row],[a (mm)]]))</f>
        <v>5.7118764423930407E-4</v>
      </c>
      <c r="S13" s="3">
        <f>Table11215[[#This Row],[M (KN.mm)]]/(Table11215[[#This Row],[a (mm)]]*$AN$3*Table11215[[#This Row],[h (mm)]]*($AN$2-Table11215[[#This Row],[a (mm)]]))</f>
        <v>1.4645837031777028E-6</v>
      </c>
      <c r="T13" s="3">
        <f>Table11215[[#This Row],[M (KN.mm)]]/(Table11215[[#This Row],[a (mm)]]^2*$AN$3*Table11215[[#This Row],[h (mm)]])</f>
        <v>3.2295948326482676E-6</v>
      </c>
      <c r="U13" s="3">
        <f>Table11215[[#This Row],[M (KN.mm)]]/($AN$3*Table11215[[#This Row],[d (mm)]]*Table11215[[#This Row],[pho (%)]])</f>
        <v>0.40966386554621842</v>
      </c>
      <c r="V13" s="3">
        <f>E13*224.8/(2*SQRT($AN$4*145.037)*$AN$3*Table11215[[#This Row],[d (mm)]]*(1/25.4)^2)</f>
        <v>1.6726597074511373</v>
      </c>
      <c r="W13" s="3">
        <f>Table11215[[#This Row],[M (KN.mm)]]/$G$14</f>
        <v>0.92957746478873238</v>
      </c>
      <c r="X13" s="3">
        <f>Table11215[[#This Row],[V/(2*sqrt(fc) bd)]]</f>
        <v>1.6726597074511373</v>
      </c>
      <c r="Y13" s="3">
        <f>Table11215[[#This Row],[a (mm)]]</f>
        <v>390</v>
      </c>
      <c r="Z13" s="3">
        <f>Table11215[[#This Row],[width]]*Table11215[[#This Row],[h]]^2</f>
        <v>3432200</v>
      </c>
      <c r="AA13" s="3">
        <f t="shared" si="5"/>
        <v>200</v>
      </c>
      <c r="AB13" s="3">
        <f>Table11215[[#This Row],[a]]/Table11215[[#This Row],[h (mm)]]</f>
        <v>2.9770992366412212</v>
      </c>
      <c r="AC13" s="3">
        <f>Table11215[[#This Row],[h (mm)]]</f>
        <v>131</v>
      </c>
      <c r="AD13" s="3">
        <v>390</v>
      </c>
      <c r="AE13" s="3">
        <v>106</v>
      </c>
      <c r="AF13" s="3">
        <v>131</v>
      </c>
      <c r="AG13" s="3">
        <v>314.16000000000003</v>
      </c>
      <c r="AH13" s="3">
        <f t="shared" si="6"/>
        <v>1.4818867924528303</v>
      </c>
      <c r="AI13" s="3">
        <v>663.3</v>
      </c>
      <c r="AJ13" s="3">
        <f t="shared" si="7"/>
        <v>936703961.65123475</v>
      </c>
      <c r="AK13" s="63">
        <f t="shared" si="8"/>
        <v>234176145.83333334</v>
      </c>
      <c r="AM13" s="354"/>
      <c r="AN13" s="354"/>
      <c r="AO13" s="354"/>
      <c r="AP13" s="354"/>
    </row>
    <row r="14" spans="1:42" x14ac:dyDescent="0.3">
      <c r="A14" s="203" t="s">
        <v>32</v>
      </c>
      <c r="B14" s="204">
        <v>20</v>
      </c>
      <c r="C14" s="3">
        <v>4</v>
      </c>
      <c r="D14" s="3">
        <f>Table11215[[#This Row],[a (mm)]]/Table11215[[#This Row],[d (mm)]]</f>
        <v>3.6792452830188678</v>
      </c>
      <c r="E14" s="3">
        <f>71/2</f>
        <v>35.5</v>
      </c>
      <c r="F14" s="3">
        <f>Table11215[[#This Row],[d (mm)]]</f>
        <v>106</v>
      </c>
      <c r="G14" s="3">
        <f t="shared" si="0"/>
        <v>13845</v>
      </c>
      <c r="H14" s="3">
        <f t="shared" si="1"/>
        <v>2.2448515365267158E-6</v>
      </c>
      <c r="I14" s="3">
        <f>G14/($AN$3*Table11215[[#This Row],[h]]^2)</f>
        <v>4.0338558359069984E-3</v>
      </c>
      <c r="J14" s="3">
        <f t="shared" si="2"/>
        <v>0.62679598985557838</v>
      </c>
      <c r="K14" s="3">
        <f t="shared" si="3"/>
        <v>1.2069696453665609E-6</v>
      </c>
      <c r="L14" s="3">
        <f t="shared" si="4"/>
        <v>1.6745283018867925E-3</v>
      </c>
      <c r="M14" s="3">
        <f>Table11215[[#This Row],[M (KN.mm)]]/($AN$3*Table11215[[#This Row],[d (mm)]])</f>
        <v>0.65306603773584904</v>
      </c>
      <c r="N14" s="3">
        <f>Table11215[[#This Row],[M (KN.mm)]]/($AN$3*Table11215[[#This Row],[h (mm)]])</f>
        <v>0.52843511450381675</v>
      </c>
      <c r="O14" s="3">
        <f>Table11215[[#This Row],[M (KN.mm)]]/($AN$3*Table11215[[#This Row],[h (mm)]]*$AN$2)</f>
        <v>4.2274809160305346E-4</v>
      </c>
      <c r="P14" s="3">
        <f>Table11215[[#This Row],[M (KN.mm)]]/($AN$3*Table11215[[#This Row],[d (mm)]]*$AN$2)</f>
        <v>5.2245283018867927E-4</v>
      </c>
      <c r="Q14" s="3">
        <f>Table11215[[#This Row],[M (KN.mm)]]/($AN$3*Table11215[[#This Row],[h (mm)]]*$AN$2*$AN$4)</f>
        <v>1.3463315019205523E-5</v>
      </c>
      <c r="R14" s="3">
        <f>Table11215[[#This Row],[M (KN.mm)]]/($AN$3*Table11215[[#This Row],[h (mm)]]*($AN$2-Table11215[[#This Row],[a (mm)]]))</f>
        <v>6.1445943546955444E-4</v>
      </c>
      <c r="S14" s="3">
        <f>Table11215[[#This Row],[M (KN.mm)]]/(Table11215[[#This Row],[a (mm)]]*$AN$3*Table11215[[#This Row],[h (mm)]]*($AN$2-Table11215[[#This Row],[a (mm)]]))</f>
        <v>1.5755370140244985E-6</v>
      </c>
      <c r="T14" s="3">
        <f>Table11215[[#This Row],[M (KN.mm)]]/(Table11215[[#This Row],[a (mm)]]^2*$AN$3*Table11215[[#This Row],[h (mm)]])</f>
        <v>3.4742611078488943E-6</v>
      </c>
      <c r="U14" s="3">
        <f>Table11215[[#This Row],[M (KN.mm)]]/($AN$3*Table11215[[#This Row],[d (mm)]]*Table11215[[#This Row],[pho (%)]])</f>
        <v>0.44069900687547742</v>
      </c>
      <c r="V14" s="3">
        <f>E14*224.8/(2*SQRT($AN$4*145.037)*$AN$3*Table11215[[#This Row],[d (mm)]]*(1/25.4)^2)</f>
        <v>1.7993763519550114</v>
      </c>
      <c r="W14" s="3">
        <f>Table11215[[#This Row],[M (KN.mm)]]/$G$14</f>
        <v>1</v>
      </c>
      <c r="X14" s="3">
        <f>Table11215[[#This Row],[V/(2*sqrt(fc) bd)]]</f>
        <v>1.7993763519550114</v>
      </c>
      <c r="Y14" s="3">
        <f>Table11215[[#This Row],[a (mm)]]</f>
        <v>390</v>
      </c>
      <c r="Z14" s="3">
        <f>Table11215[[#This Row],[width]]*Table11215[[#This Row],[h]]^2</f>
        <v>3432200</v>
      </c>
      <c r="AA14" s="3">
        <f t="shared" si="5"/>
        <v>200</v>
      </c>
      <c r="AB14" s="3">
        <f>Table11215[[#This Row],[a]]/Table11215[[#This Row],[h (mm)]]</f>
        <v>2.9770992366412212</v>
      </c>
      <c r="AC14" s="3">
        <f>Table11215[[#This Row],[h (mm)]]</f>
        <v>131</v>
      </c>
      <c r="AD14" s="3">
        <v>390</v>
      </c>
      <c r="AE14" s="3">
        <v>106</v>
      </c>
      <c r="AF14" s="3">
        <v>131</v>
      </c>
      <c r="AG14" s="3">
        <v>314.16000000000003</v>
      </c>
      <c r="AH14" s="3">
        <f t="shared" si="6"/>
        <v>1.4818867924528303</v>
      </c>
      <c r="AI14" s="3">
        <v>663.3</v>
      </c>
      <c r="AJ14" s="3">
        <f t="shared" si="7"/>
        <v>936703961.65123475</v>
      </c>
      <c r="AK14" s="63">
        <f t="shared" si="8"/>
        <v>234176145.83333334</v>
      </c>
      <c r="AM14" s="354"/>
      <c r="AN14" s="354"/>
      <c r="AO14" s="354"/>
      <c r="AP14" s="354"/>
    </row>
    <row r="15" spans="1:42" x14ac:dyDescent="0.3">
      <c r="A15" s="205" t="s">
        <v>35</v>
      </c>
      <c r="B15" s="206">
        <v>22</v>
      </c>
      <c r="C15" s="3">
        <v>1</v>
      </c>
      <c r="D15" s="3">
        <f>Table11215[[#This Row],[a (mm)]]/Table11215[[#This Row],[d (mm)]]</f>
        <v>2.8057553956834531</v>
      </c>
      <c r="E15" s="3">
        <v>41.4</v>
      </c>
      <c r="F15" s="3">
        <f>Table11215[[#This Row],[d (mm)]]</f>
        <v>139</v>
      </c>
      <c r="G15" s="3">
        <f t="shared" si="0"/>
        <v>16146</v>
      </c>
      <c r="H15" s="3">
        <f t="shared" si="1"/>
        <v>1.3342645734695906E-6</v>
      </c>
      <c r="I15" s="3">
        <f>G15/($AN$3*Table11215[[#This Row],[h]]^2)</f>
        <v>3.0015615704937536E-3</v>
      </c>
      <c r="J15" s="3">
        <f t="shared" si="2"/>
        <v>0.44594289543130539</v>
      </c>
      <c r="K15" s="3">
        <f t="shared" si="3"/>
        <v>7.1738332392980931E-7</v>
      </c>
      <c r="L15" s="3">
        <f t="shared" si="4"/>
        <v>1.4892086330935252E-3</v>
      </c>
      <c r="M15" s="3">
        <f>Table11215[[#This Row],[M (KN.mm)]]/($AN$3*Table11215[[#This Row],[d (mm)]])</f>
        <v>0.58079136690647482</v>
      </c>
      <c r="N15" s="3">
        <f>Table11215[[#This Row],[M (KN.mm)]]/($AN$3*Table11215[[#This Row],[h (mm)]])</f>
        <v>0.4922560975609756</v>
      </c>
      <c r="O15" s="3">
        <f>Table11215[[#This Row],[M (KN.mm)]]/($AN$3*Table11215[[#This Row],[h (mm)]]*$AN$2)</f>
        <v>3.9380487804878048E-4</v>
      </c>
      <c r="P15" s="3">
        <f>Table11215[[#This Row],[M (KN.mm)]]/($AN$3*Table11215[[#This Row],[d (mm)]]*$AN$2)</f>
        <v>4.6463309352517984E-4</v>
      </c>
      <c r="Q15" s="3">
        <f>Table11215[[#This Row],[M (KN.mm)]]/($AN$3*Table11215[[#This Row],[h (mm)]]*$AN$2*$AN$4)</f>
        <v>1.254155662575734E-5</v>
      </c>
      <c r="R15" s="3">
        <f>Table11215[[#This Row],[M (KN.mm)]]/($AN$3*Table11215[[#This Row],[h (mm)]]*($AN$2-Table11215[[#This Row],[a (mm)]]))</f>
        <v>5.7239081111741346E-4</v>
      </c>
      <c r="S15" s="3">
        <f>Table11215[[#This Row],[M (KN.mm)]]/(Table11215[[#This Row],[a (mm)]]*$AN$3*Table11215[[#This Row],[h (mm)]]*($AN$2-Table11215[[#This Row],[a (mm)]]))</f>
        <v>1.4676687464549063E-6</v>
      </c>
      <c r="T15" s="3">
        <f>Table11215[[#This Row],[M (KN.mm)]]/(Table11215[[#This Row],[a (mm)]]^2*$AN$3*Table11215[[#This Row],[h (mm)]])</f>
        <v>3.2363977485928705E-6</v>
      </c>
      <c r="U15" s="3">
        <f>Table11215[[#This Row],[M (KN.mm)]]/($AN$3*Table11215[[#This Row],[d (mm)]]*Table11215[[#This Row],[pho (%)]])</f>
        <v>0.41115355233002293</v>
      </c>
      <c r="V15" s="3">
        <f>E15*224.8/(2*SQRT($AN$4*145.037)*$AN$3*Table11215[[#This Row],[d (mm)]]*(1/25.4)^2)</f>
        <v>1.6002397776713693</v>
      </c>
      <c r="W15" s="3">
        <f>Table11215[[#This Row],[M (KN.mm)]]/$G$15</f>
        <v>1</v>
      </c>
      <c r="X15" s="3">
        <f>Table11215[[#This Row],[V/(2*sqrt(fc) bd)]]</f>
        <v>1.6002397776713693</v>
      </c>
      <c r="Y15" s="3">
        <f>Table11215[[#This Row],[a (mm)]]</f>
        <v>390</v>
      </c>
      <c r="Z15" s="3">
        <f>Table11215[[#This Row],[width]]*Table11215[[#This Row],[h]]^2</f>
        <v>5379200</v>
      </c>
      <c r="AA15" s="3">
        <f t="shared" si="5"/>
        <v>200</v>
      </c>
      <c r="AB15" s="3">
        <f>Table11215[[#This Row],[a]]/Table11215[[#This Row],[h (mm)]]</f>
        <v>2.3780487804878048</v>
      </c>
      <c r="AC15" s="3">
        <f>Table11215[[#This Row],[h (mm)]]</f>
        <v>164</v>
      </c>
      <c r="AD15" s="3">
        <v>390</v>
      </c>
      <c r="AE15" s="3">
        <v>139</v>
      </c>
      <c r="AF15" s="3">
        <v>164</v>
      </c>
      <c r="AG15" s="3">
        <v>392.7</v>
      </c>
      <c r="AH15" s="3">
        <f t="shared" si="6"/>
        <v>1.412589928057554</v>
      </c>
      <c r="AI15" s="3">
        <v>663.3</v>
      </c>
      <c r="AJ15" s="3">
        <f t="shared" si="7"/>
        <v>1837889582.3185046</v>
      </c>
      <c r="AK15" s="63">
        <f t="shared" si="8"/>
        <v>459473333.33333331</v>
      </c>
      <c r="AM15" s="354"/>
      <c r="AN15" s="354"/>
      <c r="AO15" s="354"/>
      <c r="AP15" s="354"/>
    </row>
    <row r="16" spans="1:42" x14ac:dyDescent="0.3">
      <c r="A16" s="210" t="s">
        <v>37</v>
      </c>
      <c r="B16" s="211">
        <v>26</v>
      </c>
      <c r="C16" s="209">
        <v>2</v>
      </c>
      <c r="D16" s="3">
        <f>Table11215[[#This Row],[a (mm)]]/Table11215[[#This Row],[d (mm)]]</f>
        <v>2.8057553956834531</v>
      </c>
      <c r="E16" s="3">
        <v>25</v>
      </c>
      <c r="F16" s="3">
        <f>Table11215[[#This Row],[d (mm)]]</f>
        <v>139</v>
      </c>
      <c r="G16" s="3">
        <f t="shared" si="0"/>
        <v>9750</v>
      </c>
      <c r="H16" s="3">
        <f t="shared" si="1"/>
        <v>8.0571532214347263E-7</v>
      </c>
      <c r="I16" s="3">
        <f>G16/($AN$3*Table11215[[#This Row],[h]]^2)</f>
        <v>1.8125371802498512E-3</v>
      </c>
      <c r="J16" s="3">
        <f t="shared" si="2"/>
        <v>0.2692891880623825</v>
      </c>
      <c r="K16" s="3">
        <f t="shared" si="3"/>
        <v>4.3320249029577858E-7</v>
      </c>
      <c r="L16" s="3">
        <f t="shared" si="4"/>
        <v>8.9928057553956839E-4</v>
      </c>
      <c r="M16" s="3">
        <f>Table11215[[#This Row],[M (KN.mm)]]/($AN$3*Table11215[[#This Row],[d (mm)]])</f>
        <v>0.35071942446043164</v>
      </c>
      <c r="N16" s="3">
        <f>Table11215[[#This Row],[M (KN.mm)]]/($AN$3*Table11215[[#This Row],[h (mm)]])</f>
        <v>0.2972560975609756</v>
      </c>
      <c r="O16" s="3">
        <f>Table11215[[#This Row],[M (KN.mm)]]/($AN$3*Table11215[[#This Row],[h (mm)]]*$AN$2)</f>
        <v>2.3780487804878048E-4</v>
      </c>
      <c r="P16" s="3">
        <f>Table11215[[#This Row],[M (KN.mm)]]/($AN$3*Table11215[[#This Row],[d (mm)]]*$AN$2)</f>
        <v>2.8057553956834533E-4</v>
      </c>
      <c r="Q16" s="3">
        <f>Table11215[[#This Row],[M (KN.mm)]]/($AN$3*Table11215[[#This Row],[h (mm)]]*$AN$2*$AN$4)</f>
        <v>7.5734037595153018E-6</v>
      </c>
      <c r="R16" s="3">
        <f>Table11215[[#This Row],[M (KN.mm)]]/($AN$3*Table11215[[#This Row],[h (mm)]]*($AN$2-Table11215[[#This Row],[a (mm)]]))</f>
        <v>3.4564662507090185E-4</v>
      </c>
      <c r="S16" s="3">
        <f>Table11215[[#This Row],[M (KN.mm)]]/(Table11215[[#This Row],[a (mm)]]*$AN$3*Table11215[[#This Row],[h (mm)]]*($AN$2-Table11215[[#This Row],[a (mm)]]))</f>
        <v>8.8627339761769713E-7</v>
      </c>
      <c r="T16" s="3">
        <f>Table11215[[#This Row],[M (KN.mm)]]/(Table11215[[#This Row],[a (mm)]]^2*$AN$3*Table11215[[#This Row],[h (mm)]])</f>
        <v>1.9543464665415885E-6</v>
      </c>
      <c r="U16" s="3">
        <f>Table11215[[#This Row],[M (KN.mm)]]/($AN$3*Table11215[[#This Row],[d (mm)]]*Table11215[[#This Row],[pho (%)]])</f>
        <v>0.24828113063407181</v>
      </c>
      <c r="V16" s="3">
        <f>E16*224.8/(2*SQRT($AN$4*145.037)*$AN$3*Table11215[[#This Row],[d (mm)]]*(1/25.4)^2)</f>
        <v>0.96632836815903944</v>
      </c>
      <c r="W16" s="3">
        <f>Table11215[[#This Row],[M (KN.mm)]]/$G$19</f>
        <v>0.43859649122807015</v>
      </c>
      <c r="X16" s="3">
        <f>Table11215[[#This Row],[V/(2*sqrt(fc) bd)]]</f>
        <v>0.96632836815903944</v>
      </c>
      <c r="Y16" s="3">
        <f>Table11215[[#This Row],[a (mm)]]</f>
        <v>390</v>
      </c>
      <c r="Z16" s="3">
        <f>Table11215[[#This Row],[width]]*Table11215[[#This Row],[h]]^2</f>
        <v>5379200</v>
      </c>
      <c r="AA16" s="3">
        <f t="shared" si="5"/>
        <v>200</v>
      </c>
      <c r="AB16" s="3">
        <f>Table11215[[#This Row],[a]]/Table11215[[#This Row],[h (mm)]]</f>
        <v>2.3780487804878048</v>
      </c>
      <c r="AC16" s="3">
        <f>Table11215[[#This Row],[h (mm)]]</f>
        <v>164</v>
      </c>
      <c r="AD16" s="3">
        <v>390</v>
      </c>
      <c r="AE16" s="3">
        <v>139</v>
      </c>
      <c r="AF16" s="3">
        <v>164</v>
      </c>
      <c r="AG16" s="3">
        <v>392.7</v>
      </c>
      <c r="AH16" s="3">
        <f t="shared" si="6"/>
        <v>1.412589928057554</v>
      </c>
      <c r="AI16" s="3">
        <v>663.3</v>
      </c>
      <c r="AJ16" s="3">
        <f t="shared" si="7"/>
        <v>1837889582.3185046</v>
      </c>
      <c r="AK16" s="63">
        <f t="shared" si="8"/>
        <v>459473333.33333331</v>
      </c>
      <c r="AM16" s="354"/>
      <c r="AN16" s="354"/>
      <c r="AO16" s="354"/>
      <c r="AP16" s="354"/>
    </row>
    <row r="17" spans="1:42" x14ac:dyDescent="0.3">
      <c r="A17" s="210" t="s">
        <v>37</v>
      </c>
      <c r="B17" s="211">
        <v>28</v>
      </c>
      <c r="C17" s="3">
        <v>3</v>
      </c>
      <c r="D17" s="3">
        <f>Table11215[[#This Row],[a (mm)]]/Table11215[[#This Row],[d (mm)]]</f>
        <v>2.8057553956834531</v>
      </c>
      <c r="E17" s="3">
        <f>65/2</f>
        <v>32.5</v>
      </c>
      <c r="F17" s="3">
        <f>Table11215[[#This Row],[d (mm)]]</f>
        <v>139</v>
      </c>
      <c r="G17" s="3">
        <f t="shared" si="0"/>
        <v>12675</v>
      </c>
      <c r="H17" s="3">
        <f t="shared" si="1"/>
        <v>1.0474299187865144E-6</v>
      </c>
      <c r="I17" s="3">
        <f>G17/($AN$3*Table11215[[#This Row],[h]]^2)</f>
        <v>2.3562983343248067E-3</v>
      </c>
      <c r="J17" s="3">
        <f t="shared" si="2"/>
        <v>0.35007594448109725</v>
      </c>
      <c r="K17" s="3">
        <f t="shared" si="3"/>
        <v>5.6316323738451221E-7</v>
      </c>
      <c r="L17" s="3">
        <f t="shared" si="4"/>
        <v>1.1690647482014388E-3</v>
      </c>
      <c r="M17" s="3">
        <f>Table11215[[#This Row],[M (KN.mm)]]/($AN$3*Table11215[[#This Row],[d (mm)]])</f>
        <v>0.45593525179856115</v>
      </c>
      <c r="N17" s="3">
        <f>Table11215[[#This Row],[M (KN.mm)]]/($AN$3*Table11215[[#This Row],[h (mm)]])</f>
        <v>0.38643292682926828</v>
      </c>
      <c r="O17" s="3">
        <f>Table11215[[#This Row],[M (KN.mm)]]/($AN$3*Table11215[[#This Row],[h (mm)]]*$AN$2)</f>
        <v>3.0914634146341462E-4</v>
      </c>
      <c r="P17" s="3">
        <f>Table11215[[#This Row],[M (KN.mm)]]/($AN$3*Table11215[[#This Row],[d (mm)]]*$AN$2)</f>
        <v>3.6474820143884892E-4</v>
      </c>
      <c r="Q17" s="3">
        <f>Table11215[[#This Row],[M (KN.mm)]]/($AN$3*Table11215[[#This Row],[h (mm)]]*$AN$2*$AN$4)</f>
        <v>9.8454248873698925E-6</v>
      </c>
      <c r="R17" s="3">
        <f>Table11215[[#This Row],[M (KN.mm)]]/($AN$3*Table11215[[#This Row],[h (mm)]]*($AN$2-Table11215[[#This Row],[a (mm)]]))</f>
        <v>4.4934061259217241E-4</v>
      </c>
      <c r="S17" s="3">
        <f>Table11215[[#This Row],[M (KN.mm)]]/(Table11215[[#This Row],[a (mm)]]*$AN$3*Table11215[[#This Row],[h (mm)]]*($AN$2-Table11215[[#This Row],[a (mm)]]))</f>
        <v>1.1521554169030062E-6</v>
      </c>
      <c r="T17" s="3">
        <f>Table11215[[#This Row],[M (KN.mm)]]/(Table11215[[#This Row],[a (mm)]]^2*$AN$3*Table11215[[#This Row],[h (mm)]])</f>
        <v>2.540650406504065E-6</v>
      </c>
      <c r="U17" s="3">
        <f>Table11215[[#This Row],[M (KN.mm)]]/($AN$3*Table11215[[#This Row],[d (mm)]]*Table11215[[#This Row],[pho (%)]])</f>
        <v>0.32276546982429333</v>
      </c>
      <c r="V17" s="3">
        <f>E17*224.8/(2*SQRT($AN$4*145.037)*$AN$3*Table11215[[#This Row],[d (mm)]]*(1/25.4)^2)</f>
        <v>1.2562268786067512</v>
      </c>
      <c r="W17" s="3">
        <f>Table11215[[#This Row],[M (KN.mm)]]/$G$19</f>
        <v>0.57017543859649122</v>
      </c>
      <c r="X17" s="3">
        <f>Table11215[[#This Row],[V/(2*sqrt(fc) bd)]]</f>
        <v>1.2562268786067512</v>
      </c>
      <c r="Y17" s="3">
        <f>Table11215[[#This Row],[a (mm)]]</f>
        <v>390</v>
      </c>
      <c r="Z17" s="3">
        <f>Table11215[[#This Row],[width]]*Table11215[[#This Row],[h]]^2</f>
        <v>5379200</v>
      </c>
      <c r="AA17" s="3">
        <f t="shared" si="5"/>
        <v>200</v>
      </c>
      <c r="AB17" s="3">
        <f>Table11215[[#This Row],[a]]/Table11215[[#This Row],[h (mm)]]</f>
        <v>2.3780487804878048</v>
      </c>
      <c r="AC17" s="3">
        <f>Table11215[[#This Row],[h (mm)]]</f>
        <v>164</v>
      </c>
      <c r="AD17" s="3">
        <v>390</v>
      </c>
      <c r="AE17" s="3">
        <v>139</v>
      </c>
      <c r="AF17" s="3">
        <v>164</v>
      </c>
      <c r="AG17" s="3">
        <v>392.7</v>
      </c>
      <c r="AH17" s="3">
        <f t="shared" si="6"/>
        <v>1.412589928057554</v>
      </c>
      <c r="AI17" s="3">
        <v>663.3</v>
      </c>
      <c r="AJ17" s="3">
        <f t="shared" si="7"/>
        <v>1837889582.3185046</v>
      </c>
      <c r="AK17" s="63">
        <f t="shared" si="8"/>
        <v>459473333.33333331</v>
      </c>
      <c r="AM17" s="354"/>
      <c r="AN17" s="354"/>
      <c r="AO17" s="354"/>
      <c r="AP17" s="354"/>
    </row>
    <row r="18" spans="1:42" x14ac:dyDescent="0.3">
      <c r="A18" s="210" t="s">
        <v>37</v>
      </c>
      <c r="B18" s="211">
        <v>29</v>
      </c>
      <c r="C18" s="3">
        <v>4</v>
      </c>
      <c r="D18" s="3">
        <f>Table11215[[#This Row],[a (mm)]]/Table11215[[#This Row],[d (mm)]]</f>
        <v>2.8057553956834531</v>
      </c>
      <c r="E18" s="3">
        <f>86/2</f>
        <v>43</v>
      </c>
      <c r="F18" s="3">
        <f>Table11215[[#This Row],[d (mm)]]</f>
        <v>139</v>
      </c>
      <c r="G18" s="3">
        <f t="shared" si="0"/>
        <v>16770</v>
      </c>
      <c r="H18" s="3">
        <f t="shared" si="1"/>
        <v>1.3858303540867729E-6</v>
      </c>
      <c r="I18" s="3">
        <f>G18/($AN$3*Table11215[[#This Row],[h]]^2)</f>
        <v>3.1175639500297444E-3</v>
      </c>
      <c r="J18" s="3">
        <f t="shared" si="2"/>
        <v>0.46317740346729791</v>
      </c>
      <c r="K18" s="3">
        <f t="shared" si="3"/>
        <v>7.4510828330873922E-7</v>
      </c>
      <c r="L18" s="3">
        <f t="shared" si="4"/>
        <v>1.5467625899280575E-3</v>
      </c>
      <c r="M18" s="3">
        <f>Table11215[[#This Row],[M (KN.mm)]]/($AN$3*Table11215[[#This Row],[d (mm)]])</f>
        <v>0.60323741007194243</v>
      </c>
      <c r="N18" s="3">
        <f>Table11215[[#This Row],[M (KN.mm)]]/($AN$3*Table11215[[#This Row],[h (mm)]])</f>
        <v>0.511280487804878</v>
      </c>
      <c r="O18" s="3">
        <f>Table11215[[#This Row],[M (KN.mm)]]/($AN$3*Table11215[[#This Row],[h (mm)]]*$AN$2)</f>
        <v>4.0902439024390243E-4</v>
      </c>
      <c r="P18" s="3">
        <f>Table11215[[#This Row],[M (KN.mm)]]/($AN$3*Table11215[[#This Row],[d (mm)]]*$AN$2)</f>
        <v>4.8258992805755394E-4</v>
      </c>
      <c r="Q18" s="3">
        <f>Table11215[[#This Row],[M (KN.mm)]]/($AN$3*Table11215[[#This Row],[h (mm)]]*$AN$2*$AN$4)</f>
        <v>1.302625446636632E-5</v>
      </c>
      <c r="R18" s="3">
        <f>Table11215[[#This Row],[M (KN.mm)]]/($AN$3*Table11215[[#This Row],[h (mm)]]*($AN$2-Table11215[[#This Row],[a (mm)]]))</f>
        <v>5.9451219512195121E-4</v>
      </c>
      <c r="S18" s="3">
        <f>Table11215[[#This Row],[M (KN.mm)]]/(Table11215[[#This Row],[a (mm)]]*$AN$3*Table11215[[#This Row],[h (mm)]]*($AN$2-Table11215[[#This Row],[a (mm)]]))</f>
        <v>1.5243902439024391E-6</v>
      </c>
      <c r="T18" s="3">
        <f>Table11215[[#This Row],[M (KN.mm)]]/(Table11215[[#This Row],[a (mm)]]^2*$AN$3*Table11215[[#This Row],[h (mm)]])</f>
        <v>3.3614759224515321E-6</v>
      </c>
      <c r="U18" s="3">
        <f>Table11215[[#This Row],[M (KN.mm)]]/($AN$3*Table11215[[#This Row],[d (mm)]]*Table11215[[#This Row],[pho (%)]])</f>
        <v>0.42704354469060352</v>
      </c>
      <c r="V18" s="3">
        <f>E18*224.8/(2*SQRT($AN$4*145.037)*$AN$3*Table11215[[#This Row],[d (mm)]]*(1/25.4)^2)</f>
        <v>1.6620847932335479</v>
      </c>
      <c r="W18" s="3">
        <f>Table11215[[#This Row],[M (KN.mm)]]/$G$19</f>
        <v>0.75438596491228072</v>
      </c>
      <c r="X18" s="3">
        <f>Table11215[[#This Row],[V/(2*sqrt(fc) bd)]]</f>
        <v>1.6620847932335479</v>
      </c>
      <c r="Y18" s="3">
        <f>Table11215[[#This Row],[a (mm)]]</f>
        <v>390</v>
      </c>
      <c r="Z18" s="3">
        <f>Table11215[[#This Row],[width]]*Table11215[[#This Row],[h]]^2</f>
        <v>5379200</v>
      </c>
      <c r="AA18" s="3">
        <f t="shared" si="5"/>
        <v>200</v>
      </c>
      <c r="AB18" s="3">
        <f>Table11215[[#This Row],[a]]/Table11215[[#This Row],[h (mm)]]</f>
        <v>2.3780487804878048</v>
      </c>
      <c r="AC18" s="3">
        <f>Table11215[[#This Row],[h (mm)]]</f>
        <v>164</v>
      </c>
      <c r="AD18" s="3">
        <v>390</v>
      </c>
      <c r="AE18" s="3">
        <v>139</v>
      </c>
      <c r="AF18" s="3">
        <v>164</v>
      </c>
      <c r="AG18" s="3">
        <v>392.7</v>
      </c>
      <c r="AH18" s="3">
        <f t="shared" si="6"/>
        <v>1.412589928057554</v>
      </c>
      <c r="AI18" s="3">
        <v>663.3</v>
      </c>
      <c r="AJ18" s="3">
        <f t="shared" si="7"/>
        <v>1837889582.3185046</v>
      </c>
      <c r="AK18" s="63">
        <f t="shared" si="8"/>
        <v>459473333.33333331</v>
      </c>
      <c r="AM18" s="354"/>
      <c r="AN18" s="354"/>
      <c r="AO18" s="354"/>
      <c r="AP18" s="354"/>
    </row>
    <row r="19" spans="1:42" x14ac:dyDescent="0.3">
      <c r="A19" s="210" t="s">
        <v>37</v>
      </c>
      <c r="B19" s="211">
        <v>30</v>
      </c>
      <c r="C19" s="3">
        <v>5</v>
      </c>
      <c r="D19" s="3">
        <f>Table11215[[#This Row],[a (mm)]]/Table11215[[#This Row],[d (mm)]]</f>
        <v>2.8057553956834531</v>
      </c>
      <c r="E19" s="3">
        <v>57</v>
      </c>
      <c r="F19" s="3">
        <f>Table11215[[#This Row],[d (mm)]]</f>
        <v>139</v>
      </c>
      <c r="G19" s="3">
        <f t="shared" si="0"/>
        <v>22230</v>
      </c>
      <c r="H19" s="3">
        <f t="shared" si="1"/>
        <v>1.8370309344871176E-6</v>
      </c>
      <c r="I19" s="3">
        <f>G19/($AN$3*Table11215[[#This Row],[h]]^2)</f>
        <v>4.1325847709696613E-3</v>
      </c>
      <c r="J19" s="3">
        <f t="shared" si="2"/>
        <v>0.61397934878223204</v>
      </c>
      <c r="K19" s="3">
        <f t="shared" si="3"/>
        <v>9.8770167787437531E-7</v>
      </c>
      <c r="L19" s="3">
        <f t="shared" si="4"/>
        <v>2.0503597122302156E-3</v>
      </c>
      <c r="M19" s="3">
        <f>Table11215[[#This Row],[M (KN.mm)]]/($AN$3*Table11215[[#This Row],[d (mm)]])</f>
        <v>0.79964028776978413</v>
      </c>
      <c r="N19" s="3">
        <f>Table11215[[#This Row],[M (KN.mm)]]/($AN$3*Table11215[[#This Row],[h (mm)]])</f>
        <v>0.67774390243902438</v>
      </c>
      <c r="O19" s="3">
        <f>Table11215[[#This Row],[M (KN.mm)]]/($AN$3*Table11215[[#This Row],[h (mm)]]*$AN$2)</f>
        <v>5.421951219512195E-4</v>
      </c>
      <c r="P19" s="3">
        <f>Table11215[[#This Row],[M (KN.mm)]]/($AN$3*Table11215[[#This Row],[d (mm)]]*$AN$2)</f>
        <v>6.3971223021582738E-4</v>
      </c>
      <c r="Q19" s="3">
        <f>Table11215[[#This Row],[M (KN.mm)]]/($AN$3*Table11215[[#This Row],[h (mm)]]*$AN$2*$AN$4)</f>
        <v>1.726736057169489E-5</v>
      </c>
      <c r="R19" s="3">
        <f>Table11215[[#This Row],[M (KN.mm)]]/($AN$3*Table11215[[#This Row],[h (mm)]]*($AN$2-Table11215[[#This Row],[a (mm)]]))</f>
        <v>7.880743051616563E-4</v>
      </c>
      <c r="S19" s="3">
        <f>Table11215[[#This Row],[M (KN.mm)]]/(Table11215[[#This Row],[a (mm)]]*$AN$3*Table11215[[#This Row],[h (mm)]]*($AN$2-Table11215[[#This Row],[a (mm)]]))</f>
        <v>2.0207033465683494E-6</v>
      </c>
      <c r="T19" s="3">
        <f>Table11215[[#This Row],[M (KN.mm)]]/(Table11215[[#This Row],[a (mm)]]^2*$AN$3*Table11215[[#This Row],[h (mm)]])</f>
        <v>4.4559099437148214E-6</v>
      </c>
      <c r="U19" s="3">
        <f>Table11215[[#This Row],[M (KN.mm)]]/($AN$3*Table11215[[#This Row],[d (mm)]]*Table11215[[#This Row],[pho (%)]])</f>
        <v>0.56608097784568367</v>
      </c>
      <c r="V19" s="3">
        <f>E19*224.8/(2*SQRT($AN$4*145.037)*$AN$3*Table11215[[#This Row],[d (mm)]]*(1/25.4)^2)</f>
        <v>2.2032286794026099</v>
      </c>
      <c r="W19" s="3">
        <f>Table11215[[#This Row],[M (KN.mm)]]/$G$19</f>
        <v>1</v>
      </c>
      <c r="X19" s="3">
        <f>Table11215[[#This Row],[V/(2*sqrt(fc) bd)]]</f>
        <v>2.2032286794026099</v>
      </c>
      <c r="Y19" s="3">
        <f>Table11215[[#This Row],[a (mm)]]</f>
        <v>390</v>
      </c>
      <c r="Z19" s="3">
        <f>Table11215[[#This Row],[width]]*Table11215[[#This Row],[h]]^2</f>
        <v>5379200</v>
      </c>
      <c r="AA19" s="3">
        <f t="shared" si="5"/>
        <v>200</v>
      </c>
      <c r="AB19" s="3">
        <f>Table11215[[#This Row],[a]]/Table11215[[#This Row],[h (mm)]]</f>
        <v>2.3780487804878048</v>
      </c>
      <c r="AC19" s="3">
        <f>Table11215[[#This Row],[h (mm)]]</f>
        <v>164</v>
      </c>
      <c r="AD19" s="3">
        <v>390</v>
      </c>
      <c r="AE19" s="3">
        <v>139</v>
      </c>
      <c r="AF19" s="3">
        <v>164</v>
      </c>
      <c r="AG19" s="3">
        <v>392.7</v>
      </c>
      <c r="AH19" s="3">
        <f t="shared" si="6"/>
        <v>1.412589928057554</v>
      </c>
      <c r="AI19" s="3">
        <v>663.3</v>
      </c>
      <c r="AJ19" s="3">
        <f t="shared" si="7"/>
        <v>1837889582.3185046</v>
      </c>
      <c r="AK19" s="63">
        <f t="shared" si="8"/>
        <v>459473333.33333331</v>
      </c>
      <c r="AM19" s="354"/>
      <c r="AN19" s="354"/>
      <c r="AO19" s="354"/>
      <c r="AP19" s="354"/>
    </row>
    <row r="20" spans="1:42" x14ac:dyDescent="0.3">
      <c r="A20" s="212" t="s">
        <v>38</v>
      </c>
      <c r="B20" s="213">
        <v>31</v>
      </c>
      <c r="C20" s="3" t="s">
        <v>41</v>
      </c>
      <c r="D20" s="3">
        <f>Table11215[[#This Row],[a (mm)]]/Table11215[[#This Row],[d (mm)]]</f>
        <v>2.3926380368098159</v>
      </c>
      <c r="E20" s="3">
        <v>50</v>
      </c>
      <c r="F20" s="3">
        <f>Table11215[[#This Row],[d (mm)]]</f>
        <v>163</v>
      </c>
      <c r="G20" s="3">
        <f t="shared" si="0"/>
        <v>19500</v>
      </c>
      <c r="H20" s="3">
        <f t="shared" si="1"/>
        <v>1.0528287840158102E-6</v>
      </c>
      <c r="I20" s="3">
        <f>G20/($AN$3*Table11215[[#This Row],[h]]^2)</f>
        <v>2.7294868564709833E-3</v>
      </c>
      <c r="J20" s="3">
        <f t="shared" si="2"/>
        <v>0.42041999736531194</v>
      </c>
      <c r="K20" s="3">
        <f t="shared" si="3"/>
        <v>5.6606719509369527E-7</v>
      </c>
      <c r="L20" s="3">
        <f t="shared" si="4"/>
        <v>1.5337423312883436E-3</v>
      </c>
      <c r="M20" s="3">
        <f>Table11215[[#This Row],[M (KN.mm)]]/($AN$3*Table11215[[#This Row],[d (mm)]])</f>
        <v>0.59815950920245398</v>
      </c>
      <c r="N20" s="3">
        <f>Table11215[[#This Row],[M (KN.mm)]]/($AN$3*Table11215[[#This Row],[h (mm)]])</f>
        <v>0.51587301587301593</v>
      </c>
      <c r="O20" s="3">
        <f>Table11215[[#This Row],[M (KN.mm)]]/($AN$3*Table11215[[#This Row],[h (mm)]]*$AN$2)</f>
        <v>4.1269841269841269E-4</v>
      </c>
      <c r="P20" s="3">
        <f>Table11215[[#This Row],[M (KN.mm)]]/($AN$3*Table11215[[#This Row],[d (mm)]]*$AN$2)</f>
        <v>4.7852760736196321E-4</v>
      </c>
      <c r="Q20" s="3">
        <f>Table11215[[#This Row],[M (KN.mm)]]/($AN$3*Table11215[[#This Row],[h (mm)]]*$AN$2*$AN$4)</f>
        <v>1.3143261550904864E-5</v>
      </c>
      <c r="R20" s="3">
        <f>Table11215[[#This Row],[M (KN.mm)]]/($AN$3*Table11215[[#This Row],[h (mm)]]*($AN$2-Table11215[[#This Row],[a (mm)]]))</f>
        <v>5.9985234403839055E-4</v>
      </c>
      <c r="S20" s="3">
        <f>Table11215[[#This Row],[M (KN.mm)]]/(Table11215[[#This Row],[a (mm)]]*$AN$3*Table11215[[#This Row],[h (mm)]]*($AN$2-Table11215[[#This Row],[a (mm)]]))</f>
        <v>1.5380829334317706E-6</v>
      </c>
      <c r="T20" s="3">
        <f>Table11215[[#This Row],[M (KN.mm)]]/(Table11215[[#This Row],[a (mm)]]^2*$AN$3*Table11215[[#This Row],[h (mm)]])</f>
        <v>3.3916700583367249E-6</v>
      </c>
      <c r="U20" s="3">
        <f>Table11215[[#This Row],[M (KN.mm)]]/($AN$3*Table11215[[#This Row],[d (mm)]]*Table11215[[#This Row],[pho (%)]])</f>
        <v>0.43104401069873344</v>
      </c>
      <c r="V20" s="3">
        <f>E20*224.8/(2*SQRT($AN$4*145.037)*$AN$3*Table11215[[#This Row],[d (mm)]]*(1/25.4)^2)</f>
        <v>1.6480937812773802</v>
      </c>
      <c r="W20" s="3">
        <f>Table11215[[#This Row],[M (KN.mm)]]/$G$20</f>
        <v>1</v>
      </c>
      <c r="X20" s="3">
        <f>Table11215[[#This Row],[V/(2*sqrt(fc) bd)]]</f>
        <v>1.6480937812773802</v>
      </c>
      <c r="Y20" s="3">
        <f>Table11215[[#This Row],[a (mm)]]</f>
        <v>390</v>
      </c>
      <c r="Z20" s="3">
        <f>Table11215[[#This Row],[width]]*Table11215[[#This Row],[h]]^2</f>
        <v>7144200</v>
      </c>
      <c r="AA20" s="3">
        <f t="shared" si="5"/>
        <v>200</v>
      </c>
      <c r="AB20" s="3">
        <f>Table11215[[#This Row],[a]]/Table11215[[#This Row],[h (mm)]]</f>
        <v>2.0634920634920637</v>
      </c>
      <c r="AC20" s="3">
        <f>Table11215[[#This Row],[h (mm)]]</f>
        <v>189</v>
      </c>
      <c r="AD20" s="3">
        <v>390</v>
      </c>
      <c r="AE20" s="3">
        <v>163</v>
      </c>
      <c r="AF20" s="3">
        <v>189</v>
      </c>
      <c r="AG20" s="3">
        <v>452.39</v>
      </c>
      <c r="AH20" s="3">
        <f t="shared" si="6"/>
        <v>1.3876993865030673</v>
      </c>
      <c r="AI20" s="3">
        <v>629</v>
      </c>
      <c r="AJ20" s="3">
        <f t="shared" si="7"/>
        <v>2813017079.4202671</v>
      </c>
      <c r="AK20" s="63">
        <f t="shared" si="8"/>
        <v>703257187.5</v>
      </c>
      <c r="AM20" s="354"/>
      <c r="AN20" s="354"/>
      <c r="AO20" s="354"/>
      <c r="AP20" s="354"/>
    </row>
    <row r="21" spans="1:42" x14ac:dyDescent="0.3">
      <c r="A21" s="212" t="s">
        <v>39</v>
      </c>
      <c r="B21" s="213">
        <v>32</v>
      </c>
      <c r="C21" s="160" t="s">
        <v>42</v>
      </c>
      <c r="D21" s="3">
        <f>Table11215[[#This Row],[a (mm)]]/Table11215[[#This Row],[d (mm)]]</f>
        <v>2.3926380368098159</v>
      </c>
      <c r="E21" s="3">
        <v>50.7</v>
      </c>
      <c r="F21" s="3">
        <f>Table11215[[#This Row],[d (mm)]]</f>
        <v>163</v>
      </c>
      <c r="G21" s="3">
        <f t="shared" si="0"/>
        <v>19773</v>
      </c>
      <c r="H21" s="3">
        <f t="shared" si="1"/>
        <v>1.0675683869920317E-6</v>
      </c>
      <c r="I21" s="3">
        <f>G21/($AN$3*Table11215[[#This Row],[h]]^2)</f>
        <v>2.7676996724615771E-3</v>
      </c>
      <c r="J21" s="3">
        <f t="shared" si="2"/>
        <v>0.42630587732842629</v>
      </c>
      <c r="K21" s="3">
        <f t="shared" si="3"/>
        <v>5.73992135825007E-7</v>
      </c>
      <c r="L21" s="3">
        <f t="shared" si="4"/>
        <v>1.5552147239263805E-3</v>
      </c>
      <c r="M21" s="3">
        <f>Table11215[[#This Row],[M (KN.mm)]]/($AN$3*Table11215[[#This Row],[d (mm)]])</f>
        <v>0.60653374233128832</v>
      </c>
      <c r="N21" s="3">
        <f>Table11215[[#This Row],[M (KN.mm)]]/($AN$3*Table11215[[#This Row],[h (mm)]])</f>
        <v>0.52309523809523806</v>
      </c>
      <c r="O21" s="3">
        <f>Table11215[[#This Row],[M (KN.mm)]]/($AN$3*Table11215[[#This Row],[h (mm)]]*$AN$2)</f>
        <v>4.1847619047619047E-4</v>
      </c>
      <c r="P21" s="3">
        <f>Table11215[[#This Row],[M (KN.mm)]]/($AN$3*Table11215[[#This Row],[d (mm)]]*$AN$2)</f>
        <v>4.852269938650307E-4</v>
      </c>
      <c r="Q21" s="3">
        <f>Table11215[[#This Row],[M (KN.mm)]]/($AN$3*Table11215[[#This Row],[h (mm)]]*$AN$2*$AN$4)</f>
        <v>1.3327267212617531E-5</v>
      </c>
      <c r="R21" s="3">
        <f>Table11215[[#This Row],[M (KN.mm)]]/($AN$3*Table11215[[#This Row],[h (mm)]]*($AN$2-Table11215[[#This Row],[a (mm)]]))</f>
        <v>6.0825027685492805E-4</v>
      </c>
      <c r="S21" s="3">
        <f>Table11215[[#This Row],[M (KN.mm)]]/(Table11215[[#This Row],[a (mm)]]*$AN$3*Table11215[[#This Row],[h (mm)]]*($AN$2-Table11215[[#This Row],[a (mm)]]))</f>
        <v>1.5596160944998155E-6</v>
      </c>
      <c r="T21" s="3">
        <f>Table11215[[#This Row],[M (KN.mm)]]/(Table11215[[#This Row],[a (mm)]]^2*$AN$3*Table11215[[#This Row],[h (mm)]])</f>
        <v>3.439153439153439E-6</v>
      </c>
      <c r="U21" s="3">
        <f>Table11215[[#This Row],[M (KN.mm)]]/($AN$3*Table11215[[#This Row],[d (mm)]]*Table11215[[#This Row],[pho (%)]])</f>
        <v>0.43707862684851573</v>
      </c>
      <c r="V21" s="3">
        <f>E21*224.8/(2*SQRT($AN$4*145.037)*$AN$3*Table11215[[#This Row],[d (mm)]]*(1/25.4)^2)</f>
        <v>1.6711670942152634</v>
      </c>
      <c r="W21" s="3">
        <v>1</v>
      </c>
      <c r="X21" s="3">
        <f>Table11215[[#This Row],[V/(2*sqrt(fc) bd)]]</f>
        <v>1.6711670942152634</v>
      </c>
      <c r="Y21" s="3">
        <f>Table11215[[#This Row],[a (mm)]]</f>
        <v>390</v>
      </c>
      <c r="Z21" s="3">
        <f>Table11215[[#This Row],[width]]*Table11215[[#This Row],[h]]^2</f>
        <v>7144200</v>
      </c>
      <c r="AA21" s="3">
        <f t="shared" si="5"/>
        <v>200</v>
      </c>
      <c r="AB21" s="3">
        <f>Table11215[[#This Row],[a]]/Table11215[[#This Row],[h (mm)]]</f>
        <v>2.0634920634920637</v>
      </c>
      <c r="AC21" s="3">
        <f>Table11215[[#This Row],[h (mm)]]</f>
        <v>189</v>
      </c>
      <c r="AD21" s="3">
        <v>390</v>
      </c>
      <c r="AE21" s="3">
        <v>163</v>
      </c>
      <c r="AF21" s="3">
        <v>189</v>
      </c>
      <c r="AG21" s="3">
        <v>452.39</v>
      </c>
      <c r="AH21" s="3">
        <f t="shared" si="6"/>
        <v>1.3876993865030673</v>
      </c>
      <c r="AI21" s="3">
        <v>629</v>
      </c>
      <c r="AJ21" s="3">
        <f t="shared" si="7"/>
        <v>2813017079.4202671</v>
      </c>
      <c r="AK21" s="63">
        <f t="shared" si="8"/>
        <v>703257187.5</v>
      </c>
      <c r="AM21" s="354"/>
      <c r="AN21" s="354"/>
      <c r="AO21" s="354"/>
      <c r="AP21" s="354"/>
    </row>
    <row r="22" spans="1:42" x14ac:dyDescent="0.3">
      <c r="A22" s="212" t="s">
        <v>40</v>
      </c>
      <c r="B22" s="213">
        <v>33</v>
      </c>
      <c r="C22" s="7" t="s">
        <v>43</v>
      </c>
      <c r="D22" s="3">
        <f>Table11215[[#This Row],[a (mm)]]/Table11215[[#This Row],[d (mm)]]</f>
        <v>2.3926380368098159</v>
      </c>
      <c r="E22" s="3">
        <v>44.9</v>
      </c>
      <c r="F22" s="3">
        <f>Table11215[[#This Row],[d (mm)]]</f>
        <v>163</v>
      </c>
      <c r="G22" s="3">
        <f t="shared" si="0"/>
        <v>17511</v>
      </c>
      <c r="H22" s="3">
        <f t="shared" si="1"/>
        <v>9.4544024804619757E-7</v>
      </c>
      <c r="I22" s="3">
        <f>G22/($AN$3*Table11215[[#This Row],[h]]^2)</f>
        <v>2.4510791971109431E-3</v>
      </c>
      <c r="J22" s="3">
        <f t="shared" si="2"/>
        <v>0.3775371576340501</v>
      </c>
      <c r="K22" s="3">
        <f t="shared" si="3"/>
        <v>5.0832834119413833E-7</v>
      </c>
      <c r="L22" s="3">
        <f t="shared" si="4"/>
        <v>1.3773006134969324E-3</v>
      </c>
      <c r="M22" s="3">
        <f>Table11215[[#This Row],[M (KN.mm)]]/($AN$3*Table11215[[#This Row],[d (mm)]])</f>
        <v>0.5371472392638037</v>
      </c>
      <c r="N22" s="3">
        <f>Table11215[[#This Row],[M (KN.mm)]]/($AN$3*Table11215[[#This Row],[h (mm)]])</f>
        <v>0.46325396825396825</v>
      </c>
      <c r="O22" s="3">
        <f>Table11215[[#This Row],[M (KN.mm)]]/($AN$3*Table11215[[#This Row],[h (mm)]]*$AN$2)</f>
        <v>3.7060317460317459E-4</v>
      </c>
      <c r="P22" s="3">
        <f>Table11215[[#This Row],[M (KN.mm)]]/($AN$3*Table11215[[#This Row],[d (mm)]]*$AN$2)</f>
        <v>4.2971779141104296E-4</v>
      </c>
      <c r="Q22" s="3">
        <f>Table11215[[#This Row],[M (KN.mm)]]/($AN$3*Table11215[[#This Row],[h (mm)]]*$AN$2*$AN$4)</f>
        <v>1.1802648872712566E-5</v>
      </c>
      <c r="R22" s="3">
        <f>Table11215[[#This Row],[M (KN.mm)]]/($AN$3*Table11215[[#This Row],[h (mm)]]*($AN$2-Table11215[[#This Row],[a (mm)]]))</f>
        <v>5.3866740494647473E-4</v>
      </c>
      <c r="S22" s="3">
        <f>Table11215[[#This Row],[M (KN.mm)]]/(Table11215[[#This Row],[a (mm)]]*$AN$3*Table11215[[#This Row],[h (mm)]]*($AN$2-Table11215[[#This Row],[a (mm)]]))</f>
        <v>1.3811984742217301E-6</v>
      </c>
      <c r="T22" s="3">
        <f>Table11215[[#This Row],[M (KN.mm)]]/(Table11215[[#This Row],[a (mm)]]^2*$AN$3*Table11215[[#This Row],[h (mm)]])</f>
        <v>3.045719712386379E-6</v>
      </c>
      <c r="U22" s="3">
        <f>Table11215[[#This Row],[M (KN.mm)]]/($AN$3*Table11215[[#This Row],[d (mm)]]*Table11215[[#This Row],[pho (%)]])</f>
        <v>0.38707752160746267</v>
      </c>
      <c r="V22" s="3">
        <f>E22*224.8/(2*SQRT($AN$4*145.037)*$AN$3*Table11215[[#This Row],[d (mm)]]*(1/25.4)^2)</f>
        <v>1.4799882155870874</v>
      </c>
      <c r="W22" s="3">
        <v>1</v>
      </c>
      <c r="X22" s="3">
        <f>Table11215[[#This Row],[V/(2*sqrt(fc) bd)]]</f>
        <v>1.4799882155870874</v>
      </c>
      <c r="Y22" s="3">
        <f>Table11215[[#This Row],[a (mm)]]</f>
        <v>390</v>
      </c>
      <c r="Z22" s="3">
        <f>Table11215[[#This Row],[width]]*Table11215[[#This Row],[h]]^2</f>
        <v>7144200</v>
      </c>
      <c r="AA22" s="3">
        <f t="shared" si="5"/>
        <v>200</v>
      </c>
      <c r="AB22" s="3">
        <f>Table11215[[#This Row],[a]]/Table11215[[#This Row],[h (mm)]]</f>
        <v>2.0634920634920637</v>
      </c>
      <c r="AC22" s="3">
        <f>Table11215[[#This Row],[h (mm)]]</f>
        <v>189</v>
      </c>
      <c r="AD22" s="3">
        <v>390</v>
      </c>
      <c r="AE22" s="3">
        <v>163</v>
      </c>
      <c r="AF22" s="3">
        <v>189</v>
      </c>
      <c r="AG22" s="3">
        <v>452.39</v>
      </c>
      <c r="AH22" s="3">
        <f t="shared" si="6"/>
        <v>1.3876993865030673</v>
      </c>
      <c r="AI22" s="3">
        <v>629</v>
      </c>
      <c r="AJ22" s="3">
        <f t="shared" si="7"/>
        <v>2813017079.4202671</v>
      </c>
      <c r="AK22" s="63">
        <f t="shared" si="8"/>
        <v>703257187.5</v>
      </c>
      <c r="AM22" s="354"/>
      <c r="AN22" s="354"/>
      <c r="AO22" s="354"/>
      <c r="AP22" s="354"/>
    </row>
    <row r="23" spans="1:42" x14ac:dyDescent="0.3">
      <c r="A23" s="214" t="s">
        <v>44</v>
      </c>
      <c r="B23" s="215">
        <v>34</v>
      </c>
      <c r="C23" s="160">
        <v>2</v>
      </c>
      <c r="D23" s="3">
        <f>Table11215[[#This Row],[a (mm)]]/Table11215[[#This Row],[d (mm)]]</f>
        <v>1.8571428571428572</v>
      </c>
      <c r="E23" s="13">
        <f>71.3/2</f>
        <v>35.65</v>
      </c>
      <c r="F23" s="3">
        <f>Table11215[[#This Row],[d (mm)]]</f>
        <v>210</v>
      </c>
      <c r="G23" s="3">
        <f t="shared" si="0"/>
        <v>13903.5</v>
      </c>
      <c r="H23" s="3">
        <f t="shared" si="1"/>
        <v>3.8556418306196877E-7</v>
      </c>
      <c r="I23" s="3">
        <f>G23/($AN$3*Table11215[[#This Row],[h]]^2)</f>
        <v>1.2481596523987359E-3</v>
      </c>
      <c r="J23" s="3">
        <f t="shared" si="2"/>
        <v>0.18613552633502012</v>
      </c>
      <c r="K23" s="3">
        <f t="shared" si="3"/>
        <v>2.0730538737587502E-7</v>
      </c>
      <c r="L23" s="3">
        <f t="shared" si="4"/>
        <v>8.4880952380952382E-4</v>
      </c>
      <c r="M23" s="3">
        <f>Table11215[[#This Row],[M (KN.mm)]]/($AN$3*Table11215[[#This Row],[d (mm)]])</f>
        <v>0.33103571428571427</v>
      </c>
      <c r="N23" s="3">
        <f>Table11215[[#This Row],[M (KN.mm)]]/($AN$3*Table11215[[#This Row],[h (mm)]])</f>
        <v>0.29456567796610167</v>
      </c>
      <c r="O23" s="3">
        <f>Table11215[[#This Row],[M (KN.mm)]]/($AN$3*Table11215[[#This Row],[h (mm)]]*$AN$2)</f>
        <v>2.3565254237288135E-4</v>
      </c>
      <c r="P23" s="3">
        <f>Table11215[[#This Row],[M (KN.mm)]]/($AN$3*Table11215[[#This Row],[d (mm)]]*$AN$2)</f>
        <v>2.6482857142857145E-4</v>
      </c>
      <c r="Q23" s="3">
        <f>Table11215[[#This Row],[M (KN.mm)]]/($AN$3*Table11215[[#This Row],[h (mm)]]*$AN$2*$AN$4)</f>
        <v>7.5048580373529096E-6</v>
      </c>
      <c r="R23" s="3">
        <f>Table11215[[#This Row],[M (KN.mm)]]/($AN$3*Table11215[[#This Row],[h (mm)]]*($AN$2-Table11215[[#This Row],[a (mm)]]))</f>
        <v>3.425182301931415E-4</v>
      </c>
      <c r="S23" s="3">
        <f>Table11215[[#This Row],[M (KN.mm)]]/(Table11215[[#This Row],[a (mm)]]*$AN$3*Table11215[[#This Row],[h (mm)]]*($AN$2-Table11215[[#This Row],[a (mm)]]))</f>
        <v>8.7825187229010638E-7</v>
      </c>
      <c r="T23" s="3">
        <f>Table11215[[#This Row],[M (KN.mm)]]/(Table11215[[#This Row],[a (mm)]]^2*$AN$3*Table11215[[#This Row],[h (mm)]])</f>
        <v>1.9366579747935681E-6</v>
      </c>
      <c r="U23" s="3">
        <f>Table11215[[#This Row],[M (KN.mm)]]/($AN$3*Table11215[[#This Row],[d (mm)]]*Table11215[[#This Row],[pho (%)]])</f>
        <v>0.24586641673592813</v>
      </c>
      <c r="V23" s="3">
        <f>E23*224.8/(2*SQRT($AN$4*145.037)*$AN$3*Table11215[[#This Row],[d (mm)]]*(1/25.4)^2)</f>
        <v>0.91209433888702773</v>
      </c>
      <c r="W23" s="3">
        <f>Table11215[[#This Row],[M (KN.mm)]]/$G$27</f>
        <v>0.5636363636363636</v>
      </c>
      <c r="X23" s="3">
        <f>Table11215[[#This Row],[V/(2*sqrt(fc) bd)]]</f>
        <v>0.91209433888702773</v>
      </c>
      <c r="Y23" s="3">
        <f>Table11215[[#This Row],[a (mm)]]</f>
        <v>390</v>
      </c>
      <c r="Z23" s="3">
        <f>Table11215[[#This Row],[width]]*Table11215[[#This Row],[h]]^2</f>
        <v>11139200</v>
      </c>
      <c r="AA23" s="3">
        <f t="shared" si="5"/>
        <v>200</v>
      </c>
      <c r="AB23" s="3">
        <f>Table11215[[#This Row],[a]]/Table11215[[#This Row],[h (mm)]]</f>
        <v>1.652542372881356</v>
      </c>
      <c r="AC23" s="3">
        <f>Table11215[[#This Row],[h (mm)]]</f>
        <v>236</v>
      </c>
      <c r="AD23" s="7">
        <v>390</v>
      </c>
      <c r="AE23" s="7">
        <v>210</v>
      </c>
      <c r="AF23" s="7">
        <v>236</v>
      </c>
      <c r="AG23" s="7">
        <v>565.49</v>
      </c>
      <c r="AH23" s="3">
        <f t="shared" si="6"/>
        <v>1.3464047619047619</v>
      </c>
      <c r="AI23" s="7">
        <v>629</v>
      </c>
      <c r="AJ23" s="7">
        <f t="shared" si="7"/>
        <v>5476704357.9662561</v>
      </c>
      <c r="AK23" s="68">
        <f t="shared" si="8"/>
        <v>1369193333.3333333</v>
      </c>
      <c r="AM23" s="354"/>
      <c r="AN23" s="354"/>
      <c r="AO23" s="354"/>
      <c r="AP23" s="354"/>
    </row>
    <row r="24" spans="1:42" x14ac:dyDescent="0.3">
      <c r="A24" s="214" t="s">
        <v>44</v>
      </c>
      <c r="B24" s="215">
        <v>35</v>
      </c>
      <c r="C24" s="160">
        <v>3</v>
      </c>
      <c r="D24" s="3">
        <f>Table11215[[#This Row],[a (mm)]]/Table11215[[#This Row],[d (mm)]]</f>
        <v>1.8571428571428572</v>
      </c>
      <c r="E24" s="13">
        <f>85/2</f>
        <v>42.5</v>
      </c>
      <c r="F24" s="3">
        <f>Table11215[[#This Row],[d (mm)]]</f>
        <v>210</v>
      </c>
      <c r="G24" s="3">
        <f t="shared" si="0"/>
        <v>16575</v>
      </c>
      <c r="H24" s="3">
        <f t="shared" si="1"/>
        <v>4.5964874558579731E-7</v>
      </c>
      <c r="I24" s="3">
        <f>G24/($AN$3*Table11215[[#This Row],[h]]^2)</f>
        <v>1.4879883654122378E-3</v>
      </c>
      <c r="J24" s="3">
        <f t="shared" si="2"/>
        <v>0.22190069759434378</v>
      </c>
      <c r="K24" s="3">
        <f t="shared" si="3"/>
        <v>2.4713825984501231E-7</v>
      </c>
      <c r="L24" s="3">
        <f t="shared" si="4"/>
        <v>1.0119047619047618E-3</v>
      </c>
      <c r="M24" s="3">
        <f>Table11215[[#This Row],[M (KN.mm)]]/($AN$3*Table11215[[#This Row],[d (mm)]])</f>
        <v>0.39464285714285713</v>
      </c>
      <c r="N24" s="3">
        <f>Table11215[[#This Row],[M (KN.mm)]]/($AN$3*Table11215[[#This Row],[h (mm)]])</f>
        <v>0.35116525423728812</v>
      </c>
      <c r="O24" s="3">
        <f>Table11215[[#This Row],[M (KN.mm)]]/($AN$3*Table11215[[#This Row],[h (mm)]]*$AN$2)</f>
        <v>2.8093220338983049E-4</v>
      </c>
      <c r="P24" s="3">
        <f>Table11215[[#This Row],[M (KN.mm)]]/($AN$3*Table11215[[#This Row],[d (mm)]]*$AN$2)</f>
        <v>3.1571428571428571E-4</v>
      </c>
      <c r="Q24" s="3">
        <f>Table11215[[#This Row],[M (KN.mm)]]/($AN$3*Table11215[[#This Row],[h (mm)]]*$AN$2*$AN$4)</f>
        <v>8.9468854582748565E-6</v>
      </c>
      <c r="R24" s="3">
        <f>Table11215[[#This Row],[M (KN.mm)]]/($AN$3*Table11215[[#This Row],[h (mm)]]*($AN$2-Table11215[[#This Row],[a (mm)]]))</f>
        <v>4.0833169097359085E-4</v>
      </c>
      <c r="S24" s="3">
        <f>Table11215[[#This Row],[M (KN.mm)]]/(Table11215[[#This Row],[a (mm)]]*$AN$3*Table11215[[#This Row],[h (mm)]]*($AN$2-Table11215[[#This Row],[a (mm)]]))</f>
        <v>1.0470043358297201E-6</v>
      </c>
      <c r="T24" s="3">
        <f>Table11215[[#This Row],[M (KN.mm)]]/(Table11215[[#This Row],[a (mm)]]^2*$AN$3*Table11215[[#This Row],[h (mm)]])</f>
        <v>2.3087787918296392E-6</v>
      </c>
      <c r="U24" s="3">
        <f>Table11215[[#This Row],[M (KN.mm)]]/($AN$3*Table11215[[#This Row],[d (mm)]]*Table11215[[#This Row],[pho (%)]])</f>
        <v>0.29310863145236876</v>
      </c>
      <c r="V24" s="3">
        <f>E24*224.8/(2*SQRT($AN$4*145.037)*$AN$3*Table11215[[#This Row],[d (mm)]]*(1/25.4)^2)</f>
        <v>1.0873494923618143</v>
      </c>
      <c r="W24" s="3">
        <f>Table11215[[#This Row],[M (KN.mm)]]/$G$27</f>
        <v>0.67193675889328064</v>
      </c>
      <c r="X24" s="3">
        <f>Table11215[[#This Row],[V/(2*sqrt(fc) bd)]]</f>
        <v>1.0873494923618143</v>
      </c>
      <c r="Y24" s="3">
        <f>Table11215[[#This Row],[a (mm)]]</f>
        <v>390</v>
      </c>
      <c r="Z24" s="3">
        <f>Table11215[[#This Row],[width]]*Table11215[[#This Row],[h]]^2</f>
        <v>11139200</v>
      </c>
      <c r="AA24" s="3">
        <f t="shared" si="5"/>
        <v>200</v>
      </c>
      <c r="AB24" s="3">
        <f>Table11215[[#This Row],[a]]/Table11215[[#This Row],[h (mm)]]</f>
        <v>1.652542372881356</v>
      </c>
      <c r="AC24" s="3">
        <f>Table11215[[#This Row],[h (mm)]]</f>
        <v>236</v>
      </c>
      <c r="AD24" s="7">
        <v>390</v>
      </c>
      <c r="AE24" s="7">
        <v>210</v>
      </c>
      <c r="AF24" s="7">
        <v>236</v>
      </c>
      <c r="AG24" s="7">
        <v>565.49</v>
      </c>
      <c r="AH24" s="3">
        <f t="shared" si="6"/>
        <v>1.3464047619047619</v>
      </c>
      <c r="AI24" s="7">
        <v>629</v>
      </c>
      <c r="AJ24" s="7">
        <f t="shared" si="7"/>
        <v>5476704357.9662561</v>
      </c>
      <c r="AK24" s="68">
        <f t="shared" si="8"/>
        <v>1369193333.3333333</v>
      </c>
      <c r="AM24" s="354"/>
      <c r="AN24" s="354"/>
      <c r="AO24" s="354"/>
      <c r="AP24" s="354"/>
    </row>
    <row r="25" spans="1:42" x14ac:dyDescent="0.3">
      <c r="A25" s="214" t="s">
        <v>44</v>
      </c>
      <c r="B25" s="215">
        <v>36</v>
      </c>
      <c r="C25" s="160">
        <v>4</v>
      </c>
      <c r="D25" s="3">
        <f>Table11215[[#This Row],[a (mm)]]/Table11215[[#This Row],[d (mm)]]</f>
        <v>1.8571428571428572</v>
      </c>
      <c r="E25" s="13">
        <f>94/2</f>
        <v>47</v>
      </c>
      <c r="F25" s="3">
        <f>Table11215[[#This Row],[d (mm)]]</f>
        <v>210</v>
      </c>
      <c r="G25" s="3">
        <f t="shared" si="0"/>
        <v>18330</v>
      </c>
      <c r="H25" s="3">
        <f t="shared" si="1"/>
        <v>5.0831743629488171E-7</v>
      </c>
      <c r="I25" s="3">
        <f>G25/($AN$3*Table11215[[#This Row],[h]]^2)</f>
        <v>1.6455400746911808E-3</v>
      </c>
      <c r="J25" s="3">
        <f t="shared" si="2"/>
        <v>0.24539606557492136</v>
      </c>
      <c r="K25" s="3">
        <f t="shared" si="3"/>
        <v>2.7330584029919009E-7</v>
      </c>
      <c r="L25" s="3">
        <f t="shared" si="4"/>
        <v>1.1190476190476191E-3</v>
      </c>
      <c r="M25" s="3">
        <f>Table11215[[#This Row],[M (KN.mm)]]/($AN$3*Table11215[[#This Row],[d (mm)]])</f>
        <v>0.43642857142857144</v>
      </c>
      <c r="N25" s="3">
        <f>Table11215[[#This Row],[M (KN.mm)]]/($AN$3*Table11215[[#This Row],[h (mm)]])</f>
        <v>0.38834745762711864</v>
      </c>
      <c r="O25" s="3">
        <f>Table11215[[#This Row],[M (KN.mm)]]/($AN$3*Table11215[[#This Row],[h (mm)]]*$AN$2)</f>
        <v>3.1067796610169493E-4</v>
      </c>
      <c r="P25" s="3">
        <f>Table11215[[#This Row],[M (KN.mm)]]/($AN$3*Table11215[[#This Row],[d (mm)]]*$AN$2)</f>
        <v>3.4914285714285716E-4</v>
      </c>
      <c r="Q25" s="3">
        <f>Table11215[[#This Row],[M (KN.mm)]]/($AN$3*Table11215[[#This Row],[h (mm)]]*$AN$2*$AN$4)</f>
        <v>9.8942027420921954E-6</v>
      </c>
      <c r="R25" s="3">
        <f>Table11215[[#This Row],[M (KN.mm)]]/($AN$3*Table11215[[#This Row],[h (mm)]]*($AN$2-Table11215[[#This Row],[a (mm)]]))</f>
        <v>4.5156681119432399E-4</v>
      </c>
      <c r="S25" s="3">
        <f>Table11215[[#This Row],[M (KN.mm)]]/(Table11215[[#This Row],[a (mm)]]*$AN$3*Table11215[[#This Row],[h (mm)]]*($AN$2-Table11215[[#This Row],[a (mm)]]))</f>
        <v>1.1578636184469847E-6</v>
      </c>
      <c r="T25" s="3">
        <f>Table11215[[#This Row],[M (KN.mm)]]/(Table11215[[#This Row],[a (mm)]]^2*$AN$3*Table11215[[#This Row],[h (mm)]])</f>
        <v>2.5532377227292482E-6</v>
      </c>
      <c r="U25" s="3">
        <f>Table11215[[#This Row],[M (KN.mm)]]/($AN$3*Table11215[[#This Row],[d (mm)]]*Table11215[[#This Row],[pho (%)]])</f>
        <v>0.32414366301791364</v>
      </c>
      <c r="V25" s="3">
        <f>E25*224.8/(2*SQRT($AN$4*145.037)*$AN$3*Table11215[[#This Row],[d (mm)]]*(1/25.4)^2)</f>
        <v>1.2024806150824769</v>
      </c>
      <c r="W25" s="3">
        <f>Table11215[[#This Row],[M (KN.mm)]]/$G$27</f>
        <v>0.74308300395256921</v>
      </c>
      <c r="X25" s="3">
        <f>Table11215[[#This Row],[V/(2*sqrt(fc) bd)]]</f>
        <v>1.2024806150824769</v>
      </c>
      <c r="Y25" s="3">
        <f>Table11215[[#This Row],[a (mm)]]</f>
        <v>390</v>
      </c>
      <c r="Z25" s="3">
        <f>Table11215[[#This Row],[width]]*Table11215[[#This Row],[h]]^2</f>
        <v>11139200</v>
      </c>
      <c r="AA25" s="3">
        <f t="shared" si="5"/>
        <v>200</v>
      </c>
      <c r="AB25" s="3">
        <f>Table11215[[#This Row],[a]]/Table11215[[#This Row],[h (mm)]]</f>
        <v>1.652542372881356</v>
      </c>
      <c r="AC25" s="3">
        <f>Table11215[[#This Row],[h (mm)]]</f>
        <v>236</v>
      </c>
      <c r="AD25" s="7">
        <v>390</v>
      </c>
      <c r="AE25" s="7">
        <v>210</v>
      </c>
      <c r="AF25" s="7">
        <v>236</v>
      </c>
      <c r="AG25" s="7">
        <v>565.49</v>
      </c>
      <c r="AH25" s="3">
        <f t="shared" si="6"/>
        <v>1.3464047619047619</v>
      </c>
      <c r="AI25" s="7">
        <v>629</v>
      </c>
      <c r="AJ25" s="7">
        <f t="shared" si="7"/>
        <v>5476704357.9662561</v>
      </c>
      <c r="AK25" s="68">
        <f t="shared" si="8"/>
        <v>1369193333.3333333</v>
      </c>
      <c r="AM25" s="354"/>
      <c r="AN25" s="354"/>
      <c r="AO25" s="354"/>
      <c r="AP25" s="354"/>
    </row>
    <row r="26" spans="1:42" x14ac:dyDescent="0.3">
      <c r="A26" s="214" t="s">
        <v>44</v>
      </c>
      <c r="B26" s="215">
        <v>37</v>
      </c>
      <c r="C26" s="160">
        <v>5</v>
      </c>
      <c r="D26" s="3">
        <f>Table11215[[#This Row],[a (mm)]]/Table11215[[#This Row],[d (mm)]]</f>
        <v>1.8571428571428572</v>
      </c>
      <c r="E26" s="3">
        <f>124/2</f>
        <v>62</v>
      </c>
      <c r="F26" s="3">
        <f>Table11215[[#This Row],[d (mm)]]</f>
        <v>210</v>
      </c>
      <c r="G26" s="3">
        <f t="shared" si="0"/>
        <v>24180</v>
      </c>
      <c r="H26" s="3">
        <f t="shared" si="1"/>
        <v>6.705464053251631E-7</v>
      </c>
      <c r="I26" s="3">
        <f>G26/($AN$3*Table11215[[#This Row],[h]]^2)</f>
        <v>2.1707124389543234E-3</v>
      </c>
      <c r="J26" s="3">
        <f t="shared" si="2"/>
        <v>0.32371395884351328</v>
      </c>
      <c r="K26" s="3">
        <f t="shared" si="3"/>
        <v>3.6053110847978266E-7</v>
      </c>
      <c r="L26" s="3">
        <f t="shared" si="4"/>
        <v>1.4761904761904762E-3</v>
      </c>
      <c r="M26" s="3">
        <f>Table11215[[#This Row],[M (KN.mm)]]/($AN$3*Table11215[[#This Row],[d (mm)]])</f>
        <v>0.57571428571428573</v>
      </c>
      <c r="N26" s="3">
        <f>Table11215[[#This Row],[M (KN.mm)]]/($AN$3*Table11215[[#This Row],[h (mm)]])</f>
        <v>0.51228813559322028</v>
      </c>
      <c r="O26" s="3">
        <f>Table11215[[#This Row],[M (KN.mm)]]/($AN$3*Table11215[[#This Row],[h (mm)]]*$AN$2)</f>
        <v>4.0983050847457627E-4</v>
      </c>
      <c r="P26" s="3">
        <f>Table11215[[#This Row],[M (KN.mm)]]/($AN$3*Table11215[[#This Row],[d (mm)]]*$AN$2)</f>
        <v>4.6057142857142857E-4</v>
      </c>
      <c r="Q26" s="3">
        <f>Table11215[[#This Row],[M (KN.mm)]]/($AN$3*Table11215[[#This Row],[h (mm)]]*$AN$2*$AN$4)</f>
        <v>1.305192702148332E-5</v>
      </c>
      <c r="R26" s="3">
        <f>Table11215[[#This Row],[M (KN.mm)]]/($AN$3*Table11215[[#This Row],[h (mm)]]*($AN$2-Table11215[[#This Row],[a (mm)]]))</f>
        <v>5.9568387859676789E-4</v>
      </c>
      <c r="S26" s="3">
        <f>Table11215[[#This Row],[M (KN.mm)]]/(Table11215[[#This Row],[a (mm)]]*$AN$3*Table11215[[#This Row],[h (mm)]]*($AN$2-Table11215[[#This Row],[a (mm)]]))</f>
        <v>1.527394560504533E-6</v>
      </c>
      <c r="T26" s="3">
        <f>Table11215[[#This Row],[M (KN.mm)]]/(Table11215[[#This Row],[a (mm)]]^2*$AN$3*Table11215[[#This Row],[h (mm)]])</f>
        <v>3.3681008257279443E-6</v>
      </c>
      <c r="U26" s="3">
        <f>Table11215[[#This Row],[M (KN.mm)]]/($AN$3*Table11215[[#This Row],[d (mm)]]*Table11215[[#This Row],[pho (%)]])</f>
        <v>0.42759376823639678</v>
      </c>
      <c r="V26" s="3">
        <f>E26*224.8/(2*SQRT($AN$4*145.037)*$AN$3*Table11215[[#This Row],[d (mm)]]*(1/25.4)^2)</f>
        <v>1.5862510241513528</v>
      </c>
      <c r="W26" s="3">
        <f>Table11215[[#This Row],[M (KN.mm)]]/$G$27</f>
        <v>0.98023715415019763</v>
      </c>
      <c r="X26" s="3">
        <f>Table11215[[#This Row],[V/(2*sqrt(fc) bd)]]</f>
        <v>1.5862510241513528</v>
      </c>
      <c r="Y26" s="3">
        <f>Table11215[[#This Row],[a (mm)]]</f>
        <v>390</v>
      </c>
      <c r="Z26" s="3">
        <f>Table11215[[#This Row],[width]]*Table11215[[#This Row],[h]]^2</f>
        <v>11139200</v>
      </c>
      <c r="AA26" s="3">
        <f t="shared" si="5"/>
        <v>200</v>
      </c>
      <c r="AB26" s="3">
        <f>Table11215[[#This Row],[a]]/Table11215[[#This Row],[h (mm)]]</f>
        <v>1.652542372881356</v>
      </c>
      <c r="AC26" s="3">
        <f>Table11215[[#This Row],[h (mm)]]</f>
        <v>236</v>
      </c>
      <c r="AD26" s="7">
        <v>390</v>
      </c>
      <c r="AE26" s="7">
        <v>210</v>
      </c>
      <c r="AF26" s="7">
        <v>236</v>
      </c>
      <c r="AG26" s="7">
        <v>565.49</v>
      </c>
      <c r="AH26" s="3">
        <f t="shared" si="6"/>
        <v>1.3464047619047619</v>
      </c>
      <c r="AI26" s="7">
        <v>629</v>
      </c>
      <c r="AJ26" s="7">
        <f t="shared" si="7"/>
        <v>5476704357.9662561</v>
      </c>
      <c r="AK26" s="68">
        <f t="shared" si="8"/>
        <v>1369193333.3333333</v>
      </c>
      <c r="AM26" s="354"/>
      <c r="AN26" s="354"/>
      <c r="AO26" s="354"/>
      <c r="AP26" s="354"/>
    </row>
    <row r="27" spans="1:42" x14ac:dyDescent="0.3">
      <c r="A27" s="214" t="s">
        <v>44</v>
      </c>
      <c r="B27" s="215">
        <v>38</v>
      </c>
      <c r="C27" s="160">
        <v>6</v>
      </c>
      <c r="D27" s="3">
        <f>Table11215[[#This Row],[a (mm)]]/Table11215[[#This Row],[d (mm)]]</f>
        <v>1.8571428571428572</v>
      </c>
      <c r="E27" s="3">
        <f>126.5/2</f>
        <v>63.25</v>
      </c>
      <c r="F27" s="3">
        <f>Table11215[[#This Row],[d (mm)]]</f>
        <v>210</v>
      </c>
      <c r="G27" s="3">
        <f t="shared" si="0"/>
        <v>24667.5</v>
      </c>
      <c r="H27" s="3">
        <f t="shared" si="1"/>
        <v>6.8406548607768657E-7</v>
      </c>
      <c r="I27" s="3">
        <f>G27/($AN$3*Table11215[[#This Row],[h]]^2)</f>
        <v>2.2144768026429187E-3</v>
      </c>
      <c r="J27" s="3">
        <f t="shared" si="2"/>
        <v>0.33024044994922924</v>
      </c>
      <c r="K27" s="3">
        <f t="shared" si="3"/>
        <v>3.6779988082816538E-7</v>
      </c>
      <c r="L27" s="3">
        <f t="shared" si="4"/>
        <v>1.505952380952381E-3</v>
      </c>
      <c r="M27" s="3">
        <f>Table11215[[#This Row],[M (KN.mm)]]/($AN$3*Table11215[[#This Row],[d (mm)]])</f>
        <v>0.58732142857142855</v>
      </c>
      <c r="N27" s="3">
        <f>Table11215[[#This Row],[M (KN.mm)]]/($AN$3*Table11215[[#This Row],[h (mm)]])</f>
        <v>0.52261652542372883</v>
      </c>
      <c r="O27" s="3">
        <f>Table11215[[#This Row],[M (KN.mm)]]/($AN$3*Table11215[[#This Row],[h (mm)]]*$AN$2)</f>
        <v>4.1809322033898303E-4</v>
      </c>
      <c r="P27" s="3">
        <f>Table11215[[#This Row],[M (KN.mm)]]/($AN$3*Table11215[[#This Row],[d (mm)]]*$AN$2)</f>
        <v>4.6985714285714285E-4</v>
      </c>
      <c r="Q27" s="3">
        <f>Table11215[[#This Row],[M (KN.mm)]]/($AN$3*Table11215[[#This Row],[h (mm)]]*$AN$2*$AN$4)</f>
        <v>1.3315070711432581E-5</v>
      </c>
      <c r="R27" s="3">
        <f>Table11215[[#This Row],[M (KN.mm)]]/($AN$3*Table11215[[#This Row],[h (mm)]]*($AN$2-Table11215[[#This Row],[a (mm)]]))</f>
        <v>6.0769363421363817E-4</v>
      </c>
      <c r="S27" s="3">
        <f>Table11215[[#This Row],[M (KN.mm)]]/(Table11215[[#This Row],[a (mm)]]*$AN$3*Table11215[[#This Row],[h (mm)]]*($AN$2-Table11215[[#This Row],[a (mm)]]))</f>
        <v>1.5581888056759953E-6</v>
      </c>
      <c r="T27" s="3">
        <f>Table11215[[#This Row],[M (KN.mm)]]/(Table11215[[#This Row],[a (mm)]]^2*$AN$3*Table11215[[#This Row],[h (mm)]])</f>
        <v>3.4360060843111693E-6</v>
      </c>
      <c r="U27" s="3">
        <f>Table11215[[#This Row],[M (KN.mm)]]/($AN$3*Table11215[[#This Row],[d (mm)]]*Table11215[[#This Row],[pho (%)]])</f>
        <v>0.43621461033793701</v>
      </c>
      <c r="V27" s="3">
        <f>E27*224.8/(2*SQRT($AN$4*145.037)*$AN$3*Table11215[[#This Row],[d (mm)]]*(1/25.4)^2)</f>
        <v>1.618231891573759</v>
      </c>
      <c r="W27" s="3">
        <f>Table11215[[#This Row],[M (KN.mm)]]/$G$27</f>
        <v>1</v>
      </c>
      <c r="X27" s="3">
        <f>Table11215[[#This Row],[V/(2*sqrt(fc) bd)]]</f>
        <v>1.618231891573759</v>
      </c>
      <c r="Y27" s="3">
        <f>Table11215[[#This Row],[a (mm)]]</f>
        <v>390</v>
      </c>
      <c r="Z27" s="3">
        <f>Table11215[[#This Row],[width]]*Table11215[[#This Row],[h]]^2</f>
        <v>11139200</v>
      </c>
      <c r="AA27" s="3">
        <f t="shared" si="5"/>
        <v>200</v>
      </c>
      <c r="AB27" s="3">
        <f>Table11215[[#This Row],[a]]/Table11215[[#This Row],[h (mm)]]</f>
        <v>1.652542372881356</v>
      </c>
      <c r="AC27" s="3">
        <f>Table11215[[#This Row],[h (mm)]]</f>
        <v>236</v>
      </c>
      <c r="AD27" s="7">
        <v>390</v>
      </c>
      <c r="AE27" s="7">
        <v>210</v>
      </c>
      <c r="AF27" s="7">
        <v>236</v>
      </c>
      <c r="AG27" s="7">
        <v>565.49</v>
      </c>
      <c r="AH27" s="3">
        <f t="shared" si="6"/>
        <v>1.3464047619047619</v>
      </c>
      <c r="AI27" s="7">
        <v>629</v>
      </c>
      <c r="AJ27" s="7">
        <f t="shared" si="7"/>
        <v>5476704357.9662561</v>
      </c>
      <c r="AK27" s="68">
        <f t="shared" si="8"/>
        <v>1369193333.3333333</v>
      </c>
      <c r="AM27" s="354"/>
      <c r="AN27" s="354"/>
      <c r="AO27" s="354"/>
      <c r="AP27" s="354"/>
    </row>
    <row r="28" spans="1:42" customFormat="1" x14ac:dyDescent="0.3">
      <c r="A28" s="216" t="s">
        <v>45</v>
      </c>
      <c r="B28" s="217">
        <v>39</v>
      </c>
      <c r="C28" s="3">
        <v>2</v>
      </c>
      <c r="D28" s="3">
        <f>Table11215[[#This Row],[a (mm)]]/Table11215[[#This Row],[d (mm)]]</f>
        <v>1.8571428571428572</v>
      </c>
      <c r="E28" s="3">
        <f>104/2</f>
        <v>52</v>
      </c>
      <c r="F28" s="3">
        <f>Table11215[[#This Row],[d (mm)]]</f>
        <v>210</v>
      </c>
      <c r="G28" s="3">
        <f t="shared" si="0"/>
        <v>20280</v>
      </c>
      <c r="H28" s="3">
        <f t="shared" si="1"/>
        <v>5.6239375930497551E-7</v>
      </c>
      <c r="I28" s="3">
        <f>G28/($AN$3*Table11215[[#This Row],[h]]^2)</f>
        <v>1.8205975294455616E-3</v>
      </c>
      <c r="J28" s="3">
        <f t="shared" si="2"/>
        <v>0.27150202999778533</v>
      </c>
      <c r="K28" s="3">
        <f t="shared" si="3"/>
        <v>3.0238092969272093E-7</v>
      </c>
      <c r="L28" s="3">
        <f t="shared" si="4"/>
        <v>1.238095238095238E-3</v>
      </c>
      <c r="M28" s="3">
        <f>Table11215[[#This Row],[M (KN.mm)]]/($AN$3*Table11215[[#This Row],[d (mm)]])</f>
        <v>0.48285714285714287</v>
      </c>
      <c r="N28" s="3">
        <f>Table11215[[#This Row],[M (KN.mm)]]/($AN$3*Table11215[[#This Row],[h (mm)]])</f>
        <v>0.42966101694915254</v>
      </c>
      <c r="O28" s="3">
        <f>Table11215[[#This Row],[M (KN.mm)]]/($AN$3*Table11215[[#This Row],[h (mm)]]*$AN$2)</f>
        <v>3.4372881355932203E-4</v>
      </c>
      <c r="P28" s="3">
        <f>Table11215[[#This Row],[M (KN.mm)]]/($AN$3*Table11215[[#This Row],[d (mm)]]*$AN$2)</f>
        <v>3.8628571428571428E-4</v>
      </c>
      <c r="Q28" s="3">
        <f>Table11215[[#This Row],[M (KN.mm)]]/($AN$3*Table11215[[#This Row],[h (mm)]]*$AN$2*$AN$4)</f>
        <v>1.0946777501889236E-5</v>
      </c>
      <c r="R28" s="3">
        <f>Table11215[[#This Row],[M (KN.mm)]]/($AN$3*Table11215[[#This Row],[h (mm)]]*($AN$2-Table11215[[#This Row],[a (mm)]]))</f>
        <v>4.9960583366180525E-4</v>
      </c>
      <c r="S28" s="3">
        <f>Table11215[[#This Row],[M (KN.mm)]]/(Table11215[[#This Row],[a (mm)]]*$AN$3*Table11215[[#This Row],[h (mm)]]*($AN$2-Table11215[[#This Row],[a (mm)]]))</f>
        <v>1.2810405991328341E-6</v>
      </c>
      <c r="T28" s="3">
        <f>Table11215[[#This Row],[M (KN.mm)]]/(Table11215[[#This Row],[a (mm)]]^2*$AN$3*Table11215[[#This Row],[h (mm)]])</f>
        <v>2.8248587570621469E-6</v>
      </c>
      <c r="U28" s="3">
        <f>Table11215[[#This Row],[M (KN.mm)]]/($AN$3*Table11215[[#This Row],[d (mm)]]*Table11215[[#This Row],[pho (%)]])</f>
        <v>0.3586270314240747</v>
      </c>
      <c r="V28" s="3">
        <f>E28*224.8/(2*SQRT($AN$4*145.037)*$AN$3*Table11215[[#This Row],[d (mm)]]*(1/25.4)^2)</f>
        <v>1.3304040847721021</v>
      </c>
      <c r="W28" s="3">
        <f>Table11215[[#This Row],[M (KN.mm)]]/$G$32</f>
        <v>0.74179743223965777</v>
      </c>
      <c r="X28" s="3">
        <f>Table11215[[#This Row],[V/(2*sqrt(fc) bd)]]</f>
        <v>1.3304040847721021</v>
      </c>
      <c r="Y28" s="3">
        <f>Table11215[[#This Row],[a (mm)]]</f>
        <v>390</v>
      </c>
      <c r="Z28" s="3">
        <f>Table11215[[#This Row],[width]]*Table11215[[#This Row],[h]]^2</f>
        <v>11139200</v>
      </c>
      <c r="AA28" s="3">
        <f t="shared" si="5"/>
        <v>200</v>
      </c>
      <c r="AB28" s="3">
        <f>Table11215[[#This Row],[a]]/Table11215[[#This Row],[h (mm)]]</f>
        <v>1.652542372881356</v>
      </c>
      <c r="AC28" s="3">
        <f>Table11215[[#This Row],[h (mm)]]</f>
        <v>236</v>
      </c>
      <c r="AD28" s="7">
        <v>390</v>
      </c>
      <c r="AE28" s="7">
        <v>210</v>
      </c>
      <c r="AF28" s="7">
        <v>236</v>
      </c>
      <c r="AG28" s="7">
        <v>565.49</v>
      </c>
      <c r="AH28" s="3">
        <f t="shared" si="6"/>
        <v>1.3464047619047619</v>
      </c>
      <c r="AI28" s="7">
        <v>629</v>
      </c>
      <c r="AJ28" s="7">
        <f t="shared" si="7"/>
        <v>5476704357.9662561</v>
      </c>
      <c r="AK28" s="68">
        <f t="shared" si="8"/>
        <v>1369193333.3333333</v>
      </c>
      <c r="AM28" s="354"/>
      <c r="AN28" s="354"/>
      <c r="AO28" s="354"/>
      <c r="AP28" s="354"/>
    </row>
    <row r="29" spans="1:42" customFormat="1" x14ac:dyDescent="0.3">
      <c r="A29" s="216" t="s">
        <v>45</v>
      </c>
      <c r="B29" s="217">
        <v>40</v>
      </c>
      <c r="C29" s="3">
        <v>3</v>
      </c>
      <c r="D29" s="3">
        <f>Table11215[[#This Row],[a (mm)]]/Table11215[[#This Row],[d (mm)]]</f>
        <v>1.8571428571428572</v>
      </c>
      <c r="E29" s="3">
        <f>120/2</f>
        <v>60</v>
      </c>
      <c r="F29" s="3">
        <f>Table11215[[#This Row],[d (mm)]]</f>
        <v>210</v>
      </c>
      <c r="G29" s="3">
        <f t="shared" si="0"/>
        <v>23400</v>
      </c>
      <c r="H29" s="3">
        <f t="shared" si="1"/>
        <v>6.4891587612112564E-7</v>
      </c>
      <c r="I29" s="3">
        <f>G29/($AN$3*Table11215[[#This Row],[h]]^2)</f>
        <v>2.1006894570525709E-3</v>
      </c>
      <c r="J29" s="3">
        <f t="shared" si="2"/>
        <v>0.3132715730743677</v>
      </c>
      <c r="K29" s="3">
        <f t="shared" si="3"/>
        <v>3.4890107272237032E-7</v>
      </c>
      <c r="L29" s="3">
        <f t="shared" si="4"/>
        <v>1.4285714285714286E-3</v>
      </c>
      <c r="M29" s="3">
        <f>Table11215[[#This Row],[M (KN.mm)]]/($AN$3*Table11215[[#This Row],[d (mm)]])</f>
        <v>0.55714285714285716</v>
      </c>
      <c r="N29" s="3">
        <f>Table11215[[#This Row],[M (KN.mm)]]/($AN$3*Table11215[[#This Row],[h (mm)]])</f>
        <v>0.49576271186440679</v>
      </c>
      <c r="O29" s="3">
        <f>Table11215[[#This Row],[M (KN.mm)]]/($AN$3*Table11215[[#This Row],[h (mm)]]*$AN$2)</f>
        <v>3.966101694915254E-4</v>
      </c>
      <c r="P29" s="3">
        <f>Table11215[[#This Row],[M (KN.mm)]]/($AN$3*Table11215[[#This Row],[d (mm)]]*$AN$2)</f>
        <v>4.4571428571428572E-4</v>
      </c>
      <c r="Q29" s="3">
        <f>Table11215[[#This Row],[M (KN.mm)]]/($AN$3*Table11215[[#This Row],[h (mm)]]*$AN$2*$AN$4)</f>
        <v>1.2630897117564503E-5</v>
      </c>
      <c r="R29" s="3">
        <f>Table11215[[#This Row],[M (KN.mm)]]/($AN$3*Table11215[[#This Row],[h (mm)]]*($AN$2-Table11215[[#This Row],[a (mm)]]))</f>
        <v>5.7646826960977527E-4</v>
      </c>
      <c r="S29" s="3">
        <f>Table11215[[#This Row],[M (KN.mm)]]/(Table11215[[#This Row],[a (mm)]]*$AN$3*Table11215[[#This Row],[h (mm)]]*($AN$2-Table11215[[#This Row],[a (mm)]]))</f>
        <v>1.4781237682301932E-6</v>
      </c>
      <c r="T29" s="3">
        <f>Table11215[[#This Row],[M (KN.mm)]]/(Table11215[[#This Row],[a (mm)]]^2*$AN$3*Table11215[[#This Row],[h (mm)]])</f>
        <v>3.2594524119947849E-6</v>
      </c>
      <c r="U29" s="3">
        <f>Table11215[[#This Row],[M (KN.mm)]]/($AN$3*Table11215[[#This Row],[d (mm)]]*Table11215[[#This Row],[pho (%)]])</f>
        <v>0.41380042087393232</v>
      </c>
      <c r="V29" s="3">
        <f>E29*224.8/(2*SQRT($AN$4*145.037)*$AN$3*Table11215[[#This Row],[d (mm)]]*(1/25.4)^2)</f>
        <v>1.5350816362755026</v>
      </c>
      <c r="W29" s="3">
        <f>Table11215[[#This Row],[M (KN.mm)]]/$G$32</f>
        <v>0.85592011412268199</v>
      </c>
      <c r="X29" s="3">
        <f>Table11215[[#This Row],[V/(2*sqrt(fc) bd)]]</f>
        <v>1.5350816362755026</v>
      </c>
      <c r="Y29" s="3">
        <f>Table11215[[#This Row],[a (mm)]]</f>
        <v>390</v>
      </c>
      <c r="Z29" s="3">
        <f>Table11215[[#This Row],[width]]*Table11215[[#This Row],[h]]^2</f>
        <v>11139200</v>
      </c>
      <c r="AA29" s="3">
        <f t="shared" si="5"/>
        <v>200</v>
      </c>
      <c r="AB29" s="3">
        <f>Table11215[[#This Row],[a]]/Table11215[[#This Row],[h (mm)]]</f>
        <v>1.652542372881356</v>
      </c>
      <c r="AC29" s="3">
        <f>Table11215[[#This Row],[h (mm)]]</f>
        <v>236</v>
      </c>
      <c r="AD29" s="7">
        <v>390</v>
      </c>
      <c r="AE29" s="7">
        <v>210</v>
      </c>
      <c r="AF29" s="7">
        <v>236</v>
      </c>
      <c r="AG29" s="7">
        <v>565.49</v>
      </c>
      <c r="AH29" s="3">
        <f t="shared" si="6"/>
        <v>1.3464047619047619</v>
      </c>
      <c r="AI29" s="7">
        <v>629</v>
      </c>
      <c r="AJ29" s="7">
        <f t="shared" si="7"/>
        <v>5476704357.9662561</v>
      </c>
      <c r="AK29" s="68">
        <f t="shared" si="8"/>
        <v>1369193333.3333333</v>
      </c>
      <c r="AM29" s="354"/>
      <c r="AN29" s="354"/>
      <c r="AO29" s="354"/>
      <c r="AP29" s="354"/>
    </row>
    <row r="30" spans="1:42" customFormat="1" x14ac:dyDescent="0.3">
      <c r="A30" s="216" t="s">
        <v>45</v>
      </c>
      <c r="B30" s="217">
        <v>41</v>
      </c>
      <c r="C30" s="3">
        <v>4</v>
      </c>
      <c r="D30" s="3">
        <f>Table11215[[#This Row],[a (mm)]]/Table11215[[#This Row],[d (mm)]]</f>
        <v>1.8571428571428572</v>
      </c>
      <c r="E30" s="3">
        <f>124/2</f>
        <v>62</v>
      </c>
      <c r="F30" s="3">
        <f>Table11215[[#This Row],[d (mm)]]</f>
        <v>210</v>
      </c>
      <c r="G30" s="3">
        <f t="shared" si="0"/>
        <v>24180</v>
      </c>
      <c r="H30" s="3">
        <f t="shared" si="1"/>
        <v>6.705464053251631E-7</v>
      </c>
      <c r="I30" s="3">
        <f>G30/($AN$3*Table11215[[#This Row],[h]]^2)</f>
        <v>2.1707124389543234E-3</v>
      </c>
      <c r="J30" s="3">
        <f t="shared" si="2"/>
        <v>0.32371395884351328</v>
      </c>
      <c r="K30" s="3">
        <f t="shared" si="3"/>
        <v>3.6053110847978266E-7</v>
      </c>
      <c r="L30" s="3">
        <f t="shared" si="4"/>
        <v>1.4761904761904762E-3</v>
      </c>
      <c r="M30" s="3">
        <f>Table11215[[#This Row],[M (KN.mm)]]/($AN$3*Table11215[[#This Row],[d (mm)]])</f>
        <v>0.57571428571428573</v>
      </c>
      <c r="N30" s="3">
        <f>Table11215[[#This Row],[M (KN.mm)]]/($AN$3*Table11215[[#This Row],[h (mm)]])</f>
        <v>0.51228813559322028</v>
      </c>
      <c r="O30" s="3">
        <f>Table11215[[#This Row],[M (KN.mm)]]/($AN$3*Table11215[[#This Row],[h (mm)]]*$AN$2)</f>
        <v>4.0983050847457627E-4</v>
      </c>
      <c r="P30" s="3">
        <f>Table11215[[#This Row],[M (KN.mm)]]/($AN$3*Table11215[[#This Row],[d (mm)]]*$AN$2)</f>
        <v>4.6057142857142857E-4</v>
      </c>
      <c r="Q30" s="3">
        <f>Table11215[[#This Row],[M (KN.mm)]]/($AN$3*Table11215[[#This Row],[h (mm)]]*$AN$2*$AN$4)</f>
        <v>1.305192702148332E-5</v>
      </c>
      <c r="R30" s="3">
        <f>Table11215[[#This Row],[M (KN.mm)]]/($AN$3*Table11215[[#This Row],[h (mm)]]*($AN$2-Table11215[[#This Row],[a (mm)]]))</f>
        <v>5.9568387859676789E-4</v>
      </c>
      <c r="S30" s="3">
        <f>Table11215[[#This Row],[M (KN.mm)]]/(Table11215[[#This Row],[a (mm)]]*$AN$3*Table11215[[#This Row],[h (mm)]]*($AN$2-Table11215[[#This Row],[a (mm)]]))</f>
        <v>1.527394560504533E-6</v>
      </c>
      <c r="T30" s="3">
        <f>Table11215[[#This Row],[M (KN.mm)]]/(Table11215[[#This Row],[a (mm)]]^2*$AN$3*Table11215[[#This Row],[h (mm)]])</f>
        <v>3.3681008257279443E-6</v>
      </c>
      <c r="U30" s="3">
        <f>Table11215[[#This Row],[M (KN.mm)]]/($AN$3*Table11215[[#This Row],[d (mm)]]*Table11215[[#This Row],[pho (%)]])</f>
        <v>0.42759376823639678</v>
      </c>
      <c r="V30" s="3">
        <f>E30*224.8/(2*SQRT($AN$4*145.037)*$AN$3*Table11215[[#This Row],[d (mm)]]*(1/25.4)^2)</f>
        <v>1.5862510241513528</v>
      </c>
      <c r="W30" s="3">
        <f>Table11215[[#This Row],[M (KN.mm)]]/$G$32</f>
        <v>0.88445078459343807</v>
      </c>
      <c r="X30" s="3">
        <f>Table11215[[#This Row],[V/(2*sqrt(fc) bd)]]</f>
        <v>1.5862510241513528</v>
      </c>
      <c r="Y30" s="3">
        <f>Table11215[[#This Row],[a (mm)]]</f>
        <v>390</v>
      </c>
      <c r="Z30" s="3">
        <f>Table11215[[#This Row],[width]]*Table11215[[#This Row],[h]]^2</f>
        <v>11139200</v>
      </c>
      <c r="AA30" s="3">
        <f t="shared" si="5"/>
        <v>200</v>
      </c>
      <c r="AB30" s="3">
        <f>Table11215[[#This Row],[a]]/Table11215[[#This Row],[h (mm)]]</f>
        <v>1.652542372881356</v>
      </c>
      <c r="AC30" s="3">
        <f>Table11215[[#This Row],[h (mm)]]</f>
        <v>236</v>
      </c>
      <c r="AD30" s="7">
        <v>390</v>
      </c>
      <c r="AE30" s="7">
        <v>210</v>
      </c>
      <c r="AF30" s="7">
        <v>236</v>
      </c>
      <c r="AG30" s="7">
        <v>565.49</v>
      </c>
      <c r="AH30" s="3">
        <f t="shared" si="6"/>
        <v>1.3464047619047619</v>
      </c>
      <c r="AI30" s="7">
        <v>629</v>
      </c>
      <c r="AJ30" s="7">
        <f t="shared" si="7"/>
        <v>5476704357.9662561</v>
      </c>
      <c r="AK30" s="68">
        <f t="shared" si="8"/>
        <v>1369193333.3333333</v>
      </c>
      <c r="AM30" s="354"/>
      <c r="AN30" s="354"/>
      <c r="AO30" s="354"/>
      <c r="AP30" s="354"/>
    </row>
    <row r="31" spans="1:42" customFormat="1" x14ac:dyDescent="0.3">
      <c r="A31" s="216" t="s">
        <v>45</v>
      </c>
      <c r="B31" s="217">
        <v>42</v>
      </c>
      <c r="C31" s="3">
        <v>5</v>
      </c>
      <c r="D31" s="3">
        <f>Table11215[[#This Row],[a (mm)]]/Table11215[[#This Row],[d (mm)]]</f>
        <v>1.8571428571428572</v>
      </c>
      <c r="E31" s="3">
        <f>133/2</f>
        <v>66.5</v>
      </c>
      <c r="F31" s="3">
        <f>Table11215[[#This Row],[d (mm)]]</f>
        <v>210</v>
      </c>
      <c r="G31" s="3">
        <f t="shared" si="0"/>
        <v>25935</v>
      </c>
      <c r="H31" s="3">
        <f t="shared" si="1"/>
        <v>7.192150960342475E-7</v>
      </c>
      <c r="I31" s="3">
        <f>G31/($AN$3*Table11215[[#This Row],[h]]^2)</f>
        <v>2.3282641482332664E-3</v>
      </c>
      <c r="J31" s="3">
        <f t="shared" si="2"/>
        <v>0.34720932682409084</v>
      </c>
      <c r="K31" s="3">
        <f t="shared" si="3"/>
        <v>3.8669868893396044E-7</v>
      </c>
      <c r="L31" s="3">
        <f t="shared" si="4"/>
        <v>1.5833333333333333E-3</v>
      </c>
      <c r="M31" s="3">
        <f>Table11215[[#This Row],[M (KN.mm)]]/($AN$3*Table11215[[#This Row],[d (mm)]])</f>
        <v>0.61750000000000005</v>
      </c>
      <c r="N31" s="3">
        <f>Table11215[[#This Row],[M (KN.mm)]]/($AN$3*Table11215[[#This Row],[h (mm)]])</f>
        <v>0.54947033898305087</v>
      </c>
      <c r="O31" s="3">
        <f>Table11215[[#This Row],[M (KN.mm)]]/($AN$3*Table11215[[#This Row],[h (mm)]]*$AN$2)</f>
        <v>4.3957627118644066E-4</v>
      </c>
      <c r="P31" s="3">
        <f>Table11215[[#This Row],[M (KN.mm)]]/($AN$3*Table11215[[#This Row],[d (mm)]]*$AN$2)</f>
        <v>4.9399999999999997E-4</v>
      </c>
      <c r="Q31" s="3">
        <f>Table11215[[#This Row],[M (KN.mm)]]/($AN$3*Table11215[[#This Row],[h (mm)]]*$AN$2*$AN$4)</f>
        <v>1.3999244305300659E-5</v>
      </c>
      <c r="R31" s="3">
        <f>Table11215[[#This Row],[M (KN.mm)]]/($AN$3*Table11215[[#This Row],[h (mm)]]*($AN$2-Table11215[[#This Row],[a (mm)]]))</f>
        <v>6.3891899881750097E-4</v>
      </c>
      <c r="S31" s="3">
        <f>Table11215[[#This Row],[M (KN.mm)]]/(Table11215[[#This Row],[a (mm)]]*$AN$3*Table11215[[#This Row],[h (mm)]]*($AN$2-Table11215[[#This Row],[a (mm)]]))</f>
        <v>1.6382538431217974E-6</v>
      </c>
      <c r="T31" s="3">
        <f>Table11215[[#This Row],[M (KN.mm)]]/(Table11215[[#This Row],[a (mm)]]^2*$AN$3*Table11215[[#This Row],[h (mm)]])</f>
        <v>3.6125597566275532E-6</v>
      </c>
      <c r="U31" s="3">
        <f>Table11215[[#This Row],[M (KN.mm)]]/($AN$3*Table11215[[#This Row],[d (mm)]]*Table11215[[#This Row],[pho (%)]])</f>
        <v>0.45862879980194166</v>
      </c>
      <c r="V31" s="3">
        <f>E31*224.8/(2*SQRT($AN$4*145.037)*$AN$3*Table11215[[#This Row],[d (mm)]]*(1/25.4)^2)</f>
        <v>1.7013821468720154</v>
      </c>
      <c r="W31" s="3">
        <f>Table11215[[#This Row],[M (KN.mm)]]/$G$32</f>
        <v>0.94864479315263917</v>
      </c>
      <c r="X31" s="3">
        <f>Table11215[[#This Row],[V/(2*sqrt(fc) bd)]]</f>
        <v>1.7013821468720154</v>
      </c>
      <c r="Y31" s="3">
        <f>Table11215[[#This Row],[a (mm)]]</f>
        <v>390</v>
      </c>
      <c r="Z31" s="3">
        <f>Table11215[[#This Row],[width]]*Table11215[[#This Row],[h]]^2</f>
        <v>11139200</v>
      </c>
      <c r="AA31" s="3">
        <f t="shared" si="5"/>
        <v>200</v>
      </c>
      <c r="AB31" s="3">
        <f>Table11215[[#This Row],[a]]/Table11215[[#This Row],[h (mm)]]</f>
        <v>1.652542372881356</v>
      </c>
      <c r="AC31" s="3">
        <f>Table11215[[#This Row],[h (mm)]]</f>
        <v>236</v>
      </c>
      <c r="AD31" s="7">
        <v>390</v>
      </c>
      <c r="AE31" s="7">
        <v>210</v>
      </c>
      <c r="AF31" s="7">
        <v>236</v>
      </c>
      <c r="AG31" s="7">
        <v>565.49</v>
      </c>
      <c r="AH31" s="3">
        <f t="shared" si="6"/>
        <v>1.3464047619047619</v>
      </c>
      <c r="AI31" s="7">
        <v>629</v>
      </c>
      <c r="AJ31" s="7">
        <f t="shared" si="7"/>
        <v>5476704357.9662561</v>
      </c>
      <c r="AK31" s="68">
        <f t="shared" si="8"/>
        <v>1369193333.3333333</v>
      </c>
      <c r="AM31" s="354"/>
      <c r="AN31" s="354"/>
      <c r="AO31" s="354"/>
      <c r="AP31" s="354"/>
    </row>
    <row r="32" spans="1:42" customFormat="1" x14ac:dyDescent="0.3">
      <c r="A32" s="216" t="s">
        <v>45</v>
      </c>
      <c r="B32" s="217">
        <v>43</v>
      </c>
      <c r="C32" s="3">
        <v>6</v>
      </c>
      <c r="D32" s="3">
        <f>Table11215[[#This Row],[a (mm)]]/Table11215[[#This Row],[d (mm)]]</f>
        <v>1.8571428571428572</v>
      </c>
      <c r="E32" s="3">
        <v>70.099999999999994</v>
      </c>
      <c r="F32" s="3">
        <f>Table11215[[#This Row],[d (mm)]]</f>
        <v>210</v>
      </c>
      <c r="G32" s="3">
        <f t="shared" si="0"/>
        <v>27338.999999999996</v>
      </c>
      <c r="H32" s="3">
        <f t="shared" si="1"/>
        <v>7.5815004860151501E-7</v>
      </c>
      <c r="I32" s="3">
        <f>G32/($AN$3*Table11215[[#This Row],[h]]^2)</f>
        <v>2.4543055156564203E-3</v>
      </c>
      <c r="J32" s="3">
        <f t="shared" si="2"/>
        <v>0.36600562120855284</v>
      </c>
      <c r="K32" s="3">
        <f t="shared" si="3"/>
        <v>4.0763275329730262E-7</v>
      </c>
      <c r="L32" s="3">
        <f t="shared" si="4"/>
        <v>1.6690476190476188E-3</v>
      </c>
      <c r="M32" s="3">
        <f>Table11215[[#This Row],[M (KN.mm)]]/($AN$3*Table11215[[#This Row],[d (mm)]])</f>
        <v>0.6509285714285713</v>
      </c>
      <c r="N32" s="3">
        <f>Table11215[[#This Row],[M (KN.mm)]]/($AN$3*Table11215[[#This Row],[h (mm)]])</f>
        <v>0.57921610169491522</v>
      </c>
      <c r="O32" s="3">
        <f>Table11215[[#This Row],[M (KN.mm)]]/($AN$3*Table11215[[#This Row],[h (mm)]]*$AN$2)</f>
        <v>4.6337288135593212E-4</v>
      </c>
      <c r="P32" s="3">
        <f>Table11215[[#This Row],[M (KN.mm)]]/($AN$3*Table11215[[#This Row],[d (mm)]]*$AN$2)</f>
        <v>5.2074285714285705E-4</v>
      </c>
      <c r="Q32" s="3">
        <f>Table11215[[#This Row],[M (KN.mm)]]/($AN$3*Table11215[[#This Row],[h (mm)]]*$AN$2*$AN$4)</f>
        <v>1.4757098132354527E-5</v>
      </c>
      <c r="R32" s="3">
        <f>Table11215[[#This Row],[M (KN.mm)]]/($AN$3*Table11215[[#This Row],[h (mm)]]*($AN$2-Table11215[[#This Row],[a (mm)]]))</f>
        <v>6.7350709499408741E-4</v>
      </c>
      <c r="S32" s="3">
        <f>Table11215[[#This Row],[M (KN.mm)]]/(Table11215[[#This Row],[a (mm)]]*$AN$3*Table11215[[#This Row],[h (mm)]]*($AN$2-Table11215[[#This Row],[a (mm)]]))</f>
        <v>1.7269412692156087E-6</v>
      </c>
      <c r="T32" s="3">
        <f>Table11215[[#This Row],[M (KN.mm)]]/(Table11215[[#This Row],[a (mm)]]^2*$AN$3*Table11215[[#This Row],[h (mm)]])</f>
        <v>3.80812690134724E-6</v>
      </c>
      <c r="U32" s="3">
        <f>Table11215[[#This Row],[M (KN.mm)]]/($AN$3*Table11215[[#This Row],[d (mm)]]*Table11215[[#This Row],[pho (%)]])</f>
        <v>0.48345682505437754</v>
      </c>
      <c r="V32" s="3">
        <f>E32*224.8/(2*SQRT($AN$4*145.037)*$AN$3*Table11215[[#This Row],[d (mm)]]*(1/25.4)^2)</f>
        <v>1.7934870450485454</v>
      </c>
      <c r="W32" s="3">
        <f>Table11215[[#This Row],[M (KN.mm)]]/$G$32</f>
        <v>1</v>
      </c>
      <c r="X32" s="3">
        <f>Table11215[[#This Row],[V/(2*sqrt(fc) bd)]]</f>
        <v>1.7934870450485454</v>
      </c>
      <c r="Y32" s="3">
        <f>Table11215[[#This Row],[a (mm)]]</f>
        <v>390</v>
      </c>
      <c r="Z32" s="3">
        <f>Table11215[[#This Row],[width]]*Table11215[[#This Row],[h]]^2</f>
        <v>11139200</v>
      </c>
      <c r="AA32" s="3">
        <f t="shared" si="5"/>
        <v>200</v>
      </c>
      <c r="AB32" s="3">
        <f>Table11215[[#This Row],[a]]/Table11215[[#This Row],[h (mm)]]</f>
        <v>1.652542372881356</v>
      </c>
      <c r="AC32" s="3">
        <f>Table11215[[#This Row],[h (mm)]]</f>
        <v>236</v>
      </c>
      <c r="AD32" s="7">
        <v>390</v>
      </c>
      <c r="AE32" s="7">
        <v>210</v>
      </c>
      <c r="AF32" s="7">
        <v>236</v>
      </c>
      <c r="AG32" s="7">
        <v>565.49</v>
      </c>
      <c r="AH32" s="3">
        <f t="shared" si="6"/>
        <v>1.3464047619047619</v>
      </c>
      <c r="AI32" s="7">
        <v>629</v>
      </c>
      <c r="AJ32" s="7">
        <f t="shared" si="7"/>
        <v>5476704357.9662561</v>
      </c>
      <c r="AK32" s="68">
        <f t="shared" si="8"/>
        <v>1369193333.3333333</v>
      </c>
      <c r="AM32" s="354"/>
      <c r="AN32" s="354"/>
      <c r="AO32" s="354"/>
      <c r="AP32" s="354"/>
    </row>
    <row r="33" spans="1:42" customFormat="1" x14ac:dyDescent="0.3">
      <c r="A33" s="193" t="s">
        <v>46</v>
      </c>
      <c r="B33" s="194">
        <v>44</v>
      </c>
      <c r="C33" s="3">
        <v>2</v>
      </c>
      <c r="D33" s="3">
        <f>Table11215[[#This Row],[a (mm)]]/Table11215[[#This Row],[d (mm)]]</f>
        <v>1.8571428571428572</v>
      </c>
      <c r="E33" s="3">
        <f>96/2</f>
        <v>48</v>
      </c>
      <c r="F33" s="3">
        <f>Table11215[[#This Row],[d (mm)]]</f>
        <v>210</v>
      </c>
      <c r="G33" s="3">
        <f t="shared" si="0"/>
        <v>18720</v>
      </c>
      <c r="H33" s="3">
        <f t="shared" si="1"/>
        <v>5.1913270089690049E-7</v>
      </c>
      <c r="I33" s="3">
        <f>G33/($AN$3*Table11215[[#This Row],[h]]^2)</f>
        <v>1.6805515656420568E-3</v>
      </c>
      <c r="J33" s="3">
        <f t="shared" si="2"/>
        <v>0.25061725845949412</v>
      </c>
      <c r="K33" s="3">
        <f t="shared" si="3"/>
        <v>2.7912085817789626E-7</v>
      </c>
      <c r="L33" s="3">
        <f t="shared" si="4"/>
        <v>1.1428571428571429E-3</v>
      </c>
      <c r="M33" s="3">
        <f>Table11215[[#This Row],[M (KN.mm)]]/($AN$3*Table11215[[#This Row],[d (mm)]])</f>
        <v>0.44571428571428573</v>
      </c>
      <c r="N33" s="3">
        <f>Table11215[[#This Row],[M (KN.mm)]]/($AN$3*Table11215[[#This Row],[h (mm)]])</f>
        <v>0.39661016949152544</v>
      </c>
      <c r="O33" s="3">
        <f>Table11215[[#This Row],[M (KN.mm)]]/($AN$3*Table11215[[#This Row],[h (mm)]]*$AN$2)</f>
        <v>3.1728813559322034E-4</v>
      </c>
      <c r="P33" s="3">
        <f>Table11215[[#This Row],[M (KN.mm)]]/($AN$3*Table11215[[#This Row],[d (mm)]]*$AN$2)</f>
        <v>3.5657142857142859E-4</v>
      </c>
      <c r="Q33" s="3">
        <f>Table11215[[#This Row],[M (KN.mm)]]/($AN$3*Table11215[[#This Row],[h (mm)]]*$AN$2*$AN$4)</f>
        <v>1.0104717694051604E-5</v>
      </c>
      <c r="R33" s="3">
        <f>Table11215[[#This Row],[M (KN.mm)]]/($AN$3*Table11215[[#This Row],[h (mm)]]*($AN$2-Table11215[[#This Row],[a (mm)]]))</f>
        <v>4.6117461568782024E-4</v>
      </c>
      <c r="S33" s="3">
        <f>Table11215[[#This Row],[M (KN.mm)]]/(Table11215[[#This Row],[a (mm)]]*$AN$3*Table11215[[#This Row],[h (mm)]]*($AN$2-Table11215[[#This Row],[a (mm)]]))</f>
        <v>1.1824990145841545E-6</v>
      </c>
      <c r="T33" s="3">
        <f>Table11215[[#This Row],[M (KN.mm)]]/(Table11215[[#This Row],[a (mm)]]^2*$AN$3*Table11215[[#This Row],[h (mm)]])</f>
        <v>2.6075619295958281E-6</v>
      </c>
      <c r="U33" s="3">
        <f>Table11215[[#This Row],[M (KN.mm)]]/($AN$3*Table11215[[#This Row],[d (mm)]]*Table11215[[#This Row],[pho (%)]])</f>
        <v>0.3310403366991459</v>
      </c>
      <c r="V33" s="3">
        <f>E33*224.8/(2*SQRT($AN$4*145.037)*$AN$3*Table11215[[#This Row],[d (mm)]]*(1/25.4)^2)</f>
        <v>1.2280653090204021</v>
      </c>
      <c r="W33" s="3">
        <f>Table11215[[#This Row],[M (KN.mm)]]/$G$35</f>
        <v>0.77419354838709675</v>
      </c>
      <c r="X33" s="3">
        <f>Table11215[[#This Row],[V/(2*sqrt(fc) bd)]]</f>
        <v>1.2280653090204021</v>
      </c>
      <c r="Y33" s="3">
        <f>Table11215[[#This Row],[a (mm)]]</f>
        <v>390</v>
      </c>
      <c r="Z33" s="3">
        <f>Table11215[[#This Row],[width]]*Table11215[[#This Row],[h]]^2</f>
        <v>11139200</v>
      </c>
      <c r="AA33" s="3">
        <f t="shared" si="5"/>
        <v>200</v>
      </c>
      <c r="AB33" s="3">
        <f>Table11215[[#This Row],[a]]/Table11215[[#This Row],[h (mm)]]</f>
        <v>1.652542372881356</v>
      </c>
      <c r="AC33" s="3">
        <f>Table11215[[#This Row],[h (mm)]]</f>
        <v>236</v>
      </c>
      <c r="AD33" s="7">
        <v>390</v>
      </c>
      <c r="AE33" s="7">
        <v>210</v>
      </c>
      <c r="AF33" s="7">
        <v>236</v>
      </c>
      <c r="AG33" s="7">
        <v>565.49</v>
      </c>
      <c r="AH33" s="3">
        <f t="shared" si="6"/>
        <v>1.3464047619047619</v>
      </c>
      <c r="AI33" s="7">
        <v>629</v>
      </c>
      <c r="AJ33" s="7">
        <f t="shared" si="7"/>
        <v>5476704357.9662561</v>
      </c>
      <c r="AK33" s="68">
        <f t="shared" si="8"/>
        <v>1369193333.3333333</v>
      </c>
      <c r="AM33" s="354"/>
      <c r="AN33" s="354"/>
      <c r="AO33" s="354"/>
      <c r="AP33" s="354"/>
    </row>
    <row r="34" spans="1:42" customFormat="1" x14ac:dyDescent="0.3">
      <c r="A34" s="193" t="s">
        <v>46</v>
      </c>
      <c r="B34" s="194">
        <v>45</v>
      </c>
      <c r="C34" s="3">
        <v>3</v>
      </c>
      <c r="D34" s="3">
        <f>Table11215[[#This Row],[a (mm)]]/Table11215[[#This Row],[d (mm)]]</f>
        <v>1.8571428571428572</v>
      </c>
      <c r="E34" s="3">
        <f>120/2</f>
        <v>60</v>
      </c>
      <c r="F34" s="3">
        <f>Table11215[[#This Row],[d (mm)]]</f>
        <v>210</v>
      </c>
      <c r="G34" s="3">
        <f t="shared" si="0"/>
        <v>23400</v>
      </c>
      <c r="H34" s="3">
        <f t="shared" si="1"/>
        <v>6.4891587612112564E-7</v>
      </c>
      <c r="I34" s="3">
        <f>G34/($AN$3*Table11215[[#This Row],[h]]^2)</f>
        <v>2.1006894570525709E-3</v>
      </c>
      <c r="J34" s="3">
        <f t="shared" si="2"/>
        <v>0.3132715730743677</v>
      </c>
      <c r="K34" s="3">
        <f t="shared" si="3"/>
        <v>3.4890107272237032E-7</v>
      </c>
      <c r="L34" s="3">
        <f t="shared" si="4"/>
        <v>1.4285714285714286E-3</v>
      </c>
      <c r="M34" s="3">
        <f>Table11215[[#This Row],[M (KN.mm)]]/($AN$3*Table11215[[#This Row],[d (mm)]])</f>
        <v>0.55714285714285716</v>
      </c>
      <c r="N34" s="3">
        <f>Table11215[[#This Row],[M (KN.mm)]]/($AN$3*Table11215[[#This Row],[h (mm)]])</f>
        <v>0.49576271186440679</v>
      </c>
      <c r="O34" s="3">
        <f>Table11215[[#This Row],[M (KN.mm)]]/($AN$3*Table11215[[#This Row],[h (mm)]]*$AN$2)</f>
        <v>3.966101694915254E-4</v>
      </c>
      <c r="P34" s="3">
        <f>Table11215[[#This Row],[M (KN.mm)]]/($AN$3*Table11215[[#This Row],[d (mm)]]*$AN$2)</f>
        <v>4.4571428571428572E-4</v>
      </c>
      <c r="Q34" s="3">
        <f>Table11215[[#This Row],[M (KN.mm)]]/($AN$3*Table11215[[#This Row],[h (mm)]]*$AN$2*$AN$4)</f>
        <v>1.2630897117564503E-5</v>
      </c>
      <c r="R34" s="3">
        <f>Table11215[[#This Row],[M (KN.mm)]]/($AN$3*Table11215[[#This Row],[h (mm)]]*($AN$2-Table11215[[#This Row],[a (mm)]]))</f>
        <v>5.7646826960977527E-4</v>
      </c>
      <c r="S34" s="3">
        <f>Table11215[[#This Row],[M (KN.mm)]]/(Table11215[[#This Row],[a (mm)]]*$AN$3*Table11215[[#This Row],[h (mm)]]*($AN$2-Table11215[[#This Row],[a (mm)]]))</f>
        <v>1.4781237682301932E-6</v>
      </c>
      <c r="T34" s="3">
        <f>Table11215[[#This Row],[M (KN.mm)]]/(Table11215[[#This Row],[a (mm)]]^2*$AN$3*Table11215[[#This Row],[h (mm)]])</f>
        <v>3.2594524119947849E-6</v>
      </c>
      <c r="U34" s="3">
        <f>Table11215[[#This Row],[M (KN.mm)]]/($AN$3*Table11215[[#This Row],[d (mm)]]*Table11215[[#This Row],[pho (%)]])</f>
        <v>0.41380042087393232</v>
      </c>
      <c r="V34" s="3">
        <f>E34*224.8/(2*SQRT($AN$4*145.037)*$AN$3*Table11215[[#This Row],[d (mm)]]*(1/25.4)^2)</f>
        <v>1.5350816362755026</v>
      </c>
      <c r="W34" s="3">
        <f>Table11215[[#This Row],[M (KN.mm)]]/$G$35</f>
        <v>0.967741935483871</v>
      </c>
      <c r="X34" s="3">
        <f>Table11215[[#This Row],[V/(2*sqrt(fc) bd)]]</f>
        <v>1.5350816362755026</v>
      </c>
      <c r="Y34" s="3">
        <f>Table11215[[#This Row],[a (mm)]]</f>
        <v>390</v>
      </c>
      <c r="Z34" s="3">
        <f>Table11215[[#This Row],[width]]*Table11215[[#This Row],[h]]^2</f>
        <v>11139200</v>
      </c>
      <c r="AA34" s="3">
        <f t="shared" si="5"/>
        <v>200</v>
      </c>
      <c r="AB34" s="3">
        <f>Table11215[[#This Row],[a]]/Table11215[[#This Row],[h (mm)]]</f>
        <v>1.652542372881356</v>
      </c>
      <c r="AC34" s="3">
        <f>Table11215[[#This Row],[h (mm)]]</f>
        <v>236</v>
      </c>
      <c r="AD34" s="7">
        <v>390</v>
      </c>
      <c r="AE34" s="7">
        <v>210</v>
      </c>
      <c r="AF34" s="7">
        <v>236</v>
      </c>
      <c r="AG34" s="7">
        <v>565.49</v>
      </c>
      <c r="AH34" s="3">
        <f t="shared" si="6"/>
        <v>1.3464047619047619</v>
      </c>
      <c r="AI34" s="7">
        <v>629</v>
      </c>
      <c r="AJ34" s="7">
        <f t="shared" si="7"/>
        <v>5476704357.9662561</v>
      </c>
      <c r="AK34" s="68">
        <f t="shared" si="8"/>
        <v>1369193333.3333333</v>
      </c>
      <c r="AM34" s="354"/>
      <c r="AN34" s="354"/>
      <c r="AO34" s="354"/>
      <c r="AP34" s="354"/>
    </row>
    <row r="35" spans="1:42" customFormat="1" x14ac:dyDescent="0.3">
      <c r="A35" s="193" t="s">
        <v>46</v>
      </c>
      <c r="B35" s="194">
        <v>46</v>
      </c>
      <c r="C35" s="3">
        <v>4</v>
      </c>
      <c r="D35" s="3">
        <f>Table11215[[#This Row],[a (mm)]]/Table11215[[#This Row],[d (mm)]]</f>
        <v>1.8571428571428572</v>
      </c>
      <c r="E35" s="3">
        <f>124/2</f>
        <v>62</v>
      </c>
      <c r="F35" s="3">
        <f>Table11215[[#This Row],[d (mm)]]</f>
        <v>210</v>
      </c>
      <c r="G35" s="3">
        <f t="shared" si="0"/>
        <v>24180</v>
      </c>
      <c r="H35" s="3">
        <f t="shared" si="1"/>
        <v>6.705464053251631E-7</v>
      </c>
      <c r="I35" s="3">
        <f>G35/($AN$3*Table11215[[#This Row],[h]]^2)</f>
        <v>2.1707124389543234E-3</v>
      </c>
      <c r="J35" s="3">
        <f t="shared" si="2"/>
        <v>0.32371395884351328</v>
      </c>
      <c r="K35" s="3">
        <f t="shared" si="3"/>
        <v>3.6053110847978266E-7</v>
      </c>
      <c r="L35" s="3">
        <f t="shared" si="4"/>
        <v>1.4761904761904762E-3</v>
      </c>
      <c r="M35" s="3">
        <f>Table11215[[#This Row],[M (KN.mm)]]/($AN$3*Table11215[[#This Row],[d (mm)]])</f>
        <v>0.57571428571428573</v>
      </c>
      <c r="N35" s="3">
        <f>Table11215[[#This Row],[M (KN.mm)]]/($AN$3*Table11215[[#This Row],[h (mm)]])</f>
        <v>0.51228813559322028</v>
      </c>
      <c r="O35" s="3">
        <f>Table11215[[#This Row],[M (KN.mm)]]/($AN$3*Table11215[[#This Row],[h (mm)]]*$AN$2)</f>
        <v>4.0983050847457627E-4</v>
      </c>
      <c r="P35" s="3">
        <f>Table11215[[#This Row],[M (KN.mm)]]/($AN$3*Table11215[[#This Row],[d (mm)]]*$AN$2)</f>
        <v>4.6057142857142857E-4</v>
      </c>
      <c r="Q35" s="3">
        <f>Table11215[[#This Row],[M (KN.mm)]]/($AN$3*Table11215[[#This Row],[h (mm)]]*$AN$2*$AN$4)</f>
        <v>1.305192702148332E-5</v>
      </c>
      <c r="R35" s="3">
        <f>Table11215[[#This Row],[M (KN.mm)]]/($AN$3*Table11215[[#This Row],[h (mm)]]*($AN$2-Table11215[[#This Row],[a (mm)]]))</f>
        <v>5.9568387859676789E-4</v>
      </c>
      <c r="S35" s="3">
        <f>Table11215[[#This Row],[M (KN.mm)]]/(Table11215[[#This Row],[a (mm)]]*$AN$3*Table11215[[#This Row],[h (mm)]]*($AN$2-Table11215[[#This Row],[a (mm)]]))</f>
        <v>1.527394560504533E-6</v>
      </c>
      <c r="T35" s="3">
        <f>Table11215[[#This Row],[M (KN.mm)]]/(Table11215[[#This Row],[a (mm)]]^2*$AN$3*Table11215[[#This Row],[h (mm)]])</f>
        <v>3.3681008257279443E-6</v>
      </c>
      <c r="U35" s="3">
        <f>Table11215[[#This Row],[M (KN.mm)]]/($AN$3*Table11215[[#This Row],[d (mm)]]*Table11215[[#This Row],[pho (%)]])</f>
        <v>0.42759376823639678</v>
      </c>
      <c r="V35" s="3">
        <f>E35*224.8/(2*SQRT($AN$4*145.037)*$AN$3*Table11215[[#This Row],[d (mm)]]*(1/25.4)^2)</f>
        <v>1.5862510241513528</v>
      </c>
      <c r="W35" s="3">
        <f>Table11215[[#This Row],[M (KN.mm)]]/$G$35</f>
        <v>1</v>
      </c>
      <c r="X35" s="3">
        <f>Table11215[[#This Row],[V/(2*sqrt(fc) bd)]]</f>
        <v>1.5862510241513528</v>
      </c>
      <c r="Y35" s="3">
        <f>Table11215[[#This Row],[a (mm)]]</f>
        <v>390</v>
      </c>
      <c r="Z35" s="3">
        <f>Table11215[[#This Row],[width]]*Table11215[[#This Row],[h]]^2</f>
        <v>11139200</v>
      </c>
      <c r="AA35" s="3">
        <f t="shared" si="5"/>
        <v>200</v>
      </c>
      <c r="AB35" s="3">
        <f>Table11215[[#This Row],[a]]/Table11215[[#This Row],[h (mm)]]</f>
        <v>1.652542372881356</v>
      </c>
      <c r="AC35" s="3">
        <f>Table11215[[#This Row],[h (mm)]]</f>
        <v>236</v>
      </c>
      <c r="AD35" s="7">
        <v>390</v>
      </c>
      <c r="AE35" s="7">
        <v>210</v>
      </c>
      <c r="AF35" s="7">
        <v>236</v>
      </c>
      <c r="AG35" s="7">
        <v>565.49</v>
      </c>
      <c r="AH35" s="3">
        <f t="shared" si="6"/>
        <v>1.3464047619047619</v>
      </c>
      <c r="AI35" s="7">
        <v>629</v>
      </c>
      <c r="AJ35" s="7">
        <f t="shared" si="7"/>
        <v>5476704357.9662561</v>
      </c>
      <c r="AK35" s="68">
        <f t="shared" si="8"/>
        <v>1369193333.3333333</v>
      </c>
      <c r="AM35" s="354"/>
      <c r="AN35" s="354"/>
      <c r="AO35" s="354"/>
      <c r="AP35" s="354"/>
    </row>
    <row r="36" spans="1:42" customFormat="1" x14ac:dyDescent="0.3">
      <c r="A36" s="218" t="s">
        <v>47</v>
      </c>
      <c r="B36" s="219">
        <v>47</v>
      </c>
      <c r="C36" s="44">
        <v>2</v>
      </c>
      <c r="D36" s="3">
        <f>Table11215[[#This Row],[a (mm)]]/Table11215[[#This Row],[d (mm)]]</f>
        <v>1.1400651465798046</v>
      </c>
      <c r="E36" s="44">
        <f>144/2</f>
        <v>72</v>
      </c>
      <c r="F36" s="3">
        <f>Table11215[[#This Row],[d (mm)]]</f>
        <v>307</v>
      </c>
      <c r="G36" s="3">
        <f t="shared" si="0"/>
        <v>25200</v>
      </c>
      <c r="H36" s="3">
        <f t="shared" si="1"/>
        <v>2.4432880491857771E-7</v>
      </c>
      <c r="I36" s="3">
        <f>G36/($AN$3*Table11215[[#This Row],[h]]^2)</f>
        <v>1.1227444865226108E-3</v>
      </c>
      <c r="J36" s="3">
        <f t="shared" si="2"/>
        <v>0.16009984321770188</v>
      </c>
      <c r="K36" s="3">
        <f t="shared" si="3"/>
        <v>1.4638992638102107E-7</v>
      </c>
      <c r="L36" s="3">
        <f t="shared" si="4"/>
        <v>1.1726384364820848E-3</v>
      </c>
      <c r="M36" s="3">
        <f>Table11215[[#This Row],[M (KN.mm)]]/($AN$3*Table11215[[#This Row],[d (mm)]])</f>
        <v>0.41042345276872966</v>
      </c>
      <c r="N36" s="3">
        <f>Table11215[[#This Row],[M (KN.mm)]]/($AN$3*Table11215[[#This Row],[h (mm)]])</f>
        <v>0.37611940298507462</v>
      </c>
      <c r="O36" s="3">
        <f>Table11215[[#This Row],[M (KN.mm)]]/($AN$3*Table11215[[#This Row],[h (mm)]]*$AN$2)</f>
        <v>3.008955223880597E-4</v>
      </c>
      <c r="P36" s="3">
        <f>Table11215[[#This Row],[M (KN.mm)]]/($AN$3*Table11215[[#This Row],[d (mm)]]*$AN$2)</f>
        <v>3.2833876221498369E-4</v>
      </c>
      <c r="Q36" s="3">
        <f>Table11215[[#This Row],[M (KN.mm)]]/($AN$3*Table11215[[#This Row],[h (mm)]]*$AN$2*$AN$4)</f>
        <v>9.5826599486643209E-6</v>
      </c>
      <c r="R36" s="3">
        <f>Table11215[[#This Row],[M (KN.mm)]]/($AN$3*Table11215[[#This Row],[h (mm)]]*($AN$2-Table11215[[#This Row],[a (mm)]]))</f>
        <v>4.1791044776119402E-4</v>
      </c>
      <c r="S36" s="3">
        <f>Table11215[[#This Row],[M (KN.mm)]]/(Table11215[[#This Row],[a (mm)]]*$AN$3*Table11215[[#This Row],[h (mm)]]*($AN$2-Table11215[[#This Row],[a (mm)]]))</f>
        <v>1.1940298507462686E-6</v>
      </c>
      <c r="T36" s="3">
        <f>Table11215[[#This Row],[M (KN.mm)]]/(Table11215[[#This Row],[a (mm)]]^2*$AN$3*Table11215[[#This Row],[h (mm)]])</f>
        <v>3.0703624733475478E-6</v>
      </c>
      <c r="U36" s="3">
        <f>Table11215[[#This Row],[M (KN.mm)]]/($AN$3*Table11215[[#This Row],[d (mm)]]*Table11215[[#This Row],[pho (%)]])</f>
        <v>0.31333540565744483</v>
      </c>
      <c r="V36" s="3">
        <f>E36*224.8/(2*SQRT($AN$4*145.037)*$AN$3*Table11215[[#This Row],[d (mm)]]*(1/25.4)^2)</f>
        <v>1.2600670108841259</v>
      </c>
      <c r="W36" s="3">
        <f>Table11215[[#This Row],[M (KN.mm)]]/$G$40</f>
        <v>0.47682119205298013</v>
      </c>
      <c r="X36" s="3">
        <f>Table11215[[#This Row],[V/(2*sqrt(fc) bd)]]</f>
        <v>1.2600670108841259</v>
      </c>
      <c r="Y36" s="3">
        <f>Table11215[[#This Row],[a (mm)]]</f>
        <v>350</v>
      </c>
      <c r="Z36" s="3">
        <f>Table11215[[#This Row],[width]]*Table11215[[#This Row],[h]]^2</f>
        <v>22445000</v>
      </c>
      <c r="AA36" s="3">
        <f t="shared" si="5"/>
        <v>200</v>
      </c>
      <c r="AB36" s="3">
        <f>Table11215[[#This Row],[a]]/Table11215[[#This Row],[h (mm)]]</f>
        <v>1.044776119402985</v>
      </c>
      <c r="AC36" s="3">
        <f>Table11215[[#This Row],[h (mm)]]</f>
        <v>335</v>
      </c>
      <c r="AD36" s="44">
        <v>350</v>
      </c>
      <c r="AE36" s="44">
        <v>307</v>
      </c>
      <c r="AF36" s="44">
        <v>335</v>
      </c>
      <c r="AG36" s="44">
        <v>804.25</v>
      </c>
      <c r="AH36" s="3">
        <f t="shared" si="6"/>
        <v>1.3098534201954397</v>
      </c>
      <c r="AI36" s="44">
        <v>637.5</v>
      </c>
      <c r="AJ36" s="44">
        <f t="shared" si="7"/>
        <v>15663602593.836174</v>
      </c>
      <c r="AK36" s="71">
        <f t="shared" si="8"/>
        <v>3916184895.8333335</v>
      </c>
      <c r="AM36" s="354"/>
      <c r="AN36" s="354"/>
      <c r="AO36" s="354"/>
      <c r="AP36" s="354"/>
    </row>
    <row r="37" spans="1:42" customFormat="1" x14ac:dyDescent="0.3">
      <c r="A37" s="218" t="s">
        <v>47</v>
      </c>
      <c r="B37" s="219">
        <v>48</v>
      </c>
      <c r="C37" s="44">
        <v>3</v>
      </c>
      <c r="D37" s="3">
        <f>Table11215[[#This Row],[a (mm)]]/Table11215[[#This Row],[d (mm)]]</f>
        <v>1.1400651465798046</v>
      </c>
      <c r="E37" s="44">
        <f>177/2</f>
        <v>88.5</v>
      </c>
      <c r="F37" s="3">
        <f>Table11215[[#This Row],[d (mm)]]</f>
        <v>307</v>
      </c>
      <c r="G37" s="3">
        <f t="shared" si="0"/>
        <v>30975</v>
      </c>
      <c r="H37" s="3">
        <f t="shared" si="1"/>
        <v>3.0032082271241844E-7</v>
      </c>
      <c r="I37" s="3">
        <f>G37/($AN$3*Table11215[[#This Row],[h]]^2)</f>
        <v>1.3800400980173758E-3</v>
      </c>
      <c r="J37" s="3">
        <f t="shared" si="2"/>
        <v>0.19678939062175857</v>
      </c>
      <c r="K37" s="3">
        <f t="shared" si="3"/>
        <v>1.7993761784333839E-7</v>
      </c>
      <c r="L37" s="3">
        <f t="shared" si="4"/>
        <v>1.4413680781758958E-3</v>
      </c>
      <c r="M37" s="3">
        <f>Table11215[[#This Row],[M (KN.mm)]]/($AN$3*Table11215[[#This Row],[d (mm)]])</f>
        <v>0.50447882736156346</v>
      </c>
      <c r="N37" s="3">
        <f>Table11215[[#This Row],[M (KN.mm)]]/($AN$3*Table11215[[#This Row],[h (mm)]])</f>
        <v>0.46231343283582088</v>
      </c>
      <c r="O37" s="3">
        <f>Table11215[[#This Row],[M (KN.mm)]]/($AN$3*Table11215[[#This Row],[h (mm)]]*$AN$2)</f>
        <v>3.698507462686567E-4</v>
      </c>
      <c r="P37" s="3">
        <f>Table11215[[#This Row],[M (KN.mm)]]/($AN$3*Table11215[[#This Row],[d (mm)]]*$AN$2)</f>
        <v>4.0358306188925083E-4</v>
      </c>
      <c r="Q37" s="3">
        <f>Table11215[[#This Row],[M (KN.mm)]]/($AN$3*Table11215[[#This Row],[h (mm)]]*$AN$2*$AN$4)</f>
        <v>1.1778686186899895E-5</v>
      </c>
      <c r="R37" s="3">
        <f>Table11215[[#This Row],[M (KN.mm)]]/($AN$3*Table11215[[#This Row],[h (mm)]]*($AN$2-Table11215[[#This Row],[a (mm)]]))</f>
        <v>5.1368159203980096E-4</v>
      </c>
      <c r="S37" s="3">
        <f>Table11215[[#This Row],[M (KN.mm)]]/(Table11215[[#This Row],[a (mm)]]*$AN$3*Table11215[[#This Row],[h (mm)]]*($AN$2-Table11215[[#This Row],[a (mm)]]))</f>
        <v>1.4676616915422885E-6</v>
      </c>
      <c r="T37" s="3">
        <f>Table11215[[#This Row],[M (KN.mm)]]/(Table11215[[#This Row],[a (mm)]]^2*$AN$3*Table11215[[#This Row],[h (mm)]])</f>
        <v>3.7739872068230278E-6</v>
      </c>
      <c r="U37" s="3">
        <f>Table11215[[#This Row],[M (KN.mm)]]/($AN$3*Table11215[[#This Row],[d (mm)]]*Table11215[[#This Row],[pho (%)]])</f>
        <v>0.38514143612060925</v>
      </c>
      <c r="V37" s="3">
        <f>E37*224.8/(2*SQRT($AN$4*145.037)*$AN$3*Table11215[[#This Row],[d (mm)]]*(1/25.4)^2)</f>
        <v>1.5488323675450713</v>
      </c>
      <c r="W37" s="3">
        <f>Table11215[[#This Row],[M (KN.mm)]]/$G$40</f>
        <v>0.58609271523178808</v>
      </c>
      <c r="X37" s="3">
        <f>Table11215[[#This Row],[V/(2*sqrt(fc) bd)]]</f>
        <v>1.5488323675450713</v>
      </c>
      <c r="Y37" s="3">
        <f>Table11215[[#This Row],[a (mm)]]</f>
        <v>350</v>
      </c>
      <c r="Z37" s="3">
        <f>Table11215[[#This Row],[width]]*Table11215[[#This Row],[h]]^2</f>
        <v>22445000</v>
      </c>
      <c r="AA37" s="3">
        <f t="shared" si="5"/>
        <v>200</v>
      </c>
      <c r="AB37" s="3">
        <f>Table11215[[#This Row],[a]]/Table11215[[#This Row],[h (mm)]]</f>
        <v>1.044776119402985</v>
      </c>
      <c r="AC37" s="3">
        <f>Table11215[[#This Row],[h (mm)]]</f>
        <v>335</v>
      </c>
      <c r="AD37" s="44">
        <v>350</v>
      </c>
      <c r="AE37" s="44">
        <v>307</v>
      </c>
      <c r="AF37" s="44">
        <v>335</v>
      </c>
      <c r="AG37" s="44">
        <v>804.25</v>
      </c>
      <c r="AH37" s="3">
        <f t="shared" si="6"/>
        <v>1.3098534201954397</v>
      </c>
      <c r="AI37" s="44">
        <v>637.5</v>
      </c>
      <c r="AJ37" s="44">
        <f t="shared" si="7"/>
        <v>15663602593.836174</v>
      </c>
      <c r="AK37" s="71">
        <f t="shared" si="8"/>
        <v>3916184895.8333335</v>
      </c>
      <c r="AM37" s="354"/>
      <c r="AN37" s="354"/>
      <c r="AO37" s="354"/>
      <c r="AP37" s="354"/>
    </row>
    <row r="38" spans="1:42" customFormat="1" x14ac:dyDescent="0.3">
      <c r="A38" s="218" t="s">
        <v>47</v>
      </c>
      <c r="B38" s="219">
        <v>49</v>
      </c>
      <c r="C38" s="44">
        <v>4</v>
      </c>
      <c r="D38" s="3">
        <f>Table11215[[#This Row],[a (mm)]]/Table11215[[#This Row],[d (mm)]]</f>
        <v>1.1400651465798046</v>
      </c>
      <c r="E38" s="44">
        <f>181/2</f>
        <v>90.5</v>
      </c>
      <c r="F38" s="3">
        <f>Table11215[[#This Row],[d (mm)]]</f>
        <v>307</v>
      </c>
      <c r="G38" s="3">
        <f t="shared" si="0"/>
        <v>31675</v>
      </c>
      <c r="H38" s="3">
        <f t="shared" si="1"/>
        <v>3.0710773396015672E-7</v>
      </c>
      <c r="I38" s="3">
        <f>G38/($AN$3*Table11215[[#This Row],[h]]^2)</f>
        <v>1.4112274448652262E-3</v>
      </c>
      <c r="J38" s="3">
        <f t="shared" si="2"/>
        <v>0.20123660848891695</v>
      </c>
      <c r="K38" s="3">
        <f t="shared" si="3"/>
        <v>1.8400400468725567E-7</v>
      </c>
      <c r="L38" s="3">
        <f t="shared" si="4"/>
        <v>1.4739413680781759E-3</v>
      </c>
      <c r="M38" s="3">
        <f>Table11215[[#This Row],[M (KN.mm)]]/($AN$3*Table11215[[#This Row],[d (mm)]])</f>
        <v>0.51587947882736152</v>
      </c>
      <c r="N38" s="3">
        <f>Table11215[[#This Row],[M (KN.mm)]]/($AN$3*Table11215[[#This Row],[h (mm)]])</f>
        <v>0.47276119402985073</v>
      </c>
      <c r="O38" s="3">
        <f>Table11215[[#This Row],[M (KN.mm)]]/($AN$3*Table11215[[#This Row],[h (mm)]]*$AN$2)</f>
        <v>3.7820895522388062E-4</v>
      </c>
      <c r="P38" s="3">
        <f>Table11215[[#This Row],[M (KN.mm)]]/($AN$3*Table11215[[#This Row],[d (mm)]]*$AN$2)</f>
        <v>4.1270358306188924E-4</v>
      </c>
      <c r="Q38" s="3">
        <f>Table11215[[#This Row],[M (KN.mm)]]/($AN$3*Table11215[[#This Row],[h (mm)]]*$AN$2*$AN$4)</f>
        <v>1.2044871185473904E-5</v>
      </c>
      <c r="R38" s="3">
        <f>Table11215[[#This Row],[M (KN.mm)]]/($AN$3*Table11215[[#This Row],[h (mm)]]*($AN$2-Table11215[[#This Row],[a (mm)]]))</f>
        <v>5.2529021558872307E-4</v>
      </c>
      <c r="S38" s="3">
        <f>Table11215[[#This Row],[M (KN.mm)]]/(Table11215[[#This Row],[a (mm)]]*$AN$3*Table11215[[#This Row],[h (mm)]]*($AN$2-Table11215[[#This Row],[a (mm)]]))</f>
        <v>1.5008291873963515E-6</v>
      </c>
      <c r="T38" s="3">
        <f>Table11215[[#This Row],[M (KN.mm)]]/(Table11215[[#This Row],[a (mm)]]^2*$AN$3*Table11215[[#This Row],[h (mm)]])</f>
        <v>3.8592750533049044E-6</v>
      </c>
      <c r="U38" s="3">
        <f>Table11215[[#This Row],[M (KN.mm)]]/($AN$3*Table11215[[#This Row],[d (mm)]]*Table11215[[#This Row],[pho (%)]])</f>
        <v>0.39384519738887164</v>
      </c>
      <c r="V38" s="3">
        <f>E38*224.8/(2*SQRT($AN$4*145.037)*$AN$3*Table11215[[#This Row],[d (mm)]]*(1/25.4)^2)</f>
        <v>1.5838342289585194</v>
      </c>
      <c r="W38" s="3">
        <f>Table11215[[#This Row],[M (KN.mm)]]/$G$40</f>
        <v>0.59933774834437081</v>
      </c>
      <c r="X38" s="3">
        <f>Table11215[[#This Row],[V/(2*sqrt(fc) bd)]]</f>
        <v>1.5838342289585194</v>
      </c>
      <c r="Y38" s="3">
        <f>Table11215[[#This Row],[a (mm)]]</f>
        <v>350</v>
      </c>
      <c r="Z38" s="3">
        <f>Table11215[[#This Row],[width]]*Table11215[[#This Row],[h]]^2</f>
        <v>22445000</v>
      </c>
      <c r="AA38" s="3">
        <f t="shared" si="5"/>
        <v>200</v>
      </c>
      <c r="AB38" s="3">
        <f>Table11215[[#This Row],[a]]/Table11215[[#This Row],[h (mm)]]</f>
        <v>1.044776119402985</v>
      </c>
      <c r="AC38" s="3">
        <f>Table11215[[#This Row],[h (mm)]]</f>
        <v>335</v>
      </c>
      <c r="AD38" s="44">
        <v>350</v>
      </c>
      <c r="AE38" s="44">
        <v>307</v>
      </c>
      <c r="AF38" s="44">
        <v>335</v>
      </c>
      <c r="AG38" s="44">
        <v>804.25</v>
      </c>
      <c r="AH38" s="3">
        <f t="shared" si="6"/>
        <v>1.3098534201954397</v>
      </c>
      <c r="AI38" s="44">
        <v>637.5</v>
      </c>
      <c r="AJ38" s="44">
        <f t="shared" si="7"/>
        <v>15663602593.836174</v>
      </c>
      <c r="AK38" s="71">
        <f t="shared" si="8"/>
        <v>3916184895.8333335</v>
      </c>
      <c r="AM38" s="354"/>
      <c r="AN38" s="354"/>
      <c r="AO38" s="354"/>
      <c r="AP38" s="354"/>
    </row>
    <row r="39" spans="1:42" customFormat="1" x14ac:dyDescent="0.3">
      <c r="A39" s="218" t="s">
        <v>47</v>
      </c>
      <c r="B39" s="219">
        <v>50</v>
      </c>
      <c r="C39" s="44">
        <v>5</v>
      </c>
      <c r="D39" s="3">
        <f>Table11215[[#This Row],[a (mm)]]/Table11215[[#This Row],[d (mm)]]</f>
        <v>1.1400651465798046</v>
      </c>
      <c r="E39" s="44">
        <f>196/2</f>
        <v>98</v>
      </c>
      <c r="F39" s="3">
        <f>Table11215[[#This Row],[d (mm)]]</f>
        <v>307</v>
      </c>
      <c r="G39" s="3">
        <f t="shared" si="0"/>
        <v>34300</v>
      </c>
      <c r="H39" s="3">
        <f t="shared" si="1"/>
        <v>3.3255865113917523E-7</v>
      </c>
      <c r="I39" s="3">
        <f>G39/($AN$3*Table11215[[#This Row],[h]]^2)</f>
        <v>1.5281799955446647E-3</v>
      </c>
      <c r="J39" s="3">
        <f t="shared" si="2"/>
        <v>0.21791367549076091</v>
      </c>
      <c r="K39" s="3">
        <f t="shared" si="3"/>
        <v>1.9925295535194535E-7</v>
      </c>
      <c r="L39" s="3">
        <f t="shared" si="4"/>
        <v>1.5960912052117263E-3</v>
      </c>
      <c r="M39" s="3">
        <f>Table11215[[#This Row],[M (KN.mm)]]/($AN$3*Table11215[[#This Row],[d (mm)]])</f>
        <v>0.55863192182410426</v>
      </c>
      <c r="N39" s="3">
        <f>Table11215[[#This Row],[M (KN.mm)]]/($AN$3*Table11215[[#This Row],[h (mm)]])</f>
        <v>0.5119402985074627</v>
      </c>
      <c r="O39" s="3">
        <f>Table11215[[#This Row],[M (KN.mm)]]/($AN$3*Table11215[[#This Row],[h (mm)]]*$AN$2)</f>
        <v>4.0955223880597015E-4</v>
      </c>
      <c r="P39" s="3">
        <f>Table11215[[#This Row],[M (KN.mm)]]/($AN$3*Table11215[[#This Row],[d (mm)]]*$AN$2)</f>
        <v>4.469055374592834E-4</v>
      </c>
      <c r="Q39" s="3">
        <f>Table11215[[#This Row],[M (KN.mm)]]/($AN$3*Table11215[[#This Row],[h (mm)]]*$AN$2*$AN$4)</f>
        <v>1.3043064930126438E-5</v>
      </c>
      <c r="R39" s="3">
        <f>Table11215[[#This Row],[M (KN.mm)]]/($AN$3*Table11215[[#This Row],[h (mm)]]*($AN$2-Table11215[[#This Row],[a (mm)]]))</f>
        <v>5.688225538971808E-4</v>
      </c>
      <c r="S39" s="3">
        <f>Table11215[[#This Row],[M (KN.mm)]]/(Table11215[[#This Row],[a (mm)]]*$AN$3*Table11215[[#This Row],[h (mm)]]*($AN$2-Table11215[[#This Row],[a (mm)]]))</f>
        <v>1.625207296849088E-6</v>
      </c>
      <c r="T39" s="3">
        <f>Table11215[[#This Row],[M (KN.mm)]]/(Table11215[[#This Row],[a (mm)]]^2*$AN$3*Table11215[[#This Row],[h (mm)]])</f>
        <v>4.1791044776119402E-6</v>
      </c>
      <c r="U39" s="3">
        <f>Table11215[[#This Row],[M (KN.mm)]]/($AN$3*Table11215[[#This Row],[d (mm)]]*Table11215[[#This Row],[pho (%)]])</f>
        <v>0.42648430214485544</v>
      </c>
      <c r="V39" s="3">
        <f>E39*224.8/(2*SQRT($AN$4*145.037)*$AN$3*Table11215[[#This Row],[d (mm)]]*(1/25.4)^2)</f>
        <v>1.7150912092589492</v>
      </c>
      <c r="W39" s="3">
        <f>Table11215[[#This Row],[M (KN.mm)]]/$G$40</f>
        <v>0.64900662251655628</v>
      </c>
      <c r="X39" s="3">
        <f>Table11215[[#This Row],[V/(2*sqrt(fc) bd)]]</f>
        <v>1.7150912092589492</v>
      </c>
      <c r="Y39" s="3">
        <f>Table11215[[#This Row],[a (mm)]]</f>
        <v>350</v>
      </c>
      <c r="Z39" s="3">
        <f>Table11215[[#This Row],[width]]*Table11215[[#This Row],[h]]^2</f>
        <v>22445000</v>
      </c>
      <c r="AA39" s="3">
        <f t="shared" si="5"/>
        <v>200</v>
      </c>
      <c r="AB39" s="3">
        <f>Table11215[[#This Row],[a]]/Table11215[[#This Row],[h (mm)]]</f>
        <v>1.044776119402985</v>
      </c>
      <c r="AC39" s="3">
        <f>Table11215[[#This Row],[h (mm)]]</f>
        <v>335</v>
      </c>
      <c r="AD39" s="44">
        <v>350</v>
      </c>
      <c r="AE39" s="44">
        <v>307</v>
      </c>
      <c r="AF39" s="44">
        <v>335</v>
      </c>
      <c r="AG39" s="44">
        <v>804.25</v>
      </c>
      <c r="AH39" s="3">
        <f t="shared" si="6"/>
        <v>1.3098534201954397</v>
      </c>
      <c r="AI39" s="44">
        <v>637.5</v>
      </c>
      <c r="AJ39" s="44">
        <f t="shared" si="7"/>
        <v>15663602593.836174</v>
      </c>
      <c r="AK39" s="71">
        <f t="shared" si="8"/>
        <v>3916184895.8333335</v>
      </c>
      <c r="AM39" s="354"/>
      <c r="AN39" s="354"/>
      <c r="AO39" s="354"/>
      <c r="AP39" s="354"/>
    </row>
    <row r="40" spans="1:42" customFormat="1" x14ac:dyDescent="0.3">
      <c r="A40" s="218" t="s">
        <v>47</v>
      </c>
      <c r="B40" s="219">
        <v>51</v>
      </c>
      <c r="C40" s="44">
        <v>8</v>
      </c>
      <c r="D40" s="3">
        <f>Table11215[[#This Row],[a (mm)]]/Table11215[[#This Row],[d (mm)]]</f>
        <v>1.1400651465798046</v>
      </c>
      <c r="E40" s="44">
        <v>151</v>
      </c>
      <c r="F40" s="3">
        <f>Table11215[[#This Row],[d (mm)]]</f>
        <v>307</v>
      </c>
      <c r="G40" s="3">
        <f t="shared" si="0"/>
        <v>52850</v>
      </c>
      <c r="H40" s="3">
        <f t="shared" si="1"/>
        <v>5.1241179920423942E-7</v>
      </c>
      <c r="I40" s="3">
        <f>G40/($AN$3*Table11215[[#This Row],[h]]^2)</f>
        <v>2.3546446870126975E-3</v>
      </c>
      <c r="J40" s="3">
        <f t="shared" si="2"/>
        <v>0.33576494897045811</v>
      </c>
      <c r="K40" s="3">
        <f t="shared" si="3"/>
        <v>3.0701220671575253E-7</v>
      </c>
      <c r="L40" s="3">
        <f t="shared" si="4"/>
        <v>2.4592833876221497E-3</v>
      </c>
      <c r="M40" s="3">
        <f>Table11215[[#This Row],[M (KN.mm)]]/($AN$3*Table11215[[#This Row],[d (mm)]])</f>
        <v>0.86074918566775249</v>
      </c>
      <c r="N40" s="3">
        <f>Table11215[[#This Row],[M (KN.mm)]]/($AN$3*Table11215[[#This Row],[h (mm)]])</f>
        <v>0.78880597014925369</v>
      </c>
      <c r="O40" s="3">
        <f>Table11215[[#This Row],[M (KN.mm)]]/($AN$3*Table11215[[#This Row],[h (mm)]]*$AN$2)</f>
        <v>6.31044776119403E-4</v>
      </c>
      <c r="P40" s="3">
        <f>Table11215[[#This Row],[M (KN.mm)]]/($AN$3*Table11215[[#This Row],[d (mm)]]*$AN$2)</f>
        <v>6.8859934853420196E-4</v>
      </c>
      <c r="Q40" s="3">
        <f>Table11215[[#This Row],[M (KN.mm)]]/($AN$3*Table11215[[#This Row],[h (mm)]]*$AN$2*$AN$4)</f>
        <v>2.0096967392337676E-5</v>
      </c>
      <c r="R40" s="3">
        <f>Table11215[[#This Row],[M (KN.mm)]]/($AN$3*Table11215[[#This Row],[h (mm)]]*($AN$2-Table11215[[#This Row],[a (mm)]]))</f>
        <v>8.7645107794361531E-4</v>
      </c>
      <c r="S40" s="3">
        <f>Table11215[[#This Row],[M (KN.mm)]]/(Table11215[[#This Row],[a (mm)]]*$AN$3*Table11215[[#This Row],[h (mm)]]*($AN$2-Table11215[[#This Row],[a (mm)]]))</f>
        <v>2.5041459369817578E-6</v>
      </c>
      <c r="T40" s="3">
        <f>Table11215[[#This Row],[M (KN.mm)]]/(Table11215[[#This Row],[a (mm)]]^2*$AN$3*Table11215[[#This Row],[h (mm)]])</f>
        <v>6.4392324093816631E-6</v>
      </c>
      <c r="U40" s="3">
        <f>Table11215[[#This Row],[M (KN.mm)]]/($AN$3*Table11215[[#This Row],[d (mm)]]*Table11215[[#This Row],[pho (%)]])</f>
        <v>0.65713397575380794</v>
      </c>
      <c r="V40" s="3">
        <f>E40*224.8/(2*SQRT($AN$4*145.037)*$AN$3*Table11215[[#This Row],[d (mm)]]*(1/25.4)^2)</f>
        <v>2.6426405367153198</v>
      </c>
      <c r="W40" s="3">
        <f>Table11215[[#This Row],[M (KN.mm)]]/$G$40</f>
        <v>1</v>
      </c>
      <c r="X40" s="3">
        <f>Table11215[[#This Row],[V/(2*sqrt(fc) bd)]]</f>
        <v>2.6426405367153198</v>
      </c>
      <c r="Y40" s="3">
        <f>Table11215[[#This Row],[a (mm)]]</f>
        <v>350</v>
      </c>
      <c r="Z40" s="3">
        <f>Table11215[[#This Row],[width]]*Table11215[[#This Row],[h]]^2</f>
        <v>22445000</v>
      </c>
      <c r="AA40" s="3">
        <f t="shared" si="5"/>
        <v>200</v>
      </c>
      <c r="AB40" s="3">
        <f>Table11215[[#This Row],[a]]/Table11215[[#This Row],[h (mm)]]</f>
        <v>1.044776119402985</v>
      </c>
      <c r="AC40" s="3">
        <f>Table11215[[#This Row],[h (mm)]]</f>
        <v>335</v>
      </c>
      <c r="AD40" s="44">
        <v>350</v>
      </c>
      <c r="AE40" s="44">
        <v>307</v>
      </c>
      <c r="AF40" s="44">
        <v>335</v>
      </c>
      <c r="AG40" s="44">
        <v>804.25</v>
      </c>
      <c r="AH40" s="3">
        <f t="shared" si="6"/>
        <v>1.3098534201954397</v>
      </c>
      <c r="AI40" s="44">
        <v>637.5</v>
      </c>
      <c r="AJ40" s="44">
        <f t="shared" si="7"/>
        <v>15663602593.836174</v>
      </c>
      <c r="AK40" s="71">
        <f t="shared" si="8"/>
        <v>3916184895.8333335</v>
      </c>
      <c r="AM40" s="354"/>
      <c r="AN40" s="354"/>
      <c r="AO40" s="354"/>
      <c r="AP40" s="354"/>
    </row>
    <row r="41" spans="1:42" customFormat="1" x14ac:dyDescent="0.3">
      <c r="A41" s="220" t="s">
        <v>48</v>
      </c>
      <c r="B41" s="221">
        <v>52</v>
      </c>
      <c r="C41" s="7">
        <v>2</v>
      </c>
      <c r="D41" s="3">
        <f>Table11215[[#This Row],[a (mm)]]/Table11215[[#This Row],[d (mm)]]</f>
        <v>1.1400651465798046</v>
      </c>
      <c r="E41" s="13">
        <f>0.8*E42</f>
        <v>72</v>
      </c>
      <c r="F41" s="3">
        <f>Table11215[[#This Row],[d (mm)]]</f>
        <v>307</v>
      </c>
      <c r="G41" s="3">
        <f t="shared" si="0"/>
        <v>25200</v>
      </c>
      <c r="H41" s="3">
        <f t="shared" si="1"/>
        <v>2.4432880491857771E-7</v>
      </c>
      <c r="I41" s="3">
        <f>G41/($AN$3*Table11215[[#This Row],[h]]^2)</f>
        <v>1.1227444865226108E-3</v>
      </c>
      <c r="J41" s="3">
        <f t="shared" si="2"/>
        <v>0.15934996104806395</v>
      </c>
      <c r="K41" s="3">
        <f t="shared" si="3"/>
        <v>1.4638992638102107E-7</v>
      </c>
      <c r="L41" s="3">
        <f t="shared" si="4"/>
        <v>1.1726384364820848E-3</v>
      </c>
      <c r="M41" s="3">
        <f>Table11215[[#This Row],[M (KN.mm)]]/($AN$3*Table11215[[#This Row],[d (mm)]])</f>
        <v>0.41042345276872966</v>
      </c>
      <c r="N41" s="3">
        <f>Table11215[[#This Row],[M (KN.mm)]]/($AN$3*Table11215[[#This Row],[h (mm)]])</f>
        <v>0.37611940298507462</v>
      </c>
      <c r="O41" s="3">
        <f>Table11215[[#This Row],[M (KN.mm)]]/($AN$3*Table11215[[#This Row],[h (mm)]]*$AN$2)</f>
        <v>3.008955223880597E-4</v>
      </c>
      <c r="P41" s="3">
        <f>Table11215[[#This Row],[M (KN.mm)]]/($AN$3*Table11215[[#This Row],[d (mm)]]*$AN$2)</f>
        <v>3.2833876221498369E-4</v>
      </c>
      <c r="Q41" s="3">
        <f>Table11215[[#This Row],[M (KN.mm)]]/($AN$3*Table11215[[#This Row],[h (mm)]]*$AN$2*$AN$4)</f>
        <v>9.5826599486643209E-6</v>
      </c>
      <c r="R41" s="3">
        <f>Table11215[[#This Row],[M (KN.mm)]]/($AN$3*Table11215[[#This Row],[h (mm)]]*($AN$2-Table11215[[#This Row],[a (mm)]]))</f>
        <v>4.1791044776119402E-4</v>
      </c>
      <c r="S41" s="3">
        <f>Table11215[[#This Row],[M (KN.mm)]]/(Table11215[[#This Row],[a (mm)]]*$AN$3*Table11215[[#This Row],[h (mm)]]*($AN$2-Table11215[[#This Row],[a (mm)]]))</f>
        <v>1.1940298507462686E-6</v>
      </c>
      <c r="T41" s="3">
        <f>Table11215[[#This Row],[M (KN.mm)]]/(Table11215[[#This Row],[a (mm)]]^2*$AN$3*Table11215[[#This Row],[h (mm)]])</f>
        <v>3.0703624733475478E-6</v>
      </c>
      <c r="U41" s="3">
        <f>Table11215[[#This Row],[M (KN.mm)]]/($AN$3*Table11215[[#This Row],[d (mm)]]*Table11215[[#This Row],[pho (%)]])</f>
        <v>0.31333540565744483</v>
      </c>
      <c r="V41" s="3">
        <f>E41*224.8/(2*SQRT($AN$4*145.037)*$AN$3*Table11215[[#This Row],[d (mm)]]*(1/25.4)^2)</f>
        <v>1.2600670108841259</v>
      </c>
      <c r="W41" s="3">
        <f>Table11215[[#This Row],[M (KN.mm)]]/$G$43</f>
        <v>0.38451268357810414</v>
      </c>
      <c r="X41" s="3">
        <f>Table11215[[#This Row],[V/(2*sqrt(fc) bd)]]</f>
        <v>1.2600670108841259</v>
      </c>
      <c r="Y41" s="3">
        <f>Table11215[[#This Row],[a (mm)]]</f>
        <v>350</v>
      </c>
      <c r="Z41" s="3">
        <f>Table11215[[#This Row],[width]]*Table11215[[#This Row],[h]]^2</f>
        <v>22445000</v>
      </c>
      <c r="AA41" s="3">
        <f t="shared" si="5"/>
        <v>200</v>
      </c>
      <c r="AB41" s="3">
        <f>Table11215[[#This Row],[a]]/Table11215[[#This Row],[h (mm)]]</f>
        <v>1.044776119402985</v>
      </c>
      <c r="AC41" s="3">
        <f>Table11215[[#This Row],[h (mm)]]</f>
        <v>335</v>
      </c>
      <c r="AD41" s="44">
        <v>350</v>
      </c>
      <c r="AE41" s="44">
        <v>307</v>
      </c>
      <c r="AF41" s="44">
        <v>335</v>
      </c>
      <c r="AG41" s="44">
        <v>804.25</v>
      </c>
      <c r="AH41" s="3">
        <f t="shared" si="6"/>
        <v>1.3098534201954397</v>
      </c>
      <c r="AI41" s="44">
        <v>640.5</v>
      </c>
      <c r="AJ41" s="44">
        <f t="shared" si="7"/>
        <v>15663602593.836174</v>
      </c>
      <c r="AK41" s="71">
        <f t="shared" si="8"/>
        <v>3916184895.8333335</v>
      </c>
      <c r="AM41" s="354"/>
      <c r="AN41" s="354"/>
      <c r="AO41" s="354"/>
      <c r="AP41" s="354"/>
    </row>
    <row r="42" spans="1:42" customFormat="1" x14ac:dyDescent="0.3">
      <c r="A42" s="220" t="s">
        <v>48</v>
      </c>
      <c r="B42" s="221">
        <v>53</v>
      </c>
      <c r="C42" s="3">
        <v>6</v>
      </c>
      <c r="D42" s="3">
        <f>Table11215[[#This Row],[a (mm)]]/Table11215[[#This Row],[d (mm)]]</f>
        <v>1.1400651465798046</v>
      </c>
      <c r="E42" s="7">
        <f>180/2</f>
        <v>90</v>
      </c>
      <c r="F42" s="3">
        <f>Table11215[[#This Row],[d (mm)]]</f>
        <v>307</v>
      </c>
      <c r="G42" s="3">
        <f t="shared" si="0"/>
        <v>31500</v>
      </c>
      <c r="H42" s="3">
        <f t="shared" si="1"/>
        <v>3.0541100614822217E-7</v>
      </c>
      <c r="I42" s="3">
        <f>G42/($AN$3*Table11215[[#This Row],[h]]^2)</f>
        <v>1.4034306081532636E-3</v>
      </c>
      <c r="J42" s="3">
        <f t="shared" si="2"/>
        <v>0.19918745131007992</v>
      </c>
      <c r="K42" s="3">
        <f t="shared" si="3"/>
        <v>1.8298740797627635E-7</v>
      </c>
      <c r="L42" s="3">
        <f t="shared" si="4"/>
        <v>1.4657980456026058E-3</v>
      </c>
      <c r="M42" s="3">
        <f>Table11215[[#This Row],[M (KN.mm)]]/($AN$3*Table11215[[#This Row],[d (mm)]])</f>
        <v>0.51302931596091206</v>
      </c>
      <c r="N42" s="3">
        <f>Table11215[[#This Row],[M (KN.mm)]]/($AN$3*Table11215[[#This Row],[h (mm)]])</f>
        <v>0.47014925373134331</v>
      </c>
      <c r="O42" s="3">
        <f>Table11215[[#This Row],[M (KN.mm)]]/($AN$3*Table11215[[#This Row],[h (mm)]]*$AN$2)</f>
        <v>3.7611940298507463E-4</v>
      </c>
      <c r="P42" s="3">
        <f>Table11215[[#This Row],[M (KN.mm)]]/($AN$3*Table11215[[#This Row],[d (mm)]]*$AN$2)</f>
        <v>4.1042345276872966E-4</v>
      </c>
      <c r="Q42" s="3">
        <f>Table11215[[#This Row],[M (KN.mm)]]/($AN$3*Table11215[[#This Row],[h (mm)]]*$AN$2*$AN$4)</f>
        <v>1.1978324935830402E-5</v>
      </c>
      <c r="R42" s="3">
        <f>Table11215[[#This Row],[M (KN.mm)]]/($AN$3*Table11215[[#This Row],[h (mm)]]*($AN$2-Table11215[[#This Row],[a (mm)]]))</f>
        <v>5.2238805970149249E-4</v>
      </c>
      <c r="S42" s="3">
        <f>Table11215[[#This Row],[M (KN.mm)]]/(Table11215[[#This Row],[a (mm)]]*$AN$3*Table11215[[#This Row],[h (mm)]]*($AN$2-Table11215[[#This Row],[a (mm)]]))</f>
        <v>1.4925373134328358E-6</v>
      </c>
      <c r="T42" s="3">
        <f>Table11215[[#This Row],[M (KN.mm)]]/(Table11215[[#This Row],[a (mm)]]^2*$AN$3*Table11215[[#This Row],[h (mm)]])</f>
        <v>3.8379530916844354E-6</v>
      </c>
      <c r="U42" s="3">
        <f>Table11215[[#This Row],[M (KN.mm)]]/($AN$3*Table11215[[#This Row],[d (mm)]]*Table11215[[#This Row],[pho (%)]])</f>
        <v>0.39166925707180605</v>
      </c>
      <c r="V42" s="3">
        <f>E42*224.8/(2*SQRT($AN$4*145.037)*$AN$3*Table11215[[#This Row],[d (mm)]]*(1/25.4)^2)</f>
        <v>1.5750837636051573</v>
      </c>
      <c r="W42" s="3">
        <f>Table11215[[#This Row],[M (KN.mm)]]/$G$43</f>
        <v>0.48064085447263016</v>
      </c>
      <c r="X42" s="3">
        <f>Table11215[[#This Row],[V/(2*sqrt(fc) bd)]]</f>
        <v>1.5750837636051573</v>
      </c>
      <c r="Y42" s="3">
        <f>Table11215[[#This Row],[a (mm)]]</f>
        <v>350</v>
      </c>
      <c r="Z42" s="3">
        <f>Table11215[[#This Row],[width]]*Table11215[[#This Row],[h]]^2</f>
        <v>22445000</v>
      </c>
      <c r="AA42" s="3">
        <f t="shared" si="5"/>
        <v>200</v>
      </c>
      <c r="AB42" s="3">
        <f>Table11215[[#This Row],[a]]/Table11215[[#This Row],[h (mm)]]</f>
        <v>1.044776119402985</v>
      </c>
      <c r="AC42" s="3">
        <f>Table11215[[#This Row],[h (mm)]]</f>
        <v>335</v>
      </c>
      <c r="AD42" s="44">
        <v>350</v>
      </c>
      <c r="AE42" s="44">
        <v>307</v>
      </c>
      <c r="AF42" s="44">
        <v>335</v>
      </c>
      <c r="AG42" s="44">
        <v>804.25</v>
      </c>
      <c r="AH42" s="3">
        <f t="shared" si="6"/>
        <v>1.3098534201954397</v>
      </c>
      <c r="AI42" s="44">
        <v>640.5</v>
      </c>
      <c r="AJ42" s="44">
        <f t="shared" si="7"/>
        <v>15663602593.836174</v>
      </c>
      <c r="AK42" s="71">
        <f t="shared" si="8"/>
        <v>3916184895.8333335</v>
      </c>
      <c r="AM42" s="354"/>
      <c r="AN42" s="354"/>
      <c r="AO42" s="354"/>
      <c r="AP42" s="354"/>
    </row>
    <row r="43" spans="1:42" customFormat="1" x14ac:dyDescent="0.3">
      <c r="A43" s="222" t="s">
        <v>48</v>
      </c>
      <c r="B43" s="223">
        <v>54</v>
      </c>
      <c r="C43" s="17">
        <v>7</v>
      </c>
      <c r="D43" s="17">
        <f>Table11215[[#This Row],[a (mm)]]/Table11215[[#This Row],[d (mm)]]</f>
        <v>1.1400651465798046</v>
      </c>
      <c r="E43" s="17">
        <f>374.5/2</f>
        <v>187.25</v>
      </c>
      <c r="F43" s="17">
        <f>Table11215[[#This Row],[d (mm)]]</f>
        <v>307</v>
      </c>
      <c r="G43" s="17">
        <f t="shared" si="0"/>
        <v>65537.5</v>
      </c>
      <c r="H43" s="17">
        <f t="shared" si="1"/>
        <v>6.3542456556949556E-7</v>
      </c>
      <c r="I43" s="3">
        <f>G43/($AN$3*Table11215[[#This Row],[h]]^2)</f>
        <v>2.9199153486299846E-3</v>
      </c>
      <c r="J43" s="17">
        <f t="shared" si="2"/>
        <v>0.41442055842013853</v>
      </c>
      <c r="K43" s="17">
        <f t="shared" si="3"/>
        <v>3.8071546826175272E-7</v>
      </c>
      <c r="L43" s="17">
        <f t="shared" si="4"/>
        <v>3.0496742671009772E-3</v>
      </c>
      <c r="M43" s="17">
        <f>Table11215[[#This Row],[M (KN.mm)]]/($AN$3*Table11215[[#This Row],[d (mm)]])</f>
        <v>1.067385993485342</v>
      </c>
      <c r="N43" s="17">
        <f>Table11215[[#This Row],[M (KN.mm)]]/($AN$3*Table11215[[#This Row],[h (mm)]])</f>
        <v>0.97817164179104477</v>
      </c>
      <c r="O43" s="17">
        <f>Table11215[[#This Row],[M (KN.mm)]]/($AN$3*Table11215[[#This Row],[h (mm)]]*$AN$2)</f>
        <v>7.8253731343283582E-4</v>
      </c>
      <c r="P43" s="17">
        <f>Table11215[[#This Row],[M (KN.mm)]]/($AN$3*Table11215[[#This Row],[d (mm)]]*$AN$2)</f>
        <v>8.5390879478827362E-4</v>
      </c>
      <c r="Q43" s="17">
        <f>Table11215[[#This Row],[M (KN.mm)]]/($AN$3*Table11215[[#This Row],[h (mm)]]*$AN$2*$AN$4)</f>
        <v>2.4921570491491586E-5</v>
      </c>
      <c r="R43" s="17">
        <f>Table11215[[#This Row],[M (KN.mm)]]/($AN$3*Table11215[[#This Row],[h (mm)]]*($AN$2-Table11215[[#This Row],[a (mm)]]))</f>
        <v>1.0868573797678275E-3</v>
      </c>
      <c r="S43" s="17">
        <f>Table11215[[#This Row],[M (KN.mm)]]/(Table11215[[#This Row],[a (mm)]]*$AN$3*Table11215[[#This Row],[h (mm)]]*($AN$2-Table11215[[#This Row],[a (mm)]]))</f>
        <v>3.1053067993366502E-6</v>
      </c>
      <c r="T43" s="17">
        <f>Table11215[[#This Row],[M (KN.mm)]]/(Table11215[[#This Row],[a (mm)]]^2*$AN$3*Table11215[[#This Row],[h (mm)]])</f>
        <v>7.985074626865672E-6</v>
      </c>
      <c r="U43" s="17">
        <f>Table11215[[#This Row],[M (KN.mm)]]/($AN$3*Table11215[[#This Row],[d (mm)]]*Table11215[[#This Row],[pho (%)]])</f>
        <v>0.81488964874106307</v>
      </c>
      <c r="V43" s="102">
        <f>E43*224.8/(2*SQRT($AN$4*145.037)*$AN$3*Table11215[[#This Row],[d (mm)]]*(1/25.4)^2)</f>
        <v>3.2770492748340638</v>
      </c>
      <c r="W43" s="17">
        <f>Table11215[[#This Row],[M (KN.mm)]]/$G$43</f>
        <v>1</v>
      </c>
      <c r="X43" s="17">
        <f>Table11215[[#This Row],[V/(2*sqrt(fc) bd)]]</f>
        <v>3.2770492748340638</v>
      </c>
      <c r="Y43" s="3">
        <f>Table11215[[#This Row],[a (mm)]]</f>
        <v>350</v>
      </c>
      <c r="Z43" s="3">
        <f>Table11215[[#This Row],[width]]*Table11215[[#This Row],[h]]^2</f>
        <v>22445000</v>
      </c>
      <c r="AA43" s="17">
        <f t="shared" si="5"/>
        <v>200</v>
      </c>
      <c r="AB43" s="17">
        <f>Table11215[[#This Row],[a]]/Table11215[[#This Row],[h (mm)]]</f>
        <v>1.044776119402985</v>
      </c>
      <c r="AC43" s="17">
        <f>Table11215[[#This Row],[h (mm)]]</f>
        <v>335</v>
      </c>
      <c r="AD43" s="52">
        <v>350</v>
      </c>
      <c r="AE43" s="52">
        <v>307</v>
      </c>
      <c r="AF43" s="52">
        <v>335</v>
      </c>
      <c r="AG43" s="52">
        <v>804.25</v>
      </c>
      <c r="AH43" s="17">
        <f t="shared" si="6"/>
        <v>1.3098534201954397</v>
      </c>
      <c r="AI43" s="52">
        <v>640.5</v>
      </c>
      <c r="AJ43" s="52">
        <f t="shared" si="7"/>
        <v>15663602593.836174</v>
      </c>
      <c r="AK43" s="72">
        <f t="shared" si="8"/>
        <v>3916184895.8333335</v>
      </c>
      <c r="AM43" s="355"/>
      <c r="AN43" s="355"/>
      <c r="AO43" s="355"/>
      <c r="AP43" s="355"/>
    </row>
    <row r="44" spans="1:42" x14ac:dyDescent="0.3">
      <c r="A44"/>
      <c r="B44"/>
      <c r="C44"/>
    </row>
    <row r="45" spans="1:42" x14ac:dyDescent="0.3">
      <c r="A45"/>
      <c r="B45"/>
      <c r="C45"/>
    </row>
    <row r="46" spans="1:42" x14ac:dyDescent="0.3">
      <c r="A46"/>
      <c r="B46"/>
      <c r="C46"/>
    </row>
    <row r="47" spans="1:42" x14ac:dyDescent="0.3">
      <c r="A47"/>
      <c r="B47"/>
      <c r="C47"/>
    </row>
    <row r="48" spans="1:42" x14ac:dyDescent="0.3">
      <c r="A48"/>
      <c r="B48"/>
      <c r="C48"/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U57"/>
  <sheetViews>
    <sheetView topLeftCell="O1" zoomScaleNormal="100" workbookViewId="0">
      <selection activeCell="X1" sqref="X1"/>
    </sheetView>
  </sheetViews>
  <sheetFormatPr defaultColWidth="9.109375" defaultRowHeight="14.4" x14ac:dyDescent="0.3"/>
  <cols>
    <col min="1" max="1" width="6.33203125" style="2" customWidth="1"/>
    <col min="2" max="2" width="7" style="2" customWidth="1"/>
    <col min="3" max="3" width="7.44140625" style="2" customWidth="1"/>
    <col min="4" max="4" width="15" style="2" customWidth="1"/>
    <col min="5" max="5" width="10.88671875" style="2" customWidth="1"/>
    <col min="6" max="6" width="12.88671875" style="2" customWidth="1"/>
    <col min="7" max="7" width="12" style="2" customWidth="1"/>
    <col min="8" max="8" width="10.5546875" style="2" customWidth="1"/>
    <col min="9" max="9" width="10.88671875" style="2" customWidth="1"/>
    <col min="10" max="10" width="13.109375" style="2" customWidth="1"/>
    <col min="11" max="11" width="8.88671875" style="2" customWidth="1"/>
    <col min="12" max="12" width="8.44140625" style="2" customWidth="1"/>
    <col min="13" max="17" width="10" style="2" customWidth="1"/>
    <col min="18" max="21" width="14.6640625" style="2" customWidth="1"/>
    <col min="22" max="22" width="17.44140625" style="2" customWidth="1"/>
    <col min="23" max="27" width="17.88671875" style="2" customWidth="1"/>
    <col min="28" max="28" width="9.44140625" style="2" customWidth="1"/>
    <col min="29" max="30" width="9.5546875" style="2" customWidth="1"/>
    <col min="31" max="31" width="10.6640625" style="2" customWidth="1"/>
    <col min="32" max="32" width="9.88671875" style="2" customWidth="1"/>
    <col min="33" max="33" width="12.5546875" style="2" customWidth="1"/>
    <col min="34" max="34" width="11.6640625" style="2" customWidth="1"/>
    <col min="35" max="35" width="11" style="2" customWidth="1"/>
    <col min="36" max="36" width="12.44140625" style="2" customWidth="1"/>
    <col min="37" max="38" width="14.33203125" style="2" customWidth="1"/>
    <col min="39" max="39" width="15.33203125" style="2" customWidth="1"/>
    <col min="40" max="40" width="15.6640625" style="2" customWidth="1"/>
    <col min="41" max="42" width="8.88671875" customWidth="1"/>
    <col min="43" max="45" width="9.109375" style="2"/>
    <col min="48" max="16384" width="9.109375" style="2"/>
  </cols>
  <sheetData>
    <row r="1" spans="1:42" ht="80.25" customHeight="1" x14ac:dyDescent="0.3">
      <c r="A1" s="74" t="s">
        <v>59</v>
      </c>
      <c r="B1" s="74" t="s">
        <v>57</v>
      </c>
      <c r="C1" s="74" t="s">
        <v>58</v>
      </c>
      <c r="D1" s="74" t="s">
        <v>194</v>
      </c>
      <c r="E1" s="3" t="s">
        <v>24</v>
      </c>
      <c r="F1" s="74" t="s">
        <v>63</v>
      </c>
      <c r="G1" s="3" t="s">
        <v>23</v>
      </c>
      <c r="H1" s="3" t="s">
        <v>3</v>
      </c>
      <c r="I1" s="3" t="s">
        <v>13</v>
      </c>
      <c r="J1" s="3" t="s">
        <v>14</v>
      </c>
      <c r="K1" s="3" t="s">
        <v>20</v>
      </c>
      <c r="L1" s="3" t="s">
        <v>19</v>
      </c>
      <c r="M1" s="3" t="s">
        <v>53</v>
      </c>
      <c r="N1" s="3" t="s">
        <v>54</v>
      </c>
      <c r="O1" s="3" t="s">
        <v>79</v>
      </c>
      <c r="P1" s="3" t="s">
        <v>81</v>
      </c>
      <c r="Q1" s="3" t="s">
        <v>82</v>
      </c>
      <c r="R1" s="3" t="s">
        <v>84</v>
      </c>
      <c r="S1" s="3" t="s">
        <v>85</v>
      </c>
      <c r="T1" s="3" t="s">
        <v>88</v>
      </c>
      <c r="U1" s="3" t="s">
        <v>91</v>
      </c>
      <c r="V1" s="3" t="s">
        <v>140</v>
      </c>
      <c r="W1" s="3" t="s">
        <v>103</v>
      </c>
      <c r="X1" s="3" t="s">
        <v>302</v>
      </c>
      <c r="Y1" s="191" t="s">
        <v>240</v>
      </c>
      <c r="Z1" s="191" t="s">
        <v>296</v>
      </c>
      <c r="AA1" s="191" t="s">
        <v>301</v>
      </c>
      <c r="AB1" s="3" t="s">
        <v>5</v>
      </c>
      <c r="AC1" s="3" t="s">
        <v>9</v>
      </c>
      <c r="AD1" s="3" t="s">
        <v>12</v>
      </c>
      <c r="AE1" s="3" t="s">
        <v>76</v>
      </c>
      <c r="AF1" s="3" t="s">
        <v>77</v>
      </c>
      <c r="AG1" s="3" t="s">
        <v>10</v>
      </c>
      <c r="AH1" s="3" t="s">
        <v>11</v>
      </c>
      <c r="AI1" s="3" t="s">
        <v>18</v>
      </c>
      <c r="AJ1" s="3" t="s">
        <v>15</v>
      </c>
      <c r="AK1" s="3" t="s">
        <v>17</v>
      </c>
      <c r="AL1" s="3" t="s">
        <v>78</v>
      </c>
      <c r="AM1" t="s">
        <v>50</v>
      </c>
      <c r="AN1" t="s">
        <v>75</v>
      </c>
      <c r="AO1" t="s">
        <v>80</v>
      </c>
      <c r="AP1" t="s">
        <v>90</v>
      </c>
    </row>
    <row r="2" spans="1:42" x14ac:dyDescent="0.3">
      <c r="A2" s="108" t="s">
        <v>55</v>
      </c>
      <c r="B2" s="123" t="s">
        <v>60</v>
      </c>
      <c r="C2" s="123">
        <v>1</v>
      </c>
      <c r="D2" s="123">
        <f>Table1123[[#This Row],[a (mm)]]/Table1123[[#This Row],[d (mm)]]</f>
        <v>2.2857142857142856</v>
      </c>
      <c r="E2" s="123">
        <v>126.76800000000001</v>
      </c>
      <c r="F2" s="124">
        <f>Table1123[[#This Row],[d (mm)]]</f>
        <v>666.75</v>
      </c>
      <c r="G2" s="123">
        <f t="shared" ref="G2:G33" si="0">E2*AB2</f>
        <v>193194.43200000003</v>
      </c>
      <c r="H2" s="123">
        <f t="shared" ref="H2:H33" si="1">G2/($AN$5*AK2*0.001)</f>
        <v>3.4812244165772048E-7</v>
      </c>
      <c r="I2" s="123">
        <f>G2/(Table1123[[#This Row],[b (mm)]]*AC2^2)</f>
        <v>7.6041788364755876E-4</v>
      </c>
      <c r="J2" s="123">
        <f t="shared" ref="J2:J33" si="2">G2/(AG2*AI2*AC2*0.001)</f>
        <v>0.21193363535327725</v>
      </c>
      <c r="K2" s="123">
        <f t="shared" ref="K2:K33" si="3">E2/($AN$4*AJ2*0.001)</f>
        <v>8.6226788800077114E-8</v>
      </c>
      <c r="L2" s="123">
        <f>E2/(Table1123[[#This Row],[b (mm)]]*AC2)</f>
        <v>3.3268282409580695E-4</v>
      </c>
      <c r="M2" s="123">
        <f>Table1123[[#This Row],[M (KN.mm)]]/(Table1123[[#This Row],[b (mm)]]*Table1123[[#This Row],[d (mm)]])</f>
        <v>0.50700862392200985</v>
      </c>
      <c r="N2" s="123">
        <f>Table1123[[#This Row],[M (KN.mm)]]/(Table1123[[#This Row],[b (mm)]]*Table1123[[#This Row],[h (mm)]])</f>
        <v>0.4436325459317586</v>
      </c>
      <c r="O2" s="123">
        <f>Table1123[[#This Row],[M (KN.mm)]]/(Table1123[[#This Row],[b (mm)]]*Table1123[[#This Row],[h (mm)]]*Table1123[[#This Row],[L(mm)]])</f>
        <v>8.9914276782650544E-5</v>
      </c>
      <c r="P2" s="123">
        <f>Table1123[[#This Row],[M (KN.mm)]]/(Table1123[[#This Row],[b (mm)]]*Table1123[[#This Row],[d (mm)]]*Table1123[[#This Row],[L(mm)]])</f>
        <v>1.0275917346588633E-4</v>
      </c>
      <c r="Q2" s="123">
        <f>Table1123[[#This Row],[M (KN.mm)]]/(Table1123[[#This Row],[b (mm)]]*Table1123[[#This Row],[h (mm)]]*Table1123[[#This Row],[L(mm)]]*Table1123[[#This Row],[fc (Mpa)]])</f>
        <v>3.6226541814121889E-6</v>
      </c>
      <c r="R2" s="123">
        <f>Table1123[[#This Row],[M (KN.mm)]]/(Table1123[[#This Row],[b (mm)]]*Table1123[[#This Row],[h (mm)]]*Table1123[[#This Row],[L(mm)]]/2)</f>
        <v>1.7982855356530109E-4</v>
      </c>
      <c r="S2" s="123">
        <f>Table1123[[#This Row],[M (KN.mm)]]/(Table1123[[#This Row],[a (mm)]]*Table1123[[#This Row],[b (mm)]]*Table1123[[#This Row],[h (mm)]]*Table1123[[#This Row],[L(mm)]]/2)</f>
        <v>1.1799773855990884E-7</v>
      </c>
      <c r="T2" s="123">
        <f>Table1123[[#This Row],[M (KN.mm)]]/(Table1123[[#This Row],[a (mm)]]^2*Table1123[[#This Row],[b (mm)]]*Table1123[[#This Row],[h (mm)]])</f>
        <v>1.9100883929385242E-7</v>
      </c>
      <c r="U2" s="123">
        <f>Table1123[[#This Row],[M (KN.mm)]]/(Table1123[[#This Row],[b (mm)]]*Table1123[[#This Row],[d (mm)]]*Table1123[[#This Row],[pho (%)]])</f>
        <v>0.73479510713334772</v>
      </c>
      <c r="V2" s="123">
        <f>E2*224.8/(2*SQRT(Table1123[[#This Row],[fc (Mpa)]]*145.037)*Table1123[[#This Row],[b (mm)]]*Table1123[[#This Row],[d (mm)]]*(1/25.4)^2)</f>
        <v>0.40209051758189951</v>
      </c>
      <c r="W2" s="123">
        <f>Table1123[[#This Row],[M (KN.mm)]]/$G$17</f>
        <v>0.43181818181818182</v>
      </c>
      <c r="X2" s="123">
        <f>Table1123[[#This Row],[V/(2*sqrt(fc) bd)]]</f>
        <v>0.40209051758189951</v>
      </c>
      <c r="Y2" s="123">
        <f>2*SQRT(Table1123[[#This Row],[fc (Mpa)]]*145.037)/Table1123[[#This Row],[pho (%)]]*Table1123[[#This Row],[a (mm)]]*1/(224.8*25.4^2)</f>
        <v>1.827437044654209</v>
      </c>
      <c r="Z2" s="123">
        <f>(2*SQRT(Table1123[[#This Row],[fc (Mpa)]]*145.037)*Table1123[[#This Row],[b (mm)]]*Table1123[[#This Row],[d (mm)]]*(1/25.4)^2)/224.8</f>
        <v>315.27229431412633</v>
      </c>
      <c r="AA2" s="123">
        <f>Table1123[[#This Row],[M (KN.mm)]]/(Table1123[[#This Row],[b (mm)]]*Table1123[[#This Row],[d (mm)]]^2*Table1123[[#This Row],[pho (%)]])</f>
        <v>1.102054903837042E-3</v>
      </c>
      <c r="AB2" s="123">
        <f>60*25.4</f>
        <v>1524</v>
      </c>
      <c r="AC2" s="123">
        <f>26.25*25.4</f>
        <v>666.75</v>
      </c>
      <c r="AD2" s="123">
        <f>30*25.4</f>
        <v>762</v>
      </c>
      <c r="AE2" s="103">
        <f t="shared" ref="AE2:AE17" si="4">22.5*25.4</f>
        <v>571.5</v>
      </c>
      <c r="AF2" s="103">
        <v>24.82</v>
      </c>
      <c r="AG2" s="123">
        <f>Table1123[[#This Row],[pho (%)]]/100*Table1123[[#This Row],[b (mm)]]*Table1123[[#This Row],[h (mm)]]</f>
        <v>3004.8326999999999</v>
      </c>
      <c r="AH2" s="125">
        <v>0.69</v>
      </c>
      <c r="AI2" s="123">
        <v>455</v>
      </c>
      <c r="AJ2" s="123">
        <f>(1/3-0.21*(MIN(Table1123[[#This Row],[b (mm)]],AD2)/MAX(Table1123[[#This Row],[b (mm)]],AD2))*(MIN(Table1123[[#This Row],[b (mm)]],AD2)^4/(12*MAX(Table1123[[#This Row],[b (mm)]],AD2)^4)))*MAX(Table1123[[#This Row],[b (mm)]],AD2)*MIN(Table1123[[#This Row],[b (mm)]],AD2)^3</f>
        <v>46820686568.646629</v>
      </c>
      <c r="AK2" s="123">
        <f>Table1123[[#This Row],[b (mm)]]*AD2^3/12</f>
        <v>21071715921</v>
      </c>
      <c r="AL2" s="123">
        <f>194.25*25.4</f>
        <v>4933.95</v>
      </c>
      <c r="AM2" s="106" t="s">
        <v>22</v>
      </c>
      <c r="AN2" s="107">
        <v>1250</v>
      </c>
    </row>
    <row r="3" spans="1:42" x14ac:dyDescent="0.3">
      <c r="A3" s="108" t="s">
        <v>55</v>
      </c>
      <c r="B3" s="123" t="s">
        <v>61</v>
      </c>
      <c r="C3" s="123">
        <v>2</v>
      </c>
      <c r="D3" s="123">
        <f>Table1123[[#This Row],[a (mm)]]/Table1123[[#This Row],[d (mm)]]</f>
        <v>2.2857142857142856</v>
      </c>
      <c r="E3" s="123">
        <v>171.24800000000002</v>
      </c>
      <c r="F3" s="124">
        <f>Table1123[[#This Row],[d (mm)]]</f>
        <v>666.75</v>
      </c>
      <c r="G3" s="123">
        <f t="shared" si="0"/>
        <v>260981.95200000002</v>
      </c>
      <c r="H3" s="123">
        <f t="shared" si="1"/>
        <v>4.7027066680078026E-7</v>
      </c>
      <c r="I3" s="123">
        <f>G3/(Table1123[[#This Row],[b (mm)]]*AC3^2)</f>
        <v>1.0272311761554741E-3</v>
      </c>
      <c r="J3" s="123">
        <f t="shared" si="2"/>
        <v>0.28629631442460257</v>
      </c>
      <c r="K3" s="123">
        <f t="shared" si="3"/>
        <v>1.1648180241413926E-7</v>
      </c>
      <c r="L3" s="123">
        <f>E3/(Table1123[[#This Row],[b (mm)]]*AC3)</f>
        <v>4.4941363956801992E-4</v>
      </c>
      <c r="M3" s="123">
        <f>Table1123[[#This Row],[M (KN.mm)]]/(Table1123[[#This Row],[b (mm)]]*Table1123[[#This Row],[d (mm)]])</f>
        <v>0.68490638670166237</v>
      </c>
      <c r="N3" s="123">
        <f>Table1123[[#This Row],[M (KN.mm)]]/(Table1123[[#This Row],[b (mm)]]*Table1123[[#This Row],[h (mm)]])</f>
        <v>0.59929308836395456</v>
      </c>
      <c r="O3" s="123">
        <f>Table1123[[#This Row],[M (KN.mm)]]/(Table1123[[#This Row],[b (mm)]]*Table1123[[#This Row],[h (mm)]]*Table1123[[#This Row],[L(mm)]])</f>
        <v>1.2146314582919457E-4</v>
      </c>
      <c r="P3" s="123">
        <f>Table1123[[#This Row],[M (KN.mm)]]/(Table1123[[#This Row],[b (mm)]]*Table1123[[#This Row],[d (mm)]]*Table1123[[#This Row],[L(mm)]])</f>
        <v>1.3881502380479381E-4</v>
      </c>
      <c r="Q3" s="123">
        <f>Table1123[[#This Row],[M (KN.mm)]]/(Table1123[[#This Row],[b (mm)]]*Table1123[[#This Row],[h (mm)]]*Table1123[[#This Row],[L(mm)]]*Table1123[[#This Row],[fc (Mpa)]])</f>
        <v>4.8937609117322547E-6</v>
      </c>
      <c r="R3" s="123">
        <f>Table1123[[#This Row],[M (KN.mm)]]/(Table1123[[#This Row],[b (mm)]]*Table1123[[#This Row],[h (mm)]]*Table1123[[#This Row],[L(mm)]]/2)</f>
        <v>2.4292629165838914E-4</v>
      </c>
      <c r="S3" s="123">
        <f>Table1123[[#This Row],[M (KN.mm)]]/(Table1123[[#This Row],[a (mm)]]*Table1123[[#This Row],[b (mm)]]*Table1123[[#This Row],[h (mm)]]*Table1123[[#This Row],[L(mm)]]/2)</f>
        <v>1.5940045384408738E-7</v>
      </c>
      <c r="T3" s="123">
        <f>Table1123[[#This Row],[M (KN.mm)]]/(Table1123[[#This Row],[a (mm)]]^2*Table1123[[#This Row],[b (mm)]]*Table1123[[#This Row],[h (mm)]])</f>
        <v>2.5802948466011641E-7</v>
      </c>
      <c r="U3" s="123">
        <f>Table1123[[#This Row],[M (KN.mm)]]/(Table1123[[#This Row],[b (mm)]]*Table1123[[#This Row],[d (mm)]]*Table1123[[#This Row],[pho (%)]])</f>
        <v>0.99261795174153977</v>
      </c>
      <c r="V3" s="123">
        <f>E3*224.8/(2*SQRT(Table1123[[#This Row],[fc (Mpa)]]*145.037)*Table1123[[#This Row],[b (mm)]]*Table1123[[#This Row],[d (mm)]]*(1/25.4)^2)</f>
        <v>0.54317490971589932</v>
      </c>
      <c r="W3" s="123">
        <f>Table1123[[#This Row],[M (KN.mm)]]/$G$17</f>
        <v>0.58333333333333337</v>
      </c>
      <c r="X3" s="123">
        <f>Table1123[[#This Row],[V/(2*sqrt(fc) bd)]]</f>
        <v>0.54317490971589932</v>
      </c>
      <c r="Y3" s="123">
        <f>2*SQRT(Table1123[[#This Row],[fc (Mpa)]]*145.037)/Table1123[[#This Row],[pho (%)]]*Table1123[[#This Row],[a (mm)]]*1/(224.8*25.4^2)</f>
        <v>1.827437044654209</v>
      </c>
      <c r="Z3" s="123">
        <f>(2*SQRT(Table1123[[#This Row],[fc (Mpa)]]*145.037)*Table1123[[#This Row],[b (mm)]]*Table1123[[#This Row],[d (mm)]]*(1/25.4)^2)/224.8</f>
        <v>315.27229431412633</v>
      </c>
      <c r="AA3" s="123">
        <f>Table1123[[#This Row],[M (KN.mm)]]/(Table1123[[#This Row],[b (mm)]]*Table1123[[#This Row],[d (mm)]]^2*Table1123[[#This Row],[pho (%)]])</f>
        <v>1.4887408350079336E-3</v>
      </c>
      <c r="AB3" s="123">
        <f t="shared" ref="AB3:AB17" si="5">60*25.4</f>
        <v>1524</v>
      </c>
      <c r="AC3" s="123">
        <f t="shared" ref="AC3:AC17" si="6">26.25*25.4</f>
        <v>666.75</v>
      </c>
      <c r="AD3" s="123">
        <f t="shared" ref="AD3:AD16" si="7">30*25.4</f>
        <v>762</v>
      </c>
      <c r="AE3" s="103">
        <f t="shared" si="4"/>
        <v>571.5</v>
      </c>
      <c r="AF3" s="103">
        <v>24.82</v>
      </c>
      <c r="AG3" s="123">
        <f>Table1123[[#This Row],[pho (%)]]/100*Table1123[[#This Row],[b (mm)]]*Table1123[[#This Row],[h (mm)]]</f>
        <v>3004.8326999999999</v>
      </c>
      <c r="AH3" s="125">
        <v>0.69</v>
      </c>
      <c r="AI3" s="123">
        <v>455</v>
      </c>
      <c r="AJ3" s="123">
        <f>(1/3-0.21*(MIN(Table1123[[#This Row],[b (mm)]],AD3)/MAX(Table1123[[#This Row],[b (mm)]],AD3))*(MIN(Table1123[[#This Row],[b (mm)]],AD3)^4/(12*MAX(Table1123[[#This Row],[b (mm)]],AD3)^4)))*MAX(Table1123[[#This Row],[b (mm)]],AD3)*MIN(Table1123[[#This Row],[b (mm)]],AD3)^3</f>
        <v>46820686568.646629</v>
      </c>
      <c r="AK3" s="123">
        <f>Table1123[[#This Row],[b (mm)]]*AD3^3/12</f>
        <v>21071715921</v>
      </c>
      <c r="AL3" s="123">
        <f t="shared" ref="AL3:AL10" si="8">194.25*25.4</f>
        <v>4933.95</v>
      </c>
      <c r="AM3" s="106" t="s">
        <v>6</v>
      </c>
      <c r="AN3" s="107">
        <v>200</v>
      </c>
    </row>
    <row r="4" spans="1:42" x14ac:dyDescent="0.3">
      <c r="A4" s="108" t="s">
        <v>55</v>
      </c>
      <c r="B4" s="123" t="s">
        <v>62</v>
      </c>
      <c r="C4" s="123">
        <v>3</v>
      </c>
      <c r="D4" s="123">
        <f>Table1123[[#This Row],[a (mm)]]/Table1123[[#This Row],[d (mm)]]</f>
        <v>2.2857142857142856</v>
      </c>
      <c r="E4" s="123">
        <v>211.28000000000003</v>
      </c>
      <c r="F4" s="124">
        <f>Table1123[[#This Row],[d (mm)]]</f>
        <v>666.75</v>
      </c>
      <c r="G4" s="123">
        <f t="shared" si="0"/>
        <v>321990.72000000003</v>
      </c>
      <c r="H4" s="123">
        <f t="shared" si="1"/>
        <v>5.8020406942953402E-7</v>
      </c>
      <c r="I4" s="123">
        <f>G4/(Table1123[[#This Row],[b (mm)]]*AC4^2)</f>
        <v>1.2673631394125979E-3</v>
      </c>
      <c r="J4" s="123">
        <f t="shared" si="2"/>
        <v>0.35322272558879542</v>
      </c>
      <c r="K4" s="123">
        <f t="shared" si="3"/>
        <v>1.437113146667952E-7</v>
      </c>
      <c r="L4" s="123">
        <f>E4/(Table1123[[#This Row],[b (mm)]]*AC4)</f>
        <v>5.5447137349301165E-4</v>
      </c>
      <c r="M4" s="123">
        <f>Table1123[[#This Row],[M (KN.mm)]]/(Table1123[[#This Row],[b (mm)]]*Table1123[[#This Row],[d (mm)]])</f>
        <v>0.84501437320334971</v>
      </c>
      <c r="N4" s="123">
        <f>Table1123[[#This Row],[M (KN.mm)]]/(Table1123[[#This Row],[b (mm)]]*Table1123[[#This Row],[h (mm)]])</f>
        <v>0.73938757655293097</v>
      </c>
      <c r="O4" s="123">
        <f>Table1123[[#This Row],[M (KN.mm)]]/(Table1123[[#This Row],[b (mm)]]*Table1123[[#This Row],[h (mm)]]*Table1123[[#This Row],[L(mm)]])</f>
        <v>1.4985712797108421E-4</v>
      </c>
      <c r="P4" s="123">
        <f>Table1123[[#This Row],[M (KN.mm)]]/(Table1123[[#This Row],[b (mm)]]*Table1123[[#This Row],[d (mm)]]*Table1123[[#This Row],[L(mm)]])</f>
        <v>1.7126528910981054E-4</v>
      </c>
      <c r="Q4" s="123">
        <f>Table1123[[#This Row],[M (KN.mm)]]/(Table1123[[#This Row],[b (mm)]]*Table1123[[#This Row],[h (mm)]]*Table1123[[#This Row],[L(mm)]]*Table1123[[#This Row],[fc (Mpa)]])</f>
        <v>6.0377569690203145E-6</v>
      </c>
      <c r="R4" s="123">
        <f>Table1123[[#This Row],[M (KN.mm)]]/(Table1123[[#This Row],[b (mm)]]*Table1123[[#This Row],[h (mm)]]*Table1123[[#This Row],[L(mm)]]/2)</f>
        <v>2.9971425594216842E-4</v>
      </c>
      <c r="S4" s="123">
        <f>Table1123[[#This Row],[M (KN.mm)]]/(Table1123[[#This Row],[a (mm)]]*Table1123[[#This Row],[b (mm)]]*Table1123[[#This Row],[h (mm)]]*Table1123[[#This Row],[L(mm)]]/2)</f>
        <v>1.9666289759984805E-7</v>
      </c>
      <c r="T4" s="123">
        <f>Table1123[[#This Row],[M (KN.mm)]]/(Table1123[[#This Row],[a (mm)]]^2*Table1123[[#This Row],[b (mm)]]*Table1123[[#This Row],[h (mm)]])</f>
        <v>3.1834806548975404E-7</v>
      </c>
      <c r="U4" s="123">
        <f>Table1123[[#This Row],[M (KN.mm)]]/(Table1123[[#This Row],[b (mm)]]*Table1123[[#This Row],[d (mm)]]*Table1123[[#This Row],[pho (%)]])</f>
        <v>1.2246585118889128</v>
      </c>
      <c r="V4" s="123">
        <f>E4*224.8/(2*SQRT(Table1123[[#This Row],[fc (Mpa)]]*145.037)*Table1123[[#This Row],[b (mm)]]*Table1123[[#This Row],[d (mm)]]*(1/25.4)^2)</f>
        <v>0.67015086263649914</v>
      </c>
      <c r="W4" s="123">
        <f>Table1123[[#This Row],[M (KN.mm)]]/$G$17</f>
        <v>0.71969696969696972</v>
      </c>
      <c r="X4" s="123">
        <f>Table1123[[#This Row],[V/(2*sqrt(fc) bd)]]</f>
        <v>0.67015086263649914</v>
      </c>
      <c r="Y4" s="123">
        <f>2*SQRT(Table1123[[#This Row],[fc (Mpa)]]*145.037)/Table1123[[#This Row],[pho (%)]]*Table1123[[#This Row],[a (mm)]]*1/(224.8*25.4^2)</f>
        <v>1.827437044654209</v>
      </c>
      <c r="Z4" s="123">
        <f>(2*SQRT(Table1123[[#This Row],[fc (Mpa)]]*145.037)*Table1123[[#This Row],[b (mm)]]*Table1123[[#This Row],[d (mm)]]*(1/25.4)^2)/224.8</f>
        <v>315.27229431412633</v>
      </c>
      <c r="AA4" s="123">
        <f>Table1123[[#This Row],[M (KN.mm)]]/(Table1123[[#This Row],[b (mm)]]*Table1123[[#This Row],[d (mm)]]^2*Table1123[[#This Row],[pho (%)]])</f>
        <v>1.8367581730617363E-3</v>
      </c>
      <c r="AB4" s="123">
        <f t="shared" si="5"/>
        <v>1524</v>
      </c>
      <c r="AC4" s="123">
        <f t="shared" si="6"/>
        <v>666.75</v>
      </c>
      <c r="AD4" s="123">
        <f t="shared" si="7"/>
        <v>762</v>
      </c>
      <c r="AE4" s="103">
        <f t="shared" si="4"/>
        <v>571.5</v>
      </c>
      <c r="AF4" s="103">
        <v>24.82</v>
      </c>
      <c r="AG4" s="123">
        <f>Table1123[[#This Row],[pho (%)]]/100*Table1123[[#This Row],[b (mm)]]*Table1123[[#This Row],[h (mm)]]</f>
        <v>3004.8326999999999</v>
      </c>
      <c r="AH4" s="125">
        <v>0.69</v>
      </c>
      <c r="AI4" s="123">
        <v>455</v>
      </c>
      <c r="AJ4" s="123">
        <f>(1/3-0.21*(MIN(Table1123[[#This Row],[b (mm)]],AD4)/MAX(Table1123[[#This Row],[b (mm)]],AD4))*(MIN(Table1123[[#This Row],[b (mm)]],AD4)^4/(12*MAX(Table1123[[#This Row],[b (mm)]],AD4)^4)))*MAX(Table1123[[#This Row],[b (mm)]],AD4)*MIN(Table1123[[#This Row],[b (mm)]],AD4)^3</f>
        <v>46820686568.646629</v>
      </c>
      <c r="AK4" s="123">
        <f>Table1123[[#This Row],[b (mm)]]*AD4^3/12</f>
        <v>21071715921</v>
      </c>
      <c r="AL4" s="123">
        <f t="shared" si="8"/>
        <v>4933.95</v>
      </c>
      <c r="AM4" s="106" t="s">
        <v>7</v>
      </c>
      <c r="AN4" s="107">
        <v>31.4</v>
      </c>
    </row>
    <row r="5" spans="1:42" x14ac:dyDescent="0.3">
      <c r="A5" s="108" t="s">
        <v>55</v>
      </c>
      <c r="B5" s="123" t="s">
        <v>63</v>
      </c>
      <c r="C5" s="123">
        <v>4</v>
      </c>
      <c r="D5" s="123">
        <f>Table1123[[#This Row],[a (mm)]]/Table1123[[#This Row],[d (mm)]]</f>
        <v>2.2857142857142856</v>
      </c>
      <c r="E5" s="123">
        <v>231.29600000000002</v>
      </c>
      <c r="F5" s="124">
        <f>Table1123[[#This Row],[d (mm)]]</f>
        <v>666.75</v>
      </c>
      <c r="G5" s="123">
        <f t="shared" si="0"/>
        <v>352495.10400000005</v>
      </c>
      <c r="H5" s="123">
        <f t="shared" si="1"/>
        <v>6.3517077074391106E-7</v>
      </c>
      <c r="I5" s="123">
        <f>G5/(Table1123[[#This Row],[b (mm)]]*AC5^2)</f>
        <v>1.3874291210411599E-3</v>
      </c>
      <c r="J5" s="123">
        <f t="shared" si="2"/>
        <v>0.38668593117089184</v>
      </c>
      <c r="K5" s="123">
        <f t="shared" si="3"/>
        <v>1.5732607079312314E-7</v>
      </c>
      <c r="L5" s="123">
        <f>E5/(Table1123[[#This Row],[b (mm)]]*AC5)</f>
        <v>6.070002404555074E-4</v>
      </c>
      <c r="M5" s="123">
        <f>Table1123[[#This Row],[M (KN.mm)]]/(Table1123[[#This Row],[b (mm)]]*Table1123[[#This Row],[d (mm)]])</f>
        <v>0.92506836645419332</v>
      </c>
      <c r="N5" s="123">
        <f>Table1123[[#This Row],[M (KN.mm)]]/(Table1123[[#This Row],[b (mm)]]*Table1123[[#This Row],[h (mm)]])</f>
        <v>0.80943482064741923</v>
      </c>
      <c r="O5" s="123">
        <f>Table1123[[#This Row],[M (KN.mm)]]/(Table1123[[#This Row],[b (mm)]]*Table1123[[#This Row],[h (mm)]]*Table1123[[#This Row],[L(mm)]])</f>
        <v>1.6405411904202904E-4</v>
      </c>
      <c r="P5" s="123">
        <f>Table1123[[#This Row],[M (KN.mm)]]/(Table1123[[#This Row],[b (mm)]]*Table1123[[#This Row],[d (mm)]]*Table1123[[#This Row],[L(mm)]])</f>
        <v>1.8749042176231893E-4</v>
      </c>
      <c r="Q5" s="123">
        <f>Table1123[[#This Row],[M (KN.mm)]]/(Table1123[[#This Row],[b (mm)]]*Table1123[[#This Row],[h (mm)]]*Table1123[[#This Row],[L(mm)]]*Table1123[[#This Row],[fc (Mpa)]])</f>
        <v>6.6097549976643448E-6</v>
      </c>
      <c r="R5" s="123">
        <f>Table1123[[#This Row],[M (KN.mm)]]/(Table1123[[#This Row],[b (mm)]]*Table1123[[#This Row],[h (mm)]]*Table1123[[#This Row],[L(mm)]]/2)</f>
        <v>3.2810823808405808E-4</v>
      </c>
      <c r="S5" s="123">
        <f>Table1123[[#This Row],[M (KN.mm)]]/(Table1123[[#This Row],[a (mm)]]*Table1123[[#This Row],[b (mm)]]*Table1123[[#This Row],[h (mm)]]*Table1123[[#This Row],[L(mm)]]/2)</f>
        <v>2.1529411947772841E-7</v>
      </c>
      <c r="T5" s="123">
        <f>Table1123[[#This Row],[M (KN.mm)]]/(Table1123[[#This Row],[a (mm)]]^2*Table1123[[#This Row],[b (mm)]]*Table1123[[#This Row],[h (mm)]])</f>
        <v>3.4850735590457282E-7</v>
      </c>
      <c r="U5" s="123">
        <f>Table1123[[#This Row],[M (KN.mm)]]/(Table1123[[#This Row],[b (mm)]]*Table1123[[#This Row],[d (mm)]]*Table1123[[#This Row],[pho (%)]])</f>
        <v>1.3406787919625993</v>
      </c>
      <c r="V5" s="123">
        <f>E5*224.8/(2*SQRT(Table1123[[#This Row],[fc (Mpa)]]*145.037)*Table1123[[#This Row],[b (mm)]]*Table1123[[#This Row],[d (mm)]]*(1/25.4)^2)</f>
        <v>0.73363883909679906</v>
      </c>
      <c r="W5" s="123">
        <f>Table1123[[#This Row],[M (KN.mm)]]/$G$17</f>
        <v>0.78787878787878796</v>
      </c>
      <c r="X5" s="123">
        <f>Table1123[[#This Row],[V/(2*sqrt(fc) bd)]]</f>
        <v>0.73363883909679906</v>
      </c>
      <c r="Y5" s="123">
        <f>2*SQRT(Table1123[[#This Row],[fc (Mpa)]]*145.037)/Table1123[[#This Row],[pho (%)]]*Table1123[[#This Row],[a (mm)]]*1/(224.8*25.4^2)</f>
        <v>1.827437044654209</v>
      </c>
      <c r="Z5" s="123">
        <f>(2*SQRT(Table1123[[#This Row],[fc (Mpa)]]*145.037)*Table1123[[#This Row],[b (mm)]]*Table1123[[#This Row],[d (mm)]]*(1/25.4)^2)/224.8</f>
        <v>315.27229431412633</v>
      </c>
      <c r="AA5" s="123">
        <f>Table1123[[#This Row],[M (KN.mm)]]/(Table1123[[#This Row],[b (mm)]]*Table1123[[#This Row],[d (mm)]]^2*Table1123[[#This Row],[pho (%)]])</f>
        <v>2.0107668420886377E-3</v>
      </c>
      <c r="AB5" s="123">
        <f t="shared" si="5"/>
        <v>1524</v>
      </c>
      <c r="AC5" s="123">
        <f t="shared" si="6"/>
        <v>666.75</v>
      </c>
      <c r="AD5" s="123">
        <f t="shared" si="7"/>
        <v>762</v>
      </c>
      <c r="AE5" s="103">
        <f t="shared" si="4"/>
        <v>571.5</v>
      </c>
      <c r="AF5" s="103">
        <v>24.82</v>
      </c>
      <c r="AG5" s="123">
        <f>Table1123[[#This Row],[pho (%)]]/100*Table1123[[#This Row],[b (mm)]]*Table1123[[#This Row],[h (mm)]]</f>
        <v>3004.8326999999999</v>
      </c>
      <c r="AH5" s="125">
        <v>0.69</v>
      </c>
      <c r="AI5" s="123">
        <v>455</v>
      </c>
      <c r="AJ5" s="123">
        <f>(1/3-0.21*(MIN(Table1123[[#This Row],[b (mm)]],AD5)/MAX(Table1123[[#This Row],[b (mm)]],AD5))*(MIN(Table1123[[#This Row],[b (mm)]],AD5)^4/(12*MAX(Table1123[[#This Row],[b (mm)]],AD5)^4)))*MAX(Table1123[[#This Row],[b (mm)]],AD5)*MIN(Table1123[[#This Row],[b (mm)]],AD5)^3</f>
        <v>46820686568.646629</v>
      </c>
      <c r="AK5" s="123">
        <f>Table1123[[#This Row],[b (mm)]]*AD5^3/12</f>
        <v>21071715921</v>
      </c>
      <c r="AL5" s="123">
        <f t="shared" si="8"/>
        <v>4933.95</v>
      </c>
      <c r="AM5" s="106" t="s">
        <v>8</v>
      </c>
      <c r="AN5" s="107">
        <f>4700*SQRT(AN4)</f>
        <v>26336.780365109171</v>
      </c>
    </row>
    <row r="6" spans="1:42" x14ac:dyDescent="0.3">
      <c r="A6" s="108" t="s">
        <v>55</v>
      </c>
      <c r="B6" s="123" t="s">
        <v>64</v>
      </c>
      <c r="C6" s="123">
        <v>5</v>
      </c>
      <c r="D6" s="123">
        <f>Table1123[[#This Row],[a (mm)]]/Table1123[[#This Row],[d (mm)]]</f>
        <v>2.2857142857142856</v>
      </c>
      <c r="E6" s="123">
        <v>253.53600000000003</v>
      </c>
      <c r="F6" s="124">
        <f>Table1123[[#This Row],[d (mm)]]</f>
        <v>666.75</v>
      </c>
      <c r="G6" s="123">
        <f t="shared" si="0"/>
        <v>386388.86400000006</v>
      </c>
      <c r="H6" s="123">
        <f t="shared" si="1"/>
        <v>6.9624488331544097E-7</v>
      </c>
      <c r="I6" s="123">
        <f>G6/(Table1123[[#This Row],[b (mm)]]*AC6^2)</f>
        <v>1.5208357672951175E-3</v>
      </c>
      <c r="J6" s="123">
        <f t="shared" si="2"/>
        <v>0.4238672707065545</v>
      </c>
      <c r="K6" s="123">
        <f t="shared" si="3"/>
        <v>1.7245357760015423E-7</v>
      </c>
      <c r="L6" s="123">
        <f>E6/(Table1123[[#This Row],[b (mm)]]*AC6)</f>
        <v>6.6536564819161389E-4</v>
      </c>
      <c r="M6" s="123">
        <f>Table1123[[#This Row],[M (KN.mm)]]/(Table1123[[#This Row],[b (mm)]]*Table1123[[#This Row],[d (mm)]])</f>
        <v>1.0140172478440197</v>
      </c>
      <c r="N6" s="123">
        <f>Table1123[[#This Row],[M (KN.mm)]]/(Table1123[[#This Row],[b (mm)]]*Table1123[[#This Row],[h (mm)]])</f>
        <v>0.88726509186351721</v>
      </c>
      <c r="O6" s="123">
        <f>Table1123[[#This Row],[M (KN.mm)]]/(Table1123[[#This Row],[b (mm)]]*Table1123[[#This Row],[h (mm)]]*Table1123[[#This Row],[L(mm)]])</f>
        <v>1.7982855356530109E-4</v>
      </c>
      <c r="P6" s="123">
        <f>Table1123[[#This Row],[M (KN.mm)]]/(Table1123[[#This Row],[b (mm)]]*Table1123[[#This Row],[d (mm)]]*Table1123[[#This Row],[L(mm)]])</f>
        <v>2.0551834693177266E-4</v>
      </c>
      <c r="Q6" s="123">
        <f>Table1123[[#This Row],[M (KN.mm)]]/(Table1123[[#This Row],[b (mm)]]*Table1123[[#This Row],[h (mm)]]*Table1123[[#This Row],[L(mm)]]*Table1123[[#This Row],[fc (Mpa)]])</f>
        <v>7.2453083628243777E-6</v>
      </c>
      <c r="R6" s="123">
        <f>Table1123[[#This Row],[M (KN.mm)]]/(Table1123[[#This Row],[b (mm)]]*Table1123[[#This Row],[h (mm)]]*Table1123[[#This Row],[L(mm)]]/2)</f>
        <v>3.5965710713060218E-4</v>
      </c>
      <c r="S6" s="123">
        <f>Table1123[[#This Row],[M (KN.mm)]]/(Table1123[[#This Row],[a (mm)]]*Table1123[[#This Row],[b (mm)]]*Table1123[[#This Row],[h (mm)]]*Table1123[[#This Row],[L(mm)]]/2)</f>
        <v>2.3599547711981768E-7</v>
      </c>
      <c r="T6" s="123">
        <f>Table1123[[#This Row],[M (KN.mm)]]/(Table1123[[#This Row],[a (mm)]]^2*Table1123[[#This Row],[b (mm)]]*Table1123[[#This Row],[h (mm)]])</f>
        <v>3.8201767858770483E-7</v>
      </c>
      <c r="U6" s="123">
        <f>Table1123[[#This Row],[M (KN.mm)]]/(Table1123[[#This Row],[b (mm)]]*Table1123[[#This Row],[d (mm)]]*Table1123[[#This Row],[pho (%)]])</f>
        <v>1.4695902142666954</v>
      </c>
      <c r="V6" s="123">
        <f>E6*224.8/(2*SQRT(Table1123[[#This Row],[fc (Mpa)]]*145.037)*Table1123[[#This Row],[b (mm)]]*Table1123[[#This Row],[d (mm)]]*(1/25.4)^2)</f>
        <v>0.80418103516379902</v>
      </c>
      <c r="W6" s="123">
        <f>Table1123[[#This Row],[M (KN.mm)]]/$G$17</f>
        <v>0.86363636363636365</v>
      </c>
      <c r="X6" s="123">
        <f>Table1123[[#This Row],[V/(2*sqrt(fc) bd)]]</f>
        <v>0.80418103516379902</v>
      </c>
      <c r="Y6" s="123">
        <f>2*SQRT(Table1123[[#This Row],[fc (Mpa)]]*145.037)/Table1123[[#This Row],[pho (%)]]*Table1123[[#This Row],[a (mm)]]*1/(224.8*25.4^2)</f>
        <v>1.827437044654209</v>
      </c>
      <c r="Z6" s="123">
        <f>(2*SQRT(Table1123[[#This Row],[fc (Mpa)]]*145.037)*Table1123[[#This Row],[b (mm)]]*Table1123[[#This Row],[d (mm)]]*(1/25.4)^2)/224.8</f>
        <v>315.27229431412633</v>
      </c>
      <c r="AA6" s="123">
        <f>Table1123[[#This Row],[M (KN.mm)]]/(Table1123[[#This Row],[b (mm)]]*Table1123[[#This Row],[d (mm)]]^2*Table1123[[#This Row],[pho (%)]])</f>
        <v>2.204109807674084E-3</v>
      </c>
      <c r="AB6" s="123">
        <f t="shared" si="5"/>
        <v>1524</v>
      </c>
      <c r="AC6" s="123">
        <f t="shared" si="6"/>
        <v>666.75</v>
      </c>
      <c r="AD6" s="123">
        <f t="shared" si="7"/>
        <v>762</v>
      </c>
      <c r="AE6" s="103">
        <f t="shared" si="4"/>
        <v>571.5</v>
      </c>
      <c r="AF6" s="103">
        <v>24.82</v>
      </c>
      <c r="AG6" s="123">
        <f>Table1123[[#This Row],[pho (%)]]/100*Table1123[[#This Row],[b (mm)]]*Table1123[[#This Row],[h (mm)]]</f>
        <v>3004.8326999999999</v>
      </c>
      <c r="AH6" s="125">
        <v>0.69</v>
      </c>
      <c r="AI6" s="123">
        <v>455</v>
      </c>
      <c r="AJ6" s="123">
        <f>(1/3-0.21*(MIN(Table1123[[#This Row],[b (mm)]],AD6)/MAX(Table1123[[#This Row],[b (mm)]],AD6))*(MIN(Table1123[[#This Row],[b (mm)]],AD6)^4/(12*MAX(Table1123[[#This Row],[b (mm)]],AD6)^4)))*MAX(Table1123[[#This Row],[b (mm)]],AD6)*MIN(Table1123[[#This Row],[b (mm)]],AD6)^3</f>
        <v>46820686568.646629</v>
      </c>
      <c r="AK6" s="123">
        <f>Table1123[[#This Row],[b (mm)]]*AD6^3/12</f>
        <v>21071715921</v>
      </c>
      <c r="AL6" s="123">
        <f t="shared" si="8"/>
        <v>4933.95</v>
      </c>
      <c r="AM6" s="106" t="s">
        <v>16</v>
      </c>
      <c r="AN6" s="107">
        <f>AN5/(2*(1+0.15))</f>
        <v>11450.774071786596</v>
      </c>
    </row>
    <row r="7" spans="1:42" x14ac:dyDescent="0.3">
      <c r="A7" s="108" t="s">
        <v>55</v>
      </c>
      <c r="B7" s="123" t="s">
        <v>65</v>
      </c>
      <c r="C7" s="123">
        <v>6</v>
      </c>
      <c r="D7" s="123">
        <f>Table1123[[#This Row],[a (mm)]]/Table1123[[#This Row],[d (mm)]]</f>
        <v>2.2857142857142856</v>
      </c>
      <c r="E7" s="123">
        <v>275.77600000000001</v>
      </c>
      <c r="F7" s="124">
        <f>Table1123[[#This Row],[d (mm)]]</f>
        <v>666.75</v>
      </c>
      <c r="G7" s="123">
        <f t="shared" si="0"/>
        <v>420282.62400000001</v>
      </c>
      <c r="H7" s="123">
        <f t="shared" si="1"/>
        <v>7.5731899588697078E-7</v>
      </c>
      <c r="I7" s="123">
        <f>G7/(Table1123[[#This Row],[b (mm)]]*AC7^2)</f>
        <v>1.654242413549075E-3</v>
      </c>
      <c r="J7" s="123">
        <f t="shared" si="2"/>
        <v>0.46104861024221711</v>
      </c>
      <c r="K7" s="123">
        <f t="shared" si="3"/>
        <v>1.8758108440718529E-7</v>
      </c>
      <c r="L7" s="123">
        <f>E7/(Table1123[[#This Row],[b (mm)]]*AC7)</f>
        <v>7.2373105592772038E-4</v>
      </c>
      <c r="M7" s="123">
        <f>Table1123[[#This Row],[M (KN.mm)]]/(Table1123[[#This Row],[b (mm)]]*Table1123[[#This Row],[d (mm)]])</f>
        <v>1.1029661292338457</v>
      </c>
      <c r="N7" s="123">
        <f>Table1123[[#This Row],[M (KN.mm)]]/(Table1123[[#This Row],[b (mm)]]*Table1123[[#This Row],[h (mm)]])</f>
        <v>0.96509536307961508</v>
      </c>
      <c r="O7" s="123">
        <f>Table1123[[#This Row],[M (KN.mm)]]/(Table1123[[#This Row],[b (mm)]]*Table1123[[#This Row],[h (mm)]]*Table1123[[#This Row],[L(mm)]])</f>
        <v>1.9560298808857308E-4</v>
      </c>
      <c r="P7" s="123">
        <f>Table1123[[#This Row],[M (KN.mm)]]/(Table1123[[#This Row],[b (mm)]]*Table1123[[#This Row],[d (mm)]]*Table1123[[#This Row],[L(mm)]])</f>
        <v>2.2354627210122637E-4</v>
      </c>
      <c r="Q7" s="123">
        <f>Table1123[[#This Row],[M (KN.mm)]]/(Table1123[[#This Row],[b (mm)]]*Table1123[[#This Row],[h (mm)]]*Table1123[[#This Row],[L(mm)]]*Table1123[[#This Row],[fc (Mpa)]])</f>
        <v>7.8808617279844107E-6</v>
      </c>
      <c r="R7" s="123">
        <f>Table1123[[#This Row],[M (KN.mm)]]/(Table1123[[#This Row],[b (mm)]]*Table1123[[#This Row],[h (mm)]]*Table1123[[#This Row],[L(mm)]]/2)</f>
        <v>3.9120597617714616E-4</v>
      </c>
      <c r="S7" s="123">
        <f>Table1123[[#This Row],[M (KN.mm)]]/(Table1123[[#This Row],[a (mm)]]*Table1123[[#This Row],[b (mm)]]*Table1123[[#This Row],[h (mm)]]*Table1123[[#This Row],[L(mm)]]/2)</f>
        <v>2.566968347619069E-7</v>
      </c>
      <c r="T7" s="123">
        <f>Table1123[[#This Row],[M (KN.mm)]]/(Table1123[[#This Row],[a (mm)]]^2*Table1123[[#This Row],[b (mm)]]*Table1123[[#This Row],[h (mm)]])</f>
        <v>4.1552800127083679E-7</v>
      </c>
      <c r="U7" s="123">
        <f>Table1123[[#This Row],[M (KN.mm)]]/(Table1123[[#This Row],[b (mm)]]*Table1123[[#This Row],[d (mm)]]*Table1123[[#This Row],[pho (%)]])</f>
        <v>1.5985016365707914</v>
      </c>
      <c r="V7" s="123">
        <f>E7*224.8/(2*SQRT(Table1123[[#This Row],[fc (Mpa)]]*145.037)*Table1123[[#This Row],[b (mm)]]*Table1123[[#This Row],[d (mm)]]*(1/25.4)^2)</f>
        <v>0.87472323123079887</v>
      </c>
      <c r="W7" s="123">
        <f>Table1123[[#This Row],[M (KN.mm)]]/$G$17</f>
        <v>0.93939393939393934</v>
      </c>
      <c r="X7" s="123">
        <f>Table1123[[#This Row],[V/(2*sqrt(fc) bd)]]</f>
        <v>0.87472323123079887</v>
      </c>
      <c r="Y7" s="123">
        <f>2*SQRT(Table1123[[#This Row],[fc (Mpa)]]*145.037)/Table1123[[#This Row],[pho (%)]]*Table1123[[#This Row],[a (mm)]]*1/(224.8*25.4^2)</f>
        <v>1.827437044654209</v>
      </c>
      <c r="Z7" s="123">
        <f>(2*SQRT(Table1123[[#This Row],[fc (Mpa)]]*145.037)*Table1123[[#This Row],[b (mm)]]*Table1123[[#This Row],[d (mm)]]*(1/25.4)^2)/224.8</f>
        <v>315.27229431412633</v>
      </c>
      <c r="AA7" s="123">
        <f>Table1123[[#This Row],[M (KN.mm)]]/(Table1123[[#This Row],[b (mm)]]*Table1123[[#This Row],[d (mm)]]^2*Table1123[[#This Row],[pho (%)]])</f>
        <v>2.3974527732595293E-3</v>
      </c>
      <c r="AB7" s="123">
        <f t="shared" si="5"/>
        <v>1524</v>
      </c>
      <c r="AC7" s="123">
        <f t="shared" si="6"/>
        <v>666.75</v>
      </c>
      <c r="AD7" s="123">
        <f t="shared" si="7"/>
        <v>762</v>
      </c>
      <c r="AE7" s="103">
        <f t="shared" si="4"/>
        <v>571.5</v>
      </c>
      <c r="AF7" s="103">
        <v>24.82</v>
      </c>
      <c r="AG7" s="123">
        <f>Table1123[[#This Row],[pho (%)]]/100*Table1123[[#This Row],[b (mm)]]*Table1123[[#This Row],[h (mm)]]</f>
        <v>3004.8326999999999</v>
      </c>
      <c r="AH7" s="125">
        <v>0.69</v>
      </c>
      <c r="AI7" s="123">
        <v>455</v>
      </c>
      <c r="AJ7" s="123">
        <f>(1/3-0.21*(MIN(Table1123[[#This Row],[b (mm)]],AD7)/MAX(Table1123[[#This Row],[b (mm)]],AD7))*(MIN(Table1123[[#This Row],[b (mm)]],AD7)^4/(12*MAX(Table1123[[#This Row],[b (mm)]],AD7)^4)))*MAX(Table1123[[#This Row],[b (mm)]],AD7)*MIN(Table1123[[#This Row],[b (mm)]],AD7)^3</f>
        <v>46820686568.646629</v>
      </c>
      <c r="AK7" s="123">
        <f>Table1123[[#This Row],[b (mm)]]*AD7^3/12</f>
        <v>21071715921</v>
      </c>
      <c r="AL7" s="123">
        <f t="shared" si="8"/>
        <v>4933.95</v>
      </c>
      <c r="AM7" s="106"/>
      <c r="AN7" s="107"/>
    </row>
    <row r="8" spans="1:42" x14ac:dyDescent="0.3">
      <c r="A8" s="108" t="s">
        <v>55</v>
      </c>
      <c r="B8" s="123" t="s">
        <v>66</v>
      </c>
      <c r="C8" s="123">
        <v>7</v>
      </c>
      <c r="D8" s="123">
        <f>Table1123[[#This Row],[a (mm)]]/Table1123[[#This Row],[d (mm)]]</f>
        <v>2.2857142857142856</v>
      </c>
      <c r="E8" s="123">
        <v>298.01600000000002</v>
      </c>
      <c r="F8" s="124">
        <f>Table1123[[#This Row],[d (mm)]]</f>
        <v>666.75</v>
      </c>
      <c r="G8" s="123">
        <f t="shared" si="0"/>
        <v>454176.38400000002</v>
      </c>
      <c r="H8" s="123">
        <f t="shared" si="1"/>
        <v>8.1839310845850069E-7</v>
      </c>
      <c r="I8" s="123">
        <f>G8/(Table1123[[#This Row],[b (mm)]]*AC8^2)</f>
        <v>1.7876490598030328E-3</v>
      </c>
      <c r="J8" s="123">
        <f t="shared" si="2"/>
        <v>0.49822994977787982</v>
      </c>
      <c r="K8" s="123">
        <f t="shared" si="3"/>
        <v>2.0270859121421634E-7</v>
      </c>
      <c r="L8" s="123">
        <f>E8/(Table1123[[#This Row],[b (mm)]]*AC8)</f>
        <v>7.8209646366382687E-4</v>
      </c>
      <c r="M8" s="123">
        <f>Table1123[[#This Row],[M (KN.mm)]]/(Table1123[[#This Row],[b (mm)]]*Table1123[[#This Row],[d (mm)]])</f>
        <v>1.191915010623672</v>
      </c>
      <c r="N8" s="123">
        <f>Table1123[[#This Row],[M (KN.mm)]]/(Table1123[[#This Row],[b (mm)]]*Table1123[[#This Row],[h (mm)]])</f>
        <v>1.0429256342957132</v>
      </c>
      <c r="O8" s="123">
        <f>Table1123[[#This Row],[M (KN.mm)]]/(Table1123[[#This Row],[b (mm)]]*Table1123[[#This Row],[h (mm)]]*Table1123[[#This Row],[L(mm)]])</f>
        <v>2.113774226118451E-4</v>
      </c>
      <c r="P8" s="123">
        <f>Table1123[[#This Row],[M (KN.mm)]]/(Table1123[[#This Row],[b (mm)]]*Table1123[[#This Row],[d (mm)]]*Table1123[[#This Row],[L(mm)]])</f>
        <v>2.4157419727068011E-4</v>
      </c>
      <c r="Q8" s="123">
        <f>Table1123[[#This Row],[M (KN.mm)]]/(Table1123[[#This Row],[b (mm)]]*Table1123[[#This Row],[h (mm)]]*Table1123[[#This Row],[L(mm)]]*Table1123[[#This Row],[fc (Mpa)]])</f>
        <v>8.5164150931444436E-6</v>
      </c>
      <c r="R8" s="123">
        <f>Table1123[[#This Row],[M (KN.mm)]]/(Table1123[[#This Row],[b (mm)]]*Table1123[[#This Row],[h (mm)]]*Table1123[[#This Row],[L(mm)]]/2)</f>
        <v>4.227548452236902E-4</v>
      </c>
      <c r="S8" s="123">
        <f>Table1123[[#This Row],[M (KN.mm)]]/(Table1123[[#This Row],[a (mm)]]*Table1123[[#This Row],[b (mm)]]*Table1123[[#This Row],[h (mm)]]*Table1123[[#This Row],[L(mm)]]/2)</f>
        <v>2.7739819240399616E-7</v>
      </c>
      <c r="T8" s="123">
        <f>Table1123[[#This Row],[M (KN.mm)]]/(Table1123[[#This Row],[a (mm)]]^2*Table1123[[#This Row],[b (mm)]]*Table1123[[#This Row],[h (mm)]])</f>
        <v>4.490383239539688E-7</v>
      </c>
      <c r="U8" s="123">
        <f>Table1123[[#This Row],[M (KN.mm)]]/(Table1123[[#This Row],[b (mm)]]*Table1123[[#This Row],[d (mm)]]*Table1123[[#This Row],[pho (%)]])</f>
        <v>1.7274130588748873</v>
      </c>
      <c r="V8" s="123">
        <f>E8*224.8/(2*SQRT(Table1123[[#This Row],[fc (Mpa)]]*145.037)*Table1123[[#This Row],[b (mm)]]*Table1123[[#This Row],[d (mm)]]*(1/25.4)^2)</f>
        <v>0.94526542729779883</v>
      </c>
      <c r="W8" s="123">
        <f>Table1123[[#This Row],[M (KN.mm)]]/$G$17</f>
        <v>1.0151515151515151</v>
      </c>
      <c r="X8" s="123">
        <f>Table1123[[#This Row],[V/(2*sqrt(fc) bd)]]</f>
        <v>0.94526542729779883</v>
      </c>
      <c r="Y8" s="123">
        <f>2*SQRT(Table1123[[#This Row],[fc (Mpa)]]*145.037)/Table1123[[#This Row],[pho (%)]]*Table1123[[#This Row],[a (mm)]]*1/(224.8*25.4^2)</f>
        <v>1.827437044654209</v>
      </c>
      <c r="Z8" s="123">
        <f>(2*SQRT(Table1123[[#This Row],[fc (Mpa)]]*145.037)*Table1123[[#This Row],[b (mm)]]*Table1123[[#This Row],[d (mm)]]*(1/25.4)^2)/224.8</f>
        <v>315.27229431412633</v>
      </c>
      <c r="AA8" s="123">
        <f>Table1123[[#This Row],[M (KN.mm)]]/(Table1123[[#This Row],[b (mm)]]*Table1123[[#This Row],[d (mm)]]^2*Table1123[[#This Row],[pho (%)]])</f>
        <v>2.5907957388449756E-3</v>
      </c>
      <c r="AB8" s="123">
        <f t="shared" si="5"/>
        <v>1524</v>
      </c>
      <c r="AC8" s="123">
        <f t="shared" si="6"/>
        <v>666.75</v>
      </c>
      <c r="AD8" s="123">
        <f t="shared" si="7"/>
        <v>762</v>
      </c>
      <c r="AE8" s="103">
        <f t="shared" si="4"/>
        <v>571.5</v>
      </c>
      <c r="AF8" s="103">
        <v>24.82</v>
      </c>
      <c r="AG8" s="123">
        <f>Table1123[[#This Row],[pho (%)]]/100*Table1123[[#This Row],[b (mm)]]*Table1123[[#This Row],[h (mm)]]</f>
        <v>3004.8326999999999</v>
      </c>
      <c r="AH8" s="125">
        <v>0.69</v>
      </c>
      <c r="AI8" s="123">
        <v>455</v>
      </c>
      <c r="AJ8" s="123">
        <f>(1/3-0.21*(MIN(Table1123[[#This Row],[b (mm)]],AD8)/MAX(Table1123[[#This Row],[b (mm)]],AD8))*(MIN(Table1123[[#This Row],[b (mm)]],AD8)^4/(12*MAX(Table1123[[#This Row],[b (mm)]],AD8)^4)))*MAX(Table1123[[#This Row],[b (mm)]],AD8)*MIN(Table1123[[#This Row],[b (mm)]],AD8)^3</f>
        <v>46820686568.646629</v>
      </c>
      <c r="AK8" s="123">
        <f>Table1123[[#This Row],[b (mm)]]*AD8^3/12</f>
        <v>21071715921</v>
      </c>
      <c r="AL8" s="123">
        <f t="shared" si="8"/>
        <v>4933.95</v>
      </c>
      <c r="AM8" s="106"/>
      <c r="AN8" s="107"/>
    </row>
    <row r="9" spans="1:42" x14ac:dyDescent="0.3">
      <c r="A9" s="108" t="s">
        <v>55</v>
      </c>
      <c r="B9" s="123" t="s">
        <v>67</v>
      </c>
      <c r="C9" s="123">
        <v>8</v>
      </c>
      <c r="D9" s="123">
        <f>Table1123[[#This Row],[a (mm)]]/Table1123[[#This Row],[d (mm)]]</f>
        <v>2.2857142857142856</v>
      </c>
      <c r="E9" s="123">
        <v>309.13600000000002</v>
      </c>
      <c r="F9" s="124">
        <f>Table1123[[#This Row],[d (mm)]]</f>
        <v>666.75</v>
      </c>
      <c r="G9" s="123">
        <f t="shared" si="0"/>
        <v>471123.26400000002</v>
      </c>
      <c r="H9" s="123">
        <f t="shared" si="1"/>
        <v>8.4893016474426559E-7</v>
      </c>
      <c r="I9" s="123">
        <f>G9/(Table1123[[#This Row],[b (mm)]]*AC9^2)</f>
        <v>1.8543523829300116E-3</v>
      </c>
      <c r="J9" s="123">
        <f t="shared" si="2"/>
        <v>0.51682061954571112</v>
      </c>
      <c r="K9" s="123">
        <f t="shared" si="3"/>
        <v>2.1027234461773189E-7</v>
      </c>
      <c r="L9" s="123">
        <f>E9/(Table1123[[#This Row],[b (mm)]]*AC9)</f>
        <v>8.1127916753188012E-4</v>
      </c>
      <c r="M9" s="123">
        <f>Table1123[[#This Row],[M (KN.mm)]]/(Table1123[[#This Row],[b (mm)]]*Table1123[[#This Row],[d (mm)]])</f>
        <v>1.2363894513185851</v>
      </c>
      <c r="N9" s="123">
        <f>Table1123[[#This Row],[M (KN.mm)]]/(Table1123[[#This Row],[b (mm)]]*Table1123[[#This Row],[h (mm)]])</f>
        <v>1.081840769903762</v>
      </c>
      <c r="O9" s="123">
        <f>Table1123[[#This Row],[M (KN.mm)]]/(Table1123[[#This Row],[b (mm)]]*Table1123[[#This Row],[h (mm)]]*Table1123[[#This Row],[L(mm)]])</f>
        <v>2.1926463987348113E-4</v>
      </c>
      <c r="P9" s="123">
        <f>Table1123[[#This Row],[M (KN.mm)]]/(Table1123[[#This Row],[b (mm)]]*Table1123[[#This Row],[d (mm)]]*Table1123[[#This Row],[L(mm)]])</f>
        <v>2.5058815985540701E-4</v>
      </c>
      <c r="Q9" s="123">
        <f>Table1123[[#This Row],[M (KN.mm)]]/(Table1123[[#This Row],[b (mm)]]*Table1123[[#This Row],[h (mm)]]*Table1123[[#This Row],[L(mm)]]*Table1123[[#This Row],[fc (Mpa)]])</f>
        <v>8.83419177572446E-6</v>
      </c>
      <c r="R9" s="123">
        <f>Table1123[[#This Row],[M (KN.mm)]]/(Table1123[[#This Row],[b (mm)]]*Table1123[[#This Row],[h (mm)]]*Table1123[[#This Row],[L(mm)]]/2)</f>
        <v>4.3852927974696225E-4</v>
      </c>
      <c r="S9" s="123">
        <f>Table1123[[#This Row],[M (KN.mm)]]/(Table1123[[#This Row],[a (mm)]]*Table1123[[#This Row],[b (mm)]]*Table1123[[#This Row],[h (mm)]]*Table1123[[#This Row],[L(mm)]]/2)</f>
        <v>2.8774887122504083E-7</v>
      </c>
      <c r="T9" s="123">
        <f>Table1123[[#This Row],[M (KN.mm)]]/(Table1123[[#This Row],[a (mm)]]^2*Table1123[[#This Row],[b (mm)]]*Table1123[[#This Row],[h (mm)]])</f>
        <v>4.657934852955348E-7</v>
      </c>
      <c r="U9" s="123">
        <f>Table1123[[#This Row],[M (KN.mm)]]/(Table1123[[#This Row],[b (mm)]]*Table1123[[#This Row],[d (mm)]]*Table1123[[#This Row],[pho (%)]])</f>
        <v>1.7918687700269353</v>
      </c>
      <c r="V9" s="123">
        <f>E9*224.8/(2*SQRT(Table1123[[#This Row],[fc (Mpa)]]*145.037)*Table1123[[#This Row],[b (mm)]]*Table1123[[#This Row],[d (mm)]]*(1/25.4)^2)</f>
        <v>0.98053652533129876</v>
      </c>
      <c r="W9" s="123">
        <f>Table1123[[#This Row],[M (KN.mm)]]/$G$17</f>
        <v>1.053030303030303</v>
      </c>
      <c r="X9" s="123">
        <f>Table1123[[#This Row],[V/(2*sqrt(fc) bd)]]</f>
        <v>0.98053652533129876</v>
      </c>
      <c r="Y9" s="123">
        <f>2*SQRT(Table1123[[#This Row],[fc (Mpa)]]*145.037)/Table1123[[#This Row],[pho (%)]]*Table1123[[#This Row],[a (mm)]]*1/(224.8*25.4^2)</f>
        <v>1.827437044654209</v>
      </c>
      <c r="Z9" s="123">
        <f>(2*SQRT(Table1123[[#This Row],[fc (Mpa)]]*145.037)*Table1123[[#This Row],[b (mm)]]*Table1123[[#This Row],[d (mm)]]*(1/25.4)^2)/224.8</f>
        <v>315.27229431412633</v>
      </c>
      <c r="AA9" s="123">
        <f>Table1123[[#This Row],[M (KN.mm)]]/(Table1123[[#This Row],[b (mm)]]*Table1123[[#This Row],[d (mm)]]^2*Table1123[[#This Row],[pho (%)]])</f>
        <v>2.6874672216376985E-3</v>
      </c>
      <c r="AB9" s="123">
        <f t="shared" si="5"/>
        <v>1524</v>
      </c>
      <c r="AC9" s="123">
        <f t="shared" si="6"/>
        <v>666.75</v>
      </c>
      <c r="AD9" s="123">
        <f t="shared" si="7"/>
        <v>762</v>
      </c>
      <c r="AE9" s="103">
        <f t="shared" si="4"/>
        <v>571.5</v>
      </c>
      <c r="AF9" s="103">
        <v>24.82</v>
      </c>
      <c r="AG9" s="123">
        <f>Table1123[[#This Row],[pho (%)]]/100*Table1123[[#This Row],[b (mm)]]*Table1123[[#This Row],[h (mm)]]</f>
        <v>3004.8326999999999</v>
      </c>
      <c r="AH9" s="125">
        <v>0.69</v>
      </c>
      <c r="AI9" s="123">
        <v>455</v>
      </c>
      <c r="AJ9" s="123">
        <f>(1/3-0.21*(MIN(Table1123[[#This Row],[b (mm)]],AD9)/MAX(Table1123[[#This Row],[b (mm)]],AD9))*(MIN(Table1123[[#This Row],[b (mm)]],AD9)^4/(12*MAX(Table1123[[#This Row],[b (mm)]],AD9)^4)))*MAX(Table1123[[#This Row],[b (mm)]],AD9)*MIN(Table1123[[#This Row],[b (mm)]],AD9)^3</f>
        <v>46820686568.646629</v>
      </c>
      <c r="AK9" s="123">
        <f>Table1123[[#This Row],[b (mm)]]*AD9^3/12</f>
        <v>21071715921</v>
      </c>
      <c r="AL9" s="123">
        <f t="shared" si="8"/>
        <v>4933.95</v>
      </c>
      <c r="AM9" s="106"/>
      <c r="AN9" s="107"/>
    </row>
    <row r="10" spans="1:42" x14ac:dyDescent="0.3">
      <c r="A10" s="112" t="s">
        <v>55</v>
      </c>
      <c r="B10" s="123" t="s">
        <v>68</v>
      </c>
      <c r="C10" s="123">
        <v>9</v>
      </c>
      <c r="D10" s="123">
        <f>Table1123[[#This Row],[a (mm)]]/Table1123[[#This Row],[d (mm)]]</f>
        <v>2.2857142857142856</v>
      </c>
      <c r="E10" s="123">
        <v>324.70400000000001</v>
      </c>
      <c r="F10" s="124">
        <f>Table1123[[#This Row],[d (mm)]]</f>
        <v>666.75</v>
      </c>
      <c r="G10" s="123">
        <f t="shared" si="0"/>
        <v>494848.89600000001</v>
      </c>
      <c r="H10" s="123">
        <f t="shared" si="1"/>
        <v>8.9168204354433646E-7</v>
      </c>
      <c r="I10" s="123">
        <f>G10/(Table1123[[#This Row],[b (mm)]]*AC10^2)</f>
        <v>1.9477370353077818E-3</v>
      </c>
      <c r="J10" s="123">
        <f t="shared" si="2"/>
        <v>0.54284755722067501</v>
      </c>
      <c r="K10" s="123">
        <f t="shared" si="3"/>
        <v>2.2086159938265363E-7</v>
      </c>
      <c r="L10" s="123">
        <f>E10/(Table1123[[#This Row],[b (mm)]]*AC10)</f>
        <v>8.5213495294715461E-4</v>
      </c>
      <c r="M10" s="123">
        <f>Table1123[[#This Row],[M (KN.mm)]]/(Table1123[[#This Row],[b (mm)]]*Table1123[[#This Row],[d (mm)]])</f>
        <v>1.2986536682914636</v>
      </c>
      <c r="N10" s="123">
        <f>Table1123[[#This Row],[M (KN.mm)]]/(Table1123[[#This Row],[b (mm)]]*Table1123[[#This Row],[h (mm)]])</f>
        <v>1.1363219597550307</v>
      </c>
      <c r="O10" s="123">
        <f>Table1123[[#This Row],[M (KN.mm)]]/(Table1123[[#This Row],[b (mm)]]*Table1123[[#This Row],[h (mm)]]*Table1123[[#This Row],[L(mm)]])</f>
        <v>2.3030674403977153E-4</v>
      </c>
      <c r="P10" s="123">
        <f>Table1123[[#This Row],[M (KN.mm)]]/(Table1123[[#This Row],[b (mm)]]*Table1123[[#This Row],[d (mm)]]*Table1123[[#This Row],[L(mm)]])</f>
        <v>2.6320770747402462E-4</v>
      </c>
      <c r="Q10" s="123">
        <f>Table1123[[#This Row],[M (KN.mm)]]/(Table1123[[#This Row],[b (mm)]]*Table1123[[#This Row],[h (mm)]]*Table1123[[#This Row],[L(mm)]]*Table1123[[#This Row],[fc (Mpa)]])</f>
        <v>9.2790791313364834E-6</v>
      </c>
      <c r="R10" s="123">
        <f>Table1123[[#This Row],[M (KN.mm)]]/(Table1123[[#This Row],[b (mm)]]*Table1123[[#This Row],[h (mm)]]*Table1123[[#This Row],[L(mm)]]/2)</f>
        <v>4.6061348807954305E-4</v>
      </c>
      <c r="S10" s="123">
        <f>Table1123[[#This Row],[M (KN.mm)]]/(Table1123[[#This Row],[a (mm)]]*Table1123[[#This Row],[b (mm)]]*Table1123[[#This Row],[h (mm)]]*Table1123[[#This Row],[L(mm)]]/2)</f>
        <v>3.022398215745033E-7</v>
      </c>
      <c r="T10" s="123">
        <f>Table1123[[#This Row],[M (KN.mm)]]/(Table1123[[#This Row],[a (mm)]]^2*Table1123[[#This Row],[b (mm)]]*Table1123[[#This Row],[h (mm)]])</f>
        <v>4.8925071117372725E-7</v>
      </c>
      <c r="U10" s="123">
        <f>Table1123[[#This Row],[M (KN.mm)]]/(Table1123[[#This Row],[b (mm)]]*Table1123[[#This Row],[d (mm)]]*Table1123[[#This Row],[pho (%)]])</f>
        <v>1.8821067656398025</v>
      </c>
      <c r="V10" s="123">
        <f>E10*224.8/(2*SQRT(Table1123[[#This Row],[fc (Mpa)]]*145.037)*Table1123[[#This Row],[b (mm)]]*Table1123[[#This Row],[d (mm)]]*(1/25.4)^2)</f>
        <v>1.0299160625781987</v>
      </c>
      <c r="W10" s="123">
        <f>Table1123[[#This Row],[M (KN.mm)]]/$G$17</f>
        <v>1.106060606060606</v>
      </c>
      <c r="X10" s="123">
        <f>Table1123[[#This Row],[V/(2*sqrt(fc) bd)]]</f>
        <v>1.0299160625781987</v>
      </c>
      <c r="Y10" s="123">
        <f>2*SQRT(Table1123[[#This Row],[fc (Mpa)]]*145.037)/Table1123[[#This Row],[pho (%)]]*Table1123[[#This Row],[a (mm)]]*1/(224.8*25.4^2)</f>
        <v>1.827437044654209</v>
      </c>
      <c r="Z10" s="123">
        <f>(2*SQRT(Table1123[[#This Row],[fc (Mpa)]]*145.037)*Table1123[[#This Row],[b (mm)]]*Table1123[[#This Row],[d (mm)]]*(1/25.4)^2)/224.8</f>
        <v>315.27229431412633</v>
      </c>
      <c r="AA10" s="123">
        <f>Table1123[[#This Row],[M (KN.mm)]]/(Table1123[[#This Row],[b (mm)]]*Table1123[[#This Row],[d (mm)]]^2*Table1123[[#This Row],[pho (%)]])</f>
        <v>2.8228072975475106E-3</v>
      </c>
      <c r="AB10" s="123">
        <f t="shared" si="5"/>
        <v>1524</v>
      </c>
      <c r="AC10" s="123">
        <f t="shared" si="6"/>
        <v>666.75</v>
      </c>
      <c r="AD10" s="123">
        <f t="shared" si="7"/>
        <v>762</v>
      </c>
      <c r="AE10" s="103">
        <f t="shared" si="4"/>
        <v>571.5</v>
      </c>
      <c r="AF10" s="103">
        <v>24.82</v>
      </c>
      <c r="AG10" s="123">
        <f>Table1123[[#This Row],[pho (%)]]/100*Table1123[[#This Row],[b (mm)]]*Table1123[[#This Row],[h (mm)]]</f>
        <v>3004.8326999999999</v>
      </c>
      <c r="AH10" s="125">
        <v>0.69</v>
      </c>
      <c r="AI10" s="123">
        <v>455</v>
      </c>
      <c r="AJ10" s="123">
        <f>(1/3-0.21*(MIN(Table1123[[#This Row],[b (mm)]],AD10)/MAX(Table1123[[#This Row],[b (mm)]],AD10))*(MIN(Table1123[[#This Row],[b (mm)]],AD10)^4/(12*MAX(Table1123[[#This Row],[b (mm)]],AD10)^4)))*MAX(Table1123[[#This Row],[b (mm)]],AD10)*MIN(Table1123[[#This Row],[b (mm)]],AD10)^3</f>
        <v>46820686568.646629</v>
      </c>
      <c r="AK10" s="123">
        <f>Table1123[[#This Row],[b (mm)]]*AD10^3/12</f>
        <v>21071715921</v>
      </c>
      <c r="AL10" s="123">
        <f t="shared" si="8"/>
        <v>4933.95</v>
      </c>
      <c r="AM10" s="106"/>
      <c r="AN10" s="107"/>
    </row>
    <row r="11" spans="1:42" x14ac:dyDescent="0.3">
      <c r="A11" s="113" t="s">
        <v>56</v>
      </c>
      <c r="B11" s="123" t="s">
        <v>60</v>
      </c>
      <c r="C11" s="123">
        <v>10</v>
      </c>
      <c r="D11" s="123">
        <f>Table1123[[#This Row],[a (mm)]]/Table1123[[#This Row],[d (mm)]]</f>
        <v>2.2857142857142856</v>
      </c>
      <c r="E11" s="123">
        <v>126.76800000000001</v>
      </c>
      <c r="F11" s="124">
        <f>Table1123[[#This Row],[d (mm)]]</f>
        <v>666.75</v>
      </c>
      <c r="G11" s="123">
        <f t="shared" si="0"/>
        <v>193194.43200000003</v>
      </c>
      <c r="H11" s="123">
        <f t="shared" si="1"/>
        <v>3.4812244165772048E-7</v>
      </c>
      <c r="I11" s="123">
        <f>G11/(Table1123[[#This Row],[b (mm)]]*AC11^2)</f>
        <v>7.6041788364755876E-4</v>
      </c>
      <c r="J11" s="123">
        <f t="shared" si="2"/>
        <v>0.20271138130279828</v>
      </c>
      <c r="K11" s="123">
        <f t="shared" si="3"/>
        <v>8.6226788800077114E-8</v>
      </c>
      <c r="L11" s="123">
        <f>E11/(Table1123[[#This Row],[b (mm)]]*AC11)</f>
        <v>3.3268282409580695E-4</v>
      </c>
      <c r="M11" s="123">
        <f>Table1123[[#This Row],[M (KN.mm)]]/(Table1123[[#This Row],[b (mm)]]*Table1123[[#This Row],[d (mm)]])</f>
        <v>0.50700862392200985</v>
      </c>
      <c r="N11" s="123">
        <f>Table1123[[#This Row],[M (KN.mm)]]/(Table1123[[#This Row],[b (mm)]]*Table1123[[#This Row],[h (mm)]])</f>
        <v>0.4436325459317586</v>
      </c>
      <c r="O11" s="123">
        <f>Table1123[[#This Row],[M (KN.mm)]]/(Table1123[[#This Row],[b (mm)]]*Table1123[[#This Row],[h (mm)]]*Table1123[[#This Row],[L(mm)]])</f>
        <v>8.9568452641178805E-5</v>
      </c>
      <c r="P11" s="123">
        <f>Table1123[[#This Row],[M (KN.mm)]]/(Table1123[[#This Row],[b (mm)]]*Table1123[[#This Row],[d (mm)]]*Table1123[[#This Row],[L(mm)]])</f>
        <v>1.0236394587563291E-4</v>
      </c>
      <c r="Q11" s="123">
        <f>Table1123[[#This Row],[M (KN.mm)]]/(Table1123[[#This Row],[b (mm)]]*Table1123[[#This Row],[h (mm)]]*Table1123[[#This Row],[L(mm)]]*Table1123[[#This Row],[fc (Mpa)]])</f>
        <v>2.7644584148511979E-6</v>
      </c>
      <c r="R11" s="123">
        <f>Table1123[[#This Row],[M (KN.mm)]]/(Table1123[[#This Row],[b (mm)]]*Table1123[[#This Row],[h (mm)]]*Table1123[[#This Row],[L(mm)]]/2)</f>
        <v>1.7913690528235761E-4</v>
      </c>
      <c r="S11" s="123">
        <f>Table1123[[#This Row],[M (KN.mm)]]/(Table1123[[#This Row],[a (mm)]]*Table1123[[#This Row],[b (mm)]]*Table1123[[#This Row],[h (mm)]]*Table1123[[#This Row],[L(mm)]]/2)</f>
        <v>1.1754390110390919E-7</v>
      </c>
      <c r="T11" s="123">
        <f>Table1123[[#This Row],[M (KN.mm)]]/(Table1123[[#This Row],[a (mm)]]^2*Table1123[[#This Row],[b (mm)]]*Table1123[[#This Row],[h (mm)]])</f>
        <v>1.9100883929385242E-7</v>
      </c>
      <c r="U11" s="123">
        <f>Table1123[[#This Row],[M (KN.mm)]]/(Table1123[[#This Row],[b (mm)]]*Table1123[[#This Row],[d (mm)]]*Table1123[[#This Row],[pho (%)]])</f>
        <v>0.73479510713334772</v>
      </c>
      <c r="V11" s="123">
        <f>E11*224.8/(2*SQRT(Table1123[[#This Row],[fc (Mpa)]]*145.037)*Table1123[[#This Row],[b (mm)]]*Table1123[[#This Row],[d (mm)]]*(1/25.4)^2)</f>
        <v>0.35192669809913635</v>
      </c>
      <c r="W11" s="123">
        <f>Table1123[[#This Row],[M (KN.mm)]]/$G$17</f>
        <v>0.43181818181818182</v>
      </c>
      <c r="X11" s="123">
        <f>Table1123[[#This Row],[V/(2*sqrt(fc) bd)]]</f>
        <v>0.35192669809913635</v>
      </c>
      <c r="Y11" s="123">
        <f>2*SQRT(Table1123[[#This Row],[fc (Mpa)]]*145.037)/Table1123[[#This Row],[pho (%)]]*Table1123[[#This Row],[a (mm)]]*1/(224.8*25.4^2)</f>
        <v>2.0879208968861995</v>
      </c>
      <c r="Z11" s="123">
        <f>(2*SQRT(Table1123[[#This Row],[fc (Mpa)]]*145.037)*Table1123[[#This Row],[b (mm)]]*Table1123[[#This Row],[d (mm)]]*(1/25.4)^2)/224.8</f>
        <v>360.21137550720852</v>
      </c>
      <c r="AA11" s="123">
        <f>Table1123[[#This Row],[M (KN.mm)]]/(Table1123[[#This Row],[b (mm)]]*Table1123[[#This Row],[d (mm)]]^2*Table1123[[#This Row],[pho (%)]])</f>
        <v>1.102054903837042E-3</v>
      </c>
      <c r="AB11" s="123">
        <f t="shared" si="5"/>
        <v>1524</v>
      </c>
      <c r="AC11" s="123">
        <f t="shared" si="6"/>
        <v>666.75</v>
      </c>
      <c r="AD11" s="123">
        <f t="shared" si="7"/>
        <v>762</v>
      </c>
      <c r="AE11" s="103">
        <f t="shared" si="4"/>
        <v>571.5</v>
      </c>
      <c r="AF11" s="103">
        <v>32.4</v>
      </c>
      <c r="AG11" s="123">
        <f>Table1123[[#This Row],[pho (%)]]/100*Table1123[[#This Row],[b (mm)]]*Table1123[[#This Row],[h (mm)]]</f>
        <v>3004.8326999999999</v>
      </c>
      <c r="AH11" s="125">
        <v>0.69</v>
      </c>
      <c r="AI11" s="123">
        <v>475.7</v>
      </c>
      <c r="AJ11" s="123">
        <f>(1/3-0.21*(MIN(Table1123[[#This Row],[b (mm)]],AD11)/MAX(Table1123[[#This Row],[b (mm)]],AD11))*(MIN(Table1123[[#This Row],[b (mm)]],AD11)^4/(12*MAX(Table1123[[#This Row],[b (mm)]],AD11)^4)))*MAX(Table1123[[#This Row],[b (mm)]],AD11)*MIN(Table1123[[#This Row],[b (mm)]],AD11)^3</f>
        <v>46820686568.646629</v>
      </c>
      <c r="AK11" s="123">
        <f>Table1123[[#This Row],[b (mm)]]*AD11^3/12</f>
        <v>21071715921</v>
      </c>
      <c r="AL11" s="123">
        <f>195*25.4</f>
        <v>4953</v>
      </c>
      <c r="AM11" s="106"/>
      <c r="AN11" s="107"/>
    </row>
    <row r="12" spans="1:42" x14ac:dyDescent="0.3">
      <c r="A12" s="113" t="s">
        <v>56</v>
      </c>
      <c r="B12" s="123" t="s">
        <v>61</v>
      </c>
      <c r="C12" s="123">
        <v>11</v>
      </c>
      <c r="D12" s="123">
        <f>Table1123[[#This Row],[a (mm)]]/Table1123[[#This Row],[d (mm)]]</f>
        <v>2.2857142857142856</v>
      </c>
      <c r="E12" s="123">
        <v>169.024</v>
      </c>
      <c r="F12" s="124">
        <f>Table1123[[#This Row],[d (mm)]]</f>
        <v>666.75</v>
      </c>
      <c r="G12" s="123">
        <f t="shared" si="0"/>
        <v>257592.576</v>
      </c>
      <c r="H12" s="123">
        <f t="shared" si="1"/>
        <v>4.6416325554362723E-7</v>
      </c>
      <c r="I12" s="123">
        <f>G12/(Table1123[[#This Row],[b (mm)]]*AC12^2)</f>
        <v>1.0138905115300782E-3</v>
      </c>
      <c r="J12" s="123">
        <f t="shared" si="2"/>
        <v>0.27028184173706438</v>
      </c>
      <c r="K12" s="123">
        <f t="shared" si="3"/>
        <v>1.1496905173343613E-7</v>
      </c>
      <c r="L12" s="123">
        <f>E12/(Table1123[[#This Row],[b (mm)]]*AC12)</f>
        <v>4.4357709879440924E-4</v>
      </c>
      <c r="M12" s="123">
        <f>Table1123[[#This Row],[M (KN.mm)]]/(Table1123[[#This Row],[b (mm)]]*Table1123[[#This Row],[d (mm)]])</f>
        <v>0.67601149856267961</v>
      </c>
      <c r="N12" s="123">
        <f>Table1123[[#This Row],[M (KN.mm)]]/(Table1123[[#This Row],[b (mm)]]*Table1123[[#This Row],[h (mm)]])</f>
        <v>0.59151006124234473</v>
      </c>
      <c r="O12" s="123">
        <f>Table1123[[#This Row],[M (KN.mm)]]/(Table1123[[#This Row],[b (mm)]]*Table1123[[#This Row],[h (mm)]]*Table1123[[#This Row],[L(mm)]])</f>
        <v>1.1942460352157172E-4</v>
      </c>
      <c r="P12" s="123">
        <f>Table1123[[#This Row],[M (KN.mm)]]/(Table1123[[#This Row],[b (mm)]]*Table1123[[#This Row],[d (mm)]]*Table1123[[#This Row],[L(mm)]])</f>
        <v>1.3648526116751054E-4</v>
      </c>
      <c r="Q12" s="123">
        <f>Table1123[[#This Row],[M (KN.mm)]]/(Table1123[[#This Row],[b (mm)]]*Table1123[[#This Row],[h (mm)]]*Table1123[[#This Row],[L(mm)]]*Table1123[[#This Row],[fc (Mpa)]])</f>
        <v>3.6859445531349301E-6</v>
      </c>
      <c r="R12" s="123">
        <f>Table1123[[#This Row],[M (KN.mm)]]/(Table1123[[#This Row],[b (mm)]]*Table1123[[#This Row],[h (mm)]]*Table1123[[#This Row],[L(mm)]]/2)</f>
        <v>2.3884920704314344E-4</v>
      </c>
      <c r="S12" s="123">
        <f>Table1123[[#This Row],[M (KN.mm)]]/(Table1123[[#This Row],[a (mm)]]*Table1123[[#This Row],[b (mm)]]*Table1123[[#This Row],[h (mm)]]*Table1123[[#This Row],[L(mm)]]/2)</f>
        <v>1.5672520147187889E-7</v>
      </c>
      <c r="T12" s="123">
        <f>Table1123[[#This Row],[M (KN.mm)]]/(Table1123[[#This Row],[a (mm)]]^2*Table1123[[#This Row],[b (mm)]]*Table1123[[#This Row],[h (mm)]])</f>
        <v>2.5467845239180319E-7</v>
      </c>
      <c r="U12" s="123">
        <f>Table1123[[#This Row],[M (KN.mm)]]/(Table1123[[#This Row],[b (mm)]]*Table1123[[#This Row],[d (mm)]]*Table1123[[#This Row],[pho (%)]])</f>
        <v>0.97972680951113011</v>
      </c>
      <c r="V12" s="123">
        <f>E12*224.8/(2*SQRT(Table1123[[#This Row],[fc (Mpa)]]*145.037)*Table1123[[#This Row],[b (mm)]]*Table1123[[#This Row],[d (mm)]]*(1/25.4)^2)</f>
        <v>0.46923559746551508</v>
      </c>
      <c r="W12" s="123">
        <f>Table1123[[#This Row],[M (KN.mm)]]/$G$17</f>
        <v>0.57575757575757569</v>
      </c>
      <c r="X12" s="123">
        <f>Table1123[[#This Row],[V/(2*sqrt(fc) bd)]]</f>
        <v>0.46923559746551508</v>
      </c>
      <c r="Y12" s="123">
        <f>2*SQRT(Table1123[[#This Row],[fc (Mpa)]]*145.037)/Table1123[[#This Row],[pho (%)]]*Table1123[[#This Row],[a (mm)]]*1/(224.8*25.4^2)</f>
        <v>2.0879208968861995</v>
      </c>
      <c r="Z12" s="123">
        <f>(2*SQRT(Table1123[[#This Row],[fc (Mpa)]]*145.037)*Table1123[[#This Row],[b (mm)]]*Table1123[[#This Row],[d (mm)]]*(1/25.4)^2)/224.8</f>
        <v>360.21137550720852</v>
      </c>
      <c r="AA12" s="123">
        <f>Table1123[[#This Row],[M (KN.mm)]]/(Table1123[[#This Row],[b (mm)]]*Table1123[[#This Row],[d (mm)]]^2*Table1123[[#This Row],[pho (%)]])</f>
        <v>1.4694065384493889E-3</v>
      </c>
      <c r="AB12" s="123">
        <f t="shared" si="5"/>
        <v>1524</v>
      </c>
      <c r="AC12" s="123">
        <f t="shared" si="6"/>
        <v>666.75</v>
      </c>
      <c r="AD12" s="123">
        <f t="shared" si="7"/>
        <v>762</v>
      </c>
      <c r="AE12" s="103">
        <f t="shared" si="4"/>
        <v>571.5</v>
      </c>
      <c r="AF12" s="103">
        <v>32.4</v>
      </c>
      <c r="AG12" s="123">
        <f>Table1123[[#This Row],[pho (%)]]/100*Table1123[[#This Row],[b (mm)]]*Table1123[[#This Row],[h (mm)]]</f>
        <v>3004.8326999999999</v>
      </c>
      <c r="AH12" s="125">
        <v>0.69</v>
      </c>
      <c r="AI12" s="123">
        <v>475.7</v>
      </c>
      <c r="AJ12" s="123">
        <f>(1/3-0.21*(MIN(Table1123[[#This Row],[b (mm)]],AD12)/MAX(Table1123[[#This Row],[b (mm)]],AD12))*(MIN(Table1123[[#This Row],[b (mm)]],AD12)^4/(12*MAX(Table1123[[#This Row],[b (mm)]],AD12)^4)))*MAX(Table1123[[#This Row],[b (mm)]],AD12)*MIN(Table1123[[#This Row],[b (mm)]],AD12)^3</f>
        <v>46820686568.646629</v>
      </c>
      <c r="AK12" s="123">
        <f>Table1123[[#This Row],[b (mm)]]*AD12^3/12</f>
        <v>21071715921</v>
      </c>
      <c r="AL12" s="123">
        <f t="shared" ref="AL12:AL17" si="9">195*25.4</f>
        <v>4953</v>
      </c>
      <c r="AM12" s="106"/>
      <c r="AN12" s="107"/>
    </row>
    <row r="13" spans="1:42" x14ac:dyDescent="0.3">
      <c r="A13" s="113" t="s">
        <v>56</v>
      </c>
      <c r="B13" s="123" t="s">
        <v>62</v>
      </c>
      <c r="C13" s="123">
        <v>12</v>
      </c>
      <c r="D13" s="123">
        <f>Table1123[[#This Row],[a (mm)]]/Table1123[[#This Row],[d (mm)]]</f>
        <v>2.2857142857142856</v>
      </c>
      <c r="E13" s="123">
        <v>211.28000000000003</v>
      </c>
      <c r="F13" s="124">
        <f>Table1123[[#This Row],[d (mm)]]</f>
        <v>666.75</v>
      </c>
      <c r="G13" s="123">
        <f t="shared" si="0"/>
        <v>321990.72000000003</v>
      </c>
      <c r="H13" s="123">
        <f t="shared" si="1"/>
        <v>5.8020406942953402E-7</v>
      </c>
      <c r="I13" s="123">
        <f>G13/(Table1123[[#This Row],[b (mm)]]*AC13^2)</f>
        <v>1.2673631394125979E-3</v>
      </c>
      <c r="J13" s="123">
        <f t="shared" si="2"/>
        <v>0.3378523021713305</v>
      </c>
      <c r="K13" s="123">
        <f t="shared" si="3"/>
        <v>1.437113146667952E-7</v>
      </c>
      <c r="L13" s="123">
        <f>E13/(Table1123[[#This Row],[b (mm)]]*AC13)</f>
        <v>5.5447137349301165E-4</v>
      </c>
      <c r="M13" s="123">
        <f>Table1123[[#This Row],[M (KN.mm)]]/(Table1123[[#This Row],[b (mm)]]*Table1123[[#This Row],[d (mm)]])</f>
        <v>0.84501437320334971</v>
      </c>
      <c r="N13" s="123">
        <f>Table1123[[#This Row],[M (KN.mm)]]/(Table1123[[#This Row],[b (mm)]]*Table1123[[#This Row],[h (mm)]])</f>
        <v>0.73938757655293097</v>
      </c>
      <c r="O13" s="123">
        <f>Table1123[[#This Row],[M (KN.mm)]]/(Table1123[[#This Row],[b (mm)]]*Table1123[[#This Row],[h (mm)]]*Table1123[[#This Row],[L(mm)]])</f>
        <v>1.4928075440196465E-4</v>
      </c>
      <c r="P13" s="123">
        <f>Table1123[[#This Row],[M (KN.mm)]]/(Table1123[[#This Row],[b (mm)]]*Table1123[[#This Row],[d (mm)]]*Table1123[[#This Row],[L(mm)]])</f>
        <v>1.7060657645938819E-4</v>
      </c>
      <c r="Q13" s="123">
        <f>Table1123[[#This Row],[M (KN.mm)]]/(Table1123[[#This Row],[b (mm)]]*Table1123[[#This Row],[h (mm)]]*Table1123[[#This Row],[L(mm)]]*Table1123[[#This Row],[fc (Mpa)]])</f>
        <v>4.6074306914186627E-6</v>
      </c>
      <c r="R13" s="123">
        <f>Table1123[[#This Row],[M (KN.mm)]]/(Table1123[[#This Row],[b (mm)]]*Table1123[[#This Row],[h (mm)]]*Table1123[[#This Row],[L(mm)]]/2)</f>
        <v>2.985615088039293E-4</v>
      </c>
      <c r="S13" s="123">
        <f>Table1123[[#This Row],[M (KN.mm)]]/(Table1123[[#This Row],[a (mm)]]*Table1123[[#This Row],[b (mm)]]*Table1123[[#This Row],[h (mm)]]*Table1123[[#This Row],[L(mm)]]/2)</f>
        <v>1.9590650183984862E-7</v>
      </c>
      <c r="T13" s="123">
        <f>Table1123[[#This Row],[M (KN.mm)]]/(Table1123[[#This Row],[a (mm)]]^2*Table1123[[#This Row],[b (mm)]]*Table1123[[#This Row],[h (mm)]])</f>
        <v>3.1834806548975404E-7</v>
      </c>
      <c r="U13" s="123">
        <f>Table1123[[#This Row],[M (KN.mm)]]/(Table1123[[#This Row],[b (mm)]]*Table1123[[#This Row],[d (mm)]]*Table1123[[#This Row],[pho (%)]])</f>
        <v>1.2246585118889128</v>
      </c>
      <c r="V13" s="123">
        <f>E13*224.8/(2*SQRT(Table1123[[#This Row],[fc (Mpa)]]*145.037)*Table1123[[#This Row],[b (mm)]]*Table1123[[#This Row],[d (mm)]]*(1/25.4)^2)</f>
        <v>0.58654449683189391</v>
      </c>
      <c r="W13" s="123">
        <f>Table1123[[#This Row],[M (KN.mm)]]/$G$17</f>
        <v>0.71969696969696972</v>
      </c>
      <c r="X13" s="123">
        <f>Table1123[[#This Row],[V/(2*sqrt(fc) bd)]]</f>
        <v>0.58654449683189391</v>
      </c>
      <c r="Y13" s="123">
        <f>2*SQRT(Table1123[[#This Row],[fc (Mpa)]]*145.037)/Table1123[[#This Row],[pho (%)]]*Table1123[[#This Row],[a (mm)]]*1/(224.8*25.4^2)</f>
        <v>2.0879208968861995</v>
      </c>
      <c r="Z13" s="123">
        <f>(2*SQRT(Table1123[[#This Row],[fc (Mpa)]]*145.037)*Table1123[[#This Row],[b (mm)]]*Table1123[[#This Row],[d (mm)]]*(1/25.4)^2)/224.8</f>
        <v>360.21137550720852</v>
      </c>
      <c r="AA13" s="123">
        <f>Table1123[[#This Row],[M (KN.mm)]]/(Table1123[[#This Row],[b (mm)]]*Table1123[[#This Row],[d (mm)]]^2*Table1123[[#This Row],[pho (%)]])</f>
        <v>1.8367581730617363E-3</v>
      </c>
      <c r="AB13" s="123">
        <f t="shared" si="5"/>
        <v>1524</v>
      </c>
      <c r="AC13" s="123">
        <f t="shared" si="6"/>
        <v>666.75</v>
      </c>
      <c r="AD13" s="123">
        <f t="shared" si="7"/>
        <v>762</v>
      </c>
      <c r="AE13" s="103">
        <f t="shared" si="4"/>
        <v>571.5</v>
      </c>
      <c r="AF13" s="103">
        <v>32.4</v>
      </c>
      <c r="AG13" s="123">
        <f>Table1123[[#This Row],[pho (%)]]/100*Table1123[[#This Row],[b (mm)]]*Table1123[[#This Row],[h (mm)]]</f>
        <v>3004.8326999999999</v>
      </c>
      <c r="AH13" s="125">
        <v>0.69</v>
      </c>
      <c r="AI13" s="123">
        <v>475.7</v>
      </c>
      <c r="AJ13" s="123">
        <f>(1/3-0.21*(MIN(Table1123[[#This Row],[b (mm)]],AD13)/MAX(Table1123[[#This Row],[b (mm)]],AD13))*(MIN(Table1123[[#This Row],[b (mm)]],AD13)^4/(12*MAX(Table1123[[#This Row],[b (mm)]],AD13)^4)))*MAX(Table1123[[#This Row],[b (mm)]],AD13)*MIN(Table1123[[#This Row],[b (mm)]],AD13)^3</f>
        <v>46820686568.646629</v>
      </c>
      <c r="AK13" s="123">
        <f>Table1123[[#This Row],[b (mm)]]*AD13^3/12</f>
        <v>21071715921</v>
      </c>
      <c r="AL13" s="123">
        <f t="shared" si="9"/>
        <v>4953</v>
      </c>
      <c r="AM13" s="106"/>
      <c r="AN13" s="107"/>
    </row>
    <row r="14" spans="1:42" x14ac:dyDescent="0.3">
      <c r="A14" s="113" t="s">
        <v>56</v>
      </c>
      <c r="B14" s="123" t="s">
        <v>63</v>
      </c>
      <c r="C14" s="123">
        <v>13</v>
      </c>
      <c r="D14" s="123">
        <f>Table1123[[#This Row],[a (mm)]]/Table1123[[#This Row],[d (mm)]]</f>
        <v>2.2857142857142856</v>
      </c>
      <c r="E14" s="123">
        <v>233.52</v>
      </c>
      <c r="F14" s="124">
        <f>Table1123[[#This Row],[d (mm)]]</f>
        <v>666.75</v>
      </c>
      <c r="G14" s="123">
        <f t="shared" si="0"/>
        <v>355884.48000000004</v>
      </c>
      <c r="H14" s="123">
        <f t="shared" si="1"/>
        <v>6.4127818200106393E-7</v>
      </c>
      <c r="I14" s="123">
        <f>G14/(Table1123[[#This Row],[b (mm)]]*AC14^2)</f>
        <v>1.4007697856665555E-3</v>
      </c>
      <c r="J14" s="123">
        <f t="shared" si="2"/>
        <v>0.37341570239989158</v>
      </c>
      <c r="K14" s="123">
        <f t="shared" si="3"/>
        <v>1.5883882147382623E-7</v>
      </c>
      <c r="L14" s="123">
        <f>E14/(Table1123[[#This Row],[b (mm)]]*AC14)</f>
        <v>6.1283678122911803E-4</v>
      </c>
      <c r="M14" s="123">
        <f>Table1123[[#This Row],[M (KN.mm)]]/(Table1123[[#This Row],[b (mm)]]*Table1123[[#This Row],[d (mm)]])</f>
        <v>0.93396325459317597</v>
      </c>
      <c r="N14" s="123">
        <f>Table1123[[#This Row],[M (KN.mm)]]/(Table1123[[#This Row],[b (mm)]]*Table1123[[#This Row],[h (mm)]])</f>
        <v>0.81721784776902895</v>
      </c>
      <c r="O14" s="123">
        <f>Table1123[[#This Row],[M (KN.mm)]]/(Table1123[[#This Row],[b (mm)]]*Table1123[[#This Row],[h (mm)]]*Table1123[[#This Row],[L(mm)]])</f>
        <v>1.649945180232241E-4</v>
      </c>
      <c r="P14" s="123">
        <f>Table1123[[#This Row],[M (KN.mm)]]/(Table1123[[#This Row],[b (mm)]]*Table1123[[#This Row],[d (mm)]]*Table1123[[#This Row],[L(mm)]])</f>
        <v>1.8856516345511326E-4</v>
      </c>
      <c r="Q14" s="123">
        <f>Table1123[[#This Row],[M (KN.mm)]]/(Table1123[[#This Row],[b (mm)]]*Table1123[[#This Row],[h (mm)]]*Table1123[[#This Row],[L(mm)]]*Table1123[[#This Row],[fc (Mpa)]])</f>
        <v>5.0924233957785224E-6</v>
      </c>
      <c r="R14" s="123">
        <f>Table1123[[#This Row],[M (KN.mm)]]/(Table1123[[#This Row],[b (mm)]]*Table1123[[#This Row],[h (mm)]]*Table1123[[#This Row],[L(mm)]]/2)</f>
        <v>3.299890360464482E-4</v>
      </c>
      <c r="S14" s="123">
        <f>Table1123[[#This Row],[M (KN.mm)]]/(Table1123[[#This Row],[a (mm)]]*Table1123[[#This Row],[b (mm)]]*Table1123[[#This Row],[h (mm)]]*Table1123[[#This Row],[L(mm)]]/2)</f>
        <v>2.1652823887562217E-7</v>
      </c>
      <c r="T14" s="123">
        <f>Table1123[[#This Row],[M (KN.mm)]]/(Table1123[[#This Row],[a (mm)]]^2*Table1123[[#This Row],[b (mm)]]*Table1123[[#This Row],[h (mm)]])</f>
        <v>3.5185838817288605E-7</v>
      </c>
      <c r="U14" s="123">
        <f>Table1123[[#This Row],[M (KN.mm)]]/(Table1123[[#This Row],[b (mm)]]*Table1123[[#This Row],[d (mm)]]*Table1123[[#This Row],[pho (%)]])</f>
        <v>1.3535699341930088</v>
      </c>
      <c r="V14" s="123">
        <f>E14*224.8/(2*SQRT(Table1123[[#This Row],[fc (Mpa)]]*145.037)*Table1123[[#This Row],[b (mm)]]*Table1123[[#This Row],[d (mm)]]*(1/25.4)^2)</f>
        <v>0.64828602281419845</v>
      </c>
      <c r="W14" s="123">
        <f>Table1123[[#This Row],[M (KN.mm)]]/$G$17</f>
        <v>0.79545454545454541</v>
      </c>
      <c r="X14" s="123">
        <f>Table1123[[#This Row],[V/(2*sqrt(fc) bd)]]</f>
        <v>0.64828602281419845</v>
      </c>
      <c r="Y14" s="123">
        <f>2*SQRT(Table1123[[#This Row],[fc (Mpa)]]*145.037)/Table1123[[#This Row],[pho (%)]]*Table1123[[#This Row],[a (mm)]]*1/(224.8*25.4^2)</f>
        <v>2.0879208968861995</v>
      </c>
      <c r="Z14" s="123">
        <f>(2*SQRT(Table1123[[#This Row],[fc (Mpa)]]*145.037)*Table1123[[#This Row],[b (mm)]]*Table1123[[#This Row],[d (mm)]]*(1/25.4)^2)/224.8</f>
        <v>360.21137550720852</v>
      </c>
      <c r="AA14" s="123">
        <f>Table1123[[#This Row],[M (KN.mm)]]/(Table1123[[#This Row],[b (mm)]]*Table1123[[#This Row],[d (mm)]]^2*Table1123[[#This Row],[pho (%)]])</f>
        <v>2.0301011386471821E-3</v>
      </c>
      <c r="AB14" s="123">
        <f t="shared" si="5"/>
        <v>1524</v>
      </c>
      <c r="AC14" s="123">
        <f t="shared" si="6"/>
        <v>666.75</v>
      </c>
      <c r="AD14" s="123">
        <f t="shared" si="7"/>
        <v>762</v>
      </c>
      <c r="AE14" s="103">
        <f t="shared" si="4"/>
        <v>571.5</v>
      </c>
      <c r="AF14" s="103">
        <v>32.4</v>
      </c>
      <c r="AG14" s="123">
        <f>Table1123[[#This Row],[pho (%)]]/100*Table1123[[#This Row],[b (mm)]]*Table1123[[#This Row],[h (mm)]]</f>
        <v>3004.8326999999999</v>
      </c>
      <c r="AH14" s="125">
        <v>0.69</v>
      </c>
      <c r="AI14" s="123">
        <v>475.7</v>
      </c>
      <c r="AJ14" s="123">
        <f>(1/3-0.21*(MIN(Table1123[[#This Row],[b (mm)]],AD14)/MAX(Table1123[[#This Row],[b (mm)]],AD14))*(MIN(Table1123[[#This Row],[b (mm)]],AD14)^4/(12*MAX(Table1123[[#This Row],[b (mm)]],AD14)^4)))*MAX(Table1123[[#This Row],[b (mm)]],AD14)*MIN(Table1123[[#This Row],[b (mm)]],AD14)^3</f>
        <v>46820686568.646629</v>
      </c>
      <c r="AK14" s="123">
        <f>Table1123[[#This Row],[b (mm)]]*AD14^3/12</f>
        <v>21071715921</v>
      </c>
      <c r="AL14" s="123">
        <f t="shared" si="9"/>
        <v>4953</v>
      </c>
      <c r="AM14" s="106"/>
      <c r="AN14" s="107"/>
    </row>
    <row r="15" spans="1:42" x14ac:dyDescent="0.3">
      <c r="A15" s="113" t="s">
        <v>56</v>
      </c>
      <c r="B15" s="123" t="s">
        <v>64</v>
      </c>
      <c r="C15" s="123">
        <v>14</v>
      </c>
      <c r="D15" s="123">
        <f>Table1123[[#This Row],[a (mm)]]/Table1123[[#This Row],[d (mm)]]</f>
        <v>2.2857142857142856</v>
      </c>
      <c r="E15" s="123">
        <v>253.53600000000003</v>
      </c>
      <c r="F15" s="124">
        <f>Table1123[[#This Row],[d (mm)]]</f>
        <v>666.75</v>
      </c>
      <c r="G15" s="123">
        <f t="shared" si="0"/>
        <v>386388.86400000006</v>
      </c>
      <c r="H15" s="123">
        <f t="shared" si="1"/>
        <v>6.9624488331544097E-7</v>
      </c>
      <c r="I15" s="123">
        <f>G15/(Table1123[[#This Row],[b (mm)]]*AC15^2)</f>
        <v>1.5208357672951175E-3</v>
      </c>
      <c r="J15" s="123">
        <f t="shared" si="2"/>
        <v>0.40542276260559656</v>
      </c>
      <c r="K15" s="123">
        <f t="shared" si="3"/>
        <v>1.7245357760015423E-7</v>
      </c>
      <c r="L15" s="123">
        <f>E15/(Table1123[[#This Row],[b (mm)]]*AC15)</f>
        <v>6.6536564819161389E-4</v>
      </c>
      <c r="M15" s="123">
        <f>Table1123[[#This Row],[M (KN.mm)]]/(Table1123[[#This Row],[b (mm)]]*Table1123[[#This Row],[d (mm)]])</f>
        <v>1.0140172478440197</v>
      </c>
      <c r="N15" s="123">
        <f>Table1123[[#This Row],[M (KN.mm)]]/(Table1123[[#This Row],[b (mm)]]*Table1123[[#This Row],[h (mm)]])</f>
        <v>0.88726509186351721</v>
      </c>
      <c r="O15" s="123">
        <f>Table1123[[#This Row],[M (KN.mm)]]/(Table1123[[#This Row],[b (mm)]]*Table1123[[#This Row],[h (mm)]]*Table1123[[#This Row],[L(mm)]])</f>
        <v>1.7913690528235761E-4</v>
      </c>
      <c r="P15" s="123">
        <f>Table1123[[#This Row],[M (KN.mm)]]/(Table1123[[#This Row],[b (mm)]]*Table1123[[#This Row],[d (mm)]]*Table1123[[#This Row],[L(mm)]])</f>
        <v>2.0472789175126583E-4</v>
      </c>
      <c r="Q15" s="123">
        <f>Table1123[[#This Row],[M (KN.mm)]]/(Table1123[[#This Row],[b (mm)]]*Table1123[[#This Row],[h (mm)]]*Table1123[[#This Row],[L(mm)]]*Table1123[[#This Row],[fc (Mpa)]])</f>
        <v>5.5289168297023958E-6</v>
      </c>
      <c r="R15" s="123">
        <f>Table1123[[#This Row],[M (KN.mm)]]/(Table1123[[#This Row],[b (mm)]]*Table1123[[#This Row],[h (mm)]]*Table1123[[#This Row],[L(mm)]]/2)</f>
        <v>3.5827381056471522E-4</v>
      </c>
      <c r="S15" s="123">
        <f>Table1123[[#This Row],[M (KN.mm)]]/(Table1123[[#This Row],[a (mm)]]*Table1123[[#This Row],[b (mm)]]*Table1123[[#This Row],[h (mm)]]*Table1123[[#This Row],[L(mm)]]/2)</f>
        <v>2.3508780220781839E-7</v>
      </c>
      <c r="T15" s="123">
        <f>Table1123[[#This Row],[M (KN.mm)]]/(Table1123[[#This Row],[a (mm)]]^2*Table1123[[#This Row],[b (mm)]]*Table1123[[#This Row],[h (mm)]])</f>
        <v>3.8201767858770483E-7</v>
      </c>
      <c r="U15" s="123">
        <f>Table1123[[#This Row],[M (KN.mm)]]/(Table1123[[#This Row],[b (mm)]]*Table1123[[#This Row],[d (mm)]]*Table1123[[#This Row],[pho (%)]])</f>
        <v>1.4695902142666954</v>
      </c>
      <c r="V15" s="123">
        <f>E15*224.8/(2*SQRT(Table1123[[#This Row],[fc (Mpa)]]*145.037)*Table1123[[#This Row],[b (mm)]]*Table1123[[#This Row],[d (mm)]]*(1/25.4)^2)</f>
        <v>0.7038533961982727</v>
      </c>
      <c r="W15" s="123">
        <f>Table1123[[#This Row],[M (KN.mm)]]/$G$17</f>
        <v>0.86363636363636365</v>
      </c>
      <c r="X15" s="123">
        <f>Table1123[[#This Row],[V/(2*sqrt(fc) bd)]]</f>
        <v>0.7038533961982727</v>
      </c>
      <c r="Y15" s="123">
        <f>2*SQRT(Table1123[[#This Row],[fc (Mpa)]]*145.037)/Table1123[[#This Row],[pho (%)]]*Table1123[[#This Row],[a (mm)]]*1/(224.8*25.4^2)</f>
        <v>2.0879208968861995</v>
      </c>
      <c r="Z15" s="123">
        <f>(2*SQRT(Table1123[[#This Row],[fc (Mpa)]]*145.037)*Table1123[[#This Row],[b (mm)]]*Table1123[[#This Row],[d (mm)]]*(1/25.4)^2)/224.8</f>
        <v>360.21137550720852</v>
      </c>
      <c r="AA15" s="123">
        <f>Table1123[[#This Row],[M (KN.mm)]]/(Table1123[[#This Row],[b (mm)]]*Table1123[[#This Row],[d (mm)]]^2*Table1123[[#This Row],[pho (%)]])</f>
        <v>2.204109807674084E-3</v>
      </c>
      <c r="AB15" s="123">
        <f t="shared" si="5"/>
        <v>1524</v>
      </c>
      <c r="AC15" s="123">
        <f t="shared" si="6"/>
        <v>666.75</v>
      </c>
      <c r="AD15" s="123">
        <f t="shared" si="7"/>
        <v>762</v>
      </c>
      <c r="AE15" s="103">
        <f t="shared" si="4"/>
        <v>571.5</v>
      </c>
      <c r="AF15" s="103">
        <v>32.4</v>
      </c>
      <c r="AG15" s="123">
        <f>Table1123[[#This Row],[pho (%)]]/100*Table1123[[#This Row],[b (mm)]]*Table1123[[#This Row],[h (mm)]]</f>
        <v>3004.8326999999999</v>
      </c>
      <c r="AH15" s="125">
        <v>0.69</v>
      </c>
      <c r="AI15" s="123">
        <v>475.7</v>
      </c>
      <c r="AJ15" s="123">
        <f>(1/3-0.21*(MIN(Table1123[[#This Row],[b (mm)]],AD15)/MAX(Table1123[[#This Row],[b (mm)]],AD15))*(MIN(Table1123[[#This Row],[b (mm)]],AD15)^4/(12*MAX(Table1123[[#This Row],[b (mm)]],AD15)^4)))*MAX(Table1123[[#This Row],[b (mm)]],AD15)*MIN(Table1123[[#This Row],[b (mm)]],AD15)^3</f>
        <v>46820686568.646629</v>
      </c>
      <c r="AK15" s="123">
        <f>Table1123[[#This Row],[b (mm)]]*AD15^3/12</f>
        <v>21071715921</v>
      </c>
      <c r="AL15" s="123">
        <f t="shared" si="9"/>
        <v>4953</v>
      </c>
      <c r="AM15" s="106"/>
      <c r="AN15" s="107"/>
    </row>
    <row r="16" spans="1:42" x14ac:dyDescent="0.3">
      <c r="A16" s="113" t="s">
        <v>56</v>
      </c>
      <c r="B16" s="123" t="s">
        <v>65</v>
      </c>
      <c r="C16" s="123">
        <v>15</v>
      </c>
      <c r="D16" s="123">
        <f>Table1123[[#This Row],[a (mm)]]/Table1123[[#This Row],[d (mm)]]</f>
        <v>2.2857142857142856</v>
      </c>
      <c r="E16" s="123">
        <v>275.77600000000001</v>
      </c>
      <c r="F16" s="124">
        <f>Table1123[[#This Row],[d (mm)]]</f>
        <v>666.75</v>
      </c>
      <c r="G16" s="123">
        <f t="shared" si="0"/>
        <v>420282.62400000001</v>
      </c>
      <c r="H16" s="123">
        <f t="shared" si="1"/>
        <v>7.5731899588697078E-7</v>
      </c>
      <c r="I16" s="123">
        <f>G16/(Table1123[[#This Row],[b (mm)]]*AC16^2)</f>
        <v>1.654242413549075E-3</v>
      </c>
      <c r="J16" s="123">
        <f t="shared" si="2"/>
        <v>0.44098616283415765</v>
      </c>
      <c r="K16" s="123">
        <f t="shared" si="3"/>
        <v>1.8758108440718529E-7</v>
      </c>
      <c r="L16" s="123">
        <f>E16/(Table1123[[#This Row],[b (mm)]]*AC16)</f>
        <v>7.2373105592772038E-4</v>
      </c>
      <c r="M16" s="123">
        <f>Table1123[[#This Row],[M (KN.mm)]]/(Table1123[[#This Row],[b (mm)]]*Table1123[[#This Row],[d (mm)]])</f>
        <v>1.1029661292338457</v>
      </c>
      <c r="N16" s="123">
        <f>Table1123[[#This Row],[M (KN.mm)]]/(Table1123[[#This Row],[b (mm)]]*Table1123[[#This Row],[h (mm)]])</f>
        <v>0.96509536307961508</v>
      </c>
      <c r="O16" s="123">
        <f>Table1123[[#This Row],[M (KN.mm)]]/(Table1123[[#This Row],[b (mm)]]*Table1123[[#This Row],[h (mm)]]*Table1123[[#This Row],[L(mm)]])</f>
        <v>1.94850668903617E-4</v>
      </c>
      <c r="P16" s="123">
        <f>Table1123[[#This Row],[M (KN.mm)]]/(Table1123[[#This Row],[b (mm)]]*Table1123[[#This Row],[d (mm)]]*Table1123[[#This Row],[L(mm)]])</f>
        <v>2.2268647874699088E-4</v>
      </c>
      <c r="Q16" s="123">
        <f>Table1123[[#This Row],[M (KN.mm)]]/(Table1123[[#This Row],[b (mm)]]*Table1123[[#This Row],[h (mm)]]*Table1123[[#This Row],[L(mm)]]*Table1123[[#This Row],[fc (Mpa)]])</f>
        <v>6.0139095340622546E-6</v>
      </c>
      <c r="R16" s="123">
        <f>Table1123[[#This Row],[M (KN.mm)]]/(Table1123[[#This Row],[b (mm)]]*Table1123[[#This Row],[h (mm)]]*Table1123[[#This Row],[L(mm)]]/2)</f>
        <v>3.8970133780723401E-4</v>
      </c>
      <c r="S16" s="123">
        <f>Table1123[[#This Row],[M (KN.mm)]]/(Table1123[[#This Row],[a (mm)]]*Table1123[[#This Row],[b (mm)]]*Table1123[[#This Row],[h (mm)]]*Table1123[[#This Row],[L(mm)]]/2)</f>
        <v>2.5570953924359188E-7</v>
      </c>
      <c r="T16" s="123">
        <f>Table1123[[#This Row],[M (KN.mm)]]/(Table1123[[#This Row],[a (mm)]]^2*Table1123[[#This Row],[b (mm)]]*Table1123[[#This Row],[h (mm)]])</f>
        <v>4.1552800127083679E-7</v>
      </c>
      <c r="U16" s="123">
        <f>Table1123[[#This Row],[M (KN.mm)]]/(Table1123[[#This Row],[b (mm)]]*Table1123[[#This Row],[d (mm)]]*Table1123[[#This Row],[pho (%)]])</f>
        <v>1.5985016365707914</v>
      </c>
      <c r="V16" s="123">
        <f>E16*224.8/(2*SQRT(Table1123[[#This Row],[fc (Mpa)]]*145.037)*Table1123[[#This Row],[b (mm)]]*Table1123[[#This Row],[d (mm)]]*(1/25.4)^2)</f>
        <v>0.76559492218057723</v>
      </c>
      <c r="W16" s="123">
        <f>Table1123[[#This Row],[M (KN.mm)]]/$G$17</f>
        <v>0.93939393939393934</v>
      </c>
      <c r="X16" s="123">
        <f>Table1123[[#This Row],[V/(2*sqrt(fc) bd)]]</f>
        <v>0.76559492218057723</v>
      </c>
      <c r="Y16" s="123">
        <f>2*SQRT(Table1123[[#This Row],[fc (Mpa)]]*145.037)/Table1123[[#This Row],[pho (%)]]*Table1123[[#This Row],[a (mm)]]*1/(224.8*25.4^2)</f>
        <v>2.0879208968861995</v>
      </c>
      <c r="Z16" s="123">
        <f>(2*SQRT(Table1123[[#This Row],[fc (Mpa)]]*145.037)*Table1123[[#This Row],[b (mm)]]*Table1123[[#This Row],[d (mm)]]*(1/25.4)^2)/224.8</f>
        <v>360.21137550720852</v>
      </c>
      <c r="AA16" s="123">
        <f>Table1123[[#This Row],[M (KN.mm)]]/(Table1123[[#This Row],[b (mm)]]*Table1123[[#This Row],[d (mm)]]^2*Table1123[[#This Row],[pho (%)]])</f>
        <v>2.3974527732595293E-3</v>
      </c>
      <c r="AB16" s="123">
        <f t="shared" si="5"/>
        <v>1524</v>
      </c>
      <c r="AC16" s="123">
        <f t="shared" si="6"/>
        <v>666.75</v>
      </c>
      <c r="AD16" s="123">
        <f t="shared" si="7"/>
        <v>762</v>
      </c>
      <c r="AE16" s="103">
        <f t="shared" si="4"/>
        <v>571.5</v>
      </c>
      <c r="AF16" s="103">
        <v>32.4</v>
      </c>
      <c r="AG16" s="123">
        <f>Table1123[[#This Row],[pho (%)]]/100*Table1123[[#This Row],[b (mm)]]*Table1123[[#This Row],[h (mm)]]</f>
        <v>3004.8326999999999</v>
      </c>
      <c r="AH16" s="125">
        <v>0.69</v>
      </c>
      <c r="AI16" s="123">
        <v>475.7</v>
      </c>
      <c r="AJ16" s="123">
        <f>(1/3-0.21*(MIN(Table1123[[#This Row],[b (mm)]],AD16)/MAX(Table1123[[#This Row],[b (mm)]],AD16))*(MIN(Table1123[[#This Row],[b (mm)]],AD16)^4/(12*MAX(Table1123[[#This Row],[b (mm)]],AD16)^4)))*MAX(Table1123[[#This Row],[b (mm)]],AD16)*MIN(Table1123[[#This Row],[b (mm)]],AD16)^3</f>
        <v>46820686568.646629</v>
      </c>
      <c r="AK16" s="123">
        <f>Table1123[[#This Row],[b (mm)]]*AD16^3/12</f>
        <v>21071715921</v>
      </c>
      <c r="AL16" s="123">
        <f t="shared" si="9"/>
        <v>4953</v>
      </c>
      <c r="AM16" s="106"/>
      <c r="AN16" s="107"/>
    </row>
    <row r="17" spans="1:47" x14ac:dyDescent="0.3">
      <c r="A17" s="114" t="s">
        <v>56</v>
      </c>
      <c r="B17" s="123" t="s">
        <v>66</v>
      </c>
      <c r="C17" s="123">
        <v>16</v>
      </c>
      <c r="D17" s="123">
        <f>Table1123[[#This Row],[a (mm)]]/Table1123[[#This Row],[d (mm)]]</f>
        <v>2.2857142857142856</v>
      </c>
      <c r="E17" s="123">
        <v>293.56800000000004</v>
      </c>
      <c r="F17" s="124">
        <f>Table1123[[#This Row],[d (mm)]]</f>
        <v>666.75</v>
      </c>
      <c r="G17" s="123">
        <f t="shared" si="0"/>
        <v>447397.63200000004</v>
      </c>
      <c r="H17" s="123">
        <f t="shared" si="1"/>
        <v>8.0617828594419473E-7</v>
      </c>
      <c r="I17" s="123">
        <f>G17/(Table1123[[#This Row],[b (mm)]]*AC17^2)</f>
        <v>1.7609677305522413E-3</v>
      </c>
      <c r="J17" s="123">
        <f t="shared" si="2"/>
        <v>0.46943688301700653</v>
      </c>
      <c r="K17" s="123">
        <f t="shared" si="3"/>
        <v>1.9968308985281014E-7</v>
      </c>
      <c r="L17" s="123">
        <f>E17/(Table1123[[#This Row],[b (mm)]]*AC17)</f>
        <v>7.7042338211660562E-4</v>
      </c>
      <c r="M17" s="123">
        <f>Table1123[[#This Row],[M (KN.mm)]]/(Table1123[[#This Row],[b (mm)]]*Table1123[[#This Row],[d (mm)]])</f>
        <v>1.1741252343457069</v>
      </c>
      <c r="N17" s="123">
        <f>Table1123[[#This Row],[M (KN.mm)]]/(Table1123[[#This Row],[b (mm)]]*Table1123[[#This Row],[h (mm)]])</f>
        <v>1.0273595800524935</v>
      </c>
      <c r="O17" s="123">
        <f>Table1123[[#This Row],[M (KN.mm)]]/(Table1123[[#This Row],[b (mm)]]*Table1123[[#This Row],[h (mm)]]*Table1123[[#This Row],[L(mm)]])</f>
        <v>2.0742167980062457E-4</v>
      </c>
      <c r="P17" s="123">
        <f>Table1123[[#This Row],[M (KN.mm)]]/(Table1123[[#This Row],[b (mm)]]*Table1123[[#This Row],[d (mm)]]*Table1123[[#This Row],[L(mm)]])</f>
        <v>2.3705334834357096E-4</v>
      </c>
      <c r="Q17" s="123">
        <f>Table1123[[#This Row],[M (KN.mm)]]/(Table1123[[#This Row],[b (mm)]]*Table1123[[#This Row],[h (mm)]]*Table1123[[#This Row],[L(mm)]]*Table1123[[#This Row],[fc (Mpa)]])</f>
        <v>6.4019036975501418E-6</v>
      </c>
      <c r="R17" s="123">
        <f>Table1123[[#This Row],[M (KN.mm)]]/(Table1123[[#This Row],[b (mm)]]*Table1123[[#This Row],[h (mm)]]*Table1123[[#This Row],[L(mm)]]/2)</f>
        <v>4.1484335960124914E-4</v>
      </c>
      <c r="S17" s="123">
        <f>Table1123[[#This Row],[M (KN.mm)]]/(Table1123[[#This Row],[a (mm)]]*Table1123[[#This Row],[b (mm)]]*Table1123[[#This Row],[h (mm)]]*Table1123[[#This Row],[L(mm)]]/2)</f>
        <v>2.7220692887221074E-7</v>
      </c>
      <c r="T17" s="123">
        <f>Table1123[[#This Row],[M (KN.mm)]]/(Table1123[[#This Row],[a (mm)]]^2*Table1123[[#This Row],[b (mm)]]*Table1123[[#This Row],[h (mm)]])</f>
        <v>4.4233625941734246E-7</v>
      </c>
      <c r="U17" s="123">
        <f>Table1123[[#This Row],[M (KN.mm)]]/(Table1123[[#This Row],[b (mm)]]*Table1123[[#This Row],[d (mm)]]*Table1123[[#This Row],[pho (%)]])</f>
        <v>1.7016307744140682</v>
      </c>
      <c r="V17" s="123">
        <f>E17*224.8/(2*SQRT(Table1123[[#This Row],[fc (Mpa)]]*145.037)*Table1123[[#This Row],[b (mm)]]*Table1123[[#This Row],[d (mm)]]*(1/25.4)^2)</f>
        <v>0.81498814296642108</v>
      </c>
      <c r="W17" s="123">
        <f>Table1123[[#This Row],[M (KN.mm)]]/$G$17</f>
        <v>1</v>
      </c>
      <c r="X17" s="123">
        <f>Table1123[[#This Row],[V/(2*sqrt(fc) bd)]]</f>
        <v>0.81498814296642108</v>
      </c>
      <c r="Y17" s="123">
        <f>2*SQRT(Table1123[[#This Row],[fc (Mpa)]]*145.037)/Table1123[[#This Row],[pho (%)]]*Table1123[[#This Row],[a (mm)]]*1/(224.8*25.4^2)</f>
        <v>2.0879208968861995</v>
      </c>
      <c r="Z17" s="123">
        <f>(2*SQRT(Table1123[[#This Row],[fc (Mpa)]]*145.037)*Table1123[[#This Row],[b (mm)]]*Table1123[[#This Row],[d (mm)]]*(1/25.4)^2)/224.8</f>
        <v>360.21137550720852</v>
      </c>
      <c r="AA17" s="123">
        <f>Table1123[[#This Row],[M (KN.mm)]]/(Table1123[[#This Row],[b (mm)]]*Table1123[[#This Row],[d (mm)]]^2*Table1123[[#This Row],[pho (%)]])</f>
        <v>2.5521271457278863E-3</v>
      </c>
      <c r="AB17" s="123">
        <f t="shared" si="5"/>
        <v>1524</v>
      </c>
      <c r="AC17" s="123">
        <f t="shared" si="6"/>
        <v>666.75</v>
      </c>
      <c r="AD17" s="123">
        <f>30*25.4</f>
        <v>762</v>
      </c>
      <c r="AE17" s="103">
        <f t="shared" si="4"/>
        <v>571.5</v>
      </c>
      <c r="AF17" s="103">
        <v>32.4</v>
      </c>
      <c r="AG17" s="123">
        <f>Table1123[[#This Row],[pho (%)]]/100*Table1123[[#This Row],[b (mm)]]*Table1123[[#This Row],[h (mm)]]</f>
        <v>3004.8326999999999</v>
      </c>
      <c r="AH17" s="125">
        <v>0.69</v>
      </c>
      <c r="AI17" s="123">
        <v>475.7</v>
      </c>
      <c r="AJ17" s="123">
        <f>(1/3-0.21*(MIN(Table1123[[#This Row],[b (mm)]],AD17)/MAX(Table1123[[#This Row],[b (mm)]],AD17))*(MIN(Table1123[[#This Row],[b (mm)]],AD17)^4/(12*MAX(Table1123[[#This Row],[b (mm)]],AD17)^4)))*MAX(Table1123[[#This Row],[b (mm)]],AD17)*MIN(Table1123[[#This Row],[b (mm)]],AD17)^3</f>
        <v>46820686568.646629</v>
      </c>
      <c r="AK17" s="123">
        <f>Table1123[[#This Row],[b (mm)]]*AD17^3/12</f>
        <v>21071715921</v>
      </c>
      <c r="AL17" s="123">
        <f t="shared" si="9"/>
        <v>4953</v>
      </c>
      <c r="AM17" s="106"/>
      <c r="AN17" s="107"/>
    </row>
    <row r="18" spans="1:47" s="129" customFormat="1" x14ac:dyDescent="0.3">
      <c r="A18" s="130" t="s">
        <v>69</v>
      </c>
      <c r="B18" s="110" t="s">
        <v>60</v>
      </c>
      <c r="C18" s="110">
        <v>17</v>
      </c>
      <c r="D18" s="123">
        <f>Table1123[[#This Row],[a (mm)]]/Table1123[[#This Row],[d (mm)]]</f>
        <v>2.2857142857142856</v>
      </c>
      <c r="E18" s="110">
        <v>35.361600000000003</v>
      </c>
      <c r="F18" s="124">
        <f>Table1123[[#This Row],[d (mm)]]</f>
        <v>266.7</v>
      </c>
      <c r="G18" s="110">
        <f t="shared" si="0"/>
        <v>21556.431359999999</v>
      </c>
      <c r="H18" s="110">
        <f t="shared" si="1"/>
        <v>1.5173099841989467E-6</v>
      </c>
      <c r="I18" s="110">
        <f>G18/(Table1123[[#This Row],[b (mm)]]*AC18^2)</f>
        <v>1.3257285471487044E-3</v>
      </c>
      <c r="J18" s="110">
        <f t="shared" si="2"/>
        <v>0.20574710737845828</v>
      </c>
      <c r="K18" s="110">
        <f t="shared" si="3"/>
        <v>9.3955999309294557E-7</v>
      </c>
      <c r="L18" s="110">
        <f>E18/(Table1123[[#This Row],[b (mm)]]*AC18)</f>
        <v>5.8000623937755824E-4</v>
      </c>
      <c r="M18" s="110">
        <f>Table1123[[#This Row],[M (KN.mm)]]/(Table1123[[#This Row],[b (mm)]]*Table1123[[#This Row],[d (mm)]])</f>
        <v>0.35357180352455941</v>
      </c>
      <c r="N18" s="110">
        <f>Table1123[[#This Row],[M (KN.mm)]]/(Table1123[[#This Row],[b (mm)]]*Table1123[[#This Row],[h (mm)]])</f>
        <v>0.30937532808398954</v>
      </c>
      <c r="O18" s="110">
        <f>Table1123[[#This Row],[M (KN.mm)]]/(Table1123[[#This Row],[b (mm)]]*Table1123[[#This Row],[h (mm)]]*Table1123[[#This Row],[L(mm)]])</f>
        <v>1.5590567714468764E-4</v>
      </c>
      <c r="P18" s="110">
        <f>Table1123[[#This Row],[M (KN.mm)]]/(Table1123[[#This Row],[b (mm)]]*Table1123[[#This Row],[d (mm)]]*Table1123[[#This Row],[L(mm)]])</f>
        <v>1.7817791673678586E-4</v>
      </c>
      <c r="Q18" s="110">
        <f>Table1123[[#This Row],[M (KN.mm)]]/(Table1123[[#This Row],[b (mm)]]*Table1123[[#This Row],[h (mm)]]*Table1123[[#This Row],[L(mm)]]*Table1123[[#This Row],[fc (Mpa)]])</f>
        <v>6.2814535513572782E-6</v>
      </c>
      <c r="R18" s="110">
        <f>Table1123[[#This Row],[M (KN.mm)]]/(Table1123[[#This Row],[b (mm)]]*Table1123[[#This Row],[h (mm)]]*Table1123[[#This Row],[L(mm)]]/2)</f>
        <v>3.1181135428937529E-4</v>
      </c>
      <c r="S18" s="110">
        <f>Table1123[[#This Row],[M (KN.mm)]]/(Table1123[[#This Row],[a (mm)]]*Table1123[[#This Row],[b (mm)]]*Table1123[[#This Row],[h (mm)]]*Table1123[[#This Row],[L(mm)]]/2)</f>
        <v>5.1150156543532703E-7</v>
      </c>
      <c r="T18" s="110">
        <f>Table1123[[#This Row],[M (KN.mm)]]/(Table1123[[#This Row],[a (mm)]]^2*Table1123[[#This Row],[b (mm)]]*Table1123[[#This Row],[h (mm)]])</f>
        <v>8.3252207915906095E-7</v>
      </c>
      <c r="U18" s="110">
        <f>Table1123[[#This Row],[M (KN.mm)]]/(Table1123[[#This Row],[b (mm)]]*Table1123[[#This Row],[d (mm)]]*Table1123[[#This Row],[pho (%)]])</f>
        <v>0.41596682767595233</v>
      </c>
      <c r="V18" s="110">
        <f>E18*224.8/(2*SQRT(Table1123[[#This Row],[fc (Mpa)]]*145.037)*Table1123[[#This Row],[b (mm)]]*Table1123[[#This Row],[d (mm)]]*(1/25.4)^2)</f>
        <v>0.70101307341581176</v>
      </c>
      <c r="W18" s="110">
        <f>Table1123[[#This Row],[M (KN.mm)]]/$G$24</f>
        <v>0.46764705882352942</v>
      </c>
      <c r="X18" s="110">
        <f>Table1123[[#This Row],[V/(2*sqrt(fc) bd)]]</f>
        <v>0.70101307341581176</v>
      </c>
      <c r="Y18" s="123">
        <f>2*SQRT(Table1123[[#This Row],[fc (Mpa)]]*145.037)/Table1123[[#This Row],[pho (%)]]*Table1123[[#This Row],[a (mm)]]*1/(224.8*25.4^2)</f>
        <v>0.59337955802889597</v>
      </c>
      <c r="Z18" s="123">
        <f>(2*SQRT(Table1123[[#This Row],[fc (Mpa)]]*145.037)*Table1123[[#This Row],[b (mm)]]*Table1123[[#This Row],[d (mm)]]*(1/25.4)^2)/224.8</f>
        <v>50.44356709026021</v>
      </c>
      <c r="AA18" s="123">
        <f>Table1123[[#This Row],[M (KN.mm)]]/(Table1123[[#This Row],[b (mm)]]*Table1123[[#This Row],[d (mm)]]^2*Table1123[[#This Row],[pho (%)]])</f>
        <v>1.559680643704358E-3</v>
      </c>
      <c r="AB18" s="110">
        <f>24*25.4</f>
        <v>609.59999999999991</v>
      </c>
      <c r="AC18" s="110">
        <f>10.5*25.4</f>
        <v>266.7</v>
      </c>
      <c r="AD18" s="110">
        <f>12*25.4</f>
        <v>304.79999999999995</v>
      </c>
      <c r="AE18" s="110">
        <f>9*25.4</f>
        <v>228.6</v>
      </c>
      <c r="AF18" s="7">
        <v>24.82</v>
      </c>
      <c r="AG18" s="110">
        <f>Table1123[[#This Row],[pho (%)]]/100*Table1123[[#This Row],[b (mm)]]*Table1123[[#This Row],[h (mm)]]</f>
        <v>592.25687999999991</v>
      </c>
      <c r="AH18" s="111">
        <v>0.85</v>
      </c>
      <c r="AI18" s="110">
        <v>663.3</v>
      </c>
      <c r="AJ18" s="110">
        <f>(1/3-0.21*(MIN(Table1123[[#This Row],[b (mm)]],AD18)/MAX(Table1123[[#This Row],[b (mm)]],AD18))*(MIN(Table1123[[#This Row],[b (mm)]],AD18)^4/(12*MAX(Table1123[[#This Row],[b (mm)]],AD18)^4)))*MAX(Table1123[[#This Row],[b (mm)]],AD18)*MIN(Table1123[[#This Row],[b (mm)]],AD18)^3</f>
        <v>1198609576.1573534</v>
      </c>
      <c r="AK18" s="110">
        <f>Table1123[[#This Row],[b (mm)]]*AD18^3/12</f>
        <v>539435927.57759976</v>
      </c>
      <c r="AL18" s="110">
        <f>78.125*25.4</f>
        <v>1984.375</v>
      </c>
      <c r="AM18" s="106"/>
      <c r="AN18" s="128"/>
      <c r="AO18" s="106"/>
      <c r="AP18"/>
      <c r="AT18"/>
      <c r="AU18"/>
    </row>
    <row r="19" spans="1:47" s="129" customFormat="1" x14ac:dyDescent="0.3">
      <c r="A19" s="130" t="s">
        <v>69</v>
      </c>
      <c r="B19" s="110" t="s">
        <v>61</v>
      </c>
      <c r="C19" s="110">
        <v>18</v>
      </c>
      <c r="D19" s="123">
        <f>Table1123[[#This Row],[a (mm)]]/Table1123[[#This Row],[d (mm)]]</f>
        <v>2.2857142857142856</v>
      </c>
      <c r="E19" s="110">
        <v>41.588799999999999</v>
      </c>
      <c r="F19" s="124">
        <f>Table1123[[#This Row],[d (mm)]]</f>
        <v>266.7</v>
      </c>
      <c r="G19" s="110">
        <f t="shared" si="0"/>
        <v>25352.532479999994</v>
      </c>
      <c r="H19" s="110">
        <f t="shared" si="1"/>
        <v>1.7845092266993901E-6</v>
      </c>
      <c r="I19" s="110">
        <f>G19/(Table1123[[#This Row],[b (mm)]]*AC19^2)</f>
        <v>1.5591901780931299E-3</v>
      </c>
      <c r="J19" s="110">
        <f t="shared" si="2"/>
        <v>0.24197930238850118</v>
      </c>
      <c r="K19" s="110">
        <f t="shared" si="3"/>
        <v>1.1050170987948479E-6</v>
      </c>
      <c r="L19" s="110">
        <f>E19/(Table1123[[#This Row],[b (mm)]]*AC19)</f>
        <v>6.8214570291574449E-4</v>
      </c>
      <c r="M19" s="110">
        <f>Table1123[[#This Row],[M (KN.mm)]]/(Table1123[[#This Row],[b (mm)]]*Table1123[[#This Row],[d (mm)]])</f>
        <v>0.41583602049743779</v>
      </c>
      <c r="N19" s="110">
        <f>Table1123[[#This Row],[M (KN.mm)]]/(Table1123[[#This Row],[b (mm)]]*Table1123[[#This Row],[h (mm)]])</f>
        <v>0.36385651793525808</v>
      </c>
      <c r="O19" s="110">
        <f>Table1123[[#This Row],[M (KN.mm)]]/(Table1123[[#This Row],[b (mm)]]*Table1123[[#This Row],[h (mm)]]*Table1123[[#This Row],[L(mm)]])</f>
        <v>1.8336076494375212E-4</v>
      </c>
      <c r="P19" s="110">
        <f>Table1123[[#This Row],[M (KN.mm)]]/(Table1123[[#This Row],[b (mm)]]*Table1123[[#This Row],[d (mm)]]*Table1123[[#This Row],[L(mm)]])</f>
        <v>2.0955515993571668E-4</v>
      </c>
      <c r="Q19" s="110">
        <f>Table1123[[#This Row],[M (KN.mm)]]/(Table1123[[#This Row],[b (mm)]]*Table1123[[#This Row],[h (mm)]]*Table1123[[#This Row],[L(mm)]]*Table1123[[#This Row],[fc (Mpa)]])</f>
        <v>7.3876214723510115E-6</v>
      </c>
      <c r="R19" s="110">
        <f>Table1123[[#This Row],[M (KN.mm)]]/(Table1123[[#This Row],[b (mm)]]*Table1123[[#This Row],[h (mm)]]*Table1123[[#This Row],[L(mm)]]/2)</f>
        <v>3.6672152988750424E-4</v>
      </c>
      <c r="S19" s="110">
        <f>Table1123[[#This Row],[M (KN.mm)]]/(Table1123[[#This Row],[a (mm)]]*Table1123[[#This Row],[b (mm)]]*Table1123[[#This Row],[h (mm)]]*Table1123[[#This Row],[L(mm)]]/2)</f>
        <v>6.0157731280758573E-7</v>
      </c>
      <c r="T19" s="110">
        <f>Table1123[[#This Row],[M (KN.mm)]]/(Table1123[[#This Row],[a (mm)]]^2*Table1123[[#This Row],[b (mm)]]*Table1123[[#This Row],[h (mm)]])</f>
        <v>9.7912974089776341E-7</v>
      </c>
      <c r="U19" s="110">
        <f>Table1123[[#This Row],[M (KN.mm)]]/(Table1123[[#This Row],[b (mm)]]*Table1123[[#This Row],[d (mm)]]*Table1123[[#This Row],[pho (%)]])</f>
        <v>0.48921884764404444</v>
      </c>
      <c r="V19" s="110">
        <f>E19*224.8/(2*SQRT(Table1123[[#This Row],[fc (Mpa)]]*145.037)*Table1123[[#This Row],[b (mm)]]*Table1123[[#This Row],[d (mm)]]*(1/25.4)^2)</f>
        <v>0.82446191653306145</v>
      </c>
      <c r="W19" s="110">
        <f>Table1123[[#This Row],[M (KN.mm)]]/$G$24</f>
        <v>0.54999999999999993</v>
      </c>
      <c r="X19" s="110">
        <f>Table1123[[#This Row],[V/(2*sqrt(fc) bd)]]</f>
        <v>0.82446191653306145</v>
      </c>
      <c r="Y19" s="123">
        <f>2*SQRT(Table1123[[#This Row],[fc (Mpa)]]*145.037)/Table1123[[#This Row],[pho (%)]]*Table1123[[#This Row],[a (mm)]]*1/(224.8*25.4^2)</f>
        <v>0.59337955802889597</v>
      </c>
      <c r="Z19" s="123">
        <f>(2*SQRT(Table1123[[#This Row],[fc (Mpa)]]*145.037)*Table1123[[#This Row],[b (mm)]]*Table1123[[#This Row],[d (mm)]]*(1/25.4)^2)/224.8</f>
        <v>50.44356709026021</v>
      </c>
      <c r="AA19" s="123">
        <f>Table1123[[#This Row],[M (KN.mm)]]/(Table1123[[#This Row],[b (mm)]]*Table1123[[#This Row],[d (mm)]]^2*Table1123[[#This Row],[pho (%)]])</f>
        <v>1.8343413859919176E-3</v>
      </c>
      <c r="AB19" s="110">
        <f t="shared" ref="AB19:AB53" si="10">24*25.4</f>
        <v>609.59999999999991</v>
      </c>
      <c r="AC19" s="110">
        <f t="shared" ref="AC19:AC53" si="11">10.5*25.4</f>
        <v>266.7</v>
      </c>
      <c r="AD19" s="110">
        <f t="shared" ref="AD19:AD53" si="12">12*25.4</f>
        <v>304.79999999999995</v>
      </c>
      <c r="AE19" s="110">
        <f t="shared" ref="AE19:AE53" si="13">9*25.4</f>
        <v>228.6</v>
      </c>
      <c r="AF19" s="7">
        <v>24.82</v>
      </c>
      <c r="AG19" s="110">
        <f>Table1123[[#This Row],[pho (%)]]/100*Table1123[[#This Row],[b (mm)]]*Table1123[[#This Row],[h (mm)]]</f>
        <v>592.25687999999991</v>
      </c>
      <c r="AH19" s="111">
        <v>0.85</v>
      </c>
      <c r="AI19" s="110">
        <v>663.3</v>
      </c>
      <c r="AJ19" s="110">
        <f>(1/3-0.21*(MIN(Table1123[[#This Row],[b (mm)]],AD19)/MAX(Table1123[[#This Row],[b (mm)]],AD19))*(MIN(Table1123[[#This Row],[b (mm)]],AD19)^4/(12*MAX(Table1123[[#This Row],[b (mm)]],AD19)^4)))*MAX(Table1123[[#This Row],[b (mm)]],AD19)*MIN(Table1123[[#This Row],[b (mm)]],AD19)^3</f>
        <v>1198609576.1573534</v>
      </c>
      <c r="AK19" s="110">
        <f>Table1123[[#This Row],[b (mm)]]*AD19^3/12</f>
        <v>539435927.57759976</v>
      </c>
      <c r="AL19" s="110">
        <f t="shared" ref="AL19:AL53" si="14">78.125*25.4</f>
        <v>1984.375</v>
      </c>
      <c r="AM19" s="106"/>
      <c r="AN19" s="128"/>
      <c r="AO19" s="106"/>
      <c r="AP19"/>
      <c r="AT19"/>
      <c r="AU19"/>
    </row>
    <row r="20" spans="1:47" s="129" customFormat="1" x14ac:dyDescent="0.3">
      <c r="A20" s="130" t="s">
        <v>69</v>
      </c>
      <c r="B20" s="110" t="s">
        <v>62</v>
      </c>
      <c r="C20" s="110">
        <v>19</v>
      </c>
      <c r="D20" s="123">
        <f>Table1123[[#This Row],[a (mm)]]/Table1123[[#This Row],[d (mm)]]</f>
        <v>2.2857142857142856</v>
      </c>
      <c r="E20" s="110">
        <v>47.593600000000002</v>
      </c>
      <c r="F20" s="124">
        <f>Table1123[[#This Row],[d (mm)]]</f>
        <v>266.7</v>
      </c>
      <c r="G20" s="110">
        <f t="shared" si="0"/>
        <v>29013.058559999998</v>
      </c>
      <c r="H20" s="110">
        <f t="shared" si="1"/>
        <v>2.042165639110532E-6</v>
      </c>
      <c r="I20" s="110">
        <f>G20/(Table1123[[#This Row],[b (mm)]]*AC20^2)</f>
        <v>1.7843138936466838E-3</v>
      </c>
      <c r="J20" s="110">
        <f t="shared" si="2"/>
        <v>0.27691749043389979</v>
      </c>
      <c r="K20" s="110">
        <f t="shared" si="3"/>
        <v>1.2645650221502538E-6</v>
      </c>
      <c r="L20" s="110">
        <f>E20/(Table1123[[#This Row],[b (mm)]]*AC20)</f>
        <v>7.8063732847042419E-4</v>
      </c>
      <c r="M20" s="110">
        <f>Table1123[[#This Row],[M (KN.mm)]]/(Table1123[[#This Row],[b (mm)]]*Table1123[[#This Row],[d (mm)]])</f>
        <v>0.47587651543557058</v>
      </c>
      <c r="N20" s="110">
        <f>Table1123[[#This Row],[M (KN.mm)]]/(Table1123[[#This Row],[b (mm)]]*Table1123[[#This Row],[h (mm)]])</f>
        <v>0.41639195100612431</v>
      </c>
      <c r="O20" s="110">
        <f>Table1123[[#This Row],[M (KN.mm)]]/(Table1123[[#This Row],[b (mm)]]*Table1123[[#This Row],[h (mm)]]*Table1123[[#This Row],[L(mm)]])</f>
        <v>2.0983531389285004E-4</v>
      </c>
      <c r="P20" s="110">
        <f>Table1123[[#This Row],[M (KN.mm)]]/(Table1123[[#This Row],[b (mm)]]*Table1123[[#This Row],[d (mm)]]*Table1123[[#This Row],[L(mm)]])</f>
        <v>2.398117873061143E-4</v>
      </c>
      <c r="Q20" s="110">
        <f>Table1123[[#This Row],[M (KN.mm)]]/(Table1123[[#This Row],[b (mm)]]*Table1123[[#This Row],[h (mm)]]*Table1123[[#This Row],[L(mm)]]*Table1123[[#This Row],[fc (Mpa)]])</f>
        <v>8.4542833961663996E-6</v>
      </c>
      <c r="R20" s="110">
        <f>Table1123[[#This Row],[M (KN.mm)]]/(Table1123[[#This Row],[b (mm)]]*Table1123[[#This Row],[h (mm)]]*Table1123[[#This Row],[L(mm)]]/2)</f>
        <v>4.1967062778570008E-4</v>
      </c>
      <c r="S20" s="110">
        <f>Table1123[[#This Row],[M (KN.mm)]]/(Table1123[[#This Row],[a (mm)]]*Table1123[[#This Row],[b (mm)]]*Table1123[[#This Row],[h (mm)]]*Table1123[[#This Row],[L(mm)]]/2)</f>
        <v>6.8843606920226397E-7</v>
      </c>
      <c r="T20" s="110">
        <f>Table1123[[#This Row],[M (KN.mm)]]/(Table1123[[#This Row],[a (mm)]]^2*Table1123[[#This Row],[b (mm)]]*Table1123[[#This Row],[h (mm)]])</f>
        <v>1.1205014147172266E-6</v>
      </c>
      <c r="U20" s="110">
        <f>Table1123[[#This Row],[M (KN.mm)]]/(Table1123[[#This Row],[b (mm)]]*Table1123[[#This Row],[d (mm)]]*Table1123[[#This Row],[pho (%)]])</f>
        <v>0.55985472404184777</v>
      </c>
      <c r="V20" s="110">
        <f>E20*224.8/(2*SQRT(Table1123[[#This Row],[fc (Mpa)]]*145.037)*Table1123[[#This Row],[b (mm)]]*Table1123[[#This Row],[d (mm)]]*(1/25.4)^2)</f>
        <v>0.94350187239612393</v>
      </c>
      <c r="W20" s="110">
        <f>Table1123[[#This Row],[M (KN.mm)]]/$G$24</f>
        <v>0.62941176470588234</v>
      </c>
      <c r="X20" s="110">
        <f>Table1123[[#This Row],[V/(2*sqrt(fc) bd)]]</f>
        <v>0.94350187239612393</v>
      </c>
      <c r="Y20" s="123">
        <f>2*SQRT(Table1123[[#This Row],[fc (Mpa)]]*145.037)/Table1123[[#This Row],[pho (%)]]*Table1123[[#This Row],[a (mm)]]*1/(224.8*25.4^2)</f>
        <v>0.59337955802889597</v>
      </c>
      <c r="Z20" s="123">
        <f>(2*SQRT(Table1123[[#This Row],[fc (Mpa)]]*145.037)*Table1123[[#This Row],[b (mm)]]*Table1123[[#This Row],[d (mm)]]*(1/25.4)^2)/224.8</f>
        <v>50.44356709026021</v>
      </c>
      <c r="AA20" s="123">
        <f>Table1123[[#This Row],[M (KN.mm)]]/(Table1123[[#This Row],[b (mm)]]*Table1123[[#This Row],[d (mm)]]^2*Table1123[[#This Row],[pho (%)]])</f>
        <v>2.0991928160549221E-3</v>
      </c>
      <c r="AB20" s="110">
        <f t="shared" si="10"/>
        <v>609.59999999999991</v>
      </c>
      <c r="AC20" s="110">
        <f t="shared" si="11"/>
        <v>266.7</v>
      </c>
      <c r="AD20" s="110">
        <f t="shared" si="12"/>
        <v>304.79999999999995</v>
      </c>
      <c r="AE20" s="110">
        <f t="shared" si="13"/>
        <v>228.6</v>
      </c>
      <c r="AF20" s="7">
        <v>24.82</v>
      </c>
      <c r="AG20" s="110">
        <f>Table1123[[#This Row],[pho (%)]]/100*Table1123[[#This Row],[b (mm)]]*Table1123[[#This Row],[h (mm)]]</f>
        <v>592.25687999999991</v>
      </c>
      <c r="AH20" s="111">
        <v>0.85</v>
      </c>
      <c r="AI20" s="110">
        <v>663.3</v>
      </c>
      <c r="AJ20" s="110">
        <f>(1/3-0.21*(MIN(Table1123[[#This Row],[b (mm)]],AD20)/MAX(Table1123[[#This Row],[b (mm)]],AD20))*(MIN(Table1123[[#This Row],[b (mm)]],AD20)^4/(12*MAX(Table1123[[#This Row],[b (mm)]],AD20)^4)))*MAX(Table1123[[#This Row],[b (mm)]],AD20)*MIN(Table1123[[#This Row],[b (mm)]],AD20)^3</f>
        <v>1198609576.1573534</v>
      </c>
      <c r="AK20" s="110">
        <f>Table1123[[#This Row],[b (mm)]]*AD20^3/12</f>
        <v>539435927.57759976</v>
      </c>
      <c r="AL20" s="110">
        <f t="shared" si="14"/>
        <v>1984.375</v>
      </c>
      <c r="AM20" s="106"/>
      <c r="AN20" s="128"/>
      <c r="AO20" s="106"/>
      <c r="AP20"/>
      <c r="AT20"/>
      <c r="AU20"/>
    </row>
    <row r="21" spans="1:47" s="129" customFormat="1" x14ac:dyDescent="0.3">
      <c r="A21" s="130" t="s">
        <v>69</v>
      </c>
      <c r="B21" s="110" t="s">
        <v>63</v>
      </c>
      <c r="C21" s="110">
        <v>20</v>
      </c>
      <c r="D21" s="123">
        <f>Table1123[[#This Row],[a (mm)]]/Table1123[[#This Row],[d (mm)]]</f>
        <v>2.2857142857142856</v>
      </c>
      <c r="E21" s="110">
        <v>53.820800000000006</v>
      </c>
      <c r="F21" s="124">
        <f>Table1123[[#This Row],[d (mm)]]</f>
        <v>266.7</v>
      </c>
      <c r="G21" s="110">
        <f t="shared" si="0"/>
        <v>32809.159679999997</v>
      </c>
      <c r="H21" s="110">
        <f t="shared" si="1"/>
        <v>2.3093648816109757E-6</v>
      </c>
      <c r="I21" s="110">
        <f>G21/(Table1123[[#This Row],[b (mm)]]*AC21^2)</f>
        <v>2.0177755245911096E-3</v>
      </c>
      <c r="J21" s="110">
        <f t="shared" si="2"/>
        <v>0.31314968544394278</v>
      </c>
      <c r="K21" s="110">
        <f t="shared" si="3"/>
        <v>1.4300221278521562E-6</v>
      </c>
      <c r="L21" s="110">
        <f>E21/(Table1123[[#This Row],[b (mm)]]*AC21)</f>
        <v>8.8277679200861065E-4</v>
      </c>
      <c r="M21" s="110">
        <f>Table1123[[#This Row],[M (KN.mm)]]/(Table1123[[#This Row],[b (mm)]]*Table1123[[#This Row],[d (mm)]])</f>
        <v>0.53814073240844895</v>
      </c>
      <c r="N21" s="110">
        <f>Table1123[[#This Row],[M (KN.mm)]]/(Table1123[[#This Row],[b (mm)]]*Table1123[[#This Row],[h (mm)]])</f>
        <v>0.4708731408573929</v>
      </c>
      <c r="O21" s="110">
        <f>Table1123[[#This Row],[M (KN.mm)]]/(Table1123[[#This Row],[b (mm)]]*Table1123[[#This Row],[h (mm)]]*Table1123[[#This Row],[L(mm)]])</f>
        <v>2.3729040169191451E-4</v>
      </c>
      <c r="P21" s="110">
        <f>Table1123[[#This Row],[M (KN.mm)]]/(Table1123[[#This Row],[b (mm)]]*Table1123[[#This Row],[d (mm)]]*Table1123[[#This Row],[L(mm)]])</f>
        <v>2.7118903050504513E-4</v>
      </c>
      <c r="Q21" s="110">
        <f>Table1123[[#This Row],[M (KN.mm)]]/(Table1123[[#This Row],[b (mm)]]*Table1123[[#This Row],[h (mm)]]*Table1123[[#This Row],[L(mm)]]*Table1123[[#This Row],[fc (Mpa)]])</f>
        <v>9.5604513171601338E-6</v>
      </c>
      <c r="R21" s="110">
        <f>Table1123[[#This Row],[M (KN.mm)]]/(Table1123[[#This Row],[b (mm)]]*Table1123[[#This Row],[h (mm)]]*Table1123[[#This Row],[L(mm)]]/2)</f>
        <v>4.7458080338382903E-4</v>
      </c>
      <c r="S21" s="110">
        <f>Table1123[[#This Row],[M (KN.mm)]]/(Table1123[[#This Row],[a (mm)]]*Table1123[[#This Row],[b (mm)]]*Table1123[[#This Row],[h (mm)]]*Table1123[[#This Row],[L(mm)]]/2)</f>
        <v>7.7851181657452288E-7</v>
      </c>
      <c r="T21" s="110">
        <f>Table1123[[#This Row],[M (KN.mm)]]/(Table1123[[#This Row],[a (mm)]]^2*Table1123[[#This Row],[b (mm)]]*Table1123[[#This Row],[h (mm)]])</f>
        <v>1.2671090764559293E-6</v>
      </c>
      <c r="U21" s="110">
        <f>Table1123[[#This Row],[M (KN.mm)]]/(Table1123[[#This Row],[b (mm)]]*Table1123[[#This Row],[d (mm)]]*Table1123[[#This Row],[pho (%)]])</f>
        <v>0.63310674400993994</v>
      </c>
      <c r="V21" s="110">
        <f>E21*224.8/(2*SQRT(Table1123[[#This Row],[fc (Mpa)]]*145.037)*Table1123[[#This Row],[b (mm)]]*Table1123[[#This Row],[d (mm)]]*(1/25.4)^2)</f>
        <v>1.0669507155133737</v>
      </c>
      <c r="W21" s="110">
        <f>Table1123[[#This Row],[M (KN.mm)]]/$G$24</f>
        <v>0.71176470588235285</v>
      </c>
      <c r="X21" s="110">
        <f>Table1123[[#This Row],[V/(2*sqrt(fc) bd)]]</f>
        <v>1.0669507155133737</v>
      </c>
      <c r="Y21" s="123">
        <f>2*SQRT(Table1123[[#This Row],[fc (Mpa)]]*145.037)/Table1123[[#This Row],[pho (%)]]*Table1123[[#This Row],[a (mm)]]*1/(224.8*25.4^2)</f>
        <v>0.59337955802889597</v>
      </c>
      <c r="Z21" s="123">
        <f>(2*SQRT(Table1123[[#This Row],[fc (Mpa)]]*145.037)*Table1123[[#This Row],[b (mm)]]*Table1123[[#This Row],[d (mm)]]*(1/25.4)^2)/224.8</f>
        <v>50.44356709026021</v>
      </c>
      <c r="AA21" s="123">
        <f>Table1123[[#This Row],[M (KN.mm)]]/(Table1123[[#This Row],[b (mm)]]*Table1123[[#This Row],[d (mm)]]^2*Table1123[[#This Row],[pho (%)]])</f>
        <v>2.373853558342482E-3</v>
      </c>
      <c r="AB21" s="110">
        <f t="shared" si="10"/>
        <v>609.59999999999991</v>
      </c>
      <c r="AC21" s="110">
        <f t="shared" si="11"/>
        <v>266.7</v>
      </c>
      <c r="AD21" s="110">
        <f t="shared" si="12"/>
        <v>304.79999999999995</v>
      </c>
      <c r="AE21" s="110">
        <f t="shared" si="13"/>
        <v>228.6</v>
      </c>
      <c r="AF21" s="7">
        <v>24.82</v>
      </c>
      <c r="AG21" s="110">
        <f>Table1123[[#This Row],[pho (%)]]/100*Table1123[[#This Row],[b (mm)]]*Table1123[[#This Row],[h (mm)]]</f>
        <v>592.25687999999991</v>
      </c>
      <c r="AH21" s="111">
        <v>0.85</v>
      </c>
      <c r="AI21" s="110">
        <v>663.3</v>
      </c>
      <c r="AJ21" s="110">
        <f>(1/3-0.21*(MIN(Table1123[[#This Row],[b (mm)]],AD21)/MAX(Table1123[[#This Row],[b (mm)]],AD21))*(MIN(Table1123[[#This Row],[b (mm)]],AD21)^4/(12*MAX(Table1123[[#This Row],[b (mm)]],AD21)^4)))*MAX(Table1123[[#This Row],[b (mm)]],AD21)*MIN(Table1123[[#This Row],[b (mm)]],AD21)^3</f>
        <v>1198609576.1573534</v>
      </c>
      <c r="AK21" s="110">
        <f>Table1123[[#This Row],[b (mm)]]*AD21^3/12</f>
        <v>539435927.57759976</v>
      </c>
      <c r="AL21" s="110">
        <f t="shared" si="14"/>
        <v>1984.375</v>
      </c>
      <c r="AM21" s="106"/>
      <c r="AN21" s="128"/>
      <c r="AO21" s="106"/>
      <c r="AP21"/>
      <c r="AT21"/>
      <c r="AU21"/>
    </row>
    <row r="22" spans="1:47" s="129" customFormat="1" x14ac:dyDescent="0.3">
      <c r="A22" s="130" t="s">
        <v>69</v>
      </c>
      <c r="B22" s="110" t="s">
        <v>64</v>
      </c>
      <c r="C22" s="110">
        <v>21</v>
      </c>
      <c r="D22" s="123">
        <f>Table1123[[#This Row],[a (mm)]]/Table1123[[#This Row],[d (mm)]]</f>
        <v>2.2857142857142856</v>
      </c>
      <c r="E22" s="110">
        <v>60.048000000000002</v>
      </c>
      <c r="F22" s="124">
        <f>Table1123[[#This Row],[d (mm)]]</f>
        <v>266.7</v>
      </c>
      <c r="G22" s="110">
        <f t="shared" si="0"/>
        <v>36605.260799999996</v>
      </c>
      <c r="H22" s="110">
        <f t="shared" si="1"/>
        <v>2.576564124111419E-6</v>
      </c>
      <c r="I22" s="110">
        <f>G22/(Table1123[[#This Row],[b (mm)]]*AC22^2)</f>
        <v>2.2512371555355355E-3</v>
      </c>
      <c r="J22" s="110">
        <f t="shared" si="2"/>
        <v>0.34938188045398572</v>
      </c>
      <c r="K22" s="110">
        <f t="shared" si="3"/>
        <v>1.5954792335540584E-6</v>
      </c>
      <c r="L22" s="110">
        <f>E22/(Table1123[[#This Row],[b (mm)]]*AC22)</f>
        <v>9.8491625554679701E-4</v>
      </c>
      <c r="M22" s="110">
        <f>Table1123[[#This Row],[M (KN.mm)]]/(Table1123[[#This Row],[b (mm)]]*Table1123[[#This Row],[d (mm)]])</f>
        <v>0.60040494938132727</v>
      </c>
      <c r="N22" s="110">
        <f>Table1123[[#This Row],[M (KN.mm)]]/(Table1123[[#This Row],[b (mm)]]*Table1123[[#This Row],[h (mm)]])</f>
        <v>0.52535433070866144</v>
      </c>
      <c r="O22" s="110">
        <f>Table1123[[#This Row],[M (KN.mm)]]/(Table1123[[#This Row],[b (mm)]]*Table1123[[#This Row],[h (mm)]]*Table1123[[#This Row],[L(mm)]])</f>
        <v>2.6474548949097899E-4</v>
      </c>
      <c r="P22" s="110">
        <f>Table1123[[#This Row],[M (KN.mm)]]/(Table1123[[#This Row],[b (mm)]]*Table1123[[#This Row],[d (mm)]]*Table1123[[#This Row],[L(mm)]])</f>
        <v>3.0256627370397598E-4</v>
      </c>
      <c r="Q22" s="110">
        <f>Table1123[[#This Row],[M (KN.mm)]]/(Table1123[[#This Row],[b (mm)]]*Table1123[[#This Row],[h (mm)]]*Table1123[[#This Row],[L(mm)]]*Table1123[[#This Row],[fc (Mpa)]])</f>
        <v>1.0666619238153868E-5</v>
      </c>
      <c r="R22" s="110">
        <f>Table1123[[#This Row],[M (KN.mm)]]/(Table1123[[#This Row],[b (mm)]]*Table1123[[#This Row],[h (mm)]]*Table1123[[#This Row],[L(mm)]]/2)</f>
        <v>5.2949097898195797E-4</v>
      </c>
      <c r="S22" s="110">
        <f>Table1123[[#This Row],[M (KN.mm)]]/(Table1123[[#This Row],[a (mm)]]*Table1123[[#This Row],[b (mm)]]*Table1123[[#This Row],[h (mm)]]*Table1123[[#This Row],[L(mm)]]/2)</f>
        <v>8.6858756394678169E-7</v>
      </c>
      <c r="T22" s="110">
        <f>Table1123[[#This Row],[M (KN.mm)]]/(Table1123[[#This Row],[a (mm)]]^2*Table1123[[#This Row],[b (mm)]]*Table1123[[#This Row],[h (mm)]])</f>
        <v>1.4137167381946317E-6</v>
      </c>
      <c r="U22" s="110">
        <f>Table1123[[#This Row],[M (KN.mm)]]/(Table1123[[#This Row],[b (mm)]]*Table1123[[#This Row],[d (mm)]]*Table1123[[#This Row],[pho (%)]])</f>
        <v>0.70635876397803221</v>
      </c>
      <c r="V22" s="110">
        <f>E22*224.8/(2*SQRT(Table1123[[#This Row],[fc (Mpa)]]*145.037)*Table1123[[#This Row],[b (mm)]]*Table1123[[#This Row],[d (mm)]]*(1/25.4)^2)</f>
        <v>1.1903995586306237</v>
      </c>
      <c r="W22" s="110">
        <f>Table1123[[#This Row],[M (KN.mm)]]/$G$24</f>
        <v>0.79411764705882348</v>
      </c>
      <c r="X22" s="110">
        <f>Table1123[[#This Row],[V/(2*sqrt(fc) bd)]]</f>
        <v>1.1903995586306237</v>
      </c>
      <c r="Y22" s="123">
        <f>2*SQRT(Table1123[[#This Row],[fc (Mpa)]]*145.037)/Table1123[[#This Row],[pho (%)]]*Table1123[[#This Row],[a (mm)]]*1/(224.8*25.4^2)</f>
        <v>0.59337955802889597</v>
      </c>
      <c r="Z22" s="123">
        <f>(2*SQRT(Table1123[[#This Row],[fc (Mpa)]]*145.037)*Table1123[[#This Row],[b (mm)]]*Table1123[[#This Row],[d (mm)]]*(1/25.4)^2)/224.8</f>
        <v>50.44356709026021</v>
      </c>
      <c r="AA22" s="123">
        <f>Table1123[[#This Row],[M (KN.mm)]]/(Table1123[[#This Row],[b (mm)]]*Table1123[[#This Row],[d (mm)]]^2*Table1123[[#This Row],[pho (%)]])</f>
        <v>2.6485143006300419E-3</v>
      </c>
      <c r="AB22" s="110">
        <f t="shared" si="10"/>
        <v>609.59999999999991</v>
      </c>
      <c r="AC22" s="110">
        <f t="shared" si="11"/>
        <v>266.7</v>
      </c>
      <c r="AD22" s="110">
        <f t="shared" si="12"/>
        <v>304.79999999999995</v>
      </c>
      <c r="AE22" s="110">
        <f t="shared" si="13"/>
        <v>228.6</v>
      </c>
      <c r="AF22" s="7">
        <v>24.82</v>
      </c>
      <c r="AG22" s="110">
        <f>Table1123[[#This Row],[pho (%)]]/100*Table1123[[#This Row],[b (mm)]]*Table1123[[#This Row],[h (mm)]]</f>
        <v>592.25687999999991</v>
      </c>
      <c r="AH22" s="111">
        <v>0.85</v>
      </c>
      <c r="AI22" s="110">
        <v>663.3</v>
      </c>
      <c r="AJ22" s="110">
        <f>(1/3-0.21*(MIN(Table1123[[#This Row],[b (mm)]],AD22)/MAX(Table1123[[#This Row],[b (mm)]],AD22))*(MIN(Table1123[[#This Row],[b (mm)]],AD22)^4/(12*MAX(Table1123[[#This Row],[b (mm)]],AD22)^4)))*MAX(Table1123[[#This Row],[b (mm)]],AD22)*MIN(Table1123[[#This Row],[b (mm)]],AD22)^3</f>
        <v>1198609576.1573534</v>
      </c>
      <c r="AK22" s="110">
        <f>Table1123[[#This Row],[b (mm)]]*AD22^3/12</f>
        <v>539435927.57759976</v>
      </c>
      <c r="AL22" s="110">
        <f t="shared" si="14"/>
        <v>1984.375</v>
      </c>
      <c r="AM22" s="106"/>
      <c r="AN22" s="106"/>
      <c r="AO22" s="106"/>
      <c r="AP22"/>
      <c r="AT22"/>
      <c r="AU22"/>
    </row>
    <row r="23" spans="1:47" s="129" customFormat="1" x14ac:dyDescent="0.3">
      <c r="A23" s="130" t="s">
        <v>69</v>
      </c>
      <c r="B23" s="110" t="s">
        <v>65</v>
      </c>
      <c r="C23" s="110">
        <v>22</v>
      </c>
      <c r="D23" s="123">
        <f>Table1123[[#This Row],[a (mm)]]/Table1123[[#This Row],[d (mm)]]</f>
        <v>2.2857142857142856</v>
      </c>
      <c r="E23" s="110">
        <v>70.500799999999998</v>
      </c>
      <c r="F23" s="124">
        <f>Table1123[[#This Row],[d (mm)]]</f>
        <v>266.7</v>
      </c>
      <c r="G23" s="110">
        <f t="shared" si="0"/>
        <v>42977.287679999994</v>
      </c>
      <c r="H23" s="110">
        <f t="shared" si="1"/>
        <v>3.0250771383085918E-6</v>
      </c>
      <c r="I23" s="110">
        <f>G23/(Table1123[[#This Row],[b (mm)]]*AC23^2)</f>
        <v>2.6431191789065361E-3</v>
      </c>
      <c r="J23" s="110">
        <f t="shared" si="2"/>
        <v>0.41020020779227212</v>
      </c>
      <c r="K23" s="110">
        <f t="shared" si="3"/>
        <v>1.8732108038393944E-6</v>
      </c>
      <c r="L23" s="110">
        <f>E23/(Table1123[[#This Row],[b (mm)]]*AC23)</f>
        <v>1.1563646407716096E-3</v>
      </c>
      <c r="M23" s="110">
        <f>Table1123[[#This Row],[M (KN.mm)]]/(Table1123[[#This Row],[b (mm)]]*Table1123[[#This Row],[d (mm)]])</f>
        <v>0.70491988501437319</v>
      </c>
      <c r="N23" s="110">
        <f>Table1123[[#This Row],[M (KN.mm)]]/(Table1123[[#This Row],[b (mm)]]*Table1123[[#This Row],[h (mm)]])</f>
        <v>0.61680489938757666</v>
      </c>
      <c r="O23" s="110">
        <f>Table1123[[#This Row],[M (KN.mm)]]/(Table1123[[#This Row],[b (mm)]]*Table1123[[#This Row],[h (mm)]]*Table1123[[#This Row],[L(mm)]])</f>
        <v>3.1083081543940865E-4</v>
      </c>
      <c r="P23" s="110">
        <f>Table1123[[#This Row],[M (KN.mm)]]/(Table1123[[#This Row],[b (mm)]]*Table1123[[#This Row],[d (mm)]]*Table1123[[#This Row],[L(mm)]])</f>
        <v>3.5523521764503846E-4</v>
      </c>
      <c r="Q23" s="110">
        <f>Table1123[[#This Row],[M (KN.mm)]]/(Table1123[[#This Row],[b (mm)]]*Table1123[[#This Row],[h (mm)]]*Table1123[[#This Row],[L(mm)]]*Table1123[[#This Row],[fc (Mpa)]])</f>
        <v>1.2523401105536208E-5</v>
      </c>
      <c r="R23" s="110">
        <f>Table1123[[#This Row],[M (KN.mm)]]/(Table1123[[#This Row],[b (mm)]]*Table1123[[#This Row],[h (mm)]]*Table1123[[#This Row],[L(mm)]]/2)</f>
        <v>6.2166163087881731E-4</v>
      </c>
      <c r="S23" s="110">
        <f>Table1123[[#This Row],[M (KN.mm)]]/(Table1123[[#This Row],[a (mm)]]*Table1123[[#This Row],[b (mm)]]*Table1123[[#This Row],[h (mm)]]*Table1123[[#This Row],[L(mm)]]/2)</f>
        <v>1.0197861398930732E-6</v>
      </c>
      <c r="T23" s="110">
        <f>Table1123[[#This Row],[M (KN.mm)]]/(Table1123[[#This Row],[a (mm)]]^2*Table1123[[#This Row],[b (mm)]]*Table1123[[#This Row],[h (mm)]])</f>
        <v>1.6598081703988824E-6</v>
      </c>
      <c r="U23" s="110">
        <f>Table1123[[#This Row],[M (KN.mm)]]/(Table1123[[#This Row],[b (mm)]]*Table1123[[#This Row],[d (mm)]]*Table1123[[#This Row],[pho (%)]])</f>
        <v>0.8293175117816155</v>
      </c>
      <c r="V23" s="110">
        <f>E23*224.8/(2*SQRT(Table1123[[#This Row],[fc (Mpa)]]*145.037)*Table1123[[#This Row],[b (mm)]]*Table1123[[#This Row],[d (mm)]]*(1/25.4)^2)</f>
        <v>1.3976172595774359</v>
      </c>
      <c r="W23" s="110">
        <f>Table1123[[#This Row],[M (KN.mm)]]/$G$24</f>
        <v>0.9323529411764705</v>
      </c>
      <c r="X23" s="110">
        <f>Table1123[[#This Row],[V/(2*sqrt(fc) bd)]]</f>
        <v>1.3976172595774359</v>
      </c>
      <c r="Y23" s="123">
        <f>2*SQRT(Table1123[[#This Row],[fc (Mpa)]]*145.037)/Table1123[[#This Row],[pho (%)]]*Table1123[[#This Row],[a (mm)]]*1/(224.8*25.4^2)</f>
        <v>0.59337955802889597</v>
      </c>
      <c r="Z23" s="123">
        <f>(2*SQRT(Table1123[[#This Row],[fc (Mpa)]]*145.037)*Table1123[[#This Row],[b (mm)]]*Table1123[[#This Row],[d (mm)]]*(1/25.4)^2)/224.8</f>
        <v>50.44356709026021</v>
      </c>
      <c r="AA23" s="123">
        <f>Table1123[[#This Row],[M (KN.mm)]]/(Table1123[[#This Row],[b (mm)]]*Table1123[[#This Row],[d (mm)]]^2*Table1123[[#This Row],[pho (%)]])</f>
        <v>3.1095519751841599E-3</v>
      </c>
      <c r="AB23" s="110">
        <f t="shared" si="10"/>
        <v>609.59999999999991</v>
      </c>
      <c r="AC23" s="110">
        <f t="shared" si="11"/>
        <v>266.7</v>
      </c>
      <c r="AD23" s="110">
        <f t="shared" si="12"/>
        <v>304.79999999999995</v>
      </c>
      <c r="AE23" s="110">
        <f t="shared" si="13"/>
        <v>228.6</v>
      </c>
      <c r="AF23" s="7">
        <v>24.82</v>
      </c>
      <c r="AG23" s="110">
        <f>Table1123[[#This Row],[pho (%)]]/100*Table1123[[#This Row],[b (mm)]]*Table1123[[#This Row],[h (mm)]]</f>
        <v>592.25687999999991</v>
      </c>
      <c r="AH23" s="111">
        <v>0.85</v>
      </c>
      <c r="AI23" s="110">
        <v>663.3</v>
      </c>
      <c r="AJ23" s="110">
        <f>(1/3-0.21*(MIN(Table1123[[#This Row],[b (mm)]],AD23)/MAX(Table1123[[#This Row],[b (mm)]],AD23))*(MIN(Table1123[[#This Row],[b (mm)]],AD23)^4/(12*MAX(Table1123[[#This Row],[b (mm)]],AD23)^4)))*MAX(Table1123[[#This Row],[b (mm)]],AD23)*MIN(Table1123[[#This Row],[b (mm)]],AD23)^3</f>
        <v>1198609576.1573534</v>
      </c>
      <c r="AK23" s="110">
        <f>Table1123[[#This Row],[b (mm)]]*AD23^3/12</f>
        <v>539435927.57759976</v>
      </c>
      <c r="AL23" s="110">
        <f t="shared" si="14"/>
        <v>1984.375</v>
      </c>
      <c r="AM23" s="106"/>
      <c r="AN23" s="106"/>
      <c r="AO23" s="106"/>
      <c r="AP23"/>
      <c r="AT23"/>
      <c r="AU23"/>
    </row>
    <row r="24" spans="1:47" s="129" customFormat="1" x14ac:dyDescent="0.3">
      <c r="A24" s="131" t="s">
        <v>69</v>
      </c>
      <c r="B24" s="110" t="s">
        <v>66</v>
      </c>
      <c r="C24" s="110">
        <v>23</v>
      </c>
      <c r="D24" s="123">
        <f>Table1123[[#This Row],[a (mm)]]/Table1123[[#This Row],[d (mm)]]</f>
        <v>2.2857142857142856</v>
      </c>
      <c r="E24" s="110">
        <v>75.616000000000014</v>
      </c>
      <c r="F24" s="124">
        <f>Table1123[[#This Row],[d (mm)]]</f>
        <v>266.7</v>
      </c>
      <c r="G24" s="110">
        <f t="shared" si="0"/>
        <v>46095.513599999998</v>
      </c>
      <c r="H24" s="110">
        <f t="shared" si="1"/>
        <v>3.2445622303625278E-6</v>
      </c>
      <c r="I24" s="110">
        <f>G24/(Table1123[[#This Row],[b (mm)]]*AC24^2)</f>
        <v>2.8348912328966004E-3</v>
      </c>
      <c r="J24" s="110">
        <f t="shared" si="2"/>
        <v>0.43996236797909316</v>
      </c>
      <c r="K24" s="110">
        <f t="shared" si="3"/>
        <v>2.0091219978088144E-6</v>
      </c>
      <c r="L24" s="110">
        <f>E24/(Table1123[[#This Row],[b (mm)]]*AC24)</f>
        <v>1.2402649143922629E-3</v>
      </c>
      <c r="M24" s="110">
        <f>Table1123[[#This Row],[M (KN.mm)]]/(Table1123[[#This Row],[b (mm)]]*Table1123[[#This Row],[d (mm)]])</f>
        <v>0.75606549181352334</v>
      </c>
      <c r="N24" s="110">
        <f>Table1123[[#This Row],[M (KN.mm)]]/(Table1123[[#This Row],[b (mm)]]*Table1123[[#This Row],[h (mm)]])</f>
        <v>0.66155730533683299</v>
      </c>
      <c r="O24" s="110">
        <f>Table1123[[#This Row],[M (KN.mm)]]/(Table1123[[#This Row],[b (mm)]]*Table1123[[#This Row],[h (mm)]]*Table1123[[#This Row],[L(mm)]])</f>
        <v>3.3338320898864028E-4</v>
      </c>
      <c r="P24" s="110">
        <f>Table1123[[#This Row],[M (KN.mm)]]/(Table1123[[#This Row],[b (mm)]]*Table1123[[#This Row],[d (mm)]]*Table1123[[#This Row],[L(mm)]])</f>
        <v>3.8100938170130313E-4</v>
      </c>
      <c r="Q24" s="110">
        <f>Table1123[[#This Row],[M (KN.mm)]]/(Table1123[[#This Row],[b (mm)]]*Table1123[[#This Row],[h (mm)]]*Table1123[[#This Row],[L(mm)]]*Table1123[[#This Row],[fc (Mpa)]])</f>
        <v>1.3432039040638206E-5</v>
      </c>
      <c r="R24" s="110">
        <f>Table1123[[#This Row],[M (KN.mm)]]/(Table1123[[#This Row],[b (mm)]]*Table1123[[#This Row],[h (mm)]]*Table1123[[#This Row],[L(mm)]]/2)</f>
        <v>6.6676641797728056E-4</v>
      </c>
      <c r="S24" s="110">
        <f>Table1123[[#This Row],[M (KN.mm)]]/(Table1123[[#This Row],[a (mm)]]*Table1123[[#This Row],[b (mm)]]*Table1123[[#This Row],[h (mm)]]*Table1123[[#This Row],[L(mm)]]/2)</f>
        <v>1.0937769323774288E-6</v>
      </c>
      <c r="T24" s="110">
        <f>Table1123[[#This Row],[M (KN.mm)]]/(Table1123[[#This Row],[a (mm)]]^2*Table1123[[#This Row],[b (mm)]]*Table1123[[#This Row],[h (mm)]])</f>
        <v>1.7802358925413882E-6</v>
      </c>
      <c r="U24" s="110">
        <f>Table1123[[#This Row],[M (KN.mm)]]/(Table1123[[#This Row],[b (mm)]]*Table1123[[#This Row],[d (mm)]]*Table1123[[#This Row],[pho (%)]])</f>
        <v>0.88948881389826284</v>
      </c>
      <c r="V24" s="110">
        <f>E24*224.8/(2*SQRT(Table1123[[#This Row],[fc (Mpa)]]*145.037)*Table1123[[#This Row],[b (mm)]]*Table1123[[#This Row],[d (mm)]]*(1/25.4)^2)</f>
        <v>1.4990216664237486</v>
      </c>
      <c r="W24" s="110">
        <f>Table1123[[#This Row],[M (KN.mm)]]/$G$24</f>
        <v>1</v>
      </c>
      <c r="X24" s="110">
        <f>Table1123[[#This Row],[V/(2*sqrt(fc) bd)]]</f>
        <v>1.4990216664237486</v>
      </c>
      <c r="Y24" s="123">
        <f>2*SQRT(Table1123[[#This Row],[fc (Mpa)]]*145.037)/Table1123[[#This Row],[pho (%)]]*Table1123[[#This Row],[a (mm)]]*1/(224.8*25.4^2)</f>
        <v>0.59337955802889597</v>
      </c>
      <c r="Z24" s="123">
        <f>(2*SQRT(Table1123[[#This Row],[fc (Mpa)]]*145.037)*Table1123[[#This Row],[b (mm)]]*Table1123[[#This Row],[d (mm)]]*(1/25.4)^2)/224.8</f>
        <v>50.44356709026021</v>
      </c>
      <c r="AA24" s="123">
        <f>Table1123[[#This Row],[M (KN.mm)]]/(Table1123[[#This Row],[b (mm)]]*Table1123[[#This Row],[d (mm)]]^2*Table1123[[#This Row],[pho (%)]])</f>
        <v>3.3351661563489417E-3</v>
      </c>
      <c r="AB24" s="110">
        <f t="shared" si="10"/>
        <v>609.59999999999991</v>
      </c>
      <c r="AC24" s="110">
        <f t="shared" si="11"/>
        <v>266.7</v>
      </c>
      <c r="AD24" s="110">
        <f t="shared" si="12"/>
        <v>304.79999999999995</v>
      </c>
      <c r="AE24" s="110">
        <f t="shared" si="13"/>
        <v>228.6</v>
      </c>
      <c r="AF24" s="7">
        <v>24.82</v>
      </c>
      <c r="AG24" s="110">
        <f>Table1123[[#This Row],[pho (%)]]/100*Table1123[[#This Row],[b (mm)]]*Table1123[[#This Row],[h (mm)]]</f>
        <v>592.25687999999991</v>
      </c>
      <c r="AH24" s="111">
        <v>0.85</v>
      </c>
      <c r="AI24" s="110">
        <v>663.3</v>
      </c>
      <c r="AJ24" s="110">
        <f>(1/3-0.21*(MIN(Table1123[[#This Row],[b (mm)]],AD24)/MAX(Table1123[[#This Row],[b (mm)]],AD24))*(MIN(Table1123[[#This Row],[b (mm)]],AD24)^4/(12*MAX(Table1123[[#This Row],[b (mm)]],AD24)^4)))*MAX(Table1123[[#This Row],[b (mm)]],AD24)*MIN(Table1123[[#This Row],[b (mm)]],AD24)^3</f>
        <v>1198609576.1573534</v>
      </c>
      <c r="AK24" s="110">
        <f>Table1123[[#This Row],[b (mm)]]*AD24^3/12</f>
        <v>539435927.57759976</v>
      </c>
      <c r="AL24" s="110">
        <f t="shared" si="14"/>
        <v>1984.375</v>
      </c>
      <c r="AM24" s="106"/>
      <c r="AN24" s="106"/>
      <c r="AO24" s="106"/>
      <c r="AP24"/>
      <c r="AT24"/>
      <c r="AU24"/>
    </row>
    <row r="25" spans="1:47" s="129" customFormat="1" x14ac:dyDescent="0.3">
      <c r="A25" s="121" t="s">
        <v>70</v>
      </c>
      <c r="B25" s="110" t="s">
        <v>60</v>
      </c>
      <c r="C25" s="110">
        <v>24</v>
      </c>
      <c r="D25" s="123">
        <f>Table1123[[#This Row],[a (mm)]]/Table1123[[#This Row],[d (mm)]]</f>
        <v>2.2857142857142856</v>
      </c>
      <c r="E25" s="110">
        <v>46.036799999999999</v>
      </c>
      <c r="F25" s="124">
        <f>Table1123[[#This Row],[d (mm)]]</f>
        <v>266.7</v>
      </c>
      <c r="G25" s="110">
        <f t="shared" si="0"/>
        <v>28064.033279999996</v>
      </c>
      <c r="H25" s="110">
        <f t="shared" si="1"/>
        <v>1.9753658284854213E-6</v>
      </c>
      <c r="I25" s="110">
        <f>G25/(Table1123[[#This Row],[b (mm)]]*AC25^2)</f>
        <v>1.7259484859105771E-3</v>
      </c>
      <c r="J25" s="110">
        <f t="shared" si="2"/>
        <v>0.28246608532156647</v>
      </c>
      <c r="K25" s="110">
        <f t="shared" si="3"/>
        <v>1.223200745724778E-6</v>
      </c>
      <c r="L25" s="110">
        <f>E25/(Table1123[[#This Row],[b (mm)]]*AC25)</f>
        <v>7.551024625858776E-4</v>
      </c>
      <c r="M25" s="110">
        <f>Table1123[[#This Row],[M (KN.mm)]]/(Table1123[[#This Row],[b (mm)]]*Table1123[[#This Row],[d (mm)]])</f>
        <v>0.46031046119235092</v>
      </c>
      <c r="N25" s="110">
        <f>Table1123[[#This Row],[M (KN.mm)]]/(Table1123[[#This Row],[b (mm)]]*Table1123[[#This Row],[h (mm)]])</f>
        <v>0.40277165354330713</v>
      </c>
      <c r="O25" s="110">
        <f>Table1123[[#This Row],[M (KN.mm)]]/(Table1123[[#This Row],[b (mm)]]*Table1123[[#This Row],[h (mm)]]*Table1123[[#This Row],[L(mm)]])</f>
        <v>2.0297154194308389E-4</v>
      </c>
      <c r="P25" s="110">
        <f>Table1123[[#This Row],[M (KN.mm)]]/(Table1123[[#This Row],[b (mm)]]*Table1123[[#This Row],[d (mm)]]*Table1123[[#This Row],[L(mm)]])</f>
        <v>2.3196747650638158E-4</v>
      </c>
      <c r="Q25" s="110">
        <f>Table1123[[#This Row],[M (KN.mm)]]/(Table1123[[#This Row],[b (mm)]]*Table1123[[#This Row],[h (mm)]]*Table1123[[#This Row],[L(mm)]]*Table1123[[#This Row],[fc (Mpa)]])</f>
        <v>8.1777414159179648E-6</v>
      </c>
      <c r="R25" s="110">
        <f>Table1123[[#This Row],[M (KN.mm)]]/(Table1123[[#This Row],[b (mm)]]*Table1123[[#This Row],[h (mm)]]*Table1123[[#This Row],[L(mm)]]/2)</f>
        <v>4.0594308388616779E-4</v>
      </c>
      <c r="S25" s="110">
        <f>Table1123[[#This Row],[M (KN.mm)]]/(Table1123[[#This Row],[a (mm)]]*Table1123[[#This Row],[b (mm)]]*Table1123[[#This Row],[h (mm)]]*Table1123[[#This Row],[L(mm)]]/2)</f>
        <v>6.659171323591993E-7</v>
      </c>
      <c r="T25" s="110">
        <f>Table1123[[#This Row],[M (KN.mm)]]/(Table1123[[#This Row],[a (mm)]]^2*Table1123[[#This Row],[b (mm)]]*Table1123[[#This Row],[h (mm)]])</f>
        <v>1.0838494992825509E-6</v>
      </c>
      <c r="U25" s="110">
        <f>Table1123[[#This Row],[M (KN.mm)]]/(Table1123[[#This Row],[b (mm)]]*Table1123[[#This Row],[d (mm)]]*Table1123[[#This Row],[pho (%)]])</f>
        <v>0.54154171904982462</v>
      </c>
      <c r="V25" s="110">
        <f>E25*224.8/(2*SQRT(Table1123[[#This Row],[fc (Mpa)]]*145.037)*Table1123[[#This Row],[b (mm)]]*Table1123[[#This Row],[d (mm)]]*(1/25.4)^2)</f>
        <v>0.91263966161681143</v>
      </c>
      <c r="W25" s="110">
        <f>Table1123[[#This Row],[M (KN.mm)]]/$G$30</f>
        <v>0.51749999999999996</v>
      </c>
      <c r="X25" s="110">
        <f>Table1123[[#This Row],[V/(2*sqrt(fc) bd)]]</f>
        <v>0.91263966161681143</v>
      </c>
      <c r="Y25" s="123">
        <f>2*SQRT(Table1123[[#This Row],[fc (Mpa)]]*145.037)/Table1123[[#This Row],[pho (%)]]*Table1123[[#This Row],[a (mm)]]*1/(224.8*25.4^2)</f>
        <v>0.59337955802889597</v>
      </c>
      <c r="Z25" s="123">
        <f>(2*SQRT(Table1123[[#This Row],[fc (Mpa)]]*145.037)*Table1123[[#This Row],[b (mm)]]*Table1123[[#This Row],[d (mm)]]*(1/25.4)^2)/224.8</f>
        <v>50.44356709026021</v>
      </c>
      <c r="AA25" s="123">
        <f>Table1123[[#This Row],[M (KN.mm)]]/(Table1123[[#This Row],[b (mm)]]*Table1123[[#This Row],[d (mm)]]^2*Table1123[[#This Row],[pho (%)]])</f>
        <v>2.030527630483032E-3</v>
      </c>
      <c r="AB25" s="110">
        <f t="shared" si="10"/>
        <v>609.59999999999991</v>
      </c>
      <c r="AC25" s="110">
        <f t="shared" si="11"/>
        <v>266.7</v>
      </c>
      <c r="AD25" s="110">
        <f t="shared" si="12"/>
        <v>304.79999999999995</v>
      </c>
      <c r="AE25" s="110">
        <f t="shared" si="13"/>
        <v>228.6</v>
      </c>
      <c r="AF25" s="7">
        <v>24.82</v>
      </c>
      <c r="AG25" s="110">
        <f>Table1123[[#This Row],[pho (%)]]/100*Table1123[[#This Row],[b (mm)]]*Table1123[[#This Row],[h (mm)]]</f>
        <v>592.25687999999991</v>
      </c>
      <c r="AH25" s="111">
        <v>0.85</v>
      </c>
      <c r="AI25" s="110">
        <v>629</v>
      </c>
      <c r="AJ25" s="110">
        <f>(1/3-0.21*(MIN(Table1123[[#This Row],[b (mm)]],AD25)/MAX(Table1123[[#This Row],[b (mm)]],AD25))*(MIN(Table1123[[#This Row],[b (mm)]],AD25)^4/(12*MAX(Table1123[[#This Row],[b (mm)]],AD25)^4)))*MAX(Table1123[[#This Row],[b (mm)]],AD25)*MIN(Table1123[[#This Row],[b (mm)]],AD25)^3</f>
        <v>1198609576.1573534</v>
      </c>
      <c r="AK25" s="110">
        <f>Table1123[[#This Row],[b (mm)]]*AD25^3/12</f>
        <v>539435927.57759976</v>
      </c>
      <c r="AL25" s="110">
        <f t="shared" si="14"/>
        <v>1984.375</v>
      </c>
      <c r="AM25" s="106"/>
      <c r="AN25" s="106"/>
      <c r="AO25" s="106"/>
      <c r="AP25"/>
      <c r="AT25"/>
      <c r="AU25"/>
    </row>
    <row r="26" spans="1:47" s="129" customFormat="1" x14ac:dyDescent="0.3">
      <c r="A26" s="121" t="s">
        <v>70</v>
      </c>
      <c r="B26" s="110" t="s">
        <v>61</v>
      </c>
      <c r="C26" s="110">
        <v>25</v>
      </c>
      <c r="D26" s="123">
        <f>Table1123[[#This Row],[a (mm)]]/Table1123[[#This Row],[d (mm)]]</f>
        <v>2.2857142857142856</v>
      </c>
      <c r="E26" s="110">
        <v>52.708800000000004</v>
      </c>
      <c r="F26" s="124">
        <f>Table1123[[#This Row],[d (mm)]]</f>
        <v>266.7</v>
      </c>
      <c r="G26" s="110">
        <f t="shared" si="0"/>
        <v>32131.284479999998</v>
      </c>
      <c r="H26" s="110">
        <f t="shared" si="1"/>
        <v>2.2616507311644679E-6</v>
      </c>
      <c r="I26" s="110">
        <f>G26/(Table1123[[#This Row],[b (mm)]]*AC26^2)</f>
        <v>1.976085947636748E-3</v>
      </c>
      <c r="J26" s="110">
        <f t="shared" si="2"/>
        <v>0.32340319913628629</v>
      </c>
      <c r="K26" s="110">
        <f t="shared" si="3"/>
        <v>1.4004762161196736E-6</v>
      </c>
      <c r="L26" s="110">
        <f>E26/(Table1123[[#This Row],[b (mm)]]*AC26)</f>
        <v>8.6453760209107737E-4</v>
      </c>
      <c r="M26" s="110">
        <f>Table1123[[#This Row],[M (KN.mm)]]/(Table1123[[#This Row],[b (mm)]]*Table1123[[#This Row],[d (mm)]])</f>
        <v>0.52702212223472067</v>
      </c>
      <c r="N26" s="110">
        <f>Table1123[[#This Row],[M (KN.mm)]]/(Table1123[[#This Row],[b (mm)]]*Table1123[[#This Row],[h (mm)]])</f>
        <v>0.46114435695538064</v>
      </c>
      <c r="O26" s="110">
        <f>Table1123[[#This Row],[M (KN.mm)]]/(Table1123[[#This Row],[b (mm)]]*Table1123[[#This Row],[h (mm)]]*Table1123[[#This Row],[L(mm)]])</f>
        <v>2.3238770744208158E-4</v>
      </c>
      <c r="P26" s="110">
        <f>Table1123[[#This Row],[M (KN.mm)]]/(Table1123[[#This Row],[b (mm)]]*Table1123[[#This Row],[d (mm)]]*Table1123[[#This Row],[L(mm)]])</f>
        <v>2.6558595136237894E-4</v>
      </c>
      <c r="Q26" s="110">
        <f>Table1123[[#This Row],[M (KN.mm)]]/(Table1123[[#This Row],[b (mm)]]*Table1123[[#This Row],[h (mm)]]*Table1123[[#This Row],[L(mm)]]*Table1123[[#This Row],[fc (Mpa)]])</f>
        <v>9.3629213312683961E-6</v>
      </c>
      <c r="R26" s="110">
        <f>Table1123[[#This Row],[M (KN.mm)]]/(Table1123[[#This Row],[b (mm)]]*Table1123[[#This Row],[h (mm)]]*Table1123[[#This Row],[L(mm)]]/2)</f>
        <v>4.6477541488416317E-4</v>
      </c>
      <c r="S26" s="110">
        <f>Table1123[[#This Row],[M (KN.mm)]]/(Table1123[[#This Row],[a (mm)]]*Table1123[[#This Row],[b (mm)]]*Table1123[[#This Row],[h (mm)]]*Table1123[[#This Row],[L(mm)]]/2)</f>
        <v>7.6242686168661955E-7</v>
      </c>
      <c r="T26" s="110">
        <f>Table1123[[#This Row],[M (KN.mm)]]/(Table1123[[#This Row],[a (mm)]]^2*Table1123[[#This Row],[b (mm)]]*Table1123[[#This Row],[h (mm)]])</f>
        <v>1.2409291368597324E-6</v>
      </c>
      <c r="U26" s="110">
        <f>Table1123[[#This Row],[M (KN.mm)]]/(Table1123[[#This Row],[b (mm)]]*Table1123[[#This Row],[d (mm)]]*Table1123[[#This Row],[pho (%)]])</f>
        <v>0.620026026158495</v>
      </c>
      <c r="V26" s="110">
        <f>E26*224.8/(2*SQRT(Table1123[[#This Row],[fc (Mpa)]]*145.037)*Table1123[[#This Row],[b (mm)]]*Table1123[[#This Row],[d (mm)]]*(1/25.4)^2)</f>
        <v>1.0449062792424364</v>
      </c>
      <c r="W26" s="110">
        <f>Table1123[[#This Row],[M (KN.mm)]]/$G$30</f>
        <v>0.59250000000000003</v>
      </c>
      <c r="X26" s="110">
        <f>Table1123[[#This Row],[V/(2*sqrt(fc) bd)]]</f>
        <v>1.0449062792424364</v>
      </c>
      <c r="Y26" s="123">
        <f>2*SQRT(Table1123[[#This Row],[fc (Mpa)]]*145.037)/Table1123[[#This Row],[pho (%)]]*Table1123[[#This Row],[a (mm)]]*1/(224.8*25.4^2)</f>
        <v>0.59337955802889597</v>
      </c>
      <c r="Z26" s="123">
        <f>(2*SQRT(Table1123[[#This Row],[fc (Mpa)]]*145.037)*Table1123[[#This Row],[b (mm)]]*Table1123[[#This Row],[d (mm)]]*(1/25.4)^2)/224.8</f>
        <v>50.44356709026021</v>
      </c>
      <c r="AA26" s="123">
        <f>Table1123[[#This Row],[M (KN.mm)]]/(Table1123[[#This Row],[b (mm)]]*Table1123[[#This Row],[d (mm)]]^2*Table1123[[#This Row],[pho (%)]])</f>
        <v>2.3248069972197035E-3</v>
      </c>
      <c r="AB26" s="110">
        <f t="shared" si="10"/>
        <v>609.59999999999991</v>
      </c>
      <c r="AC26" s="110">
        <f t="shared" si="11"/>
        <v>266.7</v>
      </c>
      <c r="AD26" s="110">
        <f t="shared" si="12"/>
        <v>304.79999999999995</v>
      </c>
      <c r="AE26" s="110">
        <f t="shared" si="13"/>
        <v>228.6</v>
      </c>
      <c r="AF26" s="7">
        <v>24.82</v>
      </c>
      <c r="AG26" s="110">
        <f>Table1123[[#This Row],[pho (%)]]/100*Table1123[[#This Row],[b (mm)]]*Table1123[[#This Row],[h (mm)]]</f>
        <v>592.25687999999991</v>
      </c>
      <c r="AH26" s="111">
        <v>0.85</v>
      </c>
      <c r="AI26" s="110">
        <v>629</v>
      </c>
      <c r="AJ26" s="110">
        <f>(1/3-0.21*(MIN(Table1123[[#This Row],[b (mm)]],AD26)/MAX(Table1123[[#This Row],[b (mm)]],AD26))*(MIN(Table1123[[#This Row],[b (mm)]],AD26)^4/(12*MAX(Table1123[[#This Row],[b (mm)]],AD26)^4)))*MAX(Table1123[[#This Row],[b (mm)]],AD26)*MIN(Table1123[[#This Row],[b (mm)]],AD26)^3</f>
        <v>1198609576.1573534</v>
      </c>
      <c r="AK26" s="110">
        <f>Table1123[[#This Row],[b (mm)]]*AD26^3/12</f>
        <v>539435927.57759976</v>
      </c>
      <c r="AL26" s="110">
        <f t="shared" si="14"/>
        <v>1984.375</v>
      </c>
      <c r="AM26" s="106"/>
      <c r="AN26" s="106"/>
      <c r="AO26" s="106"/>
      <c r="AP26"/>
      <c r="AT26"/>
      <c r="AU26"/>
    </row>
    <row r="27" spans="1:47" s="129" customFormat="1" x14ac:dyDescent="0.3">
      <c r="A27" s="121" t="s">
        <v>70</v>
      </c>
      <c r="B27" s="110" t="s">
        <v>62</v>
      </c>
      <c r="C27" s="110">
        <v>26</v>
      </c>
      <c r="D27" s="123">
        <f>Table1123[[#This Row],[a (mm)]]/Table1123[[#This Row],[d (mm)]]</f>
        <v>2.2857142857142856</v>
      </c>
      <c r="E27" s="110">
        <v>59.380800000000001</v>
      </c>
      <c r="F27" s="124">
        <f>Table1123[[#This Row],[d (mm)]]</f>
        <v>266.7</v>
      </c>
      <c r="G27" s="110">
        <f t="shared" si="0"/>
        <v>36198.535679999994</v>
      </c>
      <c r="H27" s="110">
        <f t="shared" si="1"/>
        <v>2.5479356338435141E-6</v>
      </c>
      <c r="I27" s="110">
        <f>G27/(Table1123[[#This Row],[b (mm)]]*AC27^2)</f>
        <v>2.2262234093629184E-3</v>
      </c>
      <c r="J27" s="110">
        <f t="shared" si="2"/>
        <v>0.364340312951006</v>
      </c>
      <c r="K27" s="110">
        <f t="shared" si="3"/>
        <v>1.5777516865145689E-6</v>
      </c>
      <c r="L27" s="110">
        <f>E27/(Table1123[[#This Row],[b (mm)]]*AC27)</f>
        <v>9.7397274159627693E-4</v>
      </c>
      <c r="M27" s="110">
        <f>Table1123[[#This Row],[M (KN.mm)]]/(Table1123[[#This Row],[b (mm)]]*Table1123[[#This Row],[d (mm)]])</f>
        <v>0.59373378327709025</v>
      </c>
      <c r="N27" s="110">
        <f>Table1123[[#This Row],[M (KN.mm)]]/(Table1123[[#This Row],[b (mm)]]*Table1123[[#This Row],[h (mm)]])</f>
        <v>0.51951706036745404</v>
      </c>
      <c r="O27" s="110">
        <f>Table1123[[#This Row],[M (KN.mm)]]/(Table1123[[#This Row],[b (mm)]]*Table1123[[#This Row],[h (mm)]]*Table1123[[#This Row],[L(mm)]])</f>
        <v>2.6180387294107924E-4</v>
      </c>
      <c r="P27" s="110">
        <f>Table1123[[#This Row],[M (KN.mm)]]/(Table1123[[#This Row],[b (mm)]]*Table1123[[#This Row],[d (mm)]]*Table1123[[#This Row],[L(mm)]])</f>
        <v>2.9920442621837626E-4</v>
      </c>
      <c r="Q27" s="110">
        <f>Table1123[[#This Row],[M (KN.mm)]]/(Table1123[[#This Row],[b (mm)]]*Table1123[[#This Row],[h (mm)]]*Table1123[[#This Row],[L(mm)]]*Table1123[[#This Row],[fc (Mpa)]])</f>
        <v>1.0548101246618824E-5</v>
      </c>
      <c r="R27" s="110">
        <f>Table1123[[#This Row],[M (KN.mm)]]/(Table1123[[#This Row],[b (mm)]]*Table1123[[#This Row],[h (mm)]]*Table1123[[#This Row],[L(mm)]]/2)</f>
        <v>5.2360774588215849E-4</v>
      </c>
      <c r="S27" s="110">
        <f>Table1123[[#This Row],[M (KN.mm)]]/(Table1123[[#This Row],[a (mm)]]*Table1123[[#This Row],[b (mm)]]*Table1123[[#This Row],[h (mm)]]*Table1123[[#This Row],[L(mm)]]/2)</f>
        <v>8.5893659101403958E-7</v>
      </c>
      <c r="T27" s="110">
        <f>Table1123[[#This Row],[M (KN.mm)]]/(Table1123[[#This Row],[a (mm)]]^2*Table1123[[#This Row],[b (mm)]]*Table1123[[#This Row],[h (mm)]])</f>
        <v>1.3980087744369134E-6</v>
      </c>
      <c r="U27" s="110">
        <f>Table1123[[#This Row],[M (KN.mm)]]/(Table1123[[#This Row],[b (mm)]]*Table1123[[#This Row],[d (mm)]]*Table1123[[#This Row],[pho (%)]])</f>
        <v>0.69851033326716516</v>
      </c>
      <c r="V27" s="110">
        <f>E27*224.8/(2*SQRT(Table1123[[#This Row],[fc (Mpa)]]*145.037)*Table1123[[#This Row],[b (mm)]]*Table1123[[#This Row],[d (mm)]]*(1/25.4)^2)</f>
        <v>1.177172896868061</v>
      </c>
      <c r="W27" s="110">
        <f>Table1123[[#This Row],[M (KN.mm)]]/$G$30</f>
        <v>0.66749999999999998</v>
      </c>
      <c r="X27" s="110">
        <f>Table1123[[#This Row],[V/(2*sqrt(fc) bd)]]</f>
        <v>1.177172896868061</v>
      </c>
      <c r="Y27" s="123">
        <f>2*SQRT(Table1123[[#This Row],[fc (Mpa)]]*145.037)/Table1123[[#This Row],[pho (%)]]*Table1123[[#This Row],[a (mm)]]*1/(224.8*25.4^2)</f>
        <v>0.59337955802889597</v>
      </c>
      <c r="Z27" s="123">
        <f>(2*SQRT(Table1123[[#This Row],[fc (Mpa)]]*145.037)*Table1123[[#This Row],[b (mm)]]*Table1123[[#This Row],[d (mm)]]*(1/25.4)^2)/224.8</f>
        <v>50.44356709026021</v>
      </c>
      <c r="AA27" s="123">
        <f>Table1123[[#This Row],[M (KN.mm)]]/(Table1123[[#This Row],[b (mm)]]*Table1123[[#This Row],[d (mm)]]^2*Table1123[[#This Row],[pho (%)]])</f>
        <v>2.6190863639563747E-3</v>
      </c>
      <c r="AB27" s="110">
        <f t="shared" si="10"/>
        <v>609.59999999999991</v>
      </c>
      <c r="AC27" s="110">
        <f t="shared" si="11"/>
        <v>266.7</v>
      </c>
      <c r="AD27" s="110">
        <f t="shared" si="12"/>
        <v>304.79999999999995</v>
      </c>
      <c r="AE27" s="110">
        <f t="shared" si="13"/>
        <v>228.6</v>
      </c>
      <c r="AF27" s="7">
        <v>24.82</v>
      </c>
      <c r="AG27" s="110">
        <f>Table1123[[#This Row],[pho (%)]]/100*Table1123[[#This Row],[b (mm)]]*Table1123[[#This Row],[h (mm)]]</f>
        <v>592.25687999999991</v>
      </c>
      <c r="AH27" s="111">
        <v>0.85</v>
      </c>
      <c r="AI27" s="110">
        <v>629</v>
      </c>
      <c r="AJ27" s="110">
        <f>(1/3-0.21*(MIN(Table1123[[#This Row],[b (mm)]],AD27)/MAX(Table1123[[#This Row],[b (mm)]],AD27))*(MIN(Table1123[[#This Row],[b (mm)]],AD27)^4/(12*MAX(Table1123[[#This Row],[b (mm)]],AD27)^4)))*MAX(Table1123[[#This Row],[b (mm)]],AD27)*MIN(Table1123[[#This Row],[b (mm)]],AD27)^3</f>
        <v>1198609576.1573534</v>
      </c>
      <c r="AK27" s="110">
        <f>Table1123[[#This Row],[b (mm)]]*AD27^3/12</f>
        <v>539435927.57759976</v>
      </c>
      <c r="AL27" s="110">
        <f t="shared" si="14"/>
        <v>1984.375</v>
      </c>
      <c r="AM27" s="106"/>
      <c r="AN27" s="106"/>
      <c r="AO27" s="106"/>
      <c r="AP27"/>
      <c r="AT27"/>
      <c r="AU27"/>
    </row>
    <row r="28" spans="1:47" s="129" customFormat="1" x14ac:dyDescent="0.3">
      <c r="A28" s="121" t="s">
        <v>70</v>
      </c>
      <c r="B28" s="110" t="s">
        <v>63</v>
      </c>
      <c r="C28" s="110">
        <v>27</v>
      </c>
      <c r="D28" s="123">
        <f>Table1123[[#This Row],[a (mm)]]/Table1123[[#This Row],[d (mm)]]</f>
        <v>2.2857142857142856</v>
      </c>
      <c r="E28" s="110">
        <v>66.275200000000012</v>
      </c>
      <c r="F28" s="124">
        <f>Table1123[[#This Row],[d (mm)]]</f>
        <v>266.7</v>
      </c>
      <c r="G28" s="110">
        <f t="shared" si="0"/>
        <v>40401.361920000003</v>
      </c>
      <c r="H28" s="110">
        <f t="shared" si="1"/>
        <v>2.8437633666118628E-6</v>
      </c>
      <c r="I28" s="110">
        <f>G28/(Table1123[[#This Row],[b (mm)]]*AC28^2)</f>
        <v>2.4846987864799619E-3</v>
      </c>
      <c r="J28" s="110">
        <f t="shared" si="2"/>
        <v>0.40664199722621658</v>
      </c>
      <c r="K28" s="110">
        <f t="shared" si="3"/>
        <v>1.760936339255961E-6</v>
      </c>
      <c r="L28" s="110">
        <f>E28/(Table1123[[#This Row],[b (mm)]]*AC28)</f>
        <v>1.0870557190849834E-3</v>
      </c>
      <c r="M28" s="110">
        <f>Table1123[[#This Row],[M (KN.mm)]]/(Table1123[[#This Row],[b (mm)]]*Table1123[[#This Row],[d (mm)]])</f>
        <v>0.66266916635420581</v>
      </c>
      <c r="N28" s="110">
        <f>Table1123[[#This Row],[M (KN.mm)]]/(Table1123[[#This Row],[b (mm)]]*Table1123[[#This Row],[h (mm)]])</f>
        <v>0.57983552055993015</v>
      </c>
      <c r="O28" s="110">
        <f>Table1123[[#This Row],[M (KN.mm)]]/(Table1123[[#This Row],[b (mm)]]*Table1123[[#This Row],[h (mm)]]*Table1123[[#This Row],[L(mm)]])</f>
        <v>2.9220057729004357E-4</v>
      </c>
      <c r="P28" s="110">
        <f>Table1123[[#This Row],[M (KN.mm)]]/(Table1123[[#This Row],[b (mm)]]*Table1123[[#This Row],[d (mm)]]*Table1123[[#This Row],[L(mm)]])</f>
        <v>3.3394351690290688E-4</v>
      </c>
      <c r="Q28" s="110">
        <f>Table1123[[#This Row],[M (KN.mm)]]/(Table1123[[#This Row],[b (mm)]]*Table1123[[#This Row],[h (mm)]]*Table1123[[#This Row],[L(mm)]]*Table1123[[#This Row],[fc (Mpa)]])</f>
        <v>1.1772787159147606E-5</v>
      </c>
      <c r="R28" s="110">
        <f>Table1123[[#This Row],[M (KN.mm)]]/(Table1123[[#This Row],[b (mm)]]*Table1123[[#This Row],[h (mm)]]*Table1123[[#This Row],[L(mm)]]/2)</f>
        <v>5.8440115458008714E-4</v>
      </c>
      <c r="S28" s="110">
        <f>Table1123[[#This Row],[M (KN.mm)]]/(Table1123[[#This Row],[a (mm)]]*Table1123[[#This Row],[b (mm)]]*Table1123[[#This Row],[h (mm)]]*Table1123[[#This Row],[L(mm)]]/2)</f>
        <v>9.5866331131904071E-7</v>
      </c>
      <c r="T28" s="110">
        <f>Table1123[[#This Row],[M (KN.mm)]]/(Table1123[[#This Row],[a (mm)]]^2*Table1123[[#This Row],[b (mm)]]*Table1123[[#This Row],[h (mm)]])</f>
        <v>1.5603243999333346E-6</v>
      </c>
      <c r="U28" s="110">
        <f>Table1123[[#This Row],[M (KN.mm)]]/(Table1123[[#This Row],[b (mm)]]*Table1123[[#This Row],[d (mm)]]*Table1123[[#This Row],[pho (%)]])</f>
        <v>0.7796107839461246</v>
      </c>
      <c r="V28" s="110">
        <f>E28*224.8/(2*SQRT(Table1123[[#This Row],[fc (Mpa)]]*145.037)*Table1123[[#This Row],[b (mm)]]*Table1123[[#This Row],[d (mm)]]*(1/25.4)^2)</f>
        <v>1.3138484017478738</v>
      </c>
      <c r="W28" s="110">
        <f>Table1123[[#This Row],[M (KN.mm)]]/$G$30</f>
        <v>0.74500000000000011</v>
      </c>
      <c r="X28" s="110">
        <f>Table1123[[#This Row],[V/(2*sqrt(fc) bd)]]</f>
        <v>1.3138484017478738</v>
      </c>
      <c r="Y28" s="123">
        <f>2*SQRT(Table1123[[#This Row],[fc (Mpa)]]*145.037)/Table1123[[#This Row],[pho (%)]]*Table1123[[#This Row],[a (mm)]]*1/(224.8*25.4^2)</f>
        <v>0.59337955802889597</v>
      </c>
      <c r="Z28" s="123">
        <f>(2*SQRT(Table1123[[#This Row],[fc (Mpa)]]*145.037)*Table1123[[#This Row],[b (mm)]]*Table1123[[#This Row],[d (mm)]]*(1/25.4)^2)/224.8</f>
        <v>50.44356709026021</v>
      </c>
      <c r="AA28" s="123">
        <f>Table1123[[#This Row],[M (KN.mm)]]/(Table1123[[#This Row],[b (mm)]]*Table1123[[#This Row],[d (mm)]]^2*Table1123[[#This Row],[pho (%)]])</f>
        <v>2.9231750429176023E-3</v>
      </c>
      <c r="AB28" s="110">
        <f t="shared" si="10"/>
        <v>609.59999999999991</v>
      </c>
      <c r="AC28" s="110">
        <f t="shared" si="11"/>
        <v>266.7</v>
      </c>
      <c r="AD28" s="110">
        <f t="shared" si="12"/>
        <v>304.79999999999995</v>
      </c>
      <c r="AE28" s="110">
        <f t="shared" si="13"/>
        <v>228.6</v>
      </c>
      <c r="AF28" s="7">
        <v>24.82</v>
      </c>
      <c r="AG28" s="110">
        <f>Table1123[[#This Row],[pho (%)]]/100*Table1123[[#This Row],[b (mm)]]*Table1123[[#This Row],[h (mm)]]</f>
        <v>592.25687999999991</v>
      </c>
      <c r="AH28" s="111">
        <v>0.85</v>
      </c>
      <c r="AI28" s="110">
        <v>629</v>
      </c>
      <c r="AJ28" s="110">
        <f>(1/3-0.21*(MIN(Table1123[[#This Row],[b (mm)]],AD28)/MAX(Table1123[[#This Row],[b (mm)]],AD28))*(MIN(Table1123[[#This Row],[b (mm)]],AD28)^4/(12*MAX(Table1123[[#This Row],[b (mm)]],AD28)^4)))*MAX(Table1123[[#This Row],[b (mm)]],AD28)*MIN(Table1123[[#This Row],[b (mm)]],AD28)^3</f>
        <v>1198609576.1573534</v>
      </c>
      <c r="AK28" s="110">
        <f>Table1123[[#This Row],[b (mm)]]*AD28^3/12</f>
        <v>539435927.57759976</v>
      </c>
      <c r="AL28" s="110">
        <f t="shared" si="14"/>
        <v>1984.375</v>
      </c>
      <c r="AM28" s="106"/>
      <c r="AN28" s="106"/>
      <c r="AO28" s="106"/>
      <c r="AP28"/>
      <c r="AT28"/>
      <c r="AU28"/>
    </row>
    <row r="29" spans="1:47" s="129" customFormat="1" x14ac:dyDescent="0.3">
      <c r="A29" s="121" t="s">
        <v>70</v>
      </c>
      <c r="B29" s="110" t="s">
        <v>64</v>
      </c>
      <c r="C29" s="110">
        <v>28</v>
      </c>
      <c r="D29" s="123">
        <f>Table1123[[#This Row],[a (mm)]]/Table1123[[#This Row],[d (mm)]]</f>
        <v>2.2857142857142856</v>
      </c>
      <c r="E29" s="110">
        <v>77.395200000000003</v>
      </c>
      <c r="F29" s="124">
        <f>Table1123[[#This Row],[d (mm)]]</f>
        <v>266.7</v>
      </c>
      <c r="G29" s="110">
        <f t="shared" si="0"/>
        <v>47180.113919999996</v>
      </c>
      <c r="H29" s="110">
        <f t="shared" si="1"/>
        <v>3.3209048710769401E-6</v>
      </c>
      <c r="I29" s="110">
        <f>G29/(Table1123[[#This Row],[b (mm)]]*AC29^2)</f>
        <v>2.9015945560235791E-3</v>
      </c>
      <c r="J29" s="110">
        <f t="shared" si="2"/>
        <v>0.47487052025074944</v>
      </c>
      <c r="K29" s="110">
        <f t="shared" si="3"/>
        <v>2.0563954565807863E-6</v>
      </c>
      <c r="L29" s="110">
        <f>E29/(Table1123[[#This Row],[b (mm)]]*AC29)</f>
        <v>1.2694476182603159E-3</v>
      </c>
      <c r="M29" s="110">
        <f>Table1123[[#This Row],[M (KN.mm)]]/(Table1123[[#This Row],[b (mm)]]*Table1123[[#This Row],[d (mm)]])</f>
        <v>0.77385526809148852</v>
      </c>
      <c r="N29" s="110">
        <f>Table1123[[#This Row],[M (KN.mm)]]/(Table1123[[#This Row],[b (mm)]]*Table1123[[#This Row],[h (mm)]])</f>
        <v>0.67712335958005254</v>
      </c>
      <c r="O29" s="110">
        <f>Table1123[[#This Row],[M (KN.mm)]]/(Table1123[[#This Row],[b (mm)]]*Table1123[[#This Row],[h (mm)]]*Table1123[[#This Row],[L(mm)]])</f>
        <v>3.4122751978837298E-4</v>
      </c>
      <c r="P29" s="110">
        <f>Table1123[[#This Row],[M (KN.mm)]]/(Table1123[[#This Row],[b (mm)]]*Table1123[[#This Row],[d (mm)]]*Table1123[[#This Row],[L(mm)]])</f>
        <v>3.8997430832956903E-4</v>
      </c>
      <c r="Q29" s="110">
        <f>Table1123[[#This Row],[M (KN.mm)]]/(Table1123[[#This Row],[b (mm)]]*Table1123[[#This Row],[h (mm)]]*Table1123[[#This Row],[L(mm)]]*Table1123[[#This Row],[fc (Mpa)]])</f>
        <v>1.3748087018064986E-5</v>
      </c>
      <c r="R29" s="110">
        <f>Table1123[[#This Row],[M (KN.mm)]]/(Table1123[[#This Row],[b (mm)]]*Table1123[[#This Row],[h (mm)]]*Table1123[[#This Row],[L(mm)]]/2)</f>
        <v>6.8245503957674596E-4</v>
      </c>
      <c r="S29" s="110">
        <f>Table1123[[#This Row],[M (KN.mm)]]/(Table1123[[#This Row],[a (mm)]]*Table1123[[#This Row],[b (mm)]]*Table1123[[#This Row],[h (mm)]]*Table1123[[#This Row],[L(mm)]]/2)</f>
        <v>1.1195128601980741E-6</v>
      </c>
      <c r="T29" s="110">
        <f>Table1123[[#This Row],[M (KN.mm)]]/(Table1123[[#This Row],[a (mm)]]^2*Table1123[[#This Row],[b (mm)]]*Table1123[[#This Row],[h (mm)]])</f>
        <v>1.8221237958953031E-6</v>
      </c>
      <c r="U29" s="110">
        <f>Table1123[[#This Row],[M (KN.mm)]]/(Table1123[[#This Row],[b (mm)]]*Table1123[[#This Row],[d (mm)]]*Table1123[[#This Row],[pho (%)]])</f>
        <v>0.91041796246057483</v>
      </c>
      <c r="V29" s="110">
        <f>E29*224.8/(2*SQRT(Table1123[[#This Row],[fc (Mpa)]]*145.037)*Table1123[[#This Row],[b (mm)]]*Table1123[[#This Row],[d (mm)]]*(1/25.4)^2)</f>
        <v>1.5342927644572482</v>
      </c>
      <c r="W29" s="110">
        <f>Table1123[[#This Row],[M (KN.mm)]]/$G$30</f>
        <v>0.87</v>
      </c>
      <c r="X29" s="110">
        <f>Table1123[[#This Row],[V/(2*sqrt(fc) bd)]]</f>
        <v>1.5342927644572482</v>
      </c>
      <c r="Y29" s="123">
        <f>2*SQRT(Table1123[[#This Row],[fc (Mpa)]]*145.037)/Table1123[[#This Row],[pho (%)]]*Table1123[[#This Row],[a (mm)]]*1/(224.8*25.4^2)</f>
        <v>0.59337955802889597</v>
      </c>
      <c r="Z29" s="123">
        <f>(2*SQRT(Table1123[[#This Row],[fc (Mpa)]]*145.037)*Table1123[[#This Row],[b (mm)]]*Table1123[[#This Row],[d (mm)]]*(1/25.4)^2)/224.8</f>
        <v>50.44356709026021</v>
      </c>
      <c r="AA29" s="123">
        <f>Table1123[[#This Row],[M (KN.mm)]]/(Table1123[[#This Row],[b (mm)]]*Table1123[[#This Row],[d (mm)]]^2*Table1123[[#This Row],[pho (%)]])</f>
        <v>3.4136406541453875E-3</v>
      </c>
      <c r="AB29" s="110">
        <f t="shared" si="10"/>
        <v>609.59999999999991</v>
      </c>
      <c r="AC29" s="110">
        <f t="shared" si="11"/>
        <v>266.7</v>
      </c>
      <c r="AD29" s="110">
        <f t="shared" si="12"/>
        <v>304.79999999999995</v>
      </c>
      <c r="AE29" s="110">
        <f t="shared" si="13"/>
        <v>228.6</v>
      </c>
      <c r="AF29" s="7">
        <v>24.82</v>
      </c>
      <c r="AG29" s="110">
        <f>Table1123[[#This Row],[pho (%)]]/100*Table1123[[#This Row],[b (mm)]]*Table1123[[#This Row],[h (mm)]]</f>
        <v>592.25687999999991</v>
      </c>
      <c r="AH29" s="111">
        <v>0.85</v>
      </c>
      <c r="AI29" s="110">
        <v>629</v>
      </c>
      <c r="AJ29" s="110">
        <f>(1/3-0.21*(MIN(Table1123[[#This Row],[b (mm)]],AD29)/MAX(Table1123[[#This Row],[b (mm)]],AD29))*(MIN(Table1123[[#This Row],[b (mm)]],AD29)^4/(12*MAX(Table1123[[#This Row],[b (mm)]],AD29)^4)))*MAX(Table1123[[#This Row],[b (mm)]],AD29)*MIN(Table1123[[#This Row],[b (mm)]],AD29)^3</f>
        <v>1198609576.1573534</v>
      </c>
      <c r="AK29" s="110">
        <f>Table1123[[#This Row],[b (mm)]]*AD29^3/12</f>
        <v>539435927.57759976</v>
      </c>
      <c r="AL29" s="110">
        <f t="shared" si="14"/>
        <v>1984.375</v>
      </c>
      <c r="AM29" s="106"/>
      <c r="AN29" s="106"/>
      <c r="AO29" s="106"/>
      <c r="AP29"/>
      <c r="AT29"/>
      <c r="AU29"/>
    </row>
    <row r="30" spans="1:47" s="129" customFormat="1" x14ac:dyDescent="0.3">
      <c r="A30" s="122" t="s">
        <v>70</v>
      </c>
      <c r="B30" s="110" t="s">
        <v>65</v>
      </c>
      <c r="C30" s="110">
        <v>29</v>
      </c>
      <c r="D30" s="123">
        <f>Table1123[[#This Row],[a (mm)]]/Table1123[[#This Row],[d (mm)]]</f>
        <v>2.2857142857142856</v>
      </c>
      <c r="E30" s="110">
        <v>88.960000000000008</v>
      </c>
      <c r="F30" s="124">
        <f>Table1123[[#This Row],[d (mm)]]</f>
        <v>266.7</v>
      </c>
      <c r="G30" s="110">
        <f t="shared" si="0"/>
        <v>54230.015999999996</v>
      </c>
      <c r="H30" s="110">
        <f t="shared" si="1"/>
        <v>3.8171320357206206E-6</v>
      </c>
      <c r="I30" s="110">
        <f>G30/(Table1123[[#This Row],[b (mm)]]*AC30^2)</f>
        <v>3.3351661563489417E-3</v>
      </c>
      <c r="J30" s="110">
        <f t="shared" si="2"/>
        <v>0.54582818419626378</v>
      </c>
      <c r="K30" s="110">
        <f t="shared" si="3"/>
        <v>2.3636729385986052E-6</v>
      </c>
      <c r="L30" s="110">
        <f>E30/(Table1123[[#This Row],[b (mm)]]*AC30)</f>
        <v>1.4591351934026622E-3</v>
      </c>
      <c r="M30" s="110">
        <f>Table1123[[#This Row],[M (KN.mm)]]/(Table1123[[#This Row],[b (mm)]]*Table1123[[#This Row],[d (mm)]])</f>
        <v>0.88948881389826273</v>
      </c>
      <c r="N30" s="110">
        <f>Table1123[[#This Row],[M (KN.mm)]]/(Table1123[[#This Row],[b (mm)]]*Table1123[[#This Row],[h (mm)]])</f>
        <v>0.77830271216098001</v>
      </c>
      <c r="O30" s="110">
        <f>Table1123[[#This Row],[M (KN.mm)]]/(Table1123[[#This Row],[b (mm)]]*Table1123[[#This Row],[h (mm)]]*Table1123[[#This Row],[L(mm)]])</f>
        <v>3.922155399866356E-4</v>
      </c>
      <c r="P30" s="110">
        <f>Table1123[[#This Row],[M (KN.mm)]]/(Table1123[[#This Row],[b (mm)]]*Table1123[[#This Row],[d (mm)]]*Table1123[[#This Row],[L(mm)]])</f>
        <v>4.4824633141329776E-4</v>
      </c>
      <c r="Q30" s="110">
        <f>Table1123[[#This Row],[M (KN.mm)]]/(Table1123[[#This Row],[b (mm)]]*Table1123[[#This Row],[h (mm)]]*Table1123[[#This Row],[L(mm)]]*Table1123[[#This Row],[fc (Mpa)]])</f>
        <v>1.5802398871339063E-5</v>
      </c>
      <c r="R30" s="110">
        <f>Table1123[[#This Row],[M (KN.mm)]]/(Table1123[[#This Row],[b (mm)]]*Table1123[[#This Row],[h (mm)]]*Table1123[[#This Row],[L(mm)]]/2)</f>
        <v>7.8443107997327121E-4</v>
      </c>
      <c r="S30" s="110">
        <f>Table1123[[#This Row],[M (KN.mm)]]/(Table1123[[#This Row],[a (mm)]]*Table1123[[#This Row],[b (mm)]]*Table1123[[#This Row],[h (mm)]]*Table1123[[#This Row],[L(mm)]]/2)</f>
        <v>1.2867963910322692E-6</v>
      </c>
      <c r="T30" s="110">
        <f>Table1123[[#This Row],[M (KN.mm)]]/(Table1123[[#This Row],[a (mm)]]^2*Table1123[[#This Row],[b (mm)]]*Table1123[[#This Row],[h (mm)]])</f>
        <v>2.0943951676957509E-6</v>
      </c>
      <c r="U30" s="110">
        <f>Table1123[[#This Row],[M (KN.mm)]]/(Table1123[[#This Row],[b (mm)]]*Table1123[[#This Row],[d (mm)]]*Table1123[[#This Row],[pho (%)]])</f>
        <v>1.0464574281156034</v>
      </c>
      <c r="V30" s="110">
        <f>E30*224.8/(2*SQRT(Table1123[[#This Row],[fc (Mpa)]]*145.037)*Table1123[[#This Row],[b (mm)]]*Table1123[[#This Row],[d (mm)]]*(1/25.4)^2)</f>
        <v>1.7635549016749981</v>
      </c>
      <c r="W30" s="110">
        <f>Table1123[[#This Row],[M (KN.mm)]]/$G$30</f>
        <v>1</v>
      </c>
      <c r="X30" s="110">
        <f>Table1123[[#This Row],[V/(2*sqrt(fc) bd)]]</f>
        <v>1.7635549016749981</v>
      </c>
      <c r="Y30" s="123">
        <f>2*SQRT(Table1123[[#This Row],[fc (Mpa)]]*145.037)/Table1123[[#This Row],[pho (%)]]*Table1123[[#This Row],[a (mm)]]*1/(224.8*25.4^2)</f>
        <v>0.59337955802889597</v>
      </c>
      <c r="Z30" s="123">
        <f>(2*SQRT(Table1123[[#This Row],[fc (Mpa)]]*145.037)*Table1123[[#This Row],[b (mm)]]*Table1123[[#This Row],[d (mm)]]*(1/25.4)^2)/224.8</f>
        <v>50.44356709026021</v>
      </c>
      <c r="AA30" s="123">
        <f>Table1123[[#This Row],[M (KN.mm)]]/(Table1123[[#This Row],[b (mm)]]*Table1123[[#This Row],[d (mm)]]^2*Table1123[[#This Row],[pho (%)]])</f>
        <v>3.9237248898222844E-3</v>
      </c>
      <c r="AB30" s="110">
        <f t="shared" si="10"/>
        <v>609.59999999999991</v>
      </c>
      <c r="AC30" s="110">
        <f t="shared" si="11"/>
        <v>266.7</v>
      </c>
      <c r="AD30" s="110">
        <f t="shared" si="12"/>
        <v>304.79999999999995</v>
      </c>
      <c r="AE30" s="110">
        <f t="shared" si="13"/>
        <v>228.6</v>
      </c>
      <c r="AF30" s="7">
        <v>24.82</v>
      </c>
      <c r="AG30" s="110">
        <f>Table1123[[#This Row],[pho (%)]]/100*Table1123[[#This Row],[b (mm)]]*Table1123[[#This Row],[h (mm)]]</f>
        <v>592.25687999999991</v>
      </c>
      <c r="AH30" s="111">
        <v>0.85</v>
      </c>
      <c r="AI30" s="110">
        <v>629</v>
      </c>
      <c r="AJ30" s="110">
        <f>(1/3-0.21*(MIN(Table1123[[#This Row],[b (mm)]],AD30)/MAX(Table1123[[#This Row],[b (mm)]],AD30))*(MIN(Table1123[[#This Row],[b (mm)]],AD30)^4/(12*MAX(Table1123[[#This Row],[b (mm)]],AD30)^4)))*MAX(Table1123[[#This Row],[b (mm)]],AD30)*MIN(Table1123[[#This Row],[b (mm)]],AD30)^3</f>
        <v>1198609576.1573534</v>
      </c>
      <c r="AK30" s="110">
        <f>Table1123[[#This Row],[b (mm)]]*AD30^3/12</f>
        <v>539435927.57759976</v>
      </c>
      <c r="AL30" s="110">
        <f t="shared" si="14"/>
        <v>1984.375</v>
      </c>
      <c r="AM30" s="106"/>
      <c r="AN30" s="106"/>
      <c r="AO30" s="106"/>
      <c r="AP30"/>
      <c r="AT30"/>
      <c r="AU30"/>
    </row>
    <row r="31" spans="1:47" x14ac:dyDescent="0.3">
      <c r="A31" s="115" t="s">
        <v>71</v>
      </c>
      <c r="B31" s="109" t="s">
        <v>60</v>
      </c>
      <c r="C31" s="109">
        <v>30</v>
      </c>
      <c r="D31" s="123">
        <f>Table1123[[#This Row],[a (mm)]]/Table1123[[#This Row],[d (mm)]]</f>
        <v>2.2857142857142856</v>
      </c>
      <c r="E31" s="109">
        <v>40.921599999999998</v>
      </c>
      <c r="F31" s="124">
        <f>Table1123[[#This Row],[d (mm)]]</f>
        <v>266.7</v>
      </c>
      <c r="G31" s="109">
        <f t="shared" si="0"/>
        <v>24945.807359999995</v>
      </c>
      <c r="H31" s="109">
        <f t="shared" si="1"/>
        <v>1.7558807364314854E-6</v>
      </c>
      <c r="I31" s="109">
        <f>G31/(Table1123[[#This Row],[b (mm)]]*AC31^2)</f>
        <v>1.534176431920513E-3</v>
      </c>
      <c r="J31" s="109">
        <f t="shared" si="2"/>
        <v>0.38803421821952566</v>
      </c>
      <c r="K31" s="109">
        <f t="shared" si="3"/>
        <v>1.0872895517553582E-6</v>
      </c>
      <c r="L31" s="109">
        <f>E31/(Table1123[[#This Row],[b (mm)]]*AC31)</f>
        <v>6.7120218896522452E-4</v>
      </c>
      <c r="M31" s="109">
        <f>Table1123[[#This Row],[M (KN.mm)]]/(Table1123[[#This Row],[b (mm)]]*Table1123[[#This Row],[d (mm)]])</f>
        <v>0.40916485439320083</v>
      </c>
      <c r="N31" s="109">
        <f>Table1123[[#This Row],[M (KN.mm)]]/(Table1123[[#This Row],[b (mm)]]*Table1123[[#This Row],[h (mm)]])</f>
        <v>0.35801924759405074</v>
      </c>
      <c r="O31" s="109">
        <f>Table1123[[#This Row],[M (KN.mm)]]/(Table1123[[#This Row],[b (mm)]]*Table1123[[#This Row],[h (mm)]]*Table1123[[#This Row],[L(mm)]])</f>
        <v>1.8041914839385235E-4</v>
      </c>
      <c r="P31" s="109">
        <f>Table1123[[#This Row],[M (KN.mm)]]/(Table1123[[#This Row],[b (mm)]]*Table1123[[#This Row],[d (mm)]]*Table1123[[#This Row],[L(mm)]])</f>
        <v>2.0619331245011694E-4</v>
      </c>
      <c r="Q31" s="109">
        <f>Table1123[[#This Row],[M (KN.mm)]]/(Table1123[[#This Row],[b (mm)]]*Table1123[[#This Row],[h (mm)]]*Table1123[[#This Row],[L(mm)]]*Table1123[[#This Row],[fc (Mpa)]])</f>
        <v>5.3410049850163511E-6</v>
      </c>
      <c r="R31" s="109">
        <f>Table1123[[#This Row],[M (KN.mm)]]/(Table1123[[#This Row],[b (mm)]]*Table1123[[#This Row],[h (mm)]]*Table1123[[#This Row],[L(mm)]]/2)</f>
        <v>3.608382967877047E-4</v>
      </c>
      <c r="S31" s="109">
        <f>Table1123[[#This Row],[M (KN.mm)]]/(Table1123[[#This Row],[a (mm)]]*Table1123[[#This Row],[b (mm)]]*Table1123[[#This Row],[h (mm)]]*Table1123[[#This Row],[L(mm)]]/2)</f>
        <v>5.9192633987484373E-7</v>
      </c>
      <c r="T31" s="109">
        <f>Table1123[[#This Row],[M (KN.mm)]]/(Table1123[[#This Row],[a (mm)]]^2*Table1123[[#This Row],[b (mm)]]*Table1123[[#This Row],[h (mm)]])</f>
        <v>9.6342177714004532E-7</v>
      </c>
      <c r="U31" s="109">
        <f>Table1123[[#This Row],[M (KN.mm)]]/(Table1123[[#This Row],[b (mm)]]*Table1123[[#This Row],[d (mm)]]*Table1123[[#This Row],[pho (%)]])</f>
        <v>0.74393609889672874</v>
      </c>
      <c r="V31" s="109">
        <f>E31*224.8/(2*SQRT(Table1123[[#This Row],[fc (Mpa)]]*145.037)*Table1123[[#This Row],[b (mm)]]*Table1123[[#This Row],[d (mm)]]*(1/25.4)^2)</f>
        <v>0.69537309308848461</v>
      </c>
      <c r="W31" s="110">
        <f>Table1123[[#This Row],[M (KN.mm)]]/$G$38</f>
        <v>0.4181818181818181</v>
      </c>
      <c r="X31" s="110">
        <f>Table1123[[#This Row],[V/(2*sqrt(fc) bd)]]</f>
        <v>0.69537309308848461</v>
      </c>
      <c r="Y31" s="123">
        <f>2*SQRT(Table1123[[#This Row],[fc (Mpa)]]*145.037)/Table1123[[#This Row],[pho (%)]]*Table1123[[#This Row],[a (mm)]]*1/(224.8*25.4^2)</f>
        <v>1.0698373381008353</v>
      </c>
      <c r="Z31" s="123">
        <f>(2*SQRT(Table1123[[#This Row],[fc (Mpa)]]*145.037)*Table1123[[#This Row],[b (mm)]]*Table1123[[#This Row],[d (mm)]]*(1/25.4)^2)/224.8</f>
        <v>58.848408727245385</v>
      </c>
      <c r="AA31" s="123">
        <f>Table1123[[#This Row],[M (KN.mm)]]/(Table1123[[#This Row],[b (mm)]]*Table1123[[#This Row],[d (mm)]]^2*Table1123[[#This Row],[pho (%)]])</f>
        <v>2.7894116944009325E-3</v>
      </c>
      <c r="AB31" s="109">
        <f t="shared" si="10"/>
        <v>609.59999999999991</v>
      </c>
      <c r="AC31" s="109">
        <f t="shared" si="11"/>
        <v>266.7</v>
      </c>
      <c r="AD31" s="109">
        <f t="shared" si="12"/>
        <v>304.79999999999995</v>
      </c>
      <c r="AE31" s="109">
        <f t="shared" si="13"/>
        <v>228.6</v>
      </c>
      <c r="AF31" s="7">
        <v>33.78</v>
      </c>
      <c r="AG31" s="110">
        <f>Table1123[[#This Row],[pho (%)]]/100*Table1123[[#This Row],[b (mm)]]*Table1123[[#This Row],[h (mm)]]</f>
        <v>383.22503999999998</v>
      </c>
      <c r="AH31" s="111">
        <v>0.55000000000000004</v>
      </c>
      <c r="AI31" s="110">
        <v>629</v>
      </c>
      <c r="AJ31" s="110">
        <f>(1/3-0.21*(MIN(Table1123[[#This Row],[b (mm)]],AD31)/MAX(Table1123[[#This Row],[b (mm)]],AD31))*(MIN(Table1123[[#This Row],[b (mm)]],AD31)^4/(12*MAX(Table1123[[#This Row],[b (mm)]],AD31)^4)))*MAX(Table1123[[#This Row],[b (mm)]],AD31)*MIN(Table1123[[#This Row],[b (mm)]],AD31)^3</f>
        <v>1198609576.1573534</v>
      </c>
      <c r="AK31" s="110">
        <f>Table1123[[#This Row],[b (mm)]]*AD31^3/12</f>
        <v>539435927.57759976</v>
      </c>
      <c r="AL31" s="110">
        <f t="shared" si="14"/>
        <v>1984.375</v>
      </c>
      <c r="AM31"/>
      <c r="AN31"/>
    </row>
    <row r="32" spans="1:47" x14ac:dyDescent="0.3">
      <c r="A32" s="115" t="s">
        <v>71</v>
      </c>
      <c r="B32" s="109" t="s">
        <v>61</v>
      </c>
      <c r="C32" s="109">
        <v>31</v>
      </c>
      <c r="D32" s="123">
        <f>Table1123[[#This Row],[a (mm)]]/Table1123[[#This Row],[d (mm)]]</f>
        <v>2.2857142857142856</v>
      </c>
      <c r="E32" s="109">
        <v>47.593600000000002</v>
      </c>
      <c r="F32" s="124">
        <f>Table1123[[#This Row],[d (mm)]]</f>
        <v>266.7</v>
      </c>
      <c r="G32" s="109">
        <f t="shared" si="0"/>
        <v>29013.058559999998</v>
      </c>
      <c r="H32" s="109">
        <f t="shared" si="1"/>
        <v>2.042165639110532E-6</v>
      </c>
      <c r="I32" s="109">
        <f>G32/(Table1123[[#This Row],[b (mm)]]*AC32^2)</f>
        <v>1.7843138936466838E-3</v>
      </c>
      <c r="J32" s="109">
        <f t="shared" si="2"/>
        <v>0.45130066684227443</v>
      </c>
      <c r="K32" s="109">
        <f t="shared" si="3"/>
        <v>1.2645650221502538E-6</v>
      </c>
      <c r="L32" s="109">
        <f>E32/(Table1123[[#This Row],[b (mm)]]*AC32)</f>
        <v>7.8063732847042419E-4</v>
      </c>
      <c r="M32" s="109">
        <f>Table1123[[#This Row],[M (KN.mm)]]/(Table1123[[#This Row],[b (mm)]]*Table1123[[#This Row],[d (mm)]])</f>
        <v>0.47587651543557058</v>
      </c>
      <c r="N32" s="109">
        <f>Table1123[[#This Row],[M (KN.mm)]]/(Table1123[[#This Row],[b (mm)]]*Table1123[[#This Row],[h (mm)]])</f>
        <v>0.41639195100612431</v>
      </c>
      <c r="O32" s="109">
        <f>Table1123[[#This Row],[M (KN.mm)]]/(Table1123[[#This Row],[b (mm)]]*Table1123[[#This Row],[h (mm)]]*Table1123[[#This Row],[L(mm)]])</f>
        <v>2.0983531389285004E-4</v>
      </c>
      <c r="P32" s="109">
        <f>Table1123[[#This Row],[M (KN.mm)]]/(Table1123[[#This Row],[b (mm)]]*Table1123[[#This Row],[d (mm)]]*Table1123[[#This Row],[L(mm)]])</f>
        <v>2.398117873061143E-4</v>
      </c>
      <c r="Q32" s="109">
        <f>Table1123[[#This Row],[M (KN.mm)]]/(Table1123[[#This Row],[b (mm)]]*Table1123[[#This Row],[h (mm)]]*Table1123[[#This Row],[L(mm)]]*Table1123[[#This Row],[fc (Mpa)]])</f>
        <v>6.2118210151820613E-6</v>
      </c>
      <c r="R32" s="109">
        <f>Table1123[[#This Row],[M (KN.mm)]]/(Table1123[[#This Row],[b (mm)]]*Table1123[[#This Row],[h (mm)]]*Table1123[[#This Row],[L(mm)]]/2)</f>
        <v>4.1967062778570008E-4</v>
      </c>
      <c r="S32" s="109">
        <f>Table1123[[#This Row],[M (KN.mm)]]/(Table1123[[#This Row],[a (mm)]]*Table1123[[#This Row],[b (mm)]]*Table1123[[#This Row],[h (mm)]]*Table1123[[#This Row],[L(mm)]]/2)</f>
        <v>6.8843606920226397E-7</v>
      </c>
      <c r="T32" s="109">
        <f>Table1123[[#This Row],[M (KN.mm)]]/(Table1123[[#This Row],[a (mm)]]^2*Table1123[[#This Row],[b (mm)]]*Table1123[[#This Row],[h (mm)]])</f>
        <v>1.1205014147172266E-6</v>
      </c>
      <c r="U32" s="109">
        <f>Table1123[[#This Row],[M (KN.mm)]]/(Table1123[[#This Row],[b (mm)]]*Table1123[[#This Row],[d (mm)]]*Table1123[[#This Row],[pho (%)]])</f>
        <v>0.86523002806467364</v>
      </c>
      <c r="V32" s="109">
        <f>E32*224.8/(2*SQRT(Table1123[[#This Row],[fc (Mpa)]]*145.037)*Table1123[[#This Row],[b (mm)]]*Table1123[[#This Row],[d (mm)]]*(1/25.4)^2)</f>
        <v>0.80874914087465066</v>
      </c>
      <c r="W32" s="110">
        <f>Table1123[[#This Row],[M (KN.mm)]]/$G$38</f>
        <v>0.48636363636363633</v>
      </c>
      <c r="X32" s="110">
        <f>Table1123[[#This Row],[V/(2*sqrt(fc) bd)]]</f>
        <v>0.80874914087465066</v>
      </c>
      <c r="Y32" s="123">
        <f>2*SQRT(Table1123[[#This Row],[fc (Mpa)]]*145.037)/Table1123[[#This Row],[pho (%)]]*Table1123[[#This Row],[a (mm)]]*1/(224.8*25.4^2)</f>
        <v>1.0698373381008353</v>
      </c>
      <c r="Z32" s="123">
        <f>(2*SQRT(Table1123[[#This Row],[fc (Mpa)]]*145.037)*Table1123[[#This Row],[b (mm)]]*Table1123[[#This Row],[d (mm)]]*(1/25.4)^2)/224.8</f>
        <v>58.848408727245385</v>
      </c>
      <c r="AA32" s="123">
        <f>Table1123[[#This Row],[M (KN.mm)]]/(Table1123[[#This Row],[b (mm)]]*Table1123[[#This Row],[d (mm)]]^2*Table1123[[#This Row],[pho (%)]])</f>
        <v>3.2442070793576062E-3</v>
      </c>
      <c r="AB32" s="109">
        <f t="shared" si="10"/>
        <v>609.59999999999991</v>
      </c>
      <c r="AC32" s="109">
        <f t="shared" si="11"/>
        <v>266.7</v>
      </c>
      <c r="AD32" s="109">
        <f t="shared" si="12"/>
        <v>304.79999999999995</v>
      </c>
      <c r="AE32" s="109">
        <f t="shared" si="13"/>
        <v>228.6</v>
      </c>
      <c r="AF32" s="7">
        <v>33.78</v>
      </c>
      <c r="AG32" s="110">
        <f>Table1123[[#This Row],[pho (%)]]/100*Table1123[[#This Row],[b (mm)]]*Table1123[[#This Row],[h (mm)]]</f>
        <v>383.22503999999998</v>
      </c>
      <c r="AH32" s="111">
        <v>0.55000000000000004</v>
      </c>
      <c r="AI32" s="110">
        <v>629</v>
      </c>
      <c r="AJ32" s="110">
        <f>(1/3-0.21*(MIN(Table1123[[#This Row],[b (mm)]],AD32)/MAX(Table1123[[#This Row],[b (mm)]],AD32))*(MIN(Table1123[[#This Row],[b (mm)]],AD32)^4/(12*MAX(Table1123[[#This Row],[b (mm)]],AD32)^4)))*MAX(Table1123[[#This Row],[b (mm)]],AD32)*MIN(Table1123[[#This Row],[b (mm)]],AD32)^3</f>
        <v>1198609576.1573534</v>
      </c>
      <c r="AK32" s="110">
        <f>Table1123[[#This Row],[b (mm)]]*AD32^3/12</f>
        <v>539435927.57759976</v>
      </c>
      <c r="AL32" s="110">
        <f t="shared" si="14"/>
        <v>1984.375</v>
      </c>
      <c r="AM32"/>
      <c r="AN32"/>
    </row>
    <row r="33" spans="1:40" x14ac:dyDescent="0.3">
      <c r="A33" s="115" t="s">
        <v>71</v>
      </c>
      <c r="B33" s="109" t="s">
        <v>62</v>
      </c>
      <c r="C33" s="109">
        <v>32</v>
      </c>
      <c r="D33" s="123">
        <f>Table1123[[#This Row],[a (mm)]]/Table1123[[#This Row],[d (mm)]]</f>
        <v>2.2857142857142856</v>
      </c>
      <c r="E33" s="109">
        <v>54.488000000000007</v>
      </c>
      <c r="F33" s="124">
        <f>Table1123[[#This Row],[d (mm)]]</f>
        <v>266.7</v>
      </c>
      <c r="G33" s="109">
        <f t="shared" si="0"/>
        <v>33215.8848</v>
      </c>
      <c r="H33" s="109">
        <f t="shared" si="1"/>
        <v>2.3379933718788802E-6</v>
      </c>
      <c r="I33" s="109">
        <f>G33/(Table1123[[#This Row],[b (mm)]]*AC33^2)</f>
        <v>2.0427892707637267E-3</v>
      </c>
      <c r="J33" s="109">
        <f t="shared" si="2"/>
        <v>0.51667599708578149</v>
      </c>
      <c r="K33" s="109">
        <f t="shared" si="3"/>
        <v>1.4477496748916457E-6</v>
      </c>
      <c r="L33" s="109">
        <f>E33/(Table1123[[#This Row],[b (mm)]]*AC33)</f>
        <v>8.9372030595913062E-4</v>
      </c>
      <c r="M33" s="109">
        <f>Table1123[[#This Row],[M (KN.mm)]]/(Table1123[[#This Row],[b (mm)]]*Table1123[[#This Row],[d (mm)]])</f>
        <v>0.54481189851268597</v>
      </c>
      <c r="N33" s="109">
        <f>Table1123[[#This Row],[M (KN.mm)]]/(Table1123[[#This Row],[b (mm)]]*Table1123[[#This Row],[h (mm)]])</f>
        <v>0.4767104111986003</v>
      </c>
      <c r="O33" s="109">
        <f>Table1123[[#This Row],[M (KN.mm)]]/(Table1123[[#This Row],[b (mm)]]*Table1123[[#This Row],[h (mm)]]*Table1123[[#This Row],[L(mm)]])</f>
        <v>2.4023201824181431E-4</v>
      </c>
      <c r="P33" s="109">
        <f>Table1123[[#This Row],[M (KN.mm)]]/(Table1123[[#This Row],[b (mm)]]*Table1123[[#This Row],[d (mm)]]*Table1123[[#This Row],[L(mm)]])</f>
        <v>2.745508779906449E-4</v>
      </c>
      <c r="Q33" s="109">
        <f>Table1123[[#This Row],[M (KN.mm)]]/(Table1123[[#This Row],[b (mm)]]*Table1123[[#This Row],[h (mm)]]*Table1123[[#This Row],[L(mm)]]*Table1123[[#This Row],[fc (Mpa)]])</f>
        <v>7.111664246353295E-6</v>
      </c>
      <c r="R33" s="109">
        <f>Table1123[[#This Row],[M (KN.mm)]]/(Table1123[[#This Row],[b (mm)]]*Table1123[[#This Row],[h (mm)]]*Table1123[[#This Row],[L(mm)]]/2)</f>
        <v>4.8046403648362862E-4</v>
      </c>
      <c r="S33" s="109">
        <f>Table1123[[#This Row],[M (KN.mm)]]/(Table1123[[#This Row],[a (mm)]]*Table1123[[#This Row],[b (mm)]]*Table1123[[#This Row],[h (mm)]]*Table1123[[#This Row],[L(mm)]]/2)</f>
        <v>7.8816278950726489E-7</v>
      </c>
      <c r="T33" s="109">
        <f>Table1123[[#This Row],[M (KN.mm)]]/(Table1123[[#This Row],[a (mm)]]^2*Table1123[[#This Row],[b (mm)]]*Table1123[[#This Row],[h (mm)]])</f>
        <v>1.2828170402136473E-6</v>
      </c>
      <c r="U33" s="109">
        <f>Table1123[[#This Row],[M (KN.mm)]]/(Table1123[[#This Row],[b (mm)]]*Table1123[[#This Row],[d (mm)]]*Table1123[[#This Row],[pho (%)]])</f>
        <v>0.99056708820488348</v>
      </c>
      <c r="V33" s="109">
        <f>E33*224.8/(2*SQRT(Table1123[[#This Row],[fc (Mpa)]]*145.037)*Table1123[[#This Row],[b (mm)]]*Table1123[[#This Row],[d (mm)]]*(1/25.4)^2)</f>
        <v>0.92590439025368898</v>
      </c>
      <c r="W33" s="110">
        <f>Table1123[[#This Row],[M (KN.mm)]]/$G$38</f>
        <v>0.55681818181818177</v>
      </c>
      <c r="X33" s="110">
        <f>Table1123[[#This Row],[V/(2*sqrt(fc) bd)]]</f>
        <v>0.92590439025368898</v>
      </c>
      <c r="Y33" s="123">
        <f>2*SQRT(Table1123[[#This Row],[fc (Mpa)]]*145.037)/Table1123[[#This Row],[pho (%)]]*Table1123[[#This Row],[a (mm)]]*1/(224.8*25.4^2)</f>
        <v>1.0698373381008353</v>
      </c>
      <c r="Z33" s="123">
        <f>(2*SQRT(Table1123[[#This Row],[fc (Mpa)]]*145.037)*Table1123[[#This Row],[b (mm)]]*Table1123[[#This Row],[d (mm)]]*(1/25.4)^2)/224.8</f>
        <v>58.848408727245385</v>
      </c>
      <c r="AA33" s="123">
        <f>Table1123[[#This Row],[M (KN.mm)]]/(Table1123[[#This Row],[b (mm)]]*Table1123[[#This Row],[d (mm)]]^2*Table1123[[#This Row],[pho (%)]])</f>
        <v>3.7141623104795028E-3</v>
      </c>
      <c r="AB33" s="109">
        <f t="shared" si="10"/>
        <v>609.59999999999991</v>
      </c>
      <c r="AC33" s="109">
        <f t="shared" si="11"/>
        <v>266.7</v>
      </c>
      <c r="AD33" s="109">
        <f t="shared" si="12"/>
        <v>304.79999999999995</v>
      </c>
      <c r="AE33" s="109">
        <f t="shared" si="13"/>
        <v>228.6</v>
      </c>
      <c r="AF33" s="7">
        <v>33.78</v>
      </c>
      <c r="AG33" s="110">
        <f>Table1123[[#This Row],[pho (%)]]/100*Table1123[[#This Row],[b (mm)]]*Table1123[[#This Row],[h (mm)]]</f>
        <v>383.22503999999998</v>
      </c>
      <c r="AH33" s="111">
        <v>0.55000000000000004</v>
      </c>
      <c r="AI33" s="110">
        <v>629</v>
      </c>
      <c r="AJ33" s="110">
        <f>(1/3-0.21*(MIN(Table1123[[#This Row],[b (mm)]],AD33)/MAX(Table1123[[#This Row],[b (mm)]],AD33))*(MIN(Table1123[[#This Row],[b (mm)]],AD33)^4/(12*MAX(Table1123[[#This Row],[b (mm)]],AD33)^4)))*MAX(Table1123[[#This Row],[b (mm)]],AD33)*MIN(Table1123[[#This Row],[b (mm)]],AD33)^3</f>
        <v>1198609576.1573534</v>
      </c>
      <c r="AK33" s="110">
        <f>Table1123[[#This Row],[b (mm)]]*AD33^3/12</f>
        <v>539435927.57759976</v>
      </c>
      <c r="AL33" s="110">
        <f t="shared" si="14"/>
        <v>1984.375</v>
      </c>
      <c r="AM33"/>
      <c r="AN33"/>
    </row>
    <row r="34" spans="1:40" x14ac:dyDescent="0.3">
      <c r="A34" s="115" t="s">
        <v>71</v>
      </c>
      <c r="B34" s="109" t="s">
        <v>63</v>
      </c>
      <c r="C34" s="109">
        <v>33</v>
      </c>
      <c r="D34" s="123">
        <f>Table1123[[#This Row],[a (mm)]]/Table1123[[#This Row],[d (mm)]]</f>
        <v>2.2857142857142856</v>
      </c>
      <c r="E34" s="109">
        <v>61.160000000000004</v>
      </c>
      <c r="F34" s="124">
        <f>Table1123[[#This Row],[d (mm)]]</f>
        <v>266.7</v>
      </c>
      <c r="G34" s="109">
        <f t="shared" ref="G34:G53" si="15">E34*AB34</f>
        <v>37283.135999999999</v>
      </c>
      <c r="H34" s="109">
        <f t="shared" ref="H34:H53" si="16">G34/($AN$5*AK34*0.001)</f>
        <v>2.6242782745579268E-6</v>
      </c>
      <c r="I34" s="109">
        <f>G34/(Table1123[[#This Row],[b (mm)]]*AC34^2)</f>
        <v>2.2929267324898975E-3</v>
      </c>
      <c r="J34" s="109">
        <f t="shared" ref="J34:J53" si="17">G34/(AG34*AI34*AC34*0.001)</f>
        <v>0.57994244570853026</v>
      </c>
      <c r="K34" s="109">
        <f t="shared" ref="K34:K53" si="18">E34/($AN$4*AJ34*0.001)</f>
        <v>1.625025145286541E-6</v>
      </c>
      <c r="L34" s="109">
        <f>E34/(Table1123[[#This Row],[b (mm)]]*AC34)</f>
        <v>1.0031554454643303E-3</v>
      </c>
      <c r="M34" s="109">
        <f>Table1123[[#This Row],[M (KN.mm)]]/(Table1123[[#This Row],[b (mm)]]*Table1123[[#This Row],[d (mm)]])</f>
        <v>0.61152355955505566</v>
      </c>
      <c r="N34" s="109">
        <f>Table1123[[#This Row],[M (KN.mm)]]/(Table1123[[#This Row],[b (mm)]]*Table1123[[#This Row],[h (mm)]])</f>
        <v>0.53508311461067382</v>
      </c>
      <c r="O34" s="109">
        <f>Table1123[[#This Row],[M (KN.mm)]]/(Table1123[[#This Row],[b (mm)]]*Table1123[[#This Row],[h (mm)]]*Table1123[[#This Row],[L(mm)]])</f>
        <v>2.69648183740812E-4</v>
      </c>
      <c r="P34" s="109">
        <f>Table1123[[#This Row],[M (KN.mm)]]/(Table1123[[#This Row],[b (mm)]]*Table1123[[#This Row],[d (mm)]]*Table1123[[#This Row],[L(mm)]])</f>
        <v>3.0816935284664221E-4</v>
      </c>
      <c r="Q34" s="109">
        <f>Table1123[[#This Row],[M (KN.mm)]]/(Table1123[[#This Row],[b (mm)]]*Table1123[[#This Row],[h (mm)]]*Table1123[[#This Row],[L(mm)]]*Table1123[[#This Row],[fc (Mpa)]])</f>
        <v>7.9824802765190053E-6</v>
      </c>
      <c r="R34" s="109">
        <f>Table1123[[#This Row],[M (KN.mm)]]/(Table1123[[#This Row],[b (mm)]]*Table1123[[#This Row],[h (mm)]]*Table1123[[#This Row],[L(mm)]]/2)</f>
        <v>5.39296367481624E-4</v>
      </c>
      <c r="S34" s="109">
        <f>Table1123[[#This Row],[M (KN.mm)]]/(Table1123[[#This Row],[a (mm)]]*Table1123[[#This Row],[b (mm)]]*Table1123[[#This Row],[h (mm)]]*Table1123[[#This Row],[L(mm)]]/2)</f>
        <v>8.8467251883468513E-7</v>
      </c>
      <c r="T34" s="109">
        <f>Table1123[[#This Row],[M (KN.mm)]]/(Table1123[[#This Row],[a (mm)]]^2*Table1123[[#This Row],[b (mm)]]*Table1123[[#This Row],[h (mm)]])</f>
        <v>1.4398966777908286E-6</v>
      </c>
      <c r="U34" s="109">
        <f>Table1123[[#This Row],[M (KN.mm)]]/(Table1123[[#This Row],[b (mm)]]*Table1123[[#This Row],[d (mm)]]*Table1123[[#This Row],[pho (%)]])</f>
        <v>1.1118610173728285</v>
      </c>
      <c r="V34" s="109">
        <f>E34*224.8/(2*SQRT(Table1123[[#This Row],[fc (Mpa)]]*145.037)*Table1123[[#This Row],[b (mm)]]*Table1123[[#This Row],[d (mm)]]*(1/25.4)^2)</f>
        <v>1.0392804380398548</v>
      </c>
      <c r="W34" s="110">
        <f>Table1123[[#This Row],[M (KN.mm)]]/$G$38</f>
        <v>0.625</v>
      </c>
      <c r="X34" s="110">
        <f>Table1123[[#This Row],[V/(2*sqrt(fc) bd)]]</f>
        <v>1.0392804380398548</v>
      </c>
      <c r="Y34" s="123">
        <f>2*SQRT(Table1123[[#This Row],[fc (Mpa)]]*145.037)/Table1123[[#This Row],[pho (%)]]*Table1123[[#This Row],[a (mm)]]*1/(224.8*25.4^2)</f>
        <v>1.0698373381008353</v>
      </c>
      <c r="Z34" s="123">
        <f>(2*SQRT(Table1123[[#This Row],[fc (Mpa)]]*145.037)*Table1123[[#This Row],[b (mm)]]*Table1123[[#This Row],[d (mm)]]*(1/25.4)^2)/224.8</f>
        <v>58.848408727245385</v>
      </c>
      <c r="AA34" s="123">
        <f>Table1123[[#This Row],[M (KN.mm)]]/(Table1123[[#This Row],[b (mm)]]*Table1123[[#This Row],[d (mm)]]^2*Table1123[[#This Row],[pho (%)]])</f>
        <v>4.1689576954361766E-3</v>
      </c>
      <c r="AB34" s="109">
        <f t="shared" si="10"/>
        <v>609.59999999999991</v>
      </c>
      <c r="AC34" s="109">
        <f t="shared" si="11"/>
        <v>266.7</v>
      </c>
      <c r="AD34" s="109">
        <f t="shared" si="12"/>
        <v>304.79999999999995</v>
      </c>
      <c r="AE34" s="109">
        <f t="shared" si="13"/>
        <v>228.6</v>
      </c>
      <c r="AF34" s="7">
        <v>33.78</v>
      </c>
      <c r="AG34" s="110">
        <f>Table1123[[#This Row],[pho (%)]]/100*Table1123[[#This Row],[b (mm)]]*Table1123[[#This Row],[h (mm)]]</f>
        <v>383.22503999999998</v>
      </c>
      <c r="AH34" s="111">
        <v>0.55000000000000004</v>
      </c>
      <c r="AI34" s="110">
        <v>629</v>
      </c>
      <c r="AJ34" s="110">
        <f>(1/3-0.21*(MIN(Table1123[[#This Row],[b (mm)]],AD34)/MAX(Table1123[[#This Row],[b (mm)]],AD34))*(MIN(Table1123[[#This Row],[b (mm)]],AD34)^4/(12*MAX(Table1123[[#This Row],[b (mm)]],AD34)^4)))*MAX(Table1123[[#This Row],[b (mm)]],AD34)*MIN(Table1123[[#This Row],[b (mm)]],AD34)^3</f>
        <v>1198609576.1573534</v>
      </c>
      <c r="AK34" s="110">
        <f>Table1123[[#This Row],[b (mm)]]*AD34^3/12</f>
        <v>539435927.57759976</v>
      </c>
      <c r="AL34" s="110">
        <f t="shared" si="14"/>
        <v>1984.375</v>
      </c>
      <c r="AM34"/>
      <c r="AN34"/>
    </row>
    <row r="35" spans="1:40" x14ac:dyDescent="0.3">
      <c r="A35" s="115" t="s">
        <v>71</v>
      </c>
      <c r="B35" s="109" t="s">
        <v>64</v>
      </c>
      <c r="C35" s="109">
        <v>34</v>
      </c>
      <c r="D35" s="123">
        <f>Table1123[[#This Row],[a (mm)]]/Table1123[[#This Row],[d (mm)]]</f>
        <v>2.2857142857142856</v>
      </c>
      <c r="E35" s="109">
        <v>67.832000000000008</v>
      </c>
      <c r="F35" s="124">
        <f>Table1123[[#This Row],[d (mm)]]</f>
        <v>266.7</v>
      </c>
      <c r="G35" s="109">
        <f t="shared" si="15"/>
        <v>41350.387199999997</v>
      </c>
      <c r="H35" s="109">
        <f t="shared" si="16"/>
        <v>2.9105631772369734E-6</v>
      </c>
      <c r="I35" s="109">
        <f>G35/(Table1123[[#This Row],[b (mm)]]*AC35^2)</f>
        <v>2.543064194216068E-3</v>
      </c>
      <c r="J35" s="109">
        <f t="shared" si="17"/>
        <v>0.64320889433127904</v>
      </c>
      <c r="K35" s="109">
        <f t="shared" si="18"/>
        <v>1.8023006156814364E-6</v>
      </c>
      <c r="L35" s="109">
        <f>E35/(Table1123[[#This Row],[b (mm)]]*AC35)</f>
        <v>1.11259058496953E-3</v>
      </c>
      <c r="M35" s="109">
        <f>Table1123[[#This Row],[M (KN.mm)]]/(Table1123[[#This Row],[b (mm)]]*Table1123[[#This Row],[d (mm)]])</f>
        <v>0.67823522059742536</v>
      </c>
      <c r="N35" s="109">
        <f>Table1123[[#This Row],[M (KN.mm)]]/(Table1123[[#This Row],[b (mm)]]*Table1123[[#This Row],[h (mm)]])</f>
        <v>0.59345581802274727</v>
      </c>
      <c r="O35" s="109">
        <f>Table1123[[#This Row],[M (KN.mm)]]/(Table1123[[#This Row],[b (mm)]]*Table1123[[#This Row],[h (mm)]]*Table1123[[#This Row],[L(mm)]])</f>
        <v>2.9906434923980963E-4</v>
      </c>
      <c r="P35" s="109">
        <f>Table1123[[#This Row],[M (KN.mm)]]/(Table1123[[#This Row],[b (mm)]]*Table1123[[#This Row],[d (mm)]]*Table1123[[#This Row],[L(mm)]])</f>
        <v>3.4178782770263953E-4</v>
      </c>
      <c r="Q35" s="109">
        <f>Table1123[[#This Row],[M (KN.mm)]]/(Table1123[[#This Row],[b (mm)]]*Table1123[[#This Row],[h (mm)]]*Table1123[[#This Row],[L(mm)]]*Table1123[[#This Row],[fc (Mpa)]])</f>
        <v>8.8532963066847139E-6</v>
      </c>
      <c r="R35" s="109">
        <f>Table1123[[#This Row],[M (KN.mm)]]/(Table1123[[#This Row],[b (mm)]]*Table1123[[#This Row],[h (mm)]]*Table1123[[#This Row],[L(mm)]]/2)</f>
        <v>5.9812869847961927E-4</v>
      </c>
      <c r="S35" s="109">
        <f>Table1123[[#This Row],[M (KN.mm)]]/(Table1123[[#This Row],[a (mm)]]*Table1123[[#This Row],[b (mm)]]*Table1123[[#This Row],[h (mm)]]*Table1123[[#This Row],[L(mm)]]/2)</f>
        <v>9.8118224816210517E-7</v>
      </c>
      <c r="T35" s="109">
        <f>Table1123[[#This Row],[M (KN.mm)]]/(Table1123[[#This Row],[a (mm)]]^2*Table1123[[#This Row],[b (mm)]]*Table1123[[#This Row],[h (mm)]])</f>
        <v>1.5969763153680101E-6</v>
      </c>
      <c r="U35" s="109">
        <f>Table1123[[#This Row],[M (KN.mm)]]/(Table1123[[#This Row],[b (mm)]]*Table1123[[#This Row],[d (mm)]]*Table1123[[#This Row],[pho (%)]])</f>
        <v>1.2331549465407732</v>
      </c>
      <c r="V35" s="109">
        <f>E35*224.8/(2*SQRT(Table1123[[#This Row],[fc (Mpa)]]*145.037)*Table1123[[#This Row],[b (mm)]]*Table1123[[#This Row],[d (mm)]]*(1/25.4)^2)</f>
        <v>1.1526564858260209</v>
      </c>
      <c r="W35" s="110">
        <f>Table1123[[#This Row],[M (KN.mm)]]/$G$38</f>
        <v>0.69318181818181812</v>
      </c>
      <c r="X35" s="110">
        <f>Table1123[[#This Row],[V/(2*sqrt(fc) bd)]]</f>
        <v>1.1526564858260209</v>
      </c>
      <c r="Y35" s="123">
        <f>2*SQRT(Table1123[[#This Row],[fc (Mpa)]]*145.037)/Table1123[[#This Row],[pho (%)]]*Table1123[[#This Row],[a (mm)]]*1/(224.8*25.4^2)</f>
        <v>1.0698373381008353</v>
      </c>
      <c r="Z35" s="123">
        <f>(2*SQRT(Table1123[[#This Row],[fc (Mpa)]]*145.037)*Table1123[[#This Row],[b (mm)]]*Table1123[[#This Row],[d (mm)]]*(1/25.4)^2)/224.8</f>
        <v>58.848408727245385</v>
      </c>
      <c r="AA35" s="123">
        <f>Table1123[[#This Row],[M (KN.mm)]]/(Table1123[[#This Row],[b (mm)]]*Table1123[[#This Row],[d (mm)]]^2*Table1123[[#This Row],[pho (%)]])</f>
        <v>4.6237530803928499E-3</v>
      </c>
      <c r="AB35" s="109">
        <f t="shared" si="10"/>
        <v>609.59999999999991</v>
      </c>
      <c r="AC35" s="109">
        <f t="shared" si="11"/>
        <v>266.7</v>
      </c>
      <c r="AD35" s="109">
        <f t="shared" si="12"/>
        <v>304.79999999999995</v>
      </c>
      <c r="AE35" s="109">
        <f t="shared" si="13"/>
        <v>228.6</v>
      </c>
      <c r="AF35" s="7">
        <v>33.78</v>
      </c>
      <c r="AG35" s="110">
        <f>Table1123[[#This Row],[pho (%)]]/100*Table1123[[#This Row],[b (mm)]]*Table1123[[#This Row],[h (mm)]]</f>
        <v>383.22503999999998</v>
      </c>
      <c r="AH35" s="111">
        <v>0.55000000000000004</v>
      </c>
      <c r="AI35" s="110">
        <v>629</v>
      </c>
      <c r="AJ35" s="110">
        <f>(1/3-0.21*(MIN(Table1123[[#This Row],[b (mm)]],AD35)/MAX(Table1123[[#This Row],[b (mm)]],AD35))*(MIN(Table1123[[#This Row],[b (mm)]],AD35)^4/(12*MAX(Table1123[[#This Row],[b (mm)]],AD35)^4)))*MAX(Table1123[[#This Row],[b (mm)]],AD35)*MIN(Table1123[[#This Row],[b (mm)]],AD35)^3</f>
        <v>1198609576.1573534</v>
      </c>
      <c r="AK35" s="110">
        <f>Table1123[[#This Row],[b (mm)]]*AD35^3/12</f>
        <v>539435927.57759976</v>
      </c>
      <c r="AL35" s="110">
        <f t="shared" si="14"/>
        <v>1984.375</v>
      </c>
      <c r="AM35"/>
      <c r="AN35"/>
    </row>
    <row r="36" spans="1:40" x14ac:dyDescent="0.3">
      <c r="A36" s="115" t="s">
        <v>71</v>
      </c>
      <c r="B36" s="109" t="s">
        <v>65</v>
      </c>
      <c r="C36" s="109">
        <v>35</v>
      </c>
      <c r="D36" s="123">
        <f>Table1123[[#This Row],[a (mm)]]/Table1123[[#This Row],[d (mm)]]</f>
        <v>2.2857142857142856</v>
      </c>
      <c r="E36" s="109">
        <v>79.174400000000006</v>
      </c>
      <c r="F36" s="124">
        <f>Table1123[[#This Row],[d (mm)]]</f>
        <v>266.7</v>
      </c>
      <c r="G36" s="109">
        <f t="shared" si="15"/>
        <v>48264.714239999994</v>
      </c>
      <c r="H36" s="109">
        <f t="shared" si="16"/>
        <v>3.3972475117913523E-6</v>
      </c>
      <c r="I36" s="109">
        <f>G36/(Table1123[[#This Row],[b (mm)]]*AC36^2)</f>
        <v>2.9682978791505579E-3</v>
      </c>
      <c r="J36" s="109">
        <f t="shared" si="17"/>
        <v>0.75076185698995179</v>
      </c>
      <c r="K36" s="109">
        <f t="shared" si="18"/>
        <v>2.1036689153527586E-6</v>
      </c>
      <c r="L36" s="109">
        <f>E36/(Table1123[[#This Row],[b (mm)]]*AC36)</f>
        <v>1.2986303221283694E-3</v>
      </c>
      <c r="M36" s="109">
        <f>Table1123[[#This Row],[M (KN.mm)]]/(Table1123[[#This Row],[b (mm)]]*Table1123[[#This Row],[d (mm)]])</f>
        <v>0.79164504436945382</v>
      </c>
      <c r="N36" s="109">
        <f>Table1123[[#This Row],[M (KN.mm)]]/(Table1123[[#This Row],[b (mm)]]*Table1123[[#This Row],[h (mm)]])</f>
        <v>0.6926894138232722</v>
      </c>
      <c r="O36" s="109">
        <f>Table1123[[#This Row],[M (KN.mm)]]/(Table1123[[#This Row],[b (mm)]]*Table1123[[#This Row],[h (mm)]]*Table1123[[#This Row],[L(mm)]])</f>
        <v>3.4907183058810568E-4</v>
      </c>
      <c r="P36" s="109">
        <f>Table1123[[#This Row],[M (KN.mm)]]/(Table1123[[#This Row],[b (mm)]]*Table1123[[#This Row],[d (mm)]]*Table1123[[#This Row],[L(mm)]])</f>
        <v>3.9893923495783499E-4</v>
      </c>
      <c r="Q36" s="109">
        <f>Table1123[[#This Row],[M (KN.mm)]]/(Table1123[[#This Row],[b (mm)]]*Table1123[[#This Row],[h (mm)]]*Table1123[[#This Row],[L(mm)]]*Table1123[[#This Row],[fc (Mpa)]])</f>
        <v>1.0333683557966419E-5</v>
      </c>
      <c r="R36" s="109">
        <f>Table1123[[#This Row],[M (KN.mm)]]/(Table1123[[#This Row],[b (mm)]]*Table1123[[#This Row],[h (mm)]]*Table1123[[#This Row],[L(mm)]]/2)</f>
        <v>6.9814366117621136E-4</v>
      </c>
      <c r="S36" s="109">
        <f>Table1123[[#This Row],[M (KN.mm)]]/(Table1123[[#This Row],[a (mm)]]*Table1123[[#This Row],[b (mm)]]*Table1123[[#This Row],[h (mm)]]*Table1123[[#This Row],[L(mm)]]/2)</f>
        <v>1.1452487880187194E-6</v>
      </c>
      <c r="T36" s="109">
        <f>Table1123[[#This Row],[M (KN.mm)]]/(Table1123[[#This Row],[a (mm)]]^2*Table1123[[#This Row],[b (mm)]]*Table1123[[#This Row],[h (mm)]])</f>
        <v>1.8640116992492181E-6</v>
      </c>
      <c r="U36" s="109">
        <f>Table1123[[#This Row],[M (KN.mm)]]/(Table1123[[#This Row],[b (mm)]]*Table1123[[#This Row],[d (mm)]]*Table1123[[#This Row],[pho (%)]])</f>
        <v>1.4393546261262795</v>
      </c>
      <c r="V36" s="109">
        <f>E36*224.8/(2*SQRT(Table1123[[#This Row],[fc (Mpa)]]*145.037)*Table1123[[#This Row],[b (mm)]]*Table1123[[#This Row],[d (mm)]]*(1/25.4)^2)</f>
        <v>1.3453957670625032</v>
      </c>
      <c r="W36" s="110">
        <f>Table1123[[#This Row],[M (KN.mm)]]/$G$38</f>
        <v>0.80909090909090897</v>
      </c>
      <c r="X36" s="110">
        <f>Table1123[[#This Row],[V/(2*sqrt(fc) bd)]]</f>
        <v>1.3453957670625032</v>
      </c>
      <c r="Y36" s="123">
        <f>2*SQRT(Table1123[[#This Row],[fc (Mpa)]]*145.037)/Table1123[[#This Row],[pho (%)]]*Table1123[[#This Row],[a (mm)]]*1/(224.8*25.4^2)</f>
        <v>1.0698373381008353</v>
      </c>
      <c r="Z36" s="123">
        <f>(2*SQRT(Table1123[[#This Row],[fc (Mpa)]]*145.037)*Table1123[[#This Row],[b (mm)]]*Table1123[[#This Row],[d (mm)]]*(1/25.4)^2)/224.8</f>
        <v>58.848408727245385</v>
      </c>
      <c r="AA36" s="123">
        <f>Table1123[[#This Row],[M (KN.mm)]]/(Table1123[[#This Row],[b (mm)]]*Table1123[[#This Row],[d (mm)]]^2*Table1123[[#This Row],[pho (%)]])</f>
        <v>5.3969052348191958E-3</v>
      </c>
      <c r="AB36" s="109">
        <f t="shared" si="10"/>
        <v>609.59999999999991</v>
      </c>
      <c r="AC36" s="109">
        <f t="shared" si="11"/>
        <v>266.7</v>
      </c>
      <c r="AD36" s="109">
        <f t="shared" si="12"/>
        <v>304.79999999999995</v>
      </c>
      <c r="AE36" s="109">
        <f t="shared" si="13"/>
        <v>228.6</v>
      </c>
      <c r="AF36" s="7">
        <v>33.78</v>
      </c>
      <c r="AG36" s="110">
        <f>Table1123[[#This Row],[pho (%)]]/100*Table1123[[#This Row],[b (mm)]]*Table1123[[#This Row],[h (mm)]]</f>
        <v>383.22503999999998</v>
      </c>
      <c r="AH36" s="111">
        <v>0.55000000000000004</v>
      </c>
      <c r="AI36" s="110">
        <v>629</v>
      </c>
      <c r="AJ36" s="110">
        <f>(1/3-0.21*(MIN(Table1123[[#This Row],[b (mm)]],AD36)/MAX(Table1123[[#This Row],[b (mm)]],AD36))*(MIN(Table1123[[#This Row],[b (mm)]],AD36)^4/(12*MAX(Table1123[[#This Row],[b (mm)]],AD36)^4)))*MAX(Table1123[[#This Row],[b (mm)]],AD36)*MIN(Table1123[[#This Row],[b (mm)]],AD36)^3</f>
        <v>1198609576.1573534</v>
      </c>
      <c r="AK36" s="110">
        <f>Table1123[[#This Row],[b (mm)]]*AD36^3/12</f>
        <v>539435927.57759976</v>
      </c>
      <c r="AL36" s="110">
        <f t="shared" si="14"/>
        <v>1984.375</v>
      </c>
      <c r="AM36"/>
      <c r="AN36"/>
    </row>
    <row r="37" spans="1:40" x14ac:dyDescent="0.3">
      <c r="A37" s="115" t="s">
        <v>71</v>
      </c>
      <c r="B37" s="109" t="s">
        <v>66</v>
      </c>
      <c r="C37" s="109">
        <v>36</v>
      </c>
      <c r="D37" s="123">
        <f>Table1123[[#This Row],[a (mm)]]/Table1123[[#This Row],[d (mm)]]</f>
        <v>2.2857142857142856</v>
      </c>
      <c r="E37" s="109">
        <v>90.29440000000001</v>
      </c>
      <c r="F37" s="124">
        <f>Table1123[[#This Row],[d (mm)]]</f>
        <v>266.7</v>
      </c>
      <c r="G37" s="109">
        <f t="shared" si="15"/>
        <v>55043.466240000002</v>
      </c>
      <c r="H37" s="109">
        <f t="shared" si="16"/>
        <v>3.8743890162564304E-6</v>
      </c>
      <c r="I37" s="109">
        <f>G37/(Table1123[[#This Row],[b (mm)]]*AC37^2)</f>
        <v>3.3851936486941759E-3</v>
      </c>
      <c r="J37" s="109">
        <f t="shared" si="17"/>
        <v>0.8562059380278666</v>
      </c>
      <c r="K37" s="109">
        <f t="shared" si="18"/>
        <v>2.3991280326775845E-6</v>
      </c>
      <c r="L37" s="109">
        <f>E37/(Table1123[[#This Row],[b (mm)]]*AC37)</f>
        <v>1.4810222213037022E-3</v>
      </c>
      <c r="M37" s="109">
        <f>Table1123[[#This Row],[M (KN.mm)]]/(Table1123[[#This Row],[b (mm)]]*Table1123[[#This Row],[d (mm)]])</f>
        <v>0.90283114610673676</v>
      </c>
      <c r="N37" s="109">
        <f>Table1123[[#This Row],[M (KN.mm)]]/(Table1123[[#This Row],[b (mm)]]*Table1123[[#This Row],[h (mm)]])</f>
        <v>0.78997725284339482</v>
      </c>
      <c r="O37" s="109">
        <f>Table1123[[#This Row],[M (KN.mm)]]/(Table1123[[#This Row],[b (mm)]]*Table1123[[#This Row],[h (mm)]]*Table1123[[#This Row],[L(mm)]])</f>
        <v>3.9809877308643514E-4</v>
      </c>
      <c r="P37" s="109">
        <f>Table1123[[#This Row],[M (KN.mm)]]/(Table1123[[#This Row],[b (mm)]]*Table1123[[#This Row],[d (mm)]]*Table1123[[#This Row],[L(mm)]])</f>
        <v>4.5497002638449731E-4</v>
      </c>
      <c r="Q37" s="109">
        <f>Table1123[[#This Row],[M (KN.mm)]]/(Table1123[[#This Row],[b (mm)]]*Table1123[[#This Row],[h (mm)]]*Table1123[[#This Row],[L(mm)]]*Table1123[[#This Row],[fc (Mpa)]])</f>
        <v>1.1785043608242603E-5</v>
      </c>
      <c r="R37" s="109">
        <f>Table1123[[#This Row],[M (KN.mm)]]/(Table1123[[#This Row],[b (mm)]]*Table1123[[#This Row],[h (mm)]]*Table1123[[#This Row],[L(mm)]]/2)</f>
        <v>7.9619754617287028E-4</v>
      </c>
      <c r="S37" s="109">
        <f>Table1123[[#This Row],[M (KN.mm)]]/(Table1123[[#This Row],[a (mm)]]*Table1123[[#This Row],[b (mm)]]*Table1123[[#This Row],[h (mm)]]*Table1123[[#This Row],[L(mm)]]/2)</f>
        <v>1.3060983368977533E-6</v>
      </c>
      <c r="T37" s="109">
        <f>Table1123[[#This Row],[M (KN.mm)]]/(Table1123[[#This Row],[a (mm)]]^2*Table1123[[#This Row],[b (mm)]]*Table1123[[#This Row],[h (mm)]])</f>
        <v>2.1258110952111871E-6</v>
      </c>
      <c r="U37" s="109">
        <f>Table1123[[#This Row],[M (KN.mm)]]/(Table1123[[#This Row],[b (mm)]]*Table1123[[#This Row],[d (mm)]]*Table1123[[#This Row],[pho (%)]])</f>
        <v>1.6415111747395212</v>
      </c>
      <c r="V37" s="109">
        <f>E37*224.8/(2*SQRT(Table1123[[#This Row],[fc (Mpa)]]*145.037)*Table1123[[#This Row],[b (mm)]]*Table1123[[#This Row],[d (mm)]]*(1/25.4)^2)</f>
        <v>1.5343558467061131</v>
      </c>
      <c r="W37" s="110">
        <f>Table1123[[#This Row],[M (KN.mm)]]/$G$38</f>
        <v>0.92272727272727273</v>
      </c>
      <c r="X37" s="110">
        <f>Table1123[[#This Row],[V/(2*sqrt(fc) bd)]]</f>
        <v>1.5343558467061131</v>
      </c>
      <c r="Y37" s="123">
        <f>2*SQRT(Table1123[[#This Row],[fc (Mpa)]]*145.037)/Table1123[[#This Row],[pho (%)]]*Table1123[[#This Row],[a (mm)]]*1/(224.8*25.4^2)</f>
        <v>1.0698373381008353</v>
      </c>
      <c r="Z37" s="123">
        <f>(2*SQRT(Table1123[[#This Row],[fc (Mpa)]]*145.037)*Table1123[[#This Row],[b (mm)]]*Table1123[[#This Row],[d (mm)]]*(1/25.4)^2)/224.8</f>
        <v>58.848408727245385</v>
      </c>
      <c r="AA37" s="123">
        <f>Table1123[[#This Row],[M (KN.mm)]]/(Table1123[[#This Row],[b (mm)]]*Table1123[[#This Row],[d (mm)]]^2*Table1123[[#This Row],[pho (%)]])</f>
        <v>6.1548975430803197E-3</v>
      </c>
      <c r="AB37" s="109">
        <f t="shared" si="10"/>
        <v>609.59999999999991</v>
      </c>
      <c r="AC37" s="109">
        <f t="shared" si="11"/>
        <v>266.7</v>
      </c>
      <c r="AD37" s="109">
        <f t="shared" si="12"/>
        <v>304.79999999999995</v>
      </c>
      <c r="AE37" s="109">
        <f t="shared" si="13"/>
        <v>228.6</v>
      </c>
      <c r="AF37" s="7">
        <v>33.78</v>
      </c>
      <c r="AG37" s="110">
        <f>Table1123[[#This Row],[pho (%)]]/100*Table1123[[#This Row],[b (mm)]]*Table1123[[#This Row],[h (mm)]]</f>
        <v>383.22503999999998</v>
      </c>
      <c r="AH37" s="111">
        <v>0.55000000000000004</v>
      </c>
      <c r="AI37" s="110">
        <v>629</v>
      </c>
      <c r="AJ37" s="110">
        <f>(1/3-0.21*(MIN(Table1123[[#This Row],[b (mm)]],AD37)/MAX(Table1123[[#This Row],[b (mm)]],AD37))*(MIN(Table1123[[#This Row],[b (mm)]],AD37)^4/(12*MAX(Table1123[[#This Row],[b (mm)]],AD37)^4)))*MAX(Table1123[[#This Row],[b (mm)]],AD37)*MIN(Table1123[[#This Row],[b (mm)]],AD37)^3</f>
        <v>1198609576.1573534</v>
      </c>
      <c r="AK37" s="110">
        <f>Table1123[[#This Row],[b (mm)]]*AD37^3/12</f>
        <v>539435927.57759976</v>
      </c>
      <c r="AL37" s="110">
        <f t="shared" si="14"/>
        <v>1984.375</v>
      </c>
      <c r="AM37"/>
      <c r="AN37"/>
    </row>
    <row r="38" spans="1:40" x14ac:dyDescent="0.3">
      <c r="A38" s="116" t="s">
        <v>71</v>
      </c>
      <c r="B38" s="109" t="s">
        <v>67</v>
      </c>
      <c r="C38" s="109">
        <v>37</v>
      </c>
      <c r="D38" s="123">
        <f>Table1123[[#This Row],[a (mm)]]/Table1123[[#This Row],[d (mm)]]</f>
        <v>2.2857142857142856</v>
      </c>
      <c r="E38" s="109">
        <v>97.856000000000009</v>
      </c>
      <c r="F38" s="124">
        <f>Table1123[[#This Row],[d (mm)]]</f>
        <v>266.7</v>
      </c>
      <c r="G38" s="109">
        <f t="shared" si="15"/>
        <v>59653.017599999999</v>
      </c>
      <c r="H38" s="109">
        <f t="shared" si="16"/>
        <v>4.1988452392926827E-6</v>
      </c>
      <c r="I38" s="109">
        <f>G38/(Table1123[[#This Row],[b (mm)]]*AC38^2)</f>
        <v>3.6686827719838362E-3</v>
      </c>
      <c r="J38" s="109">
        <f t="shared" si="17"/>
        <v>0.9279079131336484</v>
      </c>
      <c r="K38" s="109">
        <f t="shared" si="18"/>
        <v>2.6000402324584658E-6</v>
      </c>
      <c r="L38" s="109">
        <f>E38/(Table1123[[#This Row],[b (mm)]]*AC38)</f>
        <v>1.6050487127429285E-3</v>
      </c>
      <c r="M38" s="109">
        <f>Table1123[[#This Row],[M (KN.mm)]]/(Table1123[[#This Row],[b (mm)]]*Table1123[[#This Row],[d (mm)]])</f>
        <v>0.9784376952880891</v>
      </c>
      <c r="N38" s="109">
        <f>Table1123[[#This Row],[M (KN.mm)]]/(Table1123[[#This Row],[b (mm)]]*Table1123[[#This Row],[h (mm)]])</f>
        <v>0.85613298337707799</v>
      </c>
      <c r="O38" s="109">
        <f>Table1123[[#This Row],[M (KN.mm)]]/(Table1123[[#This Row],[b (mm)]]*Table1123[[#This Row],[h (mm)]]*Table1123[[#This Row],[L(mm)]])</f>
        <v>4.3143709398529915E-4</v>
      </c>
      <c r="P38" s="109">
        <f>Table1123[[#This Row],[M (KN.mm)]]/(Table1123[[#This Row],[b (mm)]]*Table1123[[#This Row],[d (mm)]]*Table1123[[#This Row],[L(mm)]])</f>
        <v>4.9307096455462754E-4</v>
      </c>
      <c r="Q38" s="109">
        <f>Table1123[[#This Row],[M (KN.mm)]]/(Table1123[[#This Row],[b (mm)]]*Table1123[[#This Row],[h (mm)]]*Table1123[[#This Row],[L(mm)]]*Table1123[[#This Row],[fc (Mpa)]])</f>
        <v>1.2771968442430407E-5</v>
      </c>
      <c r="R38" s="109">
        <f>Table1123[[#This Row],[M (KN.mm)]]/(Table1123[[#This Row],[b (mm)]]*Table1123[[#This Row],[h (mm)]]*Table1123[[#This Row],[L(mm)]]/2)</f>
        <v>8.6287418797059831E-4</v>
      </c>
      <c r="S38" s="109">
        <f>Table1123[[#This Row],[M (KN.mm)]]/(Table1123[[#This Row],[a (mm)]]*Table1123[[#This Row],[b (mm)]]*Table1123[[#This Row],[h (mm)]]*Table1123[[#This Row],[L(mm)]]/2)</f>
        <v>1.4154760301354962E-6</v>
      </c>
      <c r="T38" s="109">
        <f>Table1123[[#This Row],[M (KN.mm)]]/(Table1123[[#This Row],[a (mm)]]^2*Table1123[[#This Row],[b (mm)]]*Table1123[[#This Row],[h (mm)]])</f>
        <v>2.3038346844653259E-6</v>
      </c>
      <c r="U38" s="109">
        <f>Table1123[[#This Row],[M (KN.mm)]]/(Table1123[[#This Row],[b (mm)]]*Table1123[[#This Row],[d (mm)]]*Table1123[[#This Row],[pho (%)]])</f>
        <v>1.7789776277965255</v>
      </c>
      <c r="V38" s="109">
        <f>E38*224.8/(2*SQRT(Table1123[[#This Row],[fc (Mpa)]]*145.037)*Table1123[[#This Row],[b (mm)]]*Table1123[[#This Row],[d (mm)]]*(1/25.4)^2)</f>
        <v>1.6628487008637678</v>
      </c>
      <c r="W38" s="110">
        <f>Table1123[[#This Row],[M (KN.mm)]]/$G$38</f>
        <v>1</v>
      </c>
      <c r="X38" s="110">
        <f>Table1123[[#This Row],[V/(2*sqrt(fc) bd)]]</f>
        <v>1.6628487008637678</v>
      </c>
      <c r="Y38" s="123">
        <f>2*SQRT(Table1123[[#This Row],[fc (Mpa)]]*145.037)/Table1123[[#This Row],[pho (%)]]*Table1123[[#This Row],[a (mm)]]*1/(224.8*25.4^2)</f>
        <v>1.0698373381008353</v>
      </c>
      <c r="Z38" s="123">
        <f>(2*SQRT(Table1123[[#This Row],[fc (Mpa)]]*145.037)*Table1123[[#This Row],[b (mm)]]*Table1123[[#This Row],[d (mm)]]*(1/25.4)^2)/224.8</f>
        <v>58.848408727245385</v>
      </c>
      <c r="AA38" s="123">
        <f>Table1123[[#This Row],[M (KN.mm)]]/(Table1123[[#This Row],[b (mm)]]*Table1123[[#This Row],[d (mm)]]^2*Table1123[[#This Row],[pho (%)]])</f>
        <v>6.6703323126978825E-3</v>
      </c>
      <c r="AB38" s="109">
        <f t="shared" si="10"/>
        <v>609.59999999999991</v>
      </c>
      <c r="AC38" s="109">
        <f t="shared" si="11"/>
        <v>266.7</v>
      </c>
      <c r="AD38" s="109">
        <f t="shared" si="12"/>
        <v>304.79999999999995</v>
      </c>
      <c r="AE38" s="109">
        <f t="shared" si="13"/>
        <v>228.6</v>
      </c>
      <c r="AF38" s="7">
        <v>33.78</v>
      </c>
      <c r="AG38" s="110">
        <f>Table1123[[#This Row],[pho (%)]]/100*Table1123[[#This Row],[b (mm)]]*Table1123[[#This Row],[h (mm)]]</f>
        <v>383.22503999999998</v>
      </c>
      <c r="AH38" s="111">
        <v>0.55000000000000004</v>
      </c>
      <c r="AI38" s="110">
        <v>629</v>
      </c>
      <c r="AJ38" s="110">
        <f>(1/3-0.21*(MIN(Table1123[[#This Row],[b (mm)]],AD38)/MAX(Table1123[[#This Row],[b (mm)]],AD38))*(MIN(Table1123[[#This Row],[b (mm)]],AD38)^4/(12*MAX(Table1123[[#This Row],[b (mm)]],AD38)^4)))*MAX(Table1123[[#This Row],[b (mm)]],AD38)*MIN(Table1123[[#This Row],[b (mm)]],AD38)^3</f>
        <v>1198609576.1573534</v>
      </c>
      <c r="AK38" s="110">
        <f>Table1123[[#This Row],[b (mm)]]*AD38^3/12</f>
        <v>539435927.57759976</v>
      </c>
      <c r="AL38" s="110">
        <f t="shared" si="14"/>
        <v>1984.375</v>
      </c>
      <c r="AM38"/>
      <c r="AN38"/>
    </row>
    <row r="39" spans="1:40" x14ac:dyDescent="0.3">
      <c r="A39" s="117" t="s">
        <v>72</v>
      </c>
      <c r="B39" s="109" t="s">
        <v>60</v>
      </c>
      <c r="C39" s="109">
        <v>38</v>
      </c>
      <c r="D39" s="123">
        <f>Table1123[[#This Row],[a (mm)]]/Table1123[[#This Row],[d (mm)]]</f>
        <v>2.2857142857142856</v>
      </c>
      <c r="E39" s="109">
        <v>40.699200000000005</v>
      </c>
      <c r="F39" s="124">
        <f>Table1123[[#This Row],[d (mm)]]</f>
        <v>266.7</v>
      </c>
      <c r="G39" s="109">
        <f t="shared" si="15"/>
        <v>24810.232319999999</v>
      </c>
      <c r="H39" s="109">
        <f t="shared" si="16"/>
        <v>1.7463379063421841E-6</v>
      </c>
      <c r="I39" s="109">
        <f>G39/(Table1123[[#This Row],[b (mm)]]*AC39^2)</f>
        <v>1.5258385165296407E-3</v>
      </c>
      <c r="J39" s="109">
        <f t="shared" si="17"/>
        <v>0.38592533659876743</v>
      </c>
      <c r="K39" s="109">
        <f t="shared" si="18"/>
        <v>1.0813803694088619E-6</v>
      </c>
      <c r="L39" s="109">
        <f>E39/(Table1123[[#This Row],[b (mm)]]*AC39)</f>
        <v>6.6755435098171797E-4</v>
      </c>
      <c r="M39" s="109">
        <f>Table1123[[#This Row],[M (KN.mm)]]/(Table1123[[#This Row],[b (mm)]]*Table1123[[#This Row],[d (mm)]])</f>
        <v>0.40694113235845519</v>
      </c>
      <c r="N39" s="109">
        <f>Table1123[[#This Row],[M (KN.mm)]]/(Table1123[[#This Row],[b (mm)]]*Table1123[[#This Row],[h (mm)]])</f>
        <v>0.35607349081364836</v>
      </c>
      <c r="O39" s="109">
        <f>Table1123[[#This Row],[M (KN.mm)]]/(Table1123[[#This Row],[b (mm)]]*Table1123[[#This Row],[h (mm)]]*Table1123[[#This Row],[L(mm)]])</f>
        <v>1.794386095438858E-4</v>
      </c>
      <c r="P39" s="109">
        <f>Table1123[[#This Row],[M (KN.mm)]]/(Table1123[[#This Row],[b (mm)]]*Table1123[[#This Row],[d (mm)]]*Table1123[[#This Row],[L(mm)]])</f>
        <v>2.0507269662158373E-4</v>
      </c>
      <c r="Q39" s="109">
        <f>Table1123[[#This Row],[M (KN.mm)]]/(Table1123[[#This Row],[b (mm)]]*Table1123[[#This Row],[h (mm)]]*Table1123[[#This Row],[L(mm)]]*Table1123[[#This Row],[fc (Mpa)]])</f>
        <v>5.5382286896261047E-6</v>
      </c>
      <c r="R39" s="109">
        <f>Table1123[[#This Row],[M (KN.mm)]]/(Table1123[[#This Row],[b (mm)]]*Table1123[[#This Row],[h (mm)]]*Table1123[[#This Row],[L(mm)]]/2)</f>
        <v>3.5887721908777159E-4</v>
      </c>
      <c r="S39" s="109">
        <f>Table1123[[#This Row],[M (KN.mm)]]/(Table1123[[#This Row],[a (mm)]]*Table1123[[#This Row],[b (mm)]]*Table1123[[#This Row],[h (mm)]]*Table1123[[#This Row],[L(mm)]]/2)</f>
        <v>5.8870934889726317E-7</v>
      </c>
      <c r="T39" s="109">
        <f>Table1123[[#This Row],[M (KN.mm)]]/(Table1123[[#This Row],[a (mm)]]^2*Table1123[[#This Row],[b (mm)]]*Table1123[[#This Row],[h (mm)]])</f>
        <v>9.5818578922080603E-7</v>
      </c>
      <c r="U39" s="109">
        <f>Table1123[[#This Row],[M (KN.mm)]]/(Table1123[[#This Row],[b (mm)]]*Table1123[[#This Row],[d (mm)]]*Table1123[[#This Row],[pho (%)]])</f>
        <v>0.73989296792446402</v>
      </c>
      <c r="V39" s="109">
        <f>E39*224.8/(2*SQRT(Table1123[[#This Row],[fc (Mpa)]]*145.037)*Table1123[[#This Row],[b (mm)]]*Table1123[[#This Row],[d (mm)]]*(1/25.4)^2)</f>
        <v>0.70616870342260918</v>
      </c>
      <c r="W39" s="110">
        <f>Table1123[[#This Row],[M (KN.mm)]]/$G$45</f>
        <v>0.46923076923076928</v>
      </c>
      <c r="X39" s="110">
        <f>Table1123[[#This Row],[V/(2*sqrt(fc) bd)]]</f>
        <v>0.70616870342260918</v>
      </c>
      <c r="Y39" s="123">
        <f>2*SQRT(Table1123[[#This Row],[fc (Mpa)]]*145.037)/Table1123[[#This Row],[pho (%)]]*Table1123[[#This Row],[a (mm)]]*1/(224.8*25.4^2)</f>
        <v>1.0477566682556199</v>
      </c>
      <c r="Z39" s="123">
        <f>(2*SQRT(Table1123[[#This Row],[fc (Mpa)]]*145.037)*Table1123[[#This Row],[b (mm)]]*Table1123[[#This Row],[d (mm)]]*(1/25.4)^2)/224.8</f>
        <v>57.63382008115336</v>
      </c>
      <c r="AA39" s="123">
        <f>Table1123[[#This Row],[M (KN.mm)]]/(Table1123[[#This Row],[b (mm)]]*Table1123[[#This Row],[d (mm)]]^2*Table1123[[#This Row],[pho (%)]])</f>
        <v>2.7742518482357101E-3</v>
      </c>
      <c r="AB39" s="109">
        <f t="shared" si="10"/>
        <v>609.59999999999991</v>
      </c>
      <c r="AC39" s="109">
        <f t="shared" si="11"/>
        <v>266.7</v>
      </c>
      <c r="AD39" s="109">
        <f t="shared" si="12"/>
        <v>304.79999999999995</v>
      </c>
      <c r="AE39" s="109">
        <f t="shared" si="13"/>
        <v>228.6</v>
      </c>
      <c r="AF39" s="7">
        <v>32.4</v>
      </c>
      <c r="AG39" s="110">
        <f>Table1123[[#This Row],[pho (%)]]/100*Table1123[[#This Row],[b (mm)]]*Table1123[[#This Row],[h (mm)]]</f>
        <v>383.22503999999998</v>
      </c>
      <c r="AH39" s="111">
        <v>0.55000000000000004</v>
      </c>
      <c r="AI39" s="110">
        <v>629</v>
      </c>
      <c r="AJ39" s="110">
        <f>(1/3-0.21*(MIN(Table1123[[#This Row],[b (mm)]],AD39)/MAX(Table1123[[#This Row],[b (mm)]],AD39))*(MIN(Table1123[[#This Row],[b (mm)]],AD39)^4/(12*MAX(Table1123[[#This Row],[b (mm)]],AD39)^4)))*MAX(Table1123[[#This Row],[b (mm)]],AD39)*MIN(Table1123[[#This Row],[b (mm)]],AD39)^3</f>
        <v>1198609576.1573534</v>
      </c>
      <c r="AK39" s="110">
        <f>Table1123[[#This Row],[b (mm)]]*AD39^3/12</f>
        <v>539435927.57759976</v>
      </c>
      <c r="AL39" s="110">
        <f t="shared" si="14"/>
        <v>1984.375</v>
      </c>
      <c r="AM39"/>
      <c r="AN39"/>
    </row>
    <row r="40" spans="1:40" x14ac:dyDescent="0.3">
      <c r="A40" s="117" t="s">
        <v>72</v>
      </c>
      <c r="B40" s="109" t="s">
        <v>61</v>
      </c>
      <c r="C40" s="109">
        <v>39</v>
      </c>
      <c r="D40" s="123">
        <f>Table1123[[#This Row],[a (mm)]]/Table1123[[#This Row],[d (mm)]]</f>
        <v>2.2857142857142856</v>
      </c>
      <c r="E40" s="109">
        <v>47.371200000000009</v>
      </c>
      <c r="F40" s="124">
        <f>Table1123[[#This Row],[d (mm)]]</f>
        <v>266.7</v>
      </c>
      <c r="G40" s="109">
        <f t="shared" si="15"/>
        <v>28877.483520000002</v>
      </c>
      <c r="H40" s="109">
        <f t="shared" si="16"/>
        <v>2.0326228090212307E-6</v>
      </c>
      <c r="I40" s="109">
        <f>G40/(Table1123[[#This Row],[b (mm)]]*AC40^2)</f>
        <v>1.7759759782558116E-3</v>
      </c>
      <c r="J40" s="109">
        <f t="shared" si="17"/>
        <v>0.4491917852215162</v>
      </c>
      <c r="K40" s="109">
        <f t="shared" si="18"/>
        <v>1.2586558398037573E-6</v>
      </c>
      <c r="L40" s="109">
        <f>E40/(Table1123[[#This Row],[b (mm)]]*AC40)</f>
        <v>7.7698949048691764E-4</v>
      </c>
      <c r="M40" s="109">
        <f>Table1123[[#This Row],[M (KN.mm)]]/(Table1123[[#This Row],[b (mm)]]*Table1123[[#This Row],[d (mm)]])</f>
        <v>0.47365279340082495</v>
      </c>
      <c r="N40" s="109">
        <f>Table1123[[#This Row],[M (KN.mm)]]/(Table1123[[#This Row],[b (mm)]]*Table1123[[#This Row],[h (mm)]])</f>
        <v>0.41444619422572188</v>
      </c>
      <c r="O40" s="109">
        <f>Table1123[[#This Row],[M (KN.mm)]]/(Table1123[[#This Row],[b (mm)]]*Table1123[[#This Row],[h (mm)]]*Table1123[[#This Row],[L(mm)]])</f>
        <v>2.0885477504288349E-4</v>
      </c>
      <c r="P40" s="109">
        <f>Table1123[[#This Row],[M (KN.mm)]]/(Table1123[[#This Row],[b (mm)]]*Table1123[[#This Row],[d (mm)]]*Table1123[[#This Row],[L(mm)]])</f>
        <v>2.386911714775811E-4</v>
      </c>
      <c r="Q40" s="109">
        <f>Table1123[[#This Row],[M (KN.mm)]]/(Table1123[[#This Row],[b (mm)]]*Table1123[[#This Row],[h (mm)]]*Table1123[[#This Row],[L(mm)]]*Table1123[[#This Row],[fc (Mpa)]])</f>
        <v>6.4461350321877618E-6</v>
      </c>
      <c r="R40" s="109">
        <f>Table1123[[#This Row],[M (KN.mm)]]/(Table1123[[#This Row],[b (mm)]]*Table1123[[#This Row],[h (mm)]]*Table1123[[#This Row],[L(mm)]]/2)</f>
        <v>4.1770955008576697E-4</v>
      </c>
      <c r="S40" s="109">
        <f>Table1123[[#This Row],[M (KN.mm)]]/(Table1123[[#This Row],[a (mm)]]*Table1123[[#This Row],[b (mm)]]*Table1123[[#This Row],[h (mm)]]*Table1123[[#This Row],[L(mm)]]/2)</f>
        <v>6.8521907822468341E-7</v>
      </c>
      <c r="T40" s="109">
        <f>Table1123[[#This Row],[M (KN.mm)]]/(Table1123[[#This Row],[a (mm)]]^2*Table1123[[#This Row],[b (mm)]]*Table1123[[#This Row],[h (mm)]])</f>
        <v>1.1152654267979875E-6</v>
      </c>
      <c r="U40" s="109">
        <f>Table1123[[#This Row],[M (KN.mm)]]/(Table1123[[#This Row],[b (mm)]]*Table1123[[#This Row],[d (mm)]]*Table1123[[#This Row],[pho (%)]])</f>
        <v>0.86118689709240903</v>
      </c>
      <c r="V40" s="109">
        <f>E40*224.8/(2*SQRT(Table1123[[#This Row],[fc (Mpa)]]*145.037)*Table1123[[#This Row],[b (mm)]]*Table1123[[#This Row],[d (mm)]]*(1/25.4)^2)</f>
        <v>0.82193406463943042</v>
      </c>
      <c r="W40" s="110">
        <f>Table1123[[#This Row],[M (KN.mm)]]/$G$45</f>
        <v>0.54615384615384632</v>
      </c>
      <c r="X40" s="110">
        <f>Table1123[[#This Row],[V/(2*sqrt(fc) bd)]]</f>
        <v>0.82193406463943042</v>
      </c>
      <c r="Y40" s="123">
        <f>2*SQRT(Table1123[[#This Row],[fc (Mpa)]]*145.037)/Table1123[[#This Row],[pho (%)]]*Table1123[[#This Row],[a (mm)]]*1/(224.8*25.4^2)</f>
        <v>1.0477566682556199</v>
      </c>
      <c r="Z40" s="123">
        <f>(2*SQRT(Table1123[[#This Row],[fc (Mpa)]]*145.037)*Table1123[[#This Row],[b (mm)]]*Table1123[[#This Row],[d (mm)]]*(1/25.4)^2)/224.8</f>
        <v>57.63382008115336</v>
      </c>
      <c r="AA40" s="123">
        <f>Table1123[[#This Row],[M (KN.mm)]]/(Table1123[[#This Row],[b (mm)]]*Table1123[[#This Row],[d (mm)]]^2*Table1123[[#This Row],[pho (%)]])</f>
        <v>3.2290472331923843E-3</v>
      </c>
      <c r="AB40" s="109">
        <f t="shared" si="10"/>
        <v>609.59999999999991</v>
      </c>
      <c r="AC40" s="109">
        <f t="shared" si="11"/>
        <v>266.7</v>
      </c>
      <c r="AD40" s="109">
        <f t="shared" si="12"/>
        <v>304.79999999999995</v>
      </c>
      <c r="AE40" s="109">
        <f t="shared" si="13"/>
        <v>228.6</v>
      </c>
      <c r="AF40" s="7">
        <v>32.4</v>
      </c>
      <c r="AG40" s="110">
        <f>Table1123[[#This Row],[pho (%)]]/100*Table1123[[#This Row],[b (mm)]]*Table1123[[#This Row],[h (mm)]]</f>
        <v>383.22503999999998</v>
      </c>
      <c r="AH40" s="111">
        <v>0.55000000000000004</v>
      </c>
      <c r="AI40" s="110">
        <v>629</v>
      </c>
      <c r="AJ40" s="110">
        <f>(1/3-0.21*(MIN(Table1123[[#This Row],[b (mm)]],AD40)/MAX(Table1123[[#This Row],[b (mm)]],AD40))*(MIN(Table1123[[#This Row],[b (mm)]],AD40)^4/(12*MAX(Table1123[[#This Row],[b (mm)]],AD40)^4)))*MAX(Table1123[[#This Row],[b (mm)]],AD40)*MIN(Table1123[[#This Row],[b (mm)]],AD40)^3</f>
        <v>1198609576.1573534</v>
      </c>
      <c r="AK40" s="110">
        <f>Table1123[[#This Row],[b (mm)]]*AD40^3/12</f>
        <v>539435927.57759976</v>
      </c>
      <c r="AL40" s="110">
        <f t="shared" si="14"/>
        <v>1984.375</v>
      </c>
      <c r="AM40"/>
      <c r="AN40"/>
    </row>
    <row r="41" spans="1:40" x14ac:dyDescent="0.3">
      <c r="A41" s="117" t="s">
        <v>72</v>
      </c>
      <c r="B41" s="109" t="s">
        <v>62</v>
      </c>
      <c r="C41" s="109">
        <v>40</v>
      </c>
      <c r="D41" s="123">
        <f>Table1123[[#This Row],[a (mm)]]/Table1123[[#This Row],[d (mm)]]</f>
        <v>2.2857142857142856</v>
      </c>
      <c r="E41" s="109">
        <v>54.265599999999999</v>
      </c>
      <c r="F41" s="124">
        <f>Table1123[[#This Row],[d (mm)]]</f>
        <v>266.7</v>
      </c>
      <c r="G41" s="109">
        <f t="shared" si="15"/>
        <v>33080.309759999996</v>
      </c>
      <c r="H41" s="109">
        <f t="shared" si="16"/>
        <v>2.3284505417895786E-6</v>
      </c>
      <c r="I41" s="109">
        <f>G41/(Table1123[[#This Row],[b (mm)]]*AC41^2)</f>
        <v>2.0344513553728545E-3</v>
      </c>
      <c r="J41" s="109">
        <f t="shared" si="17"/>
        <v>0.50770622059215609</v>
      </c>
      <c r="K41" s="109">
        <f t="shared" si="18"/>
        <v>1.441840492545149E-6</v>
      </c>
      <c r="L41" s="109">
        <f>E41/(Table1123[[#This Row],[b (mm)]]*AC41)</f>
        <v>8.9007246797562385E-4</v>
      </c>
      <c r="M41" s="109">
        <f>Table1123[[#This Row],[M (KN.mm)]]/(Table1123[[#This Row],[b (mm)]]*Table1123[[#This Row],[d (mm)]])</f>
        <v>0.54258817647794022</v>
      </c>
      <c r="N41" s="109">
        <f>Table1123[[#This Row],[M (KN.mm)]]/(Table1123[[#This Row],[b (mm)]]*Table1123[[#This Row],[h (mm)]])</f>
        <v>0.47476465441819776</v>
      </c>
      <c r="O41" s="109">
        <f>Table1123[[#This Row],[M (KN.mm)]]/(Table1123[[#This Row],[b (mm)]]*Table1123[[#This Row],[h (mm)]]*Table1123[[#This Row],[L(mm)]])</f>
        <v>2.392514793918477E-4</v>
      </c>
      <c r="P41" s="109">
        <f>Table1123[[#This Row],[M (KN.mm)]]/(Table1123[[#This Row],[b (mm)]]*Table1123[[#This Row],[d (mm)]]*Table1123[[#This Row],[L(mm)]])</f>
        <v>2.7343026216211164E-4</v>
      </c>
      <c r="Q41" s="109">
        <f>Table1123[[#This Row],[M (KN.mm)]]/(Table1123[[#This Row],[b (mm)]]*Table1123[[#This Row],[h (mm)]]*Table1123[[#This Row],[L(mm)]]*Table1123[[#This Row],[fc (Mpa)]])</f>
        <v>7.3843049195014718E-6</v>
      </c>
      <c r="R41" s="109">
        <f>Table1123[[#This Row],[M (KN.mm)]]/(Table1123[[#This Row],[b (mm)]]*Table1123[[#This Row],[h (mm)]]*Table1123[[#This Row],[L(mm)]]/2)</f>
        <v>4.785029587836954E-4</v>
      </c>
      <c r="S41" s="109">
        <f>Table1123[[#This Row],[M (KN.mm)]]/(Table1123[[#This Row],[a (mm)]]*Table1123[[#This Row],[b (mm)]]*Table1123[[#This Row],[h (mm)]]*Table1123[[#This Row],[L(mm)]]/2)</f>
        <v>7.8494579852968411E-7</v>
      </c>
      <c r="T41" s="109">
        <f>Table1123[[#This Row],[M (KN.mm)]]/(Table1123[[#This Row],[a (mm)]]^2*Table1123[[#This Row],[b (mm)]]*Table1123[[#This Row],[h (mm)]])</f>
        <v>1.2775810522944078E-6</v>
      </c>
      <c r="U41" s="109">
        <f>Table1123[[#This Row],[M (KN.mm)]]/(Table1123[[#This Row],[b (mm)]]*Table1123[[#This Row],[d (mm)]]*Table1123[[#This Row],[pho (%)]])</f>
        <v>0.98652395723261854</v>
      </c>
      <c r="V41" s="109">
        <f>E41*224.8/(2*SQRT(Table1123[[#This Row],[fc (Mpa)]]*145.037)*Table1123[[#This Row],[b (mm)]]*Table1123[[#This Row],[d (mm)]]*(1/25.4)^2)</f>
        <v>0.94155827123014546</v>
      </c>
      <c r="W41" s="110">
        <f>Table1123[[#This Row],[M (KN.mm)]]/$G$45</f>
        <v>0.62564102564102564</v>
      </c>
      <c r="X41" s="110">
        <f>Table1123[[#This Row],[V/(2*sqrt(fc) bd)]]</f>
        <v>0.94155827123014546</v>
      </c>
      <c r="Y41" s="123">
        <f>2*SQRT(Table1123[[#This Row],[fc (Mpa)]]*145.037)/Table1123[[#This Row],[pho (%)]]*Table1123[[#This Row],[a (mm)]]*1/(224.8*25.4^2)</f>
        <v>1.0477566682556199</v>
      </c>
      <c r="Z41" s="123">
        <f>(2*SQRT(Table1123[[#This Row],[fc (Mpa)]]*145.037)*Table1123[[#This Row],[b (mm)]]*Table1123[[#This Row],[d (mm)]]*(1/25.4)^2)/224.8</f>
        <v>57.63382008115336</v>
      </c>
      <c r="AA41" s="123">
        <f>Table1123[[#This Row],[M (KN.mm)]]/(Table1123[[#This Row],[b (mm)]]*Table1123[[#This Row],[d (mm)]]^2*Table1123[[#This Row],[pho (%)]])</f>
        <v>3.69900246431428E-3</v>
      </c>
      <c r="AB41" s="109">
        <f t="shared" si="10"/>
        <v>609.59999999999991</v>
      </c>
      <c r="AC41" s="109">
        <f t="shared" si="11"/>
        <v>266.7</v>
      </c>
      <c r="AD41" s="109">
        <f t="shared" si="12"/>
        <v>304.79999999999995</v>
      </c>
      <c r="AE41" s="109">
        <f t="shared" si="13"/>
        <v>228.6</v>
      </c>
      <c r="AF41" s="7">
        <v>32.4</v>
      </c>
      <c r="AG41" s="110">
        <f>Table1123[[#This Row],[pho (%)]]/100*Table1123[[#This Row],[b (mm)]]*Table1123[[#This Row],[h (mm)]]</f>
        <v>383.22503999999998</v>
      </c>
      <c r="AH41" s="111">
        <v>0.55000000000000004</v>
      </c>
      <c r="AI41" s="110">
        <v>637.5</v>
      </c>
      <c r="AJ41" s="110">
        <f>(1/3-0.21*(MIN(Table1123[[#This Row],[b (mm)]],AD41)/MAX(Table1123[[#This Row],[b (mm)]],AD41))*(MIN(Table1123[[#This Row],[b (mm)]],AD41)^4/(12*MAX(Table1123[[#This Row],[b (mm)]],AD41)^4)))*MAX(Table1123[[#This Row],[b (mm)]],AD41)*MIN(Table1123[[#This Row],[b (mm)]],AD41)^3</f>
        <v>1198609576.1573534</v>
      </c>
      <c r="AK41" s="110">
        <f>Table1123[[#This Row],[b (mm)]]*AD41^3/12</f>
        <v>539435927.57759976</v>
      </c>
      <c r="AL41" s="110">
        <f t="shared" si="14"/>
        <v>1984.375</v>
      </c>
      <c r="AM41"/>
      <c r="AN41"/>
    </row>
    <row r="42" spans="1:40" x14ac:dyDescent="0.3">
      <c r="A42" s="117" t="s">
        <v>72</v>
      </c>
      <c r="B42" s="109" t="s">
        <v>63</v>
      </c>
      <c r="C42" s="109">
        <v>41</v>
      </c>
      <c r="D42" s="123">
        <f>Table1123[[#This Row],[a (mm)]]/Table1123[[#This Row],[d (mm)]]</f>
        <v>2.2857142857142856</v>
      </c>
      <c r="E42" s="109">
        <v>60.937600000000003</v>
      </c>
      <c r="F42" s="124">
        <f>Table1123[[#This Row],[d (mm)]]</f>
        <v>266.7</v>
      </c>
      <c r="G42" s="109">
        <f t="shared" si="15"/>
        <v>37147.560959999995</v>
      </c>
      <c r="H42" s="109">
        <f t="shared" si="16"/>
        <v>2.6147354444686252E-6</v>
      </c>
      <c r="I42" s="109">
        <f>G42/(Table1123[[#This Row],[b (mm)]]*AC42^2)</f>
        <v>2.2845888170990249E-3</v>
      </c>
      <c r="J42" s="109">
        <f t="shared" si="17"/>
        <v>0.57012911656660159</v>
      </c>
      <c r="K42" s="109">
        <f t="shared" si="18"/>
        <v>1.6191159629400445E-6</v>
      </c>
      <c r="L42" s="109">
        <f>E42/(Table1123[[#This Row],[b (mm)]]*AC42)</f>
        <v>9.9950760748082363E-4</v>
      </c>
      <c r="M42" s="109">
        <f>Table1123[[#This Row],[M (KN.mm)]]/(Table1123[[#This Row],[b (mm)]]*Table1123[[#This Row],[d (mm)]])</f>
        <v>0.60929983752030992</v>
      </c>
      <c r="N42" s="109">
        <f>Table1123[[#This Row],[M (KN.mm)]]/(Table1123[[#This Row],[b (mm)]]*Table1123[[#This Row],[h (mm)]])</f>
        <v>0.53313735783027127</v>
      </c>
      <c r="O42" s="109">
        <f>Table1123[[#This Row],[M (KN.mm)]]/(Table1123[[#This Row],[b (mm)]]*Table1123[[#This Row],[h (mm)]]*Table1123[[#This Row],[L(mm)]])</f>
        <v>2.6866764489084536E-4</v>
      </c>
      <c r="P42" s="109">
        <f>Table1123[[#This Row],[M (KN.mm)]]/(Table1123[[#This Row],[b (mm)]]*Table1123[[#This Row],[d (mm)]]*Table1123[[#This Row],[L(mm)]])</f>
        <v>3.0704873701810896E-4</v>
      </c>
      <c r="Q42" s="109">
        <f>Table1123[[#This Row],[M (KN.mm)]]/(Table1123[[#This Row],[b (mm)]]*Table1123[[#This Row],[h (mm)]]*Table1123[[#This Row],[L(mm)]]*Table1123[[#This Row],[fc (Mpa)]])</f>
        <v>8.2922112620631289E-6</v>
      </c>
      <c r="R42" s="109">
        <f>Table1123[[#This Row],[M (KN.mm)]]/(Table1123[[#This Row],[b (mm)]]*Table1123[[#This Row],[h (mm)]]*Table1123[[#This Row],[L(mm)]]/2)</f>
        <v>5.3733528978169073E-4</v>
      </c>
      <c r="S42" s="109">
        <f>Table1123[[#This Row],[M (KN.mm)]]/(Table1123[[#This Row],[a (mm)]]*Table1123[[#This Row],[b (mm)]]*Table1123[[#This Row],[h (mm)]]*Table1123[[#This Row],[L(mm)]]/2)</f>
        <v>8.8145552785710436E-7</v>
      </c>
      <c r="T42" s="109">
        <f>Table1123[[#This Row],[M (KN.mm)]]/(Table1123[[#This Row],[a (mm)]]^2*Table1123[[#This Row],[b (mm)]]*Table1123[[#This Row],[h (mm)]])</f>
        <v>1.4346606898715891E-6</v>
      </c>
      <c r="U42" s="109">
        <f>Table1123[[#This Row],[M (KN.mm)]]/(Table1123[[#This Row],[b (mm)]]*Table1123[[#This Row],[d (mm)]]*Table1123[[#This Row],[pho (%)]])</f>
        <v>1.1078178864005634</v>
      </c>
      <c r="V42" s="109">
        <f>E42*224.8/(2*SQRT(Table1123[[#This Row],[fc (Mpa)]]*145.037)*Table1123[[#This Row],[b (mm)]]*Table1123[[#This Row],[d (mm)]]*(1/25.4)^2)</f>
        <v>1.0573236324469666</v>
      </c>
      <c r="W42" s="110">
        <f>Table1123[[#This Row],[M (KN.mm)]]/$G$45</f>
        <v>0.70256410256410262</v>
      </c>
      <c r="X42" s="110">
        <f>Table1123[[#This Row],[V/(2*sqrt(fc) bd)]]</f>
        <v>1.0573236324469666</v>
      </c>
      <c r="Y42" s="123">
        <f>2*SQRT(Table1123[[#This Row],[fc (Mpa)]]*145.037)/Table1123[[#This Row],[pho (%)]]*Table1123[[#This Row],[a (mm)]]*1/(224.8*25.4^2)</f>
        <v>1.0477566682556199</v>
      </c>
      <c r="Z42" s="123">
        <f>(2*SQRT(Table1123[[#This Row],[fc (Mpa)]]*145.037)*Table1123[[#This Row],[b (mm)]]*Table1123[[#This Row],[d (mm)]]*(1/25.4)^2)/224.8</f>
        <v>57.63382008115336</v>
      </c>
      <c r="AA42" s="123">
        <f>Table1123[[#This Row],[M (KN.mm)]]/(Table1123[[#This Row],[b (mm)]]*Table1123[[#This Row],[d (mm)]]^2*Table1123[[#This Row],[pho (%)]])</f>
        <v>4.1537978492709538E-3</v>
      </c>
      <c r="AB42" s="109">
        <f t="shared" si="10"/>
        <v>609.59999999999991</v>
      </c>
      <c r="AC42" s="109">
        <f t="shared" si="11"/>
        <v>266.7</v>
      </c>
      <c r="AD42" s="109">
        <f t="shared" si="12"/>
        <v>304.79999999999995</v>
      </c>
      <c r="AE42" s="109">
        <f t="shared" si="13"/>
        <v>228.6</v>
      </c>
      <c r="AF42" s="7">
        <v>32.4</v>
      </c>
      <c r="AG42" s="110">
        <f>Table1123[[#This Row],[pho (%)]]/100*Table1123[[#This Row],[b (mm)]]*Table1123[[#This Row],[h (mm)]]</f>
        <v>383.22503999999998</v>
      </c>
      <c r="AH42" s="111">
        <v>0.55000000000000004</v>
      </c>
      <c r="AI42" s="110">
        <v>637.5</v>
      </c>
      <c r="AJ42" s="110">
        <f>(1/3-0.21*(MIN(Table1123[[#This Row],[b (mm)]],AD42)/MAX(Table1123[[#This Row],[b (mm)]],AD42))*(MIN(Table1123[[#This Row],[b (mm)]],AD42)^4/(12*MAX(Table1123[[#This Row],[b (mm)]],AD42)^4)))*MAX(Table1123[[#This Row],[b (mm)]],AD42)*MIN(Table1123[[#This Row],[b (mm)]],AD42)^3</f>
        <v>1198609576.1573534</v>
      </c>
      <c r="AK42" s="110">
        <f>Table1123[[#This Row],[b (mm)]]*AD42^3/12</f>
        <v>539435927.57759976</v>
      </c>
      <c r="AL42" s="110">
        <f t="shared" si="14"/>
        <v>1984.375</v>
      </c>
      <c r="AM42"/>
      <c r="AN42"/>
    </row>
    <row r="43" spans="1:40" x14ac:dyDescent="0.3">
      <c r="A43" s="117" t="s">
        <v>72</v>
      </c>
      <c r="B43" s="109" t="s">
        <v>64</v>
      </c>
      <c r="C43" s="109">
        <v>42</v>
      </c>
      <c r="D43" s="123">
        <f>Table1123[[#This Row],[a (mm)]]/Table1123[[#This Row],[d (mm)]]</f>
        <v>2.2857142857142856</v>
      </c>
      <c r="E43" s="109">
        <v>67.832000000000008</v>
      </c>
      <c r="F43" s="124">
        <f>Table1123[[#This Row],[d (mm)]]</f>
        <v>266.7</v>
      </c>
      <c r="G43" s="109">
        <f t="shared" si="15"/>
        <v>41350.387199999997</v>
      </c>
      <c r="H43" s="109">
        <f t="shared" si="16"/>
        <v>2.9105631772369734E-6</v>
      </c>
      <c r="I43" s="109">
        <f>G43/(Table1123[[#This Row],[b (mm)]]*AC43^2)</f>
        <v>2.543064194216068E-3</v>
      </c>
      <c r="J43" s="109">
        <f t="shared" si="17"/>
        <v>0.63463277574019517</v>
      </c>
      <c r="K43" s="109">
        <f t="shared" si="18"/>
        <v>1.8023006156814364E-6</v>
      </c>
      <c r="L43" s="109">
        <f>E43/(Table1123[[#This Row],[b (mm)]]*AC43)</f>
        <v>1.11259058496953E-3</v>
      </c>
      <c r="M43" s="109">
        <f>Table1123[[#This Row],[M (KN.mm)]]/(Table1123[[#This Row],[b (mm)]]*Table1123[[#This Row],[d (mm)]])</f>
        <v>0.67823522059742536</v>
      </c>
      <c r="N43" s="109">
        <f>Table1123[[#This Row],[M (KN.mm)]]/(Table1123[[#This Row],[b (mm)]]*Table1123[[#This Row],[h (mm)]])</f>
        <v>0.59345581802274727</v>
      </c>
      <c r="O43" s="109">
        <f>Table1123[[#This Row],[M (KN.mm)]]/(Table1123[[#This Row],[b (mm)]]*Table1123[[#This Row],[h (mm)]]*Table1123[[#This Row],[L(mm)]])</f>
        <v>2.9906434923980963E-4</v>
      </c>
      <c r="P43" s="109">
        <f>Table1123[[#This Row],[M (KN.mm)]]/(Table1123[[#This Row],[b (mm)]]*Table1123[[#This Row],[d (mm)]]*Table1123[[#This Row],[L(mm)]])</f>
        <v>3.4178782770263953E-4</v>
      </c>
      <c r="Q43" s="109">
        <f>Table1123[[#This Row],[M (KN.mm)]]/(Table1123[[#This Row],[b (mm)]]*Table1123[[#This Row],[h (mm)]]*Table1123[[#This Row],[L(mm)]]*Table1123[[#This Row],[fc (Mpa)]])</f>
        <v>9.2303811493768406E-6</v>
      </c>
      <c r="R43" s="109">
        <f>Table1123[[#This Row],[M (KN.mm)]]/(Table1123[[#This Row],[b (mm)]]*Table1123[[#This Row],[h (mm)]]*Table1123[[#This Row],[L(mm)]]/2)</f>
        <v>5.9812869847961927E-4</v>
      </c>
      <c r="S43" s="109">
        <f>Table1123[[#This Row],[M (KN.mm)]]/(Table1123[[#This Row],[a (mm)]]*Table1123[[#This Row],[b (mm)]]*Table1123[[#This Row],[h (mm)]]*Table1123[[#This Row],[L(mm)]]/2)</f>
        <v>9.8118224816210517E-7</v>
      </c>
      <c r="T43" s="109">
        <f>Table1123[[#This Row],[M (KN.mm)]]/(Table1123[[#This Row],[a (mm)]]^2*Table1123[[#This Row],[b (mm)]]*Table1123[[#This Row],[h (mm)]])</f>
        <v>1.5969763153680101E-6</v>
      </c>
      <c r="U43" s="109">
        <f>Table1123[[#This Row],[M (KN.mm)]]/(Table1123[[#This Row],[b (mm)]]*Table1123[[#This Row],[d (mm)]]*Table1123[[#This Row],[pho (%)]])</f>
        <v>1.2331549465407732</v>
      </c>
      <c r="V43" s="109">
        <f>E43*224.8/(2*SQRT(Table1123[[#This Row],[fc (Mpa)]]*145.037)*Table1123[[#This Row],[b (mm)]]*Table1123[[#This Row],[d (mm)]]*(1/25.4)^2)</f>
        <v>1.176947839037682</v>
      </c>
      <c r="W43" s="110">
        <f>Table1123[[#This Row],[M (KN.mm)]]/$G$45</f>
        <v>0.78205128205128216</v>
      </c>
      <c r="X43" s="110">
        <f>Table1123[[#This Row],[V/(2*sqrt(fc) bd)]]</f>
        <v>1.176947839037682</v>
      </c>
      <c r="Y43" s="123">
        <f>2*SQRT(Table1123[[#This Row],[fc (Mpa)]]*145.037)/Table1123[[#This Row],[pho (%)]]*Table1123[[#This Row],[a (mm)]]*1/(224.8*25.4^2)</f>
        <v>1.0477566682556199</v>
      </c>
      <c r="Z43" s="123">
        <f>(2*SQRT(Table1123[[#This Row],[fc (Mpa)]]*145.037)*Table1123[[#This Row],[b (mm)]]*Table1123[[#This Row],[d (mm)]]*(1/25.4)^2)/224.8</f>
        <v>57.63382008115336</v>
      </c>
      <c r="AA43" s="123">
        <f>Table1123[[#This Row],[M (KN.mm)]]/(Table1123[[#This Row],[b (mm)]]*Table1123[[#This Row],[d (mm)]]^2*Table1123[[#This Row],[pho (%)]])</f>
        <v>4.6237530803928499E-3</v>
      </c>
      <c r="AB43" s="109">
        <f t="shared" si="10"/>
        <v>609.59999999999991</v>
      </c>
      <c r="AC43" s="109">
        <f t="shared" si="11"/>
        <v>266.7</v>
      </c>
      <c r="AD43" s="109">
        <f t="shared" si="12"/>
        <v>304.79999999999995</v>
      </c>
      <c r="AE43" s="109">
        <f t="shared" si="13"/>
        <v>228.6</v>
      </c>
      <c r="AF43" s="7">
        <v>32.4</v>
      </c>
      <c r="AG43" s="110">
        <f>Table1123[[#This Row],[pho (%)]]/100*Table1123[[#This Row],[b (mm)]]*Table1123[[#This Row],[h (mm)]]</f>
        <v>383.22503999999998</v>
      </c>
      <c r="AH43" s="111">
        <v>0.55000000000000004</v>
      </c>
      <c r="AI43" s="110">
        <v>637.5</v>
      </c>
      <c r="AJ43" s="110">
        <f>(1/3-0.21*(MIN(Table1123[[#This Row],[b (mm)]],AD43)/MAX(Table1123[[#This Row],[b (mm)]],AD43))*(MIN(Table1123[[#This Row],[b (mm)]],AD43)^4/(12*MAX(Table1123[[#This Row],[b (mm)]],AD43)^4)))*MAX(Table1123[[#This Row],[b (mm)]],AD43)*MIN(Table1123[[#This Row],[b (mm)]],AD43)^3</f>
        <v>1198609576.1573534</v>
      </c>
      <c r="AK43" s="110">
        <f>Table1123[[#This Row],[b (mm)]]*AD43^3/12</f>
        <v>539435927.57759976</v>
      </c>
      <c r="AL43" s="110">
        <f t="shared" si="14"/>
        <v>1984.375</v>
      </c>
      <c r="AM43"/>
      <c r="AN43"/>
    </row>
    <row r="44" spans="1:40" x14ac:dyDescent="0.3">
      <c r="A44" s="117" t="s">
        <v>72</v>
      </c>
      <c r="B44" s="109" t="s">
        <v>65</v>
      </c>
      <c r="C44" s="109">
        <v>43</v>
      </c>
      <c r="D44" s="123">
        <f>Table1123[[#This Row],[a (mm)]]/Table1123[[#This Row],[d (mm)]]</f>
        <v>2.2857142857142856</v>
      </c>
      <c r="E44" s="109">
        <v>78.952000000000012</v>
      </c>
      <c r="F44" s="124">
        <f>Table1123[[#This Row],[d (mm)]]</f>
        <v>266.7</v>
      </c>
      <c r="G44" s="109">
        <f t="shared" si="15"/>
        <v>48129.139199999998</v>
      </c>
      <c r="H44" s="109">
        <f t="shared" si="16"/>
        <v>3.3877046817020511E-6</v>
      </c>
      <c r="I44" s="109">
        <f>G44/(Table1123[[#This Row],[b (mm)]]*AC44^2)</f>
        <v>2.9599599637596856E-3</v>
      </c>
      <c r="J44" s="109">
        <f t="shared" si="17"/>
        <v>0.73867093569760423</v>
      </c>
      <c r="K44" s="109">
        <f t="shared" si="18"/>
        <v>2.0977597330062621E-6</v>
      </c>
      <c r="L44" s="109">
        <f>E44/(Table1123[[#This Row],[b (mm)]]*AC44)</f>
        <v>1.2949824841448627E-3</v>
      </c>
      <c r="M44" s="109">
        <f>Table1123[[#This Row],[M (KN.mm)]]/(Table1123[[#This Row],[b (mm)]]*Table1123[[#This Row],[d (mm)]])</f>
        <v>0.78942132233470819</v>
      </c>
      <c r="N44" s="109">
        <f>Table1123[[#This Row],[M (KN.mm)]]/(Table1123[[#This Row],[b (mm)]]*Table1123[[#This Row],[h (mm)]])</f>
        <v>0.69074365704286977</v>
      </c>
      <c r="O44" s="109">
        <f>Table1123[[#This Row],[M (KN.mm)]]/(Table1123[[#This Row],[b (mm)]]*Table1123[[#This Row],[h (mm)]]*Table1123[[#This Row],[L(mm)]])</f>
        <v>3.480912917381391E-4</v>
      </c>
      <c r="P44" s="109">
        <f>Table1123[[#This Row],[M (KN.mm)]]/(Table1123[[#This Row],[b (mm)]]*Table1123[[#This Row],[d (mm)]]*Table1123[[#This Row],[L(mm)]])</f>
        <v>3.9781861912930179E-4</v>
      </c>
      <c r="Q44" s="109">
        <f>Table1123[[#This Row],[M (KN.mm)]]/(Table1123[[#This Row],[b (mm)]]*Table1123[[#This Row],[h (mm)]]*Table1123[[#This Row],[L(mm)]]*Table1123[[#This Row],[fc (Mpa)]])</f>
        <v>1.0743558386979601E-5</v>
      </c>
      <c r="R44" s="109">
        <f>Table1123[[#This Row],[M (KN.mm)]]/(Table1123[[#This Row],[b (mm)]]*Table1123[[#This Row],[h (mm)]]*Table1123[[#This Row],[L(mm)]]/2)</f>
        <v>6.9618258347627819E-4</v>
      </c>
      <c r="S44" s="109">
        <f>Table1123[[#This Row],[M (KN.mm)]]/(Table1123[[#This Row],[a (mm)]]*Table1123[[#This Row],[b (mm)]]*Table1123[[#This Row],[h (mm)]]*Table1123[[#This Row],[L(mm)]]/2)</f>
        <v>1.142031797041139E-6</v>
      </c>
      <c r="T44" s="109">
        <f>Table1123[[#This Row],[M (KN.mm)]]/(Table1123[[#This Row],[a (mm)]]^2*Table1123[[#This Row],[b (mm)]]*Table1123[[#This Row],[h (mm)]])</f>
        <v>1.8587757113299788E-6</v>
      </c>
      <c r="U44" s="109">
        <f>Table1123[[#This Row],[M (KN.mm)]]/(Table1123[[#This Row],[b (mm)]]*Table1123[[#This Row],[d (mm)]]*Table1123[[#This Row],[pho (%)]])</f>
        <v>1.4353114951540149</v>
      </c>
      <c r="V44" s="109">
        <f>E44*224.8/(2*SQRT(Table1123[[#This Row],[fc (Mpa)]]*145.037)*Table1123[[#This Row],[b (mm)]]*Table1123[[#This Row],[d (mm)]]*(1/25.4)^2)</f>
        <v>1.369890107732384</v>
      </c>
      <c r="W44" s="110">
        <f>Table1123[[#This Row],[M (KN.mm)]]/$G$45</f>
        <v>0.91025641025641035</v>
      </c>
      <c r="X44" s="110">
        <f>Table1123[[#This Row],[V/(2*sqrt(fc) bd)]]</f>
        <v>1.369890107732384</v>
      </c>
      <c r="Y44" s="123">
        <f>2*SQRT(Table1123[[#This Row],[fc (Mpa)]]*145.037)/Table1123[[#This Row],[pho (%)]]*Table1123[[#This Row],[a (mm)]]*1/(224.8*25.4^2)</f>
        <v>1.0477566682556199</v>
      </c>
      <c r="Z44" s="123">
        <f>(2*SQRT(Table1123[[#This Row],[fc (Mpa)]]*145.037)*Table1123[[#This Row],[b (mm)]]*Table1123[[#This Row],[d (mm)]]*(1/25.4)^2)/224.8</f>
        <v>57.63382008115336</v>
      </c>
      <c r="AA44" s="123">
        <f>Table1123[[#This Row],[M (KN.mm)]]/(Table1123[[#This Row],[b (mm)]]*Table1123[[#This Row],[d (mm)]]^2*Table1123[[#This Row],[pho (%)]])</f>
        <v>5.3817453886539739E-3</v>
      </c>
      <c r="AB44" s="109">
        <f t="shared" si="10"/>
        <v>609.59999999999991</v>
      </c>
      <c r="AC44" s="109">
        <f t="shared" si="11"/>
        <v>266.7</v>
      </c>
      <c r="AD44" s="109">
        <f t="shared" si="12"/>
        <v>304.79999999999995</v>
      </c>
      <c r="AE44" s="109">
        <f t="shared" si="13"/>
        <v>228.6</v>
      </c>
      <c r="AF44" s="7">
        <v>32.4</v>
      </c>
      <c r="AG44" s="110">
        <f>Table1123[[#This Row],[pho (%)]]/100*Table1123[[#This Row],[b (mm)]]*Table1123[[#This Row],[h (mm)]]</f>
        <v>383.22503999999998</v>
      </c>
      <c r="AH44" s="111">
        <v>0.55000000000000004</v>
      </c>
      <c r="AI44" s="110">
        <v>637.5</v>
      </c>
      <c r="AJ44" s="110">
        <f>(1/3-0.21*(MIN(Table1123[[#This Row],[b (mm)]],AD44)/MAX(Table1123[[#This Row],[b (mm)]],AD44))*(MIN(Table1123[[#This Row],[b (mm)]],AD44)^4/(12*MAX(Table1123[[#This Row],[b (mm)]],AD44)^4)))*MAX(Table1123[[#This Row],[b (mm)]],AD44)*MIN(Table1123[[#This Row],[b (mm)]],AD44)^3</f>
        <v>1198609576.1573534</v>
      </c>
      <c r="AK44" s="110">
        <f>Table1123[[#This Row],[b (mm)]]*AD44^3/12</f>
        <v>539435927.57759976</v>
      </c>
      <c r="AL44" s="110">
        <f t="shared" si="14"/>
        <v>1984.375</v>
      </c>
      <c r="AM44"/>
      <c r="AN44"/>
    </row>
    <row r="45" spans="1:40" x14ac:dyDescent="0.3">
      <c r="A45" s="118" t="s">
        <v>72</v>
      </c>
      <c r="B45" s="109" t="s">
        <v>66</v>
      </c>
      <c r="C45" s="109">
        <v>44</v>
      </c>
      <c r="D45" s="123">
        <f>Table1123[[#This Row],[a (mm)]]/Table1123[[#This Row],[d (mm)]]</f>
        <v>2.2857142857142856</v>
      </c>
      <c r="E45" s="109">
        <v>86.736000000000004</v>
      </c>
      <c r="F45" s="124">
        <f>Table1123[[#This Row],[d (mm)]]</f>
        <v>266.7</v>
      </c>
      <c r="G45" s="109">
        <f t="shared" si="15"/>
        <v>52874.265599999992</v>
      </c>
      <c r="H45" s="109">
        <f t="shared" si="16"/>
        <v>3.7217037348276051E-6</v>
      </c>
      <c r="I45" s="109">
        <f>G45/(Table1123[[#This Row],[b (mm)]]*AC45^2)</f>
        <v>3.2517870024402176E-3</v>
      </c>
      <c r="J45" s="109">
        <f t="shared" si="17"/>
        <v>0.81149764766779053</v>
      </c>
      <c r="K45" s="109">
        <f t="shared" si="18"/>
        <v>2.3045811151336399E-6</v>
      </c>
      <c r="L45" s="109">
        <f>E45/(Table1123[[#This Row],[b (mm)]]*AC45)</f>
        <v>1.4226568135675955E-3</v>
      </c>
      <c r="M45" s="109">
        <f>Table1123[[#This Row],[M (KN.mm)]]/(Table1123[[#This Row],[b (mm)]]*Table1123[[#This Row],[d (mm)]])</f>
        <v>0.86725159355080605</v>
      </c>
      <c r="N45" s="109">
        <f>Table1123[[#This Row],[M (KN.mm)]]/(Table1123[[#This Row],[b (mm)]]*Table1123[[#This Row],[h (mm)]])</f>
        <v>0.75884514435695538</v>
      </c>
      <c r="O45" s="109">
        <f>Table1123[[#This Row],[M (KN.mm)]]/(Table1123[[#This Row],[b (mm)]]*Table1123[[#This Row],[h (mm)]]*Table1123[[#This Row],[L(mm)]])</f>
        <v>3.8241015148696964E-4</v>
      </c>
      <c r="P45" s="109">
        <f>Table1123[[#This Row],[M (KN.mm)]]/(Table1123[[#This Row],[b (mm)]]*Table1123[[#This Row],[d (mm)]]*Table1123[[#This Row],[L(mm)]])</f>
        <v>4.3704017312796528E-4</v>
      </c>
      <c r="Q45" s="109">
        <f>Table1123[[#This Row],[M (KN.mm)]]/(Table1123[[#This Row],[b (mm)]]*Table1123[[#This Row],[h (mm)]]*Table1123[[#This Row],[L(mm)]]*Table1123[[#This Row],[fc (Mpa)]])</f>
        <v>1.1802782453301532E-5</v>
      </c>
      <c r="R45" s="109">
        <f>Table1123[[#This Row],[M (KN.mm)]]/(Table1123[[#This Row],[b (mm)]]*Table1123[[#This Row],[h (mm)]]*Table1123[[#This Row],[L(mm)]]/2)</f>
        <v>7.6482030297393927E-4</v>
      </c>
      <c r="S45" s="109">
        <f>Table1123[[#This Row],[M (KN.mm)]]/(Table1123[[#This Row],[a (mm)]]*Table1123[[#This Row],[b (mm)]]*Table1123[[#This Row],[h (mm)]]*Table1123[[#This Row],[L(mm)]]/2)</f>
        <v>1.2546264812564624E-6</v>
      </c>
      <c r="T45" s="109">
        <f>Table1123[[#This Row],[M (KN.mm)]]/(Table1123[[#This Row],[a (mm)]]^2*Table1123[[#This Row],[b (mm)]]*Table1123[[#This Row],[h (mm)]])</f>
        <v>2.0420352885033567E-6</v>
      </c>
      <c r="U45" s="109">
        <f>Table1123[[#This Row],[M (KN.mm)]]/(Table1123[[#This Row],[b (mm)]]*Table1123[[#This Row],[d (mm)]]*Table1123[[#This Row],[pho (%)]])</f>
        <v>1.5768210791832837</v>
      </c>
      <c r="V45" s="109">
        <f>E45*224.8/(2*SQRT(Table1123[[#This Row],[fc (Mpa)]]*145.037)*Table1123[[#This Row],[b (mm)]]*Table1123[[#This Row],[d (mm)]]*(1/25.4)^2)</f>
        <v>1.5049496958186752</v>
      </c>
      <c r="W45" s="110">
        <f>Table1123[[#This Row],[M (KN.mm)]]/$G$45</f>
        <v>1</v>
      </c>
      <c r="X45" s="110">
        <f>Table1123[[#This Row],[V/(2*sqrt(fc) bd)]]</f>
        <v>1.5049496958186752</v>
      </c>
      <c r="Y45" s="123">
        <f>2*SQRT(Table1123[[#This Row],[fc (Mpa)]]*145.037)/Table1123[[#This Row],[pho (%)]]*Table1123[[#This Row],[a (mm)]]*1/(224.8*25.4^2)</f>
        <v>1.0477566682556199</v>
      </c>
      <c r="Z45" s="123">
        <f>(2*SQRT(Table1123[[#This Row],[fc (Mpa)]]*145.037)*Table1123[[#This Row],[b (mm)]]*Table1123[[#This Row],[d (mm)]]*(1/25.4)^2)/224.8</f>
        <v>57.63382008115336</v>
      </c>
      <c r="AA45" s="123">
        <f>Table1123[[#This Row],[M (KN.mm)]]/(Table1123[[#This Row],[b (mm)]]*Table1123[[#This Row],[d (mm)]]^2*Table1123[[#This Row],[pho (%)]])</f>
        <v>5.9123400044367586E-3</v>
      </c>
      <c r="AB45" s="109">
        <f t="shared" si="10"/>
        <v>609.59999999999991</v>
      </c>
      <c r="AC45" s="109">
        <f t="shared" si="11"/>
        <v>266.7</v>
      </c>
      <c r="AD45" s="109">
        <f t="shared" si="12"/>
        <v>304.79999999999995</v>
      </c>
      <c r="AE45" s="109">
        <f t="shared" si="13"/>
        <v>228.6</v>
      </c>
      <c r="AF45" s="7">
        <v>32.4</v>
      </c>
      <c r="AG45" s="110">
        <f>Table1123[[#This Row],[pho (%)]]/100*Table1123[[#This Row],[b (mm)]]*Table1123[[#This Row],[h (mm)]]</f>
        <v>383.22503999999998</v>
      </c>
      <c r="AH45" s="111">
        <v>0.55000000000000004</v>
      </c>
      <c r="AI45" s="110">
        <v>637.5</v>
      </c>
      <c r="AJ45" s="110">
        <f>(1/3-0.21*(MIN(Table1123[[#This Row],[b (mm)]],AD45)/MAX(Table1123[[#This Row],[b (mm)]],AD45))*(MIN(Table1123[[#This Row],[b (mm)]],AD45)^4/(12*MAX(Table1123[[#This Row],[b (mm)]],AD45)^4)))*MAX(Table1123[[#This Row],[b (mm)]],AD45)*MIN(Table1123[[#This Row],[b (mm)]],AD45)^3</f>
        <v>1198609576.1573534</v>
      </c>
      <c r="AK45" s="110">
        <f>Table1123[[#This Row],[b (mm)]]*AD45^3/12</f>
        <v>539435927.57759976</v>
      </c>
      <c r="AL45" s="110">
        <f t="shared" si="14"/>
        <v>1984.375</v>
      </c>
      <c r="AM45"/>
      <c r="AN45"/>
    </row>
    <row r="46" spans="1:40" x14ac:dyDescent="0.3">
      <c r="A46" s="119" t="s">
        <v>73</v>
      </c>
      <c r="B46" s="109" t="s">
        <v>60</v>
      </c>
      <c r="C46" s="109">
        <v>45</v>
      </c>
      <c r="D46" s="123">
        <f>Table1123[[#This Row],[a (mm)]]/Table1123[[#This Row],[d (mm)]]</f>
        <v>2.2857142857142856</v>
      </c>
      <c r="E46" s="109">
        <v>34.027200000000008</v>
      </c>
      <c r="F46" s="124">
        <f>Table1123[[#This Row],[d (mm)]]</f>
        <v>266.7</v>
      </c>
      <c r="G46" s="109">
        <f t="shared" si="15"/>
        <v>20742.98112</v>
      </c>
      <c r="H46" s="109">
        <f t="shared" si="16"/>
        <v>1.4600530036631375E-6</v>
      </c>
      <c r="I46" s="109">
        <f>G46/(Table1123[[#This Row],[b (mm)]]*AC46^2)</f>
        <v>1.2757010548034703E-3</v>
      </c>
      <c r="J46" s="109">
        <f t="shared" si="17"/>
        <v>0.31686563705997772</v>
      </c>
      <c r="K46" s="109">
        <f t="shared" si="18"/>
        <v>9.0410489901396666E-7</v>
      </c>
      <c r="L46" s="109">
        <f>E46/(Table1123[[#This Row],[b (mm)]]*AC46)</f>
        <v>5.5811921147651841E-4</v>
      </c>
      <c r="M46" s="109">
        <f>Table1123[[#This Row],[M (KN.mm)]]/(Table1123[[#This Row],[b (mm)]]*Table1123[[#This Row],[d (mm)]])</f>
        <v>0.3402294713160855</v>
      </c>
      <c r="N46" s="109">
        <f>Table1123[[#This Row],[M (KN.mm)]]/(Table1123[[#This Row],[b (mm)]]*Table1123[[#This Row],[h (mm)]])</f>
        <v>0.29770078740157485</v>
      </c>
      <c r="O46" s="109">
        <f>Table1123[[#This Row],[M (KN.mm)]]/(Table1123[[#This Row],[b (mm)]]*Table1123[[#This Row],[h (mm)]]*Table1123[[#This Row],[L(mm)]])</f>
        <v>1.5002244404488813E-4</v>
      </c>
      <c r="P46" s="109">
        <f>Table1123[[#This Row],[M (KN.mm)]]/(Table1123[[#This Row],[b (mm)]]*Table1123[[#This Row],[d (mm)]]*Table1123[[#This Row],[L(mm)]])</f>
        <v>1.7145422176558642E-4</v>
      </c>
      <c r="Q46" s="109">
        <f>Table1123[[#This Row],[M (KN.mm)]]/(Table1123[[#This Row],[b (mm)]]*Table1123[[#This Row],[h (mm)]]*Table1123[[#This Row],[L(mm)]]*Table1123[[#This Row],[fc (Mpa)]])</f>
        <v>8.0657227981122645E-6</v>
      </c>
      <c r="R46" s="109">
        <f>Table1123[[#This Row],[M (KN.mm)]]/(Table1123[[#This Row],[b (mm)]]*Table1123[[#This Row],[h (mm)]]*Table1123[[#This Row],[L(mm)]]/2)</f>
        <v>3.0004488808977627E-4</v>
      </c>
      <c r="S46" s="109">
        <f>Table1123[[#This Row],[M (KN.mm)]]/(Table1123[[#This Row],[a (mm)]]*Table1123[[#This Row],[b (mm)]]*Table1123[[#This Row],[h (mm)]]*Table1123[[#This Row],[L(mm)]]/2)</f>
        <v>4.9219961956984302E-7</v>
      </c>
      <c r="T46" s="109">
        <f>Table1123[[#This Row],[M (KN.mm)]]/(Table1123[[#This Row],[a (mm)]]^2*Table1123[[#This Row],[b (mm)]]*Table1123[[#This Row],[h (mm)]])</f>
        <v>8.0110615164362478E-7</v>
      </c>
      <c r="U46" s="109">
        <f>Table1123[[#This Row],[M (KN.mm)]]/(Table1123[[#This Row],[b (mm)]]*Table1123[[#This Row],[d (mm)]]*Table1123[[#This Row],[pho (%)]])</f>
        <v>0.61859903875651912</v>
      </c>
      <c r="V46" s="109">
        <f>E46*224.8/(2*SQRT(Table1123[[#This Row],[fc (Mpa)]]*145.037)*Table1123[[#This Row],[b (mm)]]*Table1123[[#This Row],[d (mm)]]*(1/25.4)^2)</f>
        <v>0.77922852150099264</v>
      </c>
      <c r="W46" s="110">
        <f>Table1123[[#This Row],[M (KN.mm)]]/$G$49</f>
        <v>0.69545454545454544</v>
      </c>
      <c r="X46" s="110">
        <f>Table1123[[#This Row],[V/(2*sqrt(fc) bd)]]</f>
        <v>0.77922852150099264</v>
      </c>
      <c r="Y46" s="123">
        <f>2*SQRT(Table1123[[#This Row],[fc (Mpa)]]*145.037)/Table1123[[#This Row],[pho (%)]]*Table1123[[#This Row],[a (mm)]]*1/(224.8*25.4^2)</f>
        <v>0.79386087866103749</v>
      </c>
      <c r="Z46" s="123">
        <f>(2*SQRT(Table1123[[#This Row],[fc (Mpa)]]*145.037)*Table1123[[#This Row],[b (mm)]]*Table1123[[#This Row],[d (mm)]]*(1/25.4)^2)/224.8</f>
        <v>43.667806119897861</v>
      </c>
      <c r="AA46" s="123">
        <f>Table1123[[#This Row],[M (KN.mm)]]/(Table1123[[#This Row],[b (mm)]]*Table1123[[#This Row],[d (mm)]]^2*Table1123[[#This Row],[pho (%)]])</f>
        <v>2.3194564632790368E-3</v>
      </c>
      <c r="AB46" s="109">
        <f t="shared" si="10"/>
        <v>609.59999999999991</v>
      </c>
      <c r="AC46" s="109">
        <f t="shared" si="11"/>
        <v>266.7</v>
      </c>
      <c r="AD46" s="109">
        <f t="shared" si="12"/>
        <v>304.79999999999995</v>
      </c>
      <c r="AE46" s="109">
        <f t="shared" si="13"/>
        <v>228.6</v>
      </c>
      <c r="AF46" s="7">
        <v>18.600000000000001</v>
      </c>
      <c r="AG46" s="110">
        <f>Table1123[[#This Row],[pho (%)]]/100*Table1123[[#This Row],[b (mm)]]*Table1123[[#This Row],[h (mm)]]</f>
        <v>383.22503999999998</v>
      </c>
      <c r="AH46" s="111">
        <v>0.55000000000000004</v>
      </c>
      <c r="AI46" s="110">
        <v>640.5</v>
      </c>
      <c r="AJ46" s="110">
        <f>(1/3-0.21*(MIN(Table1123[[#This Row],[b (mm)]],AD46)/MAX(Table1123[[#This Row],[b (mm)]],AD46))*(MIN(Table1123[[#This Row],[b (mm)]],AD46)^4/(12*MAX(Table1123[[#This Row],[b (mm)]],AD46)^4)))*MAX(Table1123[[#This Row],[b (mm)]],AD46)*MIN(Table1123[[#This Row],[b (mm)]],AD46)^3</f>
        <v>1198609576.1573534</v>
      </c>
      <c r="AK46" s="110">
        <f>Table1123[[#This Row],[b (mm)]]*AD46^3/12</f>
        <v>539435927.57759976</v>
      </c>
      <c r="AL46" s="110">
        <f t="shared" si="14"/>
        <v>1984.375</v>
      </c>
      <c r="AM46"/>
      <c r="AN46"/>
    </row>
    <row r="47" spans="1:40" x14ac:dyDescent="0.3">
      <c r="A47" s="119" t="s">
        <v>73</v>
      </c>
      <c r="B47" s="109" t="s">
        <v>61</v>
      </c>
      <c r="C47" s="109">
        <v>46</v>
      </c>
      <c r="D47" s="123">
        <f>Table1123[[#This Row],[a (mm)]]/Table1123[[#This Row],[d (mm)]]</f>
        <v>2.2857142857142856</v>
      </c>
      <c r="E47" s="109">
        <v>40.699200000000005</v>
      </c>
      <c r="F47" s="124">
        <f>Table1123[[#This Row],[d (mm)]]</f>
        <v>266.7</v>
      </c>
      <c r="G47" s="109">
        <f t="shared" si="15"/>
        <v>24810.232319999999</v>
      </c>
      <c r="H47" s="109">
        <f t="shared" si="16"/>
        <v>1.7463379063421841E-6</v>
      </c>
      <c r="I47" s="109">
        <f>G47/(Table1123[[#This Row],[b (mm)]]*AC47^2)</f>
        <v>1.5258385165296407E-3</v>
      </c>
      <c r="J47" s="109">
        <f t="shared" si="17"/>
        <v>0.37899615413056154</v>
      </c>
      <c r="K47" s="109">
        <f t="shared" si="18"/>
        <v>1.0813803694088619E-6</v>
      </c>
      <c r="L47" s="109">
        <f>E47/(Table1123[[#This Row],[b (mm)]]*AC47)</f>
        <v>6.6755435098171797E-4</v>
      </c>
      <c r="M47" s="109">
        <f>Table1123[[#This Row],[M (KN.mm)]]/(Table1123[[#This Row],[b (mm)]]*Table1123[[#This Row],[d (mm)]])</f>
        <v>0.40694113235845519</v>
      </c>
      <c r="N47" s="109">
        <f>Table1123[[#This Row],[M (KN.mm)]]/(Table1123[[#This Row],[b (mm)]]*Table1123[[#This Row],[h (mm)]])</f>
        <v>0.35607349081364836</v>
      </c>
      <c r="O47" s="109">
        <f>Table1123[[#This Row],[M (KN.mm)]]/(Table1123[[#This Row],[b (mm)]]*Table1123[[#This Row],[h (mm)]]*Table1123[[#This Row],[L(mm)]])</f>
        <v>1.794386095438858E-4</v>
      </c>
      <c r="P47" s="109">
        <f>Table1123[[#This Row],[M (KN.mm)]]/(Table1123[[#This Row],[b (mm)]]*Table1123[[#This Row],[d (mm)]]*Table1123[[#This Row],[L(mm)]])</f>
        <v>2.0507269662158373E-4</v>
      </c>
      <c r="Q47" s="109">
        <f>Table1123[[#This Row],[M (KN.mm)]]/(Table1123[[#This Row],[b (mm)]]*Table1123[[#This Row],[h (mm)]]*Table1123[[#This Row],[L(mm)]]*Table1123[[#This Row],[fc (Mpa)]])</f>
        <v>9.6472370722519232E-6</v>
      </c>
      <c r="R47" s="109">
        <f>Table1123[[#This Row],[M (KN.mm)]]/(Table1123[[#This Row],[b (mm)]]*Table1123[[#This Row],[h (mm)]]*Table1123[[#This Row],[L(mm)]]/2)</f>
        <v>3.5887721908777159E-4</v>
      </c>
      <c r="S47" s="109">
        <f>Table1123[[#This Row],[M (KN.mm)]]/(Table1123[[#This Row],[a (mm)]]*Table1123[[#This Row],[b (mm)]]*Table1123[[#This Row],[h (mm)]]*Table1123[[#This Row],[L(mm)]]/2)</f>
        <v>5.8870934889726317E-7</v>
      </c>
      <c r="T47" s="109">
        <f>Table1123[[#This Row],[M (KN.mm)]]/(Table1123[[#This Row],[a (mm)]]^2*Table1123[[#This Row],[b (mm)]]*Table1123[[#This Row],[h (mm)]])</f>
        <v>9.5818578922080603E-7</v>
      </c>
      <c r="U47" s="109">
        <f>Table1123[[#This Row],[M (KN.mm)]]/(Table1123[[#This Row],[b (mm)]]*Table1123[[#This Row],[d (mm)]]*Table1123[[#This Row],[pho (%)]])</f>
        <v>0.73989296792446402</v>
      </c>
      <c r="V47" s="109">
        <f>E47*224.8/(2*SQRT(Table1123[[#This Row],[fc (Mpa)]]*145.037)*Table1123[[#This Row],[b (mm)]]*Table1123[[#This Row],[d (mm)]]*(1/25.4)^2)</f>
        <v>0.93201842767765775</v>
      </c>
      <c r="W47" s="110">
        <f>Table1123[[#This Row],[M (KN.mm)]]/$G$49</f>
        <v>0.83181818181818179</v>
      </c>
      <c r="X47" s="110">
        <f>Table1123[[#This Row],[V/(2*sqrt(fc) bd)]]</f>
        <v>0.93201842767765775</v>
      </c>
      <c r="Y47" s="123">
        <f>2*SQRT(Table1123[[#This Row],[fc (Mpa)]]*145.037)/Table1123[[#This Row],[pho (%)]]*Table1123[[#This Row],[a (mm)]]*1/(224.8*25.4^2)</f>
        <v>0.79386087866103749</v>
      </c>
      <c r="Z47" s="123">
        <f>(2*SQRT(Table1123[[#This Row],[fc (Mpa)]]*145.037)*Table1123[[#This Row],[b (mm)]]*Table1123[[#This Row],[d (mm)]]*(1/25.4)^2)/224.8</f>
        <v>43.667806119897861</v>
      </c>
      <c r="AA47" s="123">
        <f>Table1123[[#This Row],[M (KN.mm)]]/(Table1123[[#This Row],[b (mm)]]*Table1123[[#This Row],[d (mm)]]^2*Table1123[[#This Row],[pho (%)]])</f>
        <v>2.7742518482357101E-3</v>
      </c>
      <c r="AB47" s="109">
        <f t="shared" si="10"/>
        <v>609.59999999999991</v>
      </c>
      <c r="AC47" s="109">
        <f t="shared" si="11"/>
        <v>266.7</v>
      </c>
      <c r="AD47" s="109">
        <f t="shared" si="12"/>
        <v>304.79999999999995</v>
      </c>
      <c r="AE47" s="109">
        <f t="shared" si="13"/>
        <v>228.6</v>
      </c>
      <c r="AF47" s="7">
        <v>18.600000000000001</v>
      </c>
      <c r="AG47" s="110">
        <f>Table1123[[#This Row],[pho (%)]]/100*Table1123[[#This Row],[b (mm)]]*Table1123[[#This Row],[h (mm)]]</f>
        <v>383.22503999999998</v>
      </c>
      <c r="AH47" s="111">
        <v>0.55000000000000004</v>
      </c>
      <c r="AI47" s="110">
        <v>640.5</v>
      </c>
      <c r="AJ47" s="110">
        <f>(1/3-0.21*(MIN(Table1123[[#This Row],[b (mm)]],AD47)/MAX(Table1123[[#This Row],[b (mm)]],AD47))*(MIN(Table1123[[#This Row],[b (mm)]],AD47)^4/(12*MAX(Table1123[[#This Row],[b (mm)]],AD47)^4)))*MAX(Table1123[[#This Row],[b (mm)]],AD47)*MIN(Table1123[[#This Row],[b (mm)]],AD47)^3</f>
        <v>1198609576.1573534</v>
      </c>
      <c r="AK47" s="110">
        <f>Table1123[[#This Row],[b (mm)]]*AD47^3/12</f>
        <v>539435927.57759976</v>
      </c>
      <c r="AL47" s="110">
        <f t="shared" si="14"/>
        <v>1984.375</v>
      </c>
      <c r="AM47"/>
      <c r="AN47"/>
    </row>
    <row r="48" spans="1:40" x14ac:dyDescent="0.3">
      <c r="A48" s="119" t="s">
        <v>73</v>
      </c>
      <c r="B48" s="109" t="s">
        <v>62</v>
      </c>
      <c r="C48" s="109">
        <v>47</v>
      </c>
      <c r="D48" s="123">
        <f>Table1123[[#This Row],[a (mm)]]/Table1123[[#This Row],[d (mm)]]</f>
        <v>2.2857142857142856</v>
      </c>
      <c r="E48" s="109">
        <v>47.371200000000009</v>
      </c>
      <c r="F48" s="124">
        <f>Table1123[[#This Row],[d (mm)]]</f>
        <v>266.7</v>
      </c>
      <c r="G48" s="109">
        <f t="shared" si="15"/>
        <v>28877.483520000002</v>
      </c>
      <c r="H48" s="109">
        <f t="shared" si="16"/>
        <v>2.0326228090212307E-6</v>
      </c>
      <c r="I48" s="109">
        <f>G48/(Table1123[[#This Row],[b (mm)]]*AC48^2)</f>
        <v>1.7759759782558116E-3</v>
      </c>
      <c r="J48" s="109">
        <f t="shared" si="17"/>
        <v>0.44112667120114546</v>
      </c>
      <c r="K48" s="109">
        <f t="shared" si="18"/>
        <v>1.2586558398037573E-6</v>
      </c>
      <c r="L48" s="109">
        <f>E48/(Table1123[[#This Row],[b (mm)]]*AC48)</f>
        <v>7.7698949048691764E-4</v>
      </c>
      <c r="M48" s="109">
        <f>Table1123[[#This Row],[M (KN.mm)]]/(Table1123[[#This Row],[b (mm)]]*Table1123[[#This Row],[d (mm)]])</f>
        <v>0.47365279340082495</v>
      </c>
      <c r="N48" s="109">
        <f>Table1123[[#This Row],[M (KN.mm)]]/(Table1123[[#This Row],[b (mm)]]*Table1123[[#This Row],[h (mm)]])</f>
        <v>0.41444619422572188</v>
      </c>
      <c r="O48" s="109">
        <f>Table1123[[#This Row],[M (KN.mm)]]/(Table1123[[#This Row],[b (mm)]]*Table1123[[#This Row],[h (mm)]]*Table1123[[#This Row],[L(mm)]])</f>
        <v>2.0885477504288349E-4</v>
      </c>
      <c r="P48" s="109">
        <f>Table1123[[#This Row],[M (KN.mm)]]/(Table1123[[#This Row],[b (mm)]]*Table1123[[#This Row],[d (mm)]]*Table1123[[#This Row],[L(mm)]])</f>
        <v>2.386911714775811E-4</v>
      </c>
      <c r="Q48" s="109">
        <f>Table1123[[#This Row],[M (KN.mm)]]/(Table1123[[#This Row],[b (mm)]]*Table1123[[#This Row],[h (mm)]]*Table1123[[#This Row],[L(mm)]]*Table1123[[#This Row],[fc (Mpa)]])</f>
        <v>1.1228751346391584E-5</v>
      </c>
      <c r="R48" s="109">
        <f>Table1123[[#This Row],[M (KN.mm)]]/(Table1123[[#This Row],[b (mm)]]*Table1123[[#This Row],[h (mm)]]*Table1123[[#This Row],[L(mm)]]/2)</f>
        <v>4.1770955008576697E-4</v>
      </c>
      <c r="S48" s="109">
        <f>Table1123[[#This Row],[M (KN.mm)]]/(Table1123[[#This Row],[a (mm)]]*Table1123[[#This Row],[b (mm)]]*Table1123[[#This Row],[h (mm)]]*Table1123[[#This Row],[L(mm)]]/2)</f>
        <v>6.8521907822468341E-7</v>
      </c>
      <c r="T48" s="109">
        <f>Table1123[[#This Row],[M (KN.mm)]]/(Table1123[[#This Row],[a (mm)]]^2*Table1123[[#This Row],[b (mm)]]*Table1123[[#This Row],[h (mm)]])</f>
        <v>1.1152654267979875E-6</v>
      </c>
      <c r="U48" s="109">
        <f>Table1123[[#This Row],[M (KN.mm)]]/(Table1123[[#This Row],[b (mm)]]*Table1123[[#This Row],[d (mm)]]*Table1123[[#This Row],[pho (%)]])</f>
        <v>0.86118689709240903</v>
      </c>
      <c r="V48" s="109">
        <f>E48*224.8/(2*SQRT(Table1123[[#This Row],[fc (Mpa)]]*145.037)*Table1123[[#This Row],[b (mm)]]*Table1123[[#This Row],[d (mm)]]*(1/25.4)^2)</f>
        <v>1.0848083338543231</v>
      </c>
      <c r="W48" s="110">
        <f>Table1123[[#This Row],[M (KN.mm)]]/$G$49</f>
        <v>0.96818181818181825</v>
      </c>
      <c r="X48" s="110">
        <f>Table1123[[#This Row],[V/(2*sqrt(fc) bd)]]</f>
        <v>1.0848083338543231</v>
      </c>
      <c r="Y48" s="123">
        <f>2*SQRT(Table1123[[#This Row],[fc (Mpa)]]*145.037)/Table1123[[#This Row],[pho (%)]]*Table1123[[#This Row],[a (mm)]]*1/(224.8*25.4^2)</f>
        <v>0.79386087866103749</v>
      </c>
      <c r="Z48" s="123">
        <f>(2*SQRT(Table1123[[#This Row],[fc (Mpa)]]*145.037)*Table1123[[#This Row],[b (mm)]]*Table1123[[#This Row],[d (mm)]]*(1/25.4)^2)/224.8</f>
        <v>43.667806119897861</v>
      </c>
      <c r="AA48" s="123">
        <f>Table1123[[#This Row],[M (KN.mm)]]/(Table1123[[#This Row],[b (mm)]]*Table1123[[#This Row],[d (mm)]]^2*Table1123[[#This Row],[pho (%)]])</f>
        <v>3.2290472331923843E-3</v>
      </c>
      <c r="AB48" s="109">
        <f t="shared" si="10"/>
        <v>609.59999999999991</v>
      </c>
      <c r="AC48" s="109">
        <f t="shared" si="11"/>
        <v>266.7</v>
      </c>
      <c r="AD48" s="109">
        <f t="shared" si="12"/>
        <v>304.79999999999995</v>
      </c>
      <c r="AE48" s="109">
        <f t="shared" si="13"/>
        <v>228.6</v>
      </c>
      <c r="AF48" s="7">
        <v>18.600000000000001</v>
      </c>
      <c r="AG48" s="110">
        <f>Table1123[[#This Row],[pho (%)]]/100*Table1123[[#This Row],[b (mm)]]*Table1123[[#This Row],[h (mm)]]</f>
        <v>383.22503999999998</v>
      </c>
      <c r="AH48" s="111">
        <v>0.55000000000000004</v>
      </c>
      <c r="AI48" s="110">
        <v>640.5</v>
      </c>
      <c r="AJ48" s="110">
        <f>(1/3-0.21*(MIN(Table1123[[#This Row],[b (mm)]],AD48)/MAX(Table1123[[#This Row],[b (mm)]],AD48))*(MIN(Table1123[[#This Row],[b (mm)]],AD48)^4/(12*MAX(Table1123[[#This Row],[b (mm)]],AD48)^4)))*MAX(Table1123[[#This Row],[b (mm)]],AD48)*MIN(Table1123[[#This Row],[b (mm)]],AD48)^3</f>
        <v>1198609576.1573534</v>
      </c>
      <c r="AK48" s="110">
        <f>Table1123[[#This Row],[b (mm)]]*AD48^3/12</f>
        <v>539435927.57759976</v>
      </c>
      <c r="AL48" s="110">
        <f t="shared" si="14"/>
        <v>1984.375</v>
      </c>
      <c r="AM48"/>
      <c r="AN48"/>
    </row>
    <row r="49" spans="1:40" x14ac:dyDescent="0.3">
      <c r="A49" s="120" t="s">
        <v>73</v>
      </c>
      <c r="B49" s="109" t="s">
        <v>63</v>
      </c>
      <c r="C49" s="109">
        <v>48</v>
      </c>
      <c r="D49" s="123">
        <f>Table1123[[#This Row],[a (mm)]]/Table1123[[#This Row],[d (mm)]]</f>
        <v>2.2857142857142856</v>
      </c>
      <c r="E49" s="109">
        <v>48.928000000000004</v>
      </c>
      <c r="F49" s="124">
        <f>Table1123[[#This Row],[d (mm)]]</f>
        <v>266.7</v>
      </c>
      <c r="G49" s="109">
        <f t="shared" si="15"/>
        <v>29826.5088</v>
      </c>
      <c r="H49" s="109">
        <f t="shared" si="16"/>
        <v>2.0994226196463414E-6</v>
      </c>
      <c r="I49" s="109">
        <f>G49/(Table1123[[#This Row],[b (mm)]]*AC49^2)</f>
        <v>1.8343413859919181E-3</v>
      </c>
      <c r="J49" s="109">
        <f t="shared" si="17"/>
        <v>0.45562379185094831</v>
      </c>
      <c r="K49" s="109">
        <f t="shared" si="18"/>
        <v>1.3000201162292329E-6</v>
      </c>
      <c r="L49" s="109">
        <f>E49/(Table1123[[#This Row],[b (mm)]]*AC49)</f>
        <v>8.0252435637146423E-4</v>
      </c>
      <c r="M49" s="109">
        <f>Table1123[[#This Row],[M (KN.mm)]]/(Table1123[[#This Row],[b (mm)]]*Table1123[[#This Row],[d (mm)]])</f>
        <v>0.48921884764404455</v>
      </c>
      <c r="N49" s="109">
        <f>Table1123[[#This Row],[M (KN.mm)]]/(Table1123[[#This Row],[b (mm)]]*Table1123[[#This Row],[h (mm)]])</f>
        <v>0.428066491688539</v>
      </c>
      <c r="O49" s="109">
        <f>Table1123[[#This Row],[M (KN.mm)]]/(Table1123[[#This Row],[b (mm)]]*Table1123[[#This Row],[h (mm)]]*Table1123[[#This Row],[L(mm)]])</f>
        <v>2.1571854699264958E-4</v>
      </c>
      <c r="P49" s="109">
        <f>Table1123[[#This Row],[M (KN.mm)]]/(Table1123[[#This Row],[b (mm)]]*Table1123[[#This Row],[d (mm)]]*Table1123[[#This Row],[L(mm)]])</f>
        <v>2.4653548227731377E-4</v>
      </c>
      <c r="Q49" s="109">
        <f>Table1123[[#This Row],[M (KN.mm)]]/(Table1123[[#This Row],[b (mm)]]*Table1123[[#This Row],[h (mm)]]*Table1123[[#This Row],[L(mm)]]*Table1123[[#This Row],[fc (Mpa)]])</f>
        <v>1.1597771343690837E-5</v>
      </c>
      <c r="R49" s="109">
        <f>Table1123[[#This Row],[M (KN.mm)]]/(Table1123[[#This Row],[b (mm)]]*Table1123[[#This Row],[h (mm)]]*Table1123[[#This Row],[L(mm)]]/2)</f>
        <v>4.3143709398529915E-4</v>
      </c>
      <c r="S49" s="109">
        <f>Table1123[[#This Row],[M (KN.mm)]]/(Table1123[[#This Row],[a (mm)]]*Table1123[[#This Row],[b (mm)]]*Table1123[[#This Row],[h (mm)]]*Table1123[[#This Row],[L(mm)]]/2)</f>
        <v>7.0773801506774809E-7</v>
      </c>
      <c r="T49" s="109">
        <f>Table1123[[#This Row],[M (KN.mm)]]/(Table1123[[#This Row],[a (mm)]]^2*Table1123[[#This Row],[b (mm)]]*Table1123[[#This Row],[h (mm)]])</f>
        <v>1.151917342232663E-6</v>
      </c>
      <c r="U49" s="109">
        <f>Table1123[[#This Row],[M (KN.mm)]]/(Table1123[[#This Row],[b (mm)]]*Table1123[[#This Row],[d (mm)]]*Table1123[[#This Row],[pho (%)]])</f>
        <v>0.88948881389826273</v>
      </c>
      <c r="V49" s="109">
        <f>E49*224.8/(2*SQRT(Table1123[[#This Row],[fc (Mpa)]]*145.037)*Table1123[[#This Row],[b (mm)]]*Table1123[[#This Row],[d (mm)]]*(1/25.4)^2)</f>
        <v>1.1204593119622115</v>
      </c>
      <c r="W49" s="110">
        <f>Table1123[[#This Row],[M (KN.mm)]]/$G$49</f>
        <v>1</v>
      </c>
      <c r="X49" s="110">
        <f>Table1123[[#This Row],[V/(2*sqrt(fc) bd)]]</f>
        <v>1.1204593119622115</v>
      </c>
      <c r="Y49" s="123">
        <f>2*SQRT(Table1123[[#This Row],[fc (Mpa)]]*145.037)/Table1123[[#This Row],[pho (%)]]*Table1123[[#This Row],[a (mm)]]*1/(224.8*25.4^2)</f>
        <v>0.79386087866103749</v>
      </c>
      <c r="Z49" s="123">
        <f>(2*SQRT(Table1123[[#This Row],[fc (Mpa)]]*145.037)*Table1123[[#This Row],[b (mm)]]*Table1123[[#This Row],[d (mm)]]*(1/25.4)^2)/224.8</f>
        <v>43.667806119897861</v>
      </c>
      <c r="AA49" s="123">
        <f>Table1123[[#This Row],[M (KN.mm)]]/(Table1123[[#This Row],[b (mm)]]*Table1123[[#This Row],[d (mm)]]^2*Table1123[[#This Row],[pho (%)]])</f>
        <v>3.3351661563489413E-3</v>
      </c>
      <c r="AB49" s="109">
        <f t="shared" si="10"/>
        <v>609.59999999999991</v>
      </c>
      <c r="AC49" s="109">
        <f t="shared" si="11"/>
        <v>266.7</v>
      </c>
      <c r="AD49" s="109">
        <f t="shared" si="12"/>
        <v>304.79999999999995</v>
      </c>
      <c r="AE49" s="109">
        <f t="shared" si="13"/>
        <v>228.6</v>
      </c>
      <c r="AF49" s="7">
        <v>18.600000000000001</v>
      </c>
      <c r="AG49" s="110">
        <f>Table1123[[#This Row],[pho (%)]]/100*Table1123[[#This Row],[b (mm)]]*Table1123[[#This Row],[h (mm)]]</f>
        <v>383.22503999999998</v>
      </c>
      <c r="AH49" s="111">
        <v>0.55000000000000004</v>
      </c>
      <c r="AI49" s="110">
        <v>640.5</v>
      </c>
      <c r="AJ49" s="110">
        <f>(1/3-0.21*(MIN(Table1123[[#This Row],[b (mm)]],AD49)/MAX(Table1123[[#This Row],[b (mm)]],AD49))*(MIN(Table1123[[#This Row],[b (mm)]],AD49)^4/(12*MAX(Table1123[[#This Row],[b (mm)]],AD49)^4)))*MAX(Table1123[[#This Row],[b (mm)]],AD49)*MIN(Table1123[[#This Row],[b (mm)]],AD49)^3</f>
        <v>1198609576.1573534</v>
      </c>
      <c r="AK49" s="110">
        <f>Table1123[[#This Row],[b (mm)]]*AD49^3/12</f>
        <v>539435927.57759976</v>
      </c>
      <c r="AL49" s="110">
        <f t="shared" si="14"/>
        <v>1984.375</v>
      </c>
      <c r="AM49"/>
      <c r="AN49"/>
    </row>
    <row r="50" spans="1:40" x14ac:dyDescent="0.3">
      <c r="A50" s="121" t="s">
        <v>74</v>
      </c>
      <c r="B50" s="109" t="s">
        <v>60</v>
      </c>
      <c r="C50" s="109">
        <v>49</v>
      </c>
      <c r="D50" s="123">
        <f>Table1123[[#This Row],[a (mm)]]/Table1123[[#This Row],[d (mm)]]</f>
        <v>2.2857142857142856</v>
      </c>
      <c r="E50" s="109">
        <v>34.027200000000008</v>
      </c>
      <c r="F50" s="124">
        <f>Table1123[[#This Row],[d (mm)]]</f>
        <v>266.7</v>
      </c>
      <c r="G50" s="109">
        <f t="shared" si="15"/>
        <v>20742.98112</v>
      </c>
      <c r="H50" s="109">
        <f t="shared" si="16"/>
        <v>1.4600530036631375E-6</v>
      </c>
      <c r="I50" s="109">
        <f>G50/(Table1123[[#This Row],[b (mm)]]*AC50^2)</f>
        <v>1.2757010548034703E-3</v>
      </c>
      <c r="J50" s="109">
        <f t="shared" si="17"/>
        <v>0.31686563705997772</v>
      </c>
      <c r="K50" s="109">
        <f t="shared" si="18"/>
        <v>9.0410489901396666E-7</v>
      </c>
      <c r="L50" s="109">
        <f>E50/(Table1123[[#This Row],[b (mm)]]*AC50)</f>
        <v>5.5811921147651841E-4</v>
      </c>
      <c r="M50" s="109">
        <f>Table1123[[#This Row],[M (KN.mm)]]/(Table1123[[#This Row],[b (mm)]]*Table1123[[#This Row],[d (mm)]])</f>
        <v>0.3402294713160855</v>
      </c>
      <c r="N50" s="109">
        <f>Table1123[[#This Row],[M (KN.mm)]]/(Table1123[[#This Row],[b (mm)]]*Table1123[[#This Row],[h (mm)]])</f>
        <v>0.29770078740157485</v>
      </c>
      <c r="O50" s="109">
        <f>Table1123[[#This Row],[M (KN.mm)]]/(Table1123[[#This Row],[b (mm)]]*Table1123[[#This Row],[h (mm)]]*Table1123[[#This Row],[L(mm)]])</f>
        <v>1.5002244404488813E-4</v>
      </c>
      <c r="P50" s="109">
        <f>Table1123[[#This Row],[M (KN.mm)]]/(Table1123[[#This Row],[b (mm)]]*Table1123[[#This Row],[d (mm)]]*Table1123[[#This Row],[L(mm)]])</f>
        <v>1.7145422176558642E-4</v>
      </c>
      <c r="Q50" s="109">
        <f>Table1123[[#This Row],[M (KN.mm)]]/(Table1123[[#This Row],[b (mm)]]*Table1123[[#This Row],[h (mm)]]*Table1123[[#This Row],[L(mm)]]*Table1123[[#This Row],[fc (Mpa)]])</f>
        <v>7.7731836292688137E-6</v>
      </c>
      <c r="R50" s="109">
        <f>Table1123[[#This Row],[M (KN.mm)]]/(Table1123[[#This Row],[b (mm)]]*Table1123[[#This Row],[h (mm)]]*Table1123[[#This Row],[L(mm)]]/2)</f>
        <v>3.0004488808977627E-4</v>
      </c>
      <c r="S50" s="109">
        <f>Table1123[[#This Row],[M (KN.mm)]]/(Table1123[[#This Row],[a (mm)]]*Table1123[[#This Row],[b (mm)]]*Table1123[[#This Row],[h (mm)]]*Table1123[[#This Row],[L(mm)]]/2)</f>
        <v>4.9219961956984302E-7</v>
      </c>
      <c r="T50" s="109">
        <f>Table1123[[#This Row],[M (KN.mm)]]/(Table1123[[#This Row],[a (mm)]]^2*Table1123[[#This Row],[b (mm)]]*Table1123[[#This Row],[h (mm)]])</f>
        <v>8.0110615164362478E-7</v>
      </c>
      <c r="U50" s="109">
        <f>Table1123[[#This Row],[M (KN.mm)]]/(Table1123[[#This Row],[b (mm)]]*Table1123[[#This Row],[d (mm)]]*Table1123[[#This Row],[pho (%)]])</f>
        <v>0.61859903875651912</v>
      </c>
      <c r="V50" s="109">
        <f>E50*224.8/(2*SQRT(Table1123[[#This Row],[fc (Mpa)]]*145.037)*Table1123[[#This Row],[b (mm)]]*Table1123[[#This Row],[d (mm)]]*(1/25.4)^2)</f>
        <v>0.76496692502591612</v>
      </c>
      <c r="W50" s="110">
        <f>Table1123[[#This Row],[M (KN.mm)]]/$G$53</f>
        <v>0.66521739130434787</v>
      </c>
      <c r="X50" s="110">
        <f>Table1123[[#This Row],[V/(2*sqrt(fc) bd)]]</f>
        <v>0.76496692502591612</v>
      </c>
      <c r="Y50" s="123">
        <f>2*SQRT(Table1123[[#This Row],[fc (Mpa)]]*145.037)/Table1123[[#This Row],[pho (%)]]*Table1123[[#This Row],[a (mm)]]*1/(224.8*25.4^2)</f>
        <v>0.80866115712854103</v>
      </c>
      <c r="Z50" s="123">
        <f>(2*SQRT(Table1123[[#This Row],[fc (Mpa)]]*145.037)*Table1123[[#This Row],[b (mm)]]*Table1123[[#This Row],[d (mm)]]*(1/25.4)^2)/224.8</f>
        <v>44.48192318752502</v>
      </c>
      <c r="AA50" s="123">
        <f>Table1123[[#This Row],[M (KN.mm)]]/(Table1123[[#This Row],[b (mm)]]*Table1123[[#This Row],[d (mm)]]^2*Table1123[[#This Row],[pho (%)]])</f>
        <v>2.3194564632790368E-3</v>
      </c>
      <c r="AB50" s="109">
        <f t="shared" si="10"/>
        <v>609.59999999999991</v>
      </c>
      <c r="AC50" s="109">
        <f t="shared" si="11"/>
        <v>266.7</v>
      </c>
      <c r="AD50" s="109">
        <f t="shared" si="12"/>
        <v>304.79999999999995</v>
      </c>
      <c r="AE50" s="109">
        <f t="shared" si="13"/>
        <v>228.6</v>
      </c>
      <c r="AF50" s="7">
        <v>19.3</v>
      </c>
      <c r="AG50" s="110">
        <f>Table1123[[#This Row],[pho (%)]]/100*Table1123[[#This Row],[b (mm)]]*Table1123[[#This Row],[h (mm)]]</f>
        <v>383.22503999999998</v>
      </c>
      <c r="AH50" s="111">
        <v>0.55000000000000004</v>
      </c>
      <c r="AI50" s="110">
        <v>640.5</v>
      </c>
      <c r="AJ50" s="110">
        <f>(1/3-0.21*(MIN(Table1123[[#This Row],[b (mm)]],AD50)/MAX(Table1123[[#This Row],[b (mm)]],AD50))*(MIN(Table1123[[#This Row],[b (mm)]],AD50)^4/(12*MAX(Table1123[[#This Row],[b (mm)]],AD50)^4)))*MAX(Table1123[[#This Row],[b (mm)]],AD50)*MIN(Table1123[[#This Row],[b (mm)]],AD50)^3</f>
        <v>1198609576.1573534</v>
      </c>
      <c r="AK50" s="110">
        <f>Table1123[[#This Row],[b (mm)]]*AD50^3/12</f>
        <v>539435927.57759976</v>
      </c>
      <c r="AL50" s="110">
        <f t="shared" si="14"/>
        <v>1984.375</v>
      </c>
      <c r="AM50"/>
      <c r="AN50"/>
    </row>
    <row r="51" spans="1:40" x14ac:dyDescent="0.3">
      <c r="A51" s="121" t="s">
        <v>74</v>
      </c>
      <c r="B51" s="109" t="s">
        <v>61</v>
      </c>
      <c r="C51" s="109">
        <v>50</v>
      </c>
      <c r="D51" s="123">
        <f>Table1123[[#This Row],[a (mm)]]/Table1123[[#This Row],[d (mm)]]</f>
        <v>2.2857142857142856</v>
      </c>
      <c r="E51" s="109">
        <v>40.699200000000005</v>
      </c>
      <c r="F51" s="124">
        <f>Table1123[[#This Row],[d (mm)]]</f>
        <v>266.7</v>
      </c>
      <c r="G51" s="109">
        <f t="shared" si="15"/>
        <v>24810.232319999999</v>
      </c>
      <c r="H51" s="109">
        <f t="shared" si="16"/>
        <v>1.7463379063421841E-6</v>
      </c>
      <c r="I51" s="109">
        <f>G51/(Table1123[[#This Row],[b (mm)]]*AC51^2)</f>
        <v>1.5258385165296407E-3</v>
      </c>
      <c r="J51" s="109">
        <f t="shared" si="17"/>
        <v>0.37899615413056154</v>
      </c>
      <c r="K51" s="109">
        <f t="shared" si="18"/>
        <v>1.0813803694088619E-6</v>
      </c>
      <c r="L51" s="109">
        <f>E51/(Table1123[[#This Row],[b (mm)]]*AC51)</f>
        <v>6.6755435098171797E-4</v>
      </c>
      <c r="M51" s="109">
        <f>Table1123[[#This Row],[M (KN.mm)]]/(Table1123[[#This Row],[b (mm)]]*Table1123[[#This Row],[d (mm)]])</f>
        <v>0.40694113235845519</v>
      </c>
      <c r="N51" s="109">
        <f>Table1123[[#This Row],[M (KN.mm)]]/(Table1123[[#This Row],[b (mm)]]*Table1123[[#This Row],[h (mm)]])</f>
        <v>0.35607349081364836</v>
      </c>
      <c r="O51" s="109">
        <f>Table1123[[#This Row],[M (KN.mm)]]/(Table1123[[#This Row],[b (mm)]]*Table1123[[#This Row],[h (mm)]]*Table1123[[#This Row],[L(mm)]])</f>
        <v>1.794386095438858E-4</v>
      </c>
      <c r="P51" s="109">
        <f>Table1123[[#This Row],[M (KN.mm)]]/(Table1123[[#This Row],[b (mm)]]*Table1123[[#This Row],[d (mm)]]*Table1123[[#This Row],[L(mm)]])</f>
        <v>2.0507269662158373E-4</v>
      </c>
      <c r="Q51" s="109">
        <f>Table1123[[#This Row],[M (KN.mm)]]/(Table1123[[#This Row],[b (mm)]]*Table1123[[#This Row],[h (mm)]]*Table1123[[#This Row],[L(mm)]]*Table1123[[#This Row],[fc (Mpa)]])</f>
        <v>9.2973372820666211E-6</v>
      </c>
      <c r="R51" s="109">
        <f>Table1123[[#This Row],[M (KN.mm)]]/(Table1123[[#This Row],[b (mm)]]*Table1123[[#This Row],[h (mm)]]*Table1123[[#This Row],[L(mm)]]/2)</f>
        <v>3.5887721908777159E-4</v>
      </c>
      <c r="S51" s="109">
        <f>Table1123[[#This Row],[M (KN.mm)]]/(Table1123[[#This Row],[a (mm)]]*Table1123[[#This Row],[b (mm)]]*Table1123[[#This Row],[h (mm)]]*Table1123[[#This Row],[L(mm)]]/2)</f>
        <v>5.8870934889726317E-7</v>
      </c>
      <c r="T51" s="109">
        <f>Table1123[[#This Row],[M (KN.mm)]]/(Table1123[[#This Row],[a (mm)]]^2*Table1123[[#This Row],[b (mm)]]*Table1123[[#This Row],[h (mm)]])</f>
        <v>9.5818578922080603E-7</v>
      </c>
      <c r="U51" s="109">
        <f>Table1123[[#This Row],[M (KN.mm)]]/(Table1123[[#This Row],[b (mm)]]*Table1123[[#This Row],[d (mm)]]*Table1123[[#This Row],[pho (%)]])</f>
        <v>0.73989296792446402</v>
      </c>
      <c r="V51" s="109">
        <f>E51*224.8/(2*SQRT(Table1123[[#This Row],[fc (Mpa)]]*145.037)*Table1123[[#This Row],[b (mm)]]*Table1123[[#This Row],[d (mm)]]*(1/25.4)^2)</f>
        <v>0.9149604397368799</v>
      </c>
      <c r="W51" s="110">
        <f>Table1123[[#This Row],[M (KN.mm)]]/$G$53</f>
        <v>0.79565217391304355</v>
      </c>
      <c r="X51" s="110">
        <f>Table1123[[#This Row],[V/(2*sqrt(fc) bd)]]</f>
        <v>0.9149604397368799</v>
      </c>
      <c r="Y51" s="123">
        <f>2*SQRT(Table1123[[#This Row],[fc (Mpa)]]*145.037)/Table1123[[#This Row],[pho (%)]]*Table1123[[#This Row],[a (mm)]]*1/(224.8*25.4^2)</f>
        <v>0.80866115712854103</v>
      </c>
      <c r="Z51" s="123">
        <f>(2*SQRT(Table1123[[#This Row],[fc (Mpa)]]*145.037)*Table1123[[#This Row],[b (mm)]]*Table1123[[#This Row],[d (mm)]]*(1/25.4)^2)/224.8</f>
        <v>44.48192318752502</v>
      </c>
      <c r="AA51" s="123">
        <f>Table1123[[#This Row],[M (KN.mm)]]/(Table1123[[#This Row],[b (mm)]]*Table1123[[#This Row],[d (mm)]]^2*Table1123[[#This Row],[pho (%)]])</f>
        <v>2.7742518482357101E-3</v>
      </c>
      <c r="AB51" s="109">
        <f t="shared" si="10"/>
        <v>609.59999999999991</v>
      </c>
      <c r="AC51" s="109">
        <f t="shared" si="11"/>
        <v>266.7</v>
      </c>
      <c r="AD51" s="109">
        <f t="shared" si="12"/>
        <v>304.79999999999995</v>
      </c>
      <c r="AE51" s="109">
        <f t="shared" si="13"/>
        <v>228.6</v>
      </c>
      <c r="AF51" s="7">
        <v>19.3</v>
      </c>
      <c r="AG51" s="110">
        <f>Table1123[[#This Row],[pho (%)]]/100*Table1123[[#This Row],[b (mm)]]*Table1123[[#This Row],[h (mm)]]</f>
        <v>383.22503999999998</v>
      </c>
      <c r="AH51" s="111">
        <v>0.55000000000000004</v>
      </c>
      <c r="AI51" s="110">
        <v>640.5</v>
      </c>
      <c r="AJ51" s="110">
        <f>(1/3-0.21*(MIN(Table1123[[#This Row],[b (mm)]],AD51)/MAX(Table1123[[#This Row],[b (mm)]],AD51))*(MIN(Table1123[[#This Row],[b (mm)]],AD51)^4/(12*MAX(Table1123[[#This Row],[b (mm)]],AD51)^4)))*MAX(Table1123[[#This Row],[b (mm)]],AD51)*MIN(Table1123[[#This Row],[b (mm)]],AD51)^3</f>
        <v>1198609576.1573534</v>
      </c>
      <c r="AK51" s="110">
        <f>Table1123[[#This Row],[b (mm)]]*AD51^3/12</f>
        <v>539435927.57759976</v>
      </c>
      <c r="AL51" s="110">
        <f t="shared" si="14"/>
        <v>1984.375</v>
      </c>
      <c r="AM51"/>
      <c r="AN51"/>
    </row>
    <row r="52" spans="1:40" x14ac:dyDescent="0.3">
      <c r="A52" s="121" t="s">
        <v>74</v>
      </c>
      <c r="B52" s="109" t="s">
        <v>62</v>
      </c>
      <c r="C52" s="109">
        <v>51</v>
      </c>
      <c r="D52" s="123">
        <f>Table1123[[#This Row],[a (mm)]]/Table1123[[#This Row],[d (mm)]]</f>
        <v>2.2857142857142856</v>
      </c>
      <c r="E52" s="109">
        <v>47.593600000000002</v>
      </c>
      <c r="F52" s="124">
        <f>Table1123[[#This Row],[d (mm)]]</f>
        <v>266.7</v>
      </c>
      <c r="G52" s="109">
        <f t="shared" si="15"/>
        <v>29013.058559999998</v>
      </c>
      <c r="H52" s="109">
        <f t="shared" si="16"/>
        <v>2.042165639110532E-6</v>
      </c>
      <c r="I52" s="109">
        <f>G52/(Table1123[[#This Row],[b (mm)]]*AC52^2)</f>
        <v>1.7843138936466838E-3</v>
      </c>
      <c r="J52" s="109">
        <f t="shared" si="17"/>
        <v>0.44319768843683155</v>
      </c>
      <c r="K52" s="109">
        <f t="shared" si="18"/>
        <v>1.2645650221502538E-6</v>
      </c>
      <c r="L52" s="109">
        <f>E52/(Table1123[[#This Row],[b (mm)]]*AC52)</f>
        <v>7.8063732847042419E-4</v>
      </c>
      <c r="M52" s="109">
        <f>Table1123[[#This Row],[M (KN.mm)]]/(Table1123[[#This Row],[b (mm)]]*Table1123[[#This Row],[d (mm)]])</f>
        <v>0.47587651543557058</v>
      </c>
      <c r="N52" s="109">
        <f>Table1123[[#This Row],[M (KN.mm)]]/(Table1123[[#This Row],[b (mm)]]*Table1123[[#This Row],[h (mm)]])</f>
        <v>0.41639195100612431</v>
      </c>
      <c r="O52" s="109">
        <f>Table1123[[#This Row],[M (KN.mm)]]/(Table1123[[#This Row],[b (mm)]]*Table1123[[#This Row],[h (mm)]]*Table1123[[#This Row],[L(mm)]])</f>
        <v>2.0983531389285004E-4</v>
      </c>
      <c r="P52" s="109">
        <f>Table1123[[#This Row],[M (KN.mm)]]/(Table1123[[#This Row],[b (mm)]]*Table1123[[#This Row],[d (mm)]]*Table1123[[#This Row],[L(mm)]])</f>
        <v>2.398117873061143E-4</v>
      </c>
      <c r="Q52" s="109">
        <f>Table1123[[#This Row],[M (KN.mm)]]/(Table1123[[#This Row],[b (mm)]]*Table1123[[#This Row],[h (mm)]]*Table1123[[#This Row],[L(mm)]]*Table1123[[#This Row],[fc (Mpa)]])</f>
        <v>1.0872296056624354E-5</v>
      </c>
      <c r="R52" s="109">
        <f>Table1123[[#This Row],[M (KN.mm)]]/(Table1123[[#This Row],[b (mm)]]*Table1123[[#This Row],[h (mm)]]*Table1123[[#This Row],[L(mm)]]/2)</f>
        <v>4.1967062778570008E-4</v>
      </c>
      <c r="S52" s="109">
        <f>Table1123[[#This Row],[M (KN.mm)]]/(Table1123[[#This Row],[a (mm)]]*Table1123[[#This Row],[b (mm)]]*Table1123[[#This Row],[h (mm)]]*Table1123[[#This Row],[L(mm)]]/2)</f>
        <v>6.8843606920226397E-7</v>
      </c>
      <c r="T52" s="109">
        <f>Table1123[[#This Row],[M (KN.mm)]]/(Table1123[[#This Row],[a (mm)]]^2*Table1123[[#This Row],[b (mm)]]*Table1123[[#This Row],[h (mm)]])</f>
        <v>1.1205014147172266E-6</v>
      </c>
      <c r="U52" s="109">
        <f>Table1123[[#This Row],[M (KN.mm)]]/(Table1123[[#This Row],[b (mm)]]*Table1123[[#This Row],[d (mm)]]*Table1123[[#This Row],[pho (%)]])</f>
        <v>0.86523002806467364</v>
      </c>
      <c r="V52" s="109">
        <f>E52*224.8/(2*SQRT(Table1123[[#This Row],[fc (Mpa)]]*145.037)*Table1123[[#This Row],[b (mm)]]*Table1123[[#This Row],[d (mm)]]*(1/25.4)^2)</f>
        <v>1.0699537382715425</v>
      </c>
      <c r="W52" s="110">
        <f>Table1123[[#This Row],[M (KN.mm)]]/$G$53</f>
        <v>0.93043478260869572</v>
      </c>
      <c r="X52" s="110">
        <f>Table1123[[#This Row],[V/(2*sqrt(fc) bd)]]</f>
        <v>1.0699537382715425</v>
      </c>
      <c r="Y52" s="123">
        <f>2*SQRT(Table1123[[#This Row],[fc (Mpa)]]*145.037)/Table1123[[#This Row],[pho (%)]]*Table1123[[#This Row],[a (mm)]]*1/(224.8*25.4^2)</f>
        <v>0.80866115712854103</v>
      </c>
      <c r="Z52" s="123">
        <f>(2*SQRT(Table1123[[#This Row],[fc (Mpa)]]*145.037)*Table1123[[#This Row],[b (mm)]]*Table1123[[#This Row],[d (mm)]]*(1/25.4)^2)/224.8</f>
        <v>44.48192318752502</v>
      </c>
      <c r="AA52" s="123">
        <f>Table1123[[#This Row],[M (KN.mm)]]/(Table1123[[#This Row],[b (mm)]]*Table1123[[#This Row],[d (mm)]]^2*Table1123[[#This Row],[pho (%)]])</f>
        <v>3.2442070793576062E-3</v>
      </c>
      <c r="AB52" s="109">
        <f t="shared" si="10"/>
        <v>609.59999999999991</v>
      </c>
      <c r="AC52" s="109">
        <f t="shared" si="11"/>
        <v>266.7</v>
      </c>
      <c r="AD52" s="109">
        <f t="shared" si="12"/>
        <v>304.79999999999995</v>
      </c>
      <c r="AE52" s="109">
        <f t="shared" si="13"/>
        <v>228.6</v>
      </c>
      <c r="AF52" s="7">
        <v>19.3</v>
      </c>
      <c r="AG52" s="110">
        <f>Table1123[[#This Row],[pho (%)]]/100*Table1123[[#This Row],[b (mm)]]*Table1123[[#This Row],[h (mm)]]</f>
        <v>383.22503999999998</v>
      </c>
      <c r="AH52" s="111">
        <v>0.55000000000000004</v>
      </c>
      <c r="AI52" s="110">
        <v>640.5</v>
      </c>
      <c r="AJ52" s="110">
        <f>(1/3-0.21*(MIN(Table1123[[#This Row],[b (mm)]],AD52)/MAX(Table1123[[#This Row],[b (mm)]],AD52))*(MIN(Table1123[[#This Row],[b (mm)]],AD52)^4/(12*MAX(Table1123[[#This Row],[b (mm)]],AD52)^4)))*MAX(Table1123[[#This Row],[b (mm)]],AD52)*MIN(Table1123[[#This Row],[b (mm)]],AD52)^3</f>
        <v>1198609576.1573534</v>
      </c>
      <c r="AK52" s="110">
        <f>Table1123[[#This Row],[b (mm)]]*AD52^3/12</f>
        <v>539435927.57759976</v>
      </c>
      <c r="AL52" s="110">
        <f t="shared" si="14"/>
        <v>1984.375</v>
      </c>
      <c r="AM52"/>
      <c r="AN52"/>
    </row>
    <row r="53" spans="1:40" x14ac:dyDescent="0.3">
      <c r="A53" s="122" t="s">
        <v>74</v>
      </c>
      <c r="B53" s="109" t="s">
        <v>63</v>
      </c>
      <c r="C53" s="109">
        <v>52</v>
      </c>
      <c r="D53" s="123">
        <f>Table1123[[#This Row],[a (mm)]]/Table1123[[#This Row],[d (mm)]]</f>
        <v>2.2857142857142856</v>
      </c>
      <c r="E53" s="109">
        <v>51.152000000000001</v>
      </c>
      <c r="F53" s="124">
        <f>Table1123[[#This Row],[d (mm)]]</f>
        <v>266.7</v>
      </c>
      <c r="G53" s="109">
        <f t="shared" si="15"/>
        <v>31182.259199999997</v>
      </c>
      <c r="H53" s="109">
        <f t="shared" si="16"/>
        <v>2.1948509205393569E-6</v>
      </c>
      <c r="I53" s="109">
        <f>G53/(Table1123[[#This Row],[b (mm)]]*AC53^2)</f>
        <v>1.9177205399006413E-3</v>
      </c>
      <c r="J53" s="109">
        <f t="shared" si="17"/>
        <v>0.4763339642078096</v>
      </c>
      <c r="K53" s="109">
        <f t="shared" si="18"/>
        <v>1.359111939694198E-6</v>
      </c>
      <c r="L53" s="109">
        <f>E53/(Table1123[[#This Row],[b (mm)]]*AC53)</f>
        <v>8.3900273620653068E-4</v>
      </c>
      <c r="M53" s="109">
        <f>Table1123[[#This Row],[M (KN.mm)]]/(Table1123[[#This Row],[b (mm)]]*Table1123[[#This Row],[d (mm)]])</f>
        <v>0.51145606799150101</v>
      </c>
      <c r="N53" s="109">
        <f>Table1123[[#This Row],[M (KN.mm)]]/(Table1123[[#This Row],[b (mm)]]*Table1123[[#This Row],[h (mm)]])</f>
        <v>0.44752405949256346</v>
      </c>
      <c r="O53" s="109">
        <f>Table1123[[#This Row],[M (KN.mm)]]/(Table1123[[#This Row],[b (mm)]]*Table1123[[#This Row],[h (mm)]]*Table1123[[#This Row],[L(mm)]])</f>
        <v>2.2552393549231546E-4</v>
      </c>
      <c r="P53" s="109">
        <f>Table1123[[#This Row],[M (KN.mm)]]/(Table1123[[#This Row],[b (mm)]]*Table1123[[#This Row],[d (mm)]]*Table1123[[#This Row],[L(mm)]])</f>
        <v>2.5774164056264619E-4</v>
      </c>
      <c r="Q53" s="109">
        <f>Table1123[[#This Row],[M (KN.mm)]]/(Table1123[[#This Row],[b (mm)]]*Table1123[[#This Row],[h (mm)]]*Table1123[[#This Row],[L(mm)]]*Table1123[[#This Row],[fc (Mpa)]])</f>
        <v>1.1685178004783184E-5</v>
      </c>
      <c r="R53" s="109">
        <f>Table1123[[#This Row],[M (KN.mm)]]/(Table1123[[#This Row],[b (mm)]]*Table1123[[#This Row],[h (mm)]]*Table1123[[#This Row],[L(mm)]]/2)</f>
        <v>4.5104787098463093E-4</v>
      </c>
      <c r="S53" s="109">
        <f>Table1123[[#This Row],[M (KN.mm)]]/(Table1123[[#This Row],[a (mm)]]*Table1123[[#This Row],[b (mm)]]*Table1123[[#This Row],[h (mm)]]*Table1123[[#This Row],[L(mm)]]/2)</f>
        <v>7.3990792484355476E-7</v>
      </c>
      <c r="T53" s="109">
        <f>Table1123[[#This Row],[M (KN.mm)]]/(Table1123[[#This Row],[a (mm)]]^2*Table1123[[#This Row],[b (mm)]]*Table1123[[#This Row],[h (mm)]])</f>
        <v>1.2042772214250567E-6</v>
      </c>
      <c r="U53" s="109">
        <f>Table1123[[#This Row],[M (KN.mm)]]/(Table1123[[#This Row],[b (mm)]]*Table1123[[#This Row],[d (mm)]]*Table1123[[#This Row],[pho (%)]])</f>
        <v>0.92992012362091092</v>
      </c>
      <c r="V53" s="109">
        <f>E53*224.8/(2*SQRT(Table1123[[#This Row],[fc (Mpa)]]*145.037)*Table1123[[#This Row],[b (mm)]]*Table1123[[#This Row],[d (mm)]]*(1/25.4)^2)</f>
        <v>1.1499502794507233</v>
      </c>
      <c r="W53" s="110">
        <f>Table1123[[#This Row],[M (KN.mm)]]/$G$53</f>
        <v>1</v>
      </c>
      <c r="X53" s="110">
        <f>Table1123[[#This Row],[V/(2*sqrt(fc) bd)]]</f>
        <v>1.1499502794507233</v>
      </c>
      <c r="Y53" s="123">
        <f>2*SQRT(Table1123[[#This Row],[fc (Mpa)]]*145.037)/Table1123[[#This Row],[pho (%)]]*Table1123[[#This Row],[a (mm)]]*1/(224.8*25.4^2)</f>
        <v>0.80866115712854103</v>
      </c>
      <c r="Z53" s="123">
        <f>(2*SQRT(Table1123[[#This Row],[fc (Mpa)]]*145.037)*Table1123[[#This Row],[b (mm)]]*Table1123[[#This Row],[d (mm)]]*(1/25.4)^2)/224.8</f>
        <v>44.48192318752502</v>
      </c>
      <c r="AA53" s="123">
        <f>Table1123[[#This Row],[M (KN.mm)]]/(Table1123[[#This Row],[b (mm)]]*Table1123[[#This Row],[d (mm)]]^2*Table1123[[#This Row],[pho (%)]])</f>
        <v>3.4867646180011657E-3</v>
      </c>
      <c r="AB53" s="109">
        <f t="shared" si="10"/>
        <v>609.59999999999991</v>
      </c>
      <c r="AC53" s="109">
        <f t="shared" si="11"/>
        <v>266.7</v>
      </c>
      <c r="AD53" s="109">
        <f t="shared" si="12"/>
        <v>304.79999999999995</v>
      </c>
      <c r="AE53" s="109">
        <f t="shared" si="13"/>
        <v>228.6</v>
      </c>
      <c r="AF53" s="7">
        <v>19.3</v>
      </c>
      <c r="AG53" s="110">
        <f>Table1123[[#This Row],[pho (%)]]/100*Table1123[[#This Row],[b (mm)]]*Table1123[[#This Row],[h (mm)]]</f>
        <v>383.22503999999998</v>
      </c>
      <c r="AH53" s="111">
        <v>0.55000000000000004</v>
      </c>
      <c r="AI53" s="110">
        <v>640.5</v>
      </c>
      <c r="AJ53" s="110">
        <f>(1/3-0.21*(MIN(Table1123[[#This Row],[b (mm)]],AD53)/MAX(Table1123[[#This Row],[b (mm)]],AD53))*(MIN(Table1123[[#This Row],[b (mm)]],AD53)^4/(12*MAX(Table1123[[#This Row],[b (mm)]],AD53)^4)))*MAX(Table1123[[#This Row],[b (mm)]],AD53)*MIN(Table1123[[#This Row],[b (mm)]],AD53)^3</f>
        <v>1198609576.1573534</v>
      </c>
      <c r="AK53" s="110">
        <f>Table1123[[#This Row],[b (mm)]]*AD53^3/12</f>
        <v>539435927.57759976</v>
      </c>
      <c r="AL53" s="110">
        <f t="shared" si="14"/>
        <v>1984.375</v>
      </c>
      <c r="AM53"/>
      <c r="AN53"/>
    </row>
    <row r="54" spans="1:40" x14ac:dyDescent="0.3">
      <c r="AE54"/>
      <c r="AM54"/>
      <c r="AN54"/>
    </row>
    <row r="55" spans="1:40" x14ac:dyDescent="0.3">
      <c r="AM55"/>
      <c r="AN55"/>
    </row>
    <row r="56" spans="1:40" x14ac:dyDescent="0.3">
      <c r="AM56"/>
      <c r="AN56"/>
    </row>
    <row r="57" spans="1:40" x14ac:dyDescent="0.3">
      <c r="AM57"/>
      <c r="AN57"/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W57"/>
  <sheetViews>
    <sheetView topLeftCell="V22" zoomScaleNormal="100" workbookViewId="0">
      <selection activeCell="Z2" sqref="Z2"/>
    </sheetView>
  </sheetViews>
  <sheetFormatPr defaultColWidth="9.109375" defaultRowHeight="14.4" x14ac:dyDescent="0.3"/>
  <cols>
    <col min="1" max="1" width="6.33203125" style="2" customWidth="1"/>
    <col min="2" max="2" width="8.33203125" style="2" customWidth="1"/>
    <col min="3" max="3" width="7.44140625" style="2" customWidth="1"/>
    <col min="4" max="4" width="15" style="2" customWidth="1"/>
    <col min="5" max="5" width="10.88671875" style="2" customWidth="1"/>
    <col min="6" max="6" width="12.88671875" style="2" customWidth="1"/>
    <col min="7" max="7" width="12" style="2" customWidth="1"/>
    <col min="8" max="8" width="10.5546875" style="2" customWidth="1"/>
    <col min="9" max="9" width="10.88671875" style="2" customWidth="1"/>
    <col min="10" max="10" width="13.109375" style="2" customWidth="1"/>
    <col min="11" max="11" width="8.88671875" style="2" customWidth="1"/>
    <col min="12" max="12" width="8.44140625" style="2" customWidth="1"/>
    <col min="13" max="17" width="10" style="2" customWidth="1"/>
    <col min="18" max="23" width="14.6640625" style="2" customWidth="1"/>
    <col min="24" max="24" width="17.88671875" style="2" customWidth="1"/>
    <col min="25" max="29" width="14.6640625" style="2" customWidth="1"/>
    <col min="30" max="30" width="9.44140625" style="2" customWidth="1"/>
    <col min="31" max="32" width="9.5546875" style="2" customWidth="1"/>
    <col min="33" max="33" width="10.6640625" style="2" customWidth="1"/>
    <col min="34" max="34" width="9.88671875" style="2" customWidth="1"/>
    <col min="35" max="35" width="12.5546875" style="2" customWidth="1"/>
    <col min="36" max="36" width="11.6640625" style="2" customWidth="1"/>
    <col min="37" max="37" width="11" style="2" customWidth="1"/>
    <col min="38" max="38" width="12.44140625" style="2" customWidth="1"/>
    <col min="39" max="40" width="14.33203125" style="2" customWidth="1"/>
    <col min="41" max="41" width="15.33203125" style="2" customWidth="1"/>
    <col min="42" max="42" width="15.6640625" style="2" customWidth="1"/>
    <col min="43" max="44" width="8.88671875" customWidth="1"/>
    <col min="45" max="16384" width="9.109375" style="2"/>
  </cols>
  <sheetData>
    <row r="1" spans="1:44" ht="80.25" customHeight="1" x14ac:dyDescent="0.3">
      <c r="A1" s="74" t="s">
        <v>59</v>
      </c>
      <c r="B1" s="74" t="s">
        <v>57</v>
      </c>
      <c r="C1" s="74" t="s">
        <v>58</v>
      </c>
      <c r="D1" s="74" t="s">
        <v>194</v>
      </c>
      <c r="E1" s="3" t="s">
        <v>24</v>
      </c>
      <c r="F1" s="74" t="s">
        <v>63</v>
      </c>
      <c r="G1" s="3" t="s">
        <v>23</v>
      </c>
      <c r="H1" s="3" t="s">
        <v>3</v>
      </c>
      <c r="I1" s="3" t="s">
        <v>307</v>
      </c>
      <c r="J1" s="3" t="s">
        <v>14</v>
      </c>
      <c r="K1" s="3" t="s">
        <v>20</v>
      </c>
      <c r="L1" s="3" t="s">
        <v>19</v>
      </c>
      <c r="M1" s="3" t="s">
        <v>53</v>
      </c>
      <c r="N1" s="3" t="s">
        <v>54</v>
      </c>
      <c r="O1" s="3" t="s">
        <v>79</v>
      </c>
      <c r="P1" s="3" t="s">
        <v>81</v>
      </c>
      <c r="Q1" s="3" t="s">
        <v>82</v>
      </c>
      <c r="R1" s="3" t="s">
        <v>84</v>
      </c>
      <c r="S1" s="3" t="s">
        <v>85</v>
      </c>
      <c r="T1" s="3" t="s">
        <v>88</v>
      </c>
      <c r="U1" s="3" t="s">
        <v>91</v>
      </c>
      <c r="V1" s="3" t="s">
        <v>140</v>
      </c>
      <c r="W1" s="3" t="s">
        <v>103</v>
      </c>
      <c r="X1" s="3" t="s">
        <v>302</v>
      </c>
      <c r="Y1" s="191" t="s">
        <v>60</v>
      </c>
      <c r="Z1" s="191" t="s">
        <v>306</v>
      </c>
      <c r="AA1" s="73" t="s">
        <v>304</v>
      </c>
      <c r="AB1" s="73" t="s">
        <v>305</v>
      </c>
      <c r="AC1" s="73" t="s">
        <v>67</v>
      </c>
      <c r="AD1" s="3" t="s">
        <v>5</v>
      </c>
      <c r="AE1" s="3" t="s">
        <v>9</v>
      </c>
      <c r="AF1" s="3" t="s">
        <v>12</v>
      </c>
      <c r="AG1" s="3" t="s">
        <v>76</v>
      </c>
      <c r="AH1" s="3" t="s">
        <v>77</v>
      </c>
      <c r="AI1" s="3" t="s">
        <v>10</v>
      </c>
      <c r="AJ1" s="3" t="s">
        <v>11</v>
      </c>
      <c r="AK1" s="3" t="s">
        <v>18</v>
      </c>
      <c r="AL1" s="3" t="s">
        <v>15</v>
      </c>
      <c r="AM1" s="3" t="s">
        <v>17</v>
      </c>
      <c r="AN1" s="3" t="s">
        <v>78</v>
      </c>
      <c r="AO1" t="s">
        <v>50</v>
      </c>
      <c r="AP1" t="s">
        <v>75</v>
      </c>
      <c r="AQ1" t="s">
        <v>80</v>
      </c>
      <c r="AR1" t="s">
        <v>90</v>
      </c>
    </row>
    <row r="2" spans="1:44" x14ac:dyDescent="0.3">
      <c r="A2" s="130" t="s">
        <v>69</v>
      </c>
      <c r="B2" s="110" t="s">
        <v>60</v>
      </c>
      <c r="C2" s="110">
        <v>17</v>
      </c>
      <c r="D2" s="110">
        <f>Table11234[[#This Row],[a (mm)]]/Table11234[[#This Row],[d (mm)]]</f>
        <v>2.2857142857142856</v>
      </c>
      <c r="E2" s="110">
        <v>35.361600000000003</v>
      </c>
      <c r="F2" s="127">
        <f>Table11234[[#This Row],[d (mm)]]</f>
        <v>266.7</v>
      </c>
      <c r="G2" s="110">
        <f t="shared" ref="G2:G37" si="0">E2*AD2</f>
        <v>21556.431359999999</v>
      </c>
      <c r="H2" s="110">
        <f t="shared" ref="H2:H37" si="1">G2/($AP$5*AM2*0.001)</f>
        <v>1.5173099841989467E-6</v>
      </c>
      <c r="I2" s="110">
        <f>G2/(Table11234[[#This Row],[b (mm)]]*Table11234[[#This Row],[h]]^2)</f>
        <v>1.0150109189107268E-3</v>
      </c>
      <c r="J2" s="110">
        <f t="shared" ref="J2:J37" si="2">G2/(AI2*AK2*AE2*0.001)</f>
        <v>0.20574710737845828</v>
      </c>
      <c r="K2" s="110">
        <f t="shared" ref="K2:K37" si="3">E2/($AP$4*AL2*0.001)</f>
        <v>9.3955999309294557E-7</v>
      </c>
      <c r="L2" s="110">
        <f>E2/(Table11234[[#This Row],[b (mm)]]*AE2)</f>
        <v>5.8000623937755824E-4</v>
      </c>
      <c r="M2" s="110">
        <f>Table11234[[#This Row],[M (KN.mm)]]/(Table11234[[#This Row],[b (mm)]]*Table11234[[#This Row],[d (mm)]])</f>
        <v>0.35357180352455941</v>
      </c>
      <c r="N2" s="110">
        <f>Table11234[[#This Row],[M (KN.mm)]]/(Table11234[[#This Row],[b (mm)]]*Table11234[[#This Row],[h (mm)]])</f>
        <v>0.30937532808398954</v>
      </c>
      <c r="O2" s="110">
        <f>Table11234[[#This Row],[M (KN.mm)]]/(Table11234[[#This Row],[b (mm)]]*Table11234[[#This Row],[h (mm)]]*Table11234[[#This Row],[L(mm)]])</f>
        <v>1.5590567714468764E-4</v>
      </c>
      <c r="P2" s="110">
        <f>Table11234[[#This Row],[M (KN.mm)]]/(Table11234[[#This Row],[b (mm)]]*Table11234[[#This Row],[d (mm)]]*Table11234[[#This Row],[L(mm)]])</f>
        <v>1.7817791673678586E-4</v>
      </c>
      <c r="Q2" s="110">
        <f>Table11234[[#This Row],[M (KN.mm)]]/(Table11234[[#This Row],[b (mm)]]*Table11234[[#This Row],[h (mm)]]*Table11234[[#This Row],[L(mm)]]*Table11234[[#This Row],[fc (Mpa)]])</f>
        <v>6.2814535513572782E-6</v>
      </c>
      <c r="R2" s="110">
        <f>Table11234[[#This Row],[M (KN.mm)]]/(Table11234[[#This Row],[b (mm)]]*Table11234[[#This Row],[h (mm)]]*Table11234[[#This Row],[L(mm)]]/2)</f>
        <v>3.1181135428937529E-4</v>
      </c>
      <c r="S2" s="110">
        <f>Table11234[[#This Row],[M (KN.mm)]]/(Table11234[[#This Row],[a (mm)]]*Table11234[[#This Row],[b (mm)]]*Table11234[[#This Row],[h (mm)]]*Table11234[[#This Row],[L(mm)]]/2)</f>
        <v>5.1150156543532703E-7</v>
      </c>
      <c r="T2" s="110">
        <f>Table11234[[#This Row],[M (KN.mm)]]/(Table11234[[#This Row],[a (mm)]]^2*Table11234[[#This Row],[b (mm)]]*Table11234[[#This Row],[h (mm)]])</f>
        <v>8.3252207915906095E-7</v>
      </c>
      <c r="U2" s="110">
        <f>Table11234[[#This Row],[M (KN.mm)]]/(Table11234[[#This Row],[b (mm)]]*Table11234[[#This Row],[d (mm)]]*Table11234[[#This Row],[pho (%)]])</f>
        <v>0.41596682767595233</v>
      </c>
      <c r="V2" s="110">
        <f>E2*224.8/(2*SQRT(Table11234[[#This Row],[fc (Mpa)]]*145.037)*Table11234[[#This Row],[b (mm)]]*Table11234[[#This Row],[d (mm)]]*(1/25.4)^2)</f>
        <v>0.70101307341581176</v>
      </c>
      <c r="W2" s="110">
        <f>Table11234[[#This Row],[M (KN.mm)]]/$G$8</f>
        <v>0.46764705882352942</v>
      </c>
      <c r="X2" s="110">
        <f>Table11234[[#This Row],[V/(2*sqrt(fc) bd)]]</f>
        <v>0.70101307341581176</v>
      </c>
      <c r="Y2" s="110">
        <f>Table11234[[#This Row],[a (mm)]]</f>
        <v>609.59999999999991</v>
      </c>
      <c r="Z2" s="110">
        <f>Table11234[[#This Row],[width]]*Table11234[[#This Row],[h (mm)]]^2</f>
        <v>21237634.943999995</v>
      </c>
      <c r="AA2" s="110">
        <f>Table11234[[#This Row],[b (mm)]]</f>
        <v>228.6</v>
      </c>
      <c r="AB2" s="110">
        <f>Table11234[[#This Row],[a]]/Table11234[[#This Row],[h (mm)]]</f>
        <v>2</v>
      </c>
      <c r="AC2" s="110">
        <f>Table11234[[#This Row],[h (mm)]]</f>
        <v>304.79999999999995</v>
      </c>
      <c r="AD2" s="110">
        <f t="shared" ref="AD2:AD33" si="4">24*25.4</f>
        <v>609.59999999999991</v>
      </c>
      <c r="AE2" s="110">
        <f t="shared" ref="AE2:AE33" si="5">10.5*25.4</f>
        <v>266.7</v>
      </c>
      <c r="AF2" s="110">
        <f t="shared" ref="AF2:AF33" si="6">12*25.4</f>
        <v>304.79999999999995</v>
      </c>
      <c r="AG2" s="110">
        <f t="shared" ref="AG2:AG33" si="7">9*25.4</f>
        <v>228.6</v>
      </c>
      <c r="AH2" s="7">
        <v>24.82</v>
      </c>
      <c r="AI2" s="110">
        <f>Table11234[[#This Row],[pho (%)]]/100*Table11234[[#This Row],[b (mm)]]*Table11234[[#This Row],[h (mm)]]</f>
        <v>592.25687999999991</v>
      </c>
      <c r="AJ2" s="111">
        <v>0.85</v>
      </c>
      <c r="AK2" s="110">
        <v>663.3</v>
      </c>
      <c r="AL2" s="110">
        <f>(1/3-0.21*(MIN(Table11234[[#This Row],[b (mm)]],AF2)/MAX(Table11234[[#This Row],[b (mm)]],AF2))*(MIN(Table11234[[#This Row],[b (mm)]],AF2)^4/(12*MAX(Table11234[[#This Row],[b (mm)]],AF2)^4)))*MAX(Table11234[[#This Row],[b (mm)]],AF2)*MIN(Table11234[[#This Row],[b (mm)]],AF2)^3</f>
        <v>1198609576.1573534</v>
      </c>
      <c r="AM2" s="110">
        <f>Table11234[[#This Row],[b (mm)]]*AF2^3/12</f>
        <v>539435927.57759976</v>
      </c>
      <c r="AN2" s="110">
        <f t="shared" ref="AN2:AN33" si="8">78.125*25.4</f>
        <v>1984.375</v>
      </c>
      <c r="AO2" s="106" t="s">
        <v>22</v>
      </c>
      <c r="AP2" s="107">
        <v>1250</v>
      </c>
    </row>
    <row r="3" spans="1:44" x14ac:dyDescent="0.3">
      <c r="A3" s="130" t="s">
        <v>69</v>
      </c>
      <c r="B3" s="110" t="s">
        <v>61</v>
      </c>
      <c r="C3" s="110">
        <v>18</v>
      </c>
      <c r="D3" s="110">
        <f>Table11234[[#This Row],[a (mm)]]/Table11234[[#This Row],[d (mm)]]</f>
        <v>2.2857142857142856</v>
      </c>
      <c r="E3" s="110">
        <v>41.588799999999999</v>
      </c>
      <c r="F3" s="127">
        <f>Table11234[[#This Row],[d (mm)]]</f>
        <v>266.7</v>
      </c>
      <c r="G3" s="110">
        <f t="shared" si="0"/>
        <v>25352.532479999994</v>
      </c>
      <c r="H3" s="110">
        <f t="shared" si="1"/>
        <v>1.7845092266993901E-6</v>
      </c>
      <c r="I3" s="110">
        <f>G3/(Table11234[[#This Row],[b (mm)]]*Table11234[[#This Row],[h]]^2)</f>
        <v>1.1937549801025529E-3</v>
      </c>
      <c r="J3" s="110">
        <f t="shared" si="2"/>
        <v>0.24197930238850118</v>
      </c>
      <c r="K3" s="110">
        <f t="shared" si="3"/>
        <v>1.1050170987948479E-6</v>
      </c>
      <c r="L3" s="110">
        <f>E3/(Table11234[[#This Row],[b (mm)]]*AE3)</f>
        <v>6.8214570291574449E-4</v>
      </c>
      <c r="M3" s="110">
        <f>Table11234[[#This Row],[M (KN.mm)]]/(Table11234[[#This Row],[b (mm)]]*Table11234[[#This Row],[d (mm)]])</f>
        <v>0.41583602049743779</v>
      </c>
      <c r="N3" s="110">
        <f>Table11234[[#This Row],[M (KN.mm)]]/(Table11234[[#This Row],[b (mm)]]*Table11234[[#This Row],[h (mm)]])</f>
        <v>0.36385651793525808</v>
      </c>
      <c r="O3" s="110">
        <f>Table11234[[#This Row],[M (KN.mm)]]/(Table11234[[#This Row],[b (mm)]]*Table11234[[#This Row],[h (mm)]]*Table11234[[#This Row],[L(mm)]])</f>
        <v>1.8336076494375212E-4</v>
      </c>
      <c r="P3" s="110">
        <f>Table11234[[#This Row],[M (KN.mm)]]/(Table11234[[#This Row],[b (mm)]]*Table11234[[#This Row],[d (mm)]]*Table11234[[#This Row],[L(mm)]])</f>
        <v>2.0955515993571668E-4</v>
      </c>
      <c r="Q3" s="110">
        <f>Table11234[[#This Row],[M (KN.mm)]]/(Table11234[[#This Row],[b (mm)]]*Table11234[[#This Row],[h (mm)]]*Table11234[[#This Row],[L(mm)]]*Table11234[[#This Row],[fc (Mpa)]])</f>
        <v>7.3876214723510115E-6</v>
      </c>
      <c r="R3" s="110">
        <f>Table11234[[#This Row],[M (KN.mm)]]/(Table11234[[#This Row],[b (mm)]]*Table11234[[#This Row],[h (mm)]]*Table11234[[#This Row],[L(mm)]]/2)</f>
        <v>3.6672152988750424E-4</v>
      </c>
      <c r="S3" s="110">
        <f>Table11234[[#This Row],[M (KN.mm)]]/(Table11234[[#This Row],[a (mm)]]*Table11234[[#This Row],[b (mm)]]*Table11234[[#This Row],[h (mm)]]*Table11234[[#This Row],[L(mm)]]/2)</f>
        <v>6.0157731280758573E-7</v>
      </c>
      <c r="T3" s="110">
        <f>Table11234[[#This Row],[M (KN.mm)]]/(Table11234[[#This Row],[a (mm)]]^2*Table11234[[#This Row],[b (mm)]]*Table11234[[#This Row],[h (mm)]])</f>
        <v>9.7912974089776341E-7</v>
      </c>
      <c r="U3" s="110">
        <f>Table11234[[#This Row],[M (KN.mm)]]/(Table11234[[#This Row],[b (mm)]]*Table11234[[#This Row],[d (mm)]]*Table11234[[#This Row],[pho (%)]])</f>
        <v>0.48921884764404444</v>
      </c>
      <c r="V3" s="110">
        <f>E3*224.8/(2*SQRT(Table11234[[#This Row],[fc (Mpa)]]*145.037)*Table11234[[#This Row],[b (mm)]]*Table11234[[#This Row],[d (mm)]]*(1/25.4)^2)</f>
        <v>0.82446191653306145</v>
      </c>
      <c r="W3" s="110">
        <f>Table11234[[#This Row],[M (KN.mm)]]/$G$8</f>
        <v>0.54999999999999993</v>
      </c>
      <c r="X3" s="110">
        <f>Table11234[[#This Row],[V/(2*sqrt(fc) bd)]]</f>
        <v>0.82446191653306145</v>
      </c>
      <c r="Y3" s="110">
        <f>Table11234[[#This Row],[a (mm)]]</f>
        <v>609.59999999999991</v>
      </c>
      <c r="Z3" s="110">
        <f>Table11234[[#This Row],[width]]*Table11234[[#This Row],[h (mm)]]^2</f>
        <v>21237634.943999995</v>
      </c>
      <c r="AA3" s="110">
        <f>Table11234[[#This Row],[b (mm)]]</f>
        <v>228.6</v>
      </c>
      <c r="AB3" s="110">
        <f>Table11234[[#This Row],[a]]/Table11234[[#This Row],[h (mm)]]</f>
        <v>2</v>
      </c>
      <c r="AC3" s="110">
        <f>Table11234[[#This Row],[h (mm)]]</f>
        <v>304.79999999999995</v>
      </c>
      <c r="AD3" s="110">
        <f t="shared" si="4"/>
        <v>609.59999999999991</v>
      </c>
      <c r="AE3" s="110">
        <f t="shared" si="5"/>
        <v>266.7</v>
      </c>
      <c r="AF3" s="110">
        <f t="shared" si="6"/>
        <v>304.79999999999995</v>
      </c>
      <c r="AG3" s="110">
        <f t="shared" si="7"/>
        <v>228.6</v>
      </c>
      <c r="AH3" s="7">
        <v>24.82</v>
      </c>
      <c r="AI3" s="110">
        <f>Table11234[[#This Row],[pho (%)]]/100*Table11234[[#This Row],[b (mm)]]*Table11234[[#This Row],[h (mm)]]</f>
        <v>592.25687999999991</v>
      </c>
      <c r="AJ3" s="111">
        <v>0.85</v>
      </c>
      <c r="AK3" s="110">
        <v>663.3</v>
      </c>
      <c r="AL3" s="110">
        <f>(1/3-0.21*(MIN(Table11234[[#This Row],[b (mm)]],AF3)/MAX(Table11234[[#This Row],[b (mm)]],AF3))*(MIN(Table11234[[#This Row],[b (mm)]],AF3)^4/(12*MAX(Table11234[[#This Row],[b (mm)]],AF3)^4)))*MAX(Table11234[[#This Row],[b (mm)]],AF3)*MIN(Table11234[[#This Row],[b (mm)]],AF3)^3</f>
        <v>1198609576.1573534</v>
      </c>
      <c r="AM3" s="110">
        <f>Table11234[[#This Row],[b (mm)]]*AF3^3/12</f>
        <v>539435927.57759976</v>
      </c>
      <c r="AN3" s="110">
        <f t="shared" si="8"/>
        <v>1984.375</v>
      </c>
      <c r="AO3" s="106" t="s">
        <v>6</v>
      </c>
      <c r="AP3" s="107">
        <v>200</v>
      </c>
    </row>
    <row r="4" spans="1:44" x14ac:dyDescent="0.3">
      <c r="A4" s="130" t="s">
        <v>69</v>
      </c>
      <c r="B4" s="110" t="s">
        <v>62</v>
      </c>
      <c r="C4" s="110">
        <v>19</v>
      </c>
      <c r="D4" s="110">
        <f>Table11234[[#This Row],[a (mm)]]/Table11234[[#This Row],[d (mm)]]</f>
        <v>2.2857142857142856</v>
      </c>
      <c r="E4" s="110">
        <v>47.593600000000002</v>
      </c>
      <c r="F4" s="127">
        <f>Table11234[[#This Row],[d (mm)]]</f>
        <v>266.7</v>
      </c>
      <c r="G4" s="110">
        <f t="shared" si="0"/>
        <v>29013.058559999998</v>
      </c>
      <c r="H4" s="110">
        <f t="shared" si="1"/>
        <v>2.042165639110532E-6</v>
      </c>
      <c r="I4" s="110">
        <f>G4/(Table11234[[#This Row],[b (mm)]]*Table11234[[#This Row],[h]]^2)</f>
        <v>1.3661153248232425E-3</v>
      </c>
      <c r="J4" s="110">
        <f t="shared" si="2"/>
        <v>0.27691749043389979</v>
      </c>
      <c r="K4" s="110">
        <f t="shared" si="3"/>
        <v>1.2645650221502538E-6</v>
      </c>
      <c r="L4" s="110">
        <f>E4/(Table11234[[#This Row],[b (mm)]]*AE4)</f>
        <v>7.8063732847042419E-4</v>
      </c>
      <c r="M4" s="110">
        <f>Table11234[[#This Row],[M (KN.mm)]]/(Table11234[[#This Row],[b (mm)]]*Table11234[[#This Row],[d (mm)]])</f>
        <v>0.47587651543557058</v>
      </c>
      <c r="N4" s="110">
        <f>Table11234[[#This Row],[M (KN.mm)]]/(Table11234[[#This Row],[b (mm)]]*Table11234[[#This Row],[h (mm)]])</f>
        <v>0.41639195100612431</v>
      </c>
      <c r="O4" s="110">
        <f>Table11234[[#This Row],[M (KN.mm)]]/(Table11234[[#This Row],[b (mm)]]*Table11234[[#This Row],[h (mm)]]*Table11234[[#This Row],[L(mm)]])</f>
        <v>2.0983531389285004E-4</v>
      </c>
      <c r="P4" s="110">
        <f>Table11234[[#This Row],[M (KN.mm)]]/(Table11234[[#This Row],[b (mm)]]*Table11234[[#This Row],[d (mm)]]*Table11234[[#This Row],[L(mm)]])</f>
        <v>2.398117873061143E-4</v>
      </c>
      <c r="Q4" s="110">
        <f>Table11234[[#This Row],[M (KN.mm)]]/(Table11234[[#This Row],[b (mm)]]*Table11234[[#This Row],[h (mm)]]*Table11234[[#This Row],[L(mm)]]*Table11234[[#This Row],[fc (Mpa)]])</f>
        <v>8.4542833961663996E-6</v>
      </c>
      <c r="R4" s="110">
        <f>Table11234[[#This Row],[M (KN.mm)]]/(Table11234[[#This Row],[b (mm)]]*Table11234[[#This Row],[h (mm)]]*Table11234[[#This Row],[L(mm)]]/2)</f>
        <v>4.1967062778570008E-4</v>
      </c>
      <c r="S4" s="110">
        <f>Table11234[[#This Row],[M (KN.mm)]]/(Table11234[[#This Row],[a (mm)]]*Table11234[[#This Row],[b (mm)]]*Table11234[[#This Row],[h (mm)]]*Table11234[[#This Row],[L(mm)]]/2)</f>
        <v>6.8843606920226397E-7</v>
      </c>
      <c r="T4" s="110">
        <f>Table11234[[#This Row],[M (KN.mm)]]/(Table11234[[#This Row],[a (mm)]]^2*Table11234[[#This Row],[b (mm)]]*Table11234[[#This Row],[h (mm)]])</f>
        <v>1.1205014147172266E-6</v>
      </c>
      <c r="U4" s="110">
        <f>Table11234[[#This Row],[M (KN.mm)]]/(Table11234[[#This Row],[b (mm)]]*Table11234[[#This Row],[d (mm)]]*Table11234[[#This Row],[pho (%)]])</f>
        <v>0.55985472404184777</v>
      </c>
      <c r="V4" s="110">
        <f>E4*224.8/(2*SQRT(Table11234[[#This Row],[fc (Mpa)]]*145.037)*Table11234[[#This Row],[b (mm)]]*Table11234[[#This Row],[d (mm)]]*(1/25.4)^2)</f>
        <v>0.94350187239612393</v>
      </c>
      <c r="W4" s="110">
        <f>Table11234[[#This Row],[M (KN.mm)]]/$G$8</f>
        <v>0.62941176470588234</v>
      </c>
      <c r="X4" s="110">
        <f>Table11234[[#This Row],[V/(2*sqrt(fc) bd)]]</f>
        <v>0.94350187239612393</v>
      </c>
      <c r="Y4" s="110">
        <f>Table11234[[#This Row],[a (mm)]]</f>
        <v>609.59999999999991</v>
      </c>
      <c r="Z4" s="110">
        <f>Table11234[[#This Row],[width]]*Table11234[[#This Row],[h (mm)]]^2</f>
        <v>21237634.943999995</v>
      </c>
      <c r="AA4" s="110">
        <f>Table11234[[#This Row],[b (mm)]]</f>
        <v>228.6</v>
      </c>
      <c r="AB4" s="110">
        <f>Table11234[[#This Row],[a]]/Table11234[[#This Row],[h (mm)]]</f>
        <v>2</v>
      </c>
      <c r="AC4" s="110">
        <f>Table11234[[#This Row],[h (mm)]]</f>
        <v>304.79999999999995</v>
      </c>
      <c r="AD4" s="110">
        <f t="shared" si="4"/>
        <v>609.59999999999991</v>
      </c>
      <c r="AE4" s="110">
        <f t="shared" si="5"/>
        <v>266.7</v>
      </c>
      <c r="AF4" s="110">
        <f t="shared" si="6"/>
        <v>304.79999999999995</v>
      </c>
      <c r="AG4" s="110">
        <f t="shared" si="7"/>
        <v>228.6</v>
      </c>
      <c r="AH4" s="7">
        <v>24.82</v>
      </c>
      <c r="AI4" s="110">
        <f>Table11234[[#This Row],[pho (%)]]/100*Table11234[[#This Row],[b (mm)]]*Table11234[[#This Row],[h (mm)]]</f>
        <v>592.25687999999991</v>
      </c>
      <c r="AJ4" s="111">
        <v>0.85</v>
      </c>
      <c r="AK4" s="110">
        <v>663.3</v>
      </c>
      <c r="AL4" s="110">
        <f>(1/3-0.21*(MIN(Table11234[[#This Row],[b (mm)]],AF4)/MAX(Table11234[[#This Row],[b (mm)]],AF4))*(MIN(Table11234[[#This Row],[b (mm)]],AF4)^4/(12*MAX(Table11234[[#This Row],[b (mm)]],AF4)^4)))*MAX(Table11234[[#This Row],[b (mm)]],AF4)*MIN(Table11234[[#This Row],[b (mm)]],AF4)^3</f>
        <v>1198609576.1573534</v>
      </c>
      <c r="AM4" s="110">
        <f>Table11234[[#This Row],[b (mm)]]*AF4^3/12</f>
        <v>539435927.57759976</v>
      </c>
      <c r="AN4" s="110">
        <f t="shared" si="8"/>
        <v>1984.375</v>
      </c>
      <c r="AO4" s="106" t="s">
        <v>7</v>
      </c>
      <c r="AP4" s="107">
        <v>31.4</v>
      </c>
    </row>
    <row r="5" spans="1:44" x14ac:dyDescent="0.3">
      <c r="A5" s="130" t="s">
        <v>69</v>
      </c>
      <c r="B5" s="110" t="s">
        <v>63</v>
      </c>
      <c r="C5" s="110">
        <v>20</v>
      </c>
      <c r="D5" s="110">
        <f>Table11234[[#This Row],[a (mm)]]/Table11234[[#This Row],[d (mm)]]</f>
        <v>2.2857142857142856</v>
      </c>
      <c r="E5" s="110">
        <v>53.820800000000006</v>
      </c>
      <c r="F5" s="127">
        <f>Table11234[[#This Row],[d (mm)]]</f>
        <v>266.7</v>
      </c>
      <c r="G5" s="110">
        <f t="shared" si="0"/>
        <v>32809.159679999997</v>
      </c>
      <c r="H5" s="110">
        <f t="shared" si="1"/>
        <v>2.3093648816109757E-6</v>
      </c>
      <c r="I5" s="110">
        <f>G5/(Table11234[[#This Row],[b (mm)]]*Table11234[[#This Row],[h]]^2)</f>
        <v>1.5448593860150686E-3</v>
      </c>
      <c r="J5" s="110">
        <f t="shared" si="2"/>
        <v>0.31314968544394278</v>
      </c>
      <c r="K5" s="110">
        <f t="shared" si="3"/>
        <v>1.4300221278521562E-6</v>
      </c>
      <c r="L5" s="110">
        <f>E5/(Table11234[[#This Row],[b (mm)]]*AE5)</f>
        <v>8.8277679200861065E-4</v>
      </c>
      <c r="M5" s="110">
        <f>Table11234[[#This Row],[M (KN.mm)]]/(Table11234[[#This Row],[b (mm)]]*Table11234[[#This Row],[d (mm)]])</f>
        <v>0.53814073240844895</v>
      </c>
      <c r="N5" s="110">
        <f>Table11234[[#This Row],[M (KN.mm)]]/(Table11234[[#This Row],[b (mm)]]*Table11234[[#This Row],[h (mm)]])</f>
        <v>0.4708731408573929</v>
      </c>
      <c r="O5" s="110">
        <f>Table11234[[#This Row],[M (KN.mm)]]/(Table11234[[#This Row],[b (mm)]]*Table11234[[#This Row],[h (mm)]]*Table11234[[#This Row],[L(mm)]])</f>
        <v>2.3729040169191451E-4</v>
      </c>
      <c r="P5" s="110">
        <f>Table11234[[#This Row],[M (KN.mm)]]/(Table11234[[#This Row],[b (mm)]]*Table11234[[#This Row],[d (mm)]]*Table11234[[#This Row],[L(mm)]])</f>
        <v>2.7118903050504513E-4</v>
      </c>
      <c r="Q5" s="110">
        <f>Table11234[[#This Row],[M (KN.mm)]]/(Table11234[[#This Row],[b (mm)]]*Table11234[[#This Row],[h (mm)]]*Table11234[[#This Row],[L(mm)]]*Table11234[[#This Row],[fc (Mpa)]])</f>
        <v>9.5604513171601338E-6</v>
      </c>
      <c r="R5" s="110">
        <f>Table11234[[#This Row],[M (KN.mm)]]/(Table11234[[#This Row],[b (mm)]]*Table11234[[#This Row],[h (mm)]]*Table11234[[#This Row],[L(mm)]]/2)</f>
        <v>4.7458080338382903E-4</v>
      </c>
      <c r="S5" s="110">
        <f>Table11234[[#This Row],[M (KN.mm)]]/(Table11234[[#This Row],[a (mm)]]*Table11234[[#This Row],[b (mm)]]*Table11234[[#This Row],[h (mm)]]*Table11234[[#This Row],[L(mm)]]/2)</f>
        <v>7.7851181657452288E-7</v>
      </c>
      <c r="T5" s="110">
        <f>Table11234[[#This Row],[M (KN.mm)]]/(Table11234[[#This Row],[a (mm)]]^2*Table11234[[#This Row],[b (mm)]]*Table11234[[#This Row],[h (mm)]])</f>
        <v>1.2671090764559293E-6</v>
      </c>
      <c r="U5" s="110">
        <f>Table11234[[#This Row],[M (KN.mm)]]/(Table11234[[#This Row],[b (mm)]]*Table11234[[#This Row],[d (mm)]]*Table11234[[#This Row],[pho (%)]])</f>
        <v>0.63310674400993994</v>
      </c>
      <c r="V5" s="110">
        <f>E5*224.8/(2*SQRT(Table11234[[#This Row],[fc (Mpa)]]*145.037)*Table11234[[#This Row],[b (mm)]]*Table11234[[#This Row],[d (mm)]]*(1/25.4)^2)</f>
        <v>1.0669507155133737</v>
      </c>
      <c r="W5" s="110">
        <f>Table11234[[#This Row],[M (KN.mm)]]/$G$8</f>
        <v>0.71176470588235285</v>
      </c>
      <c r="X5" s="110">
        <f>Table11234[[#This Row],[V/(2*sqrt(fc) bd)]]</f>
        <v>1.0669507155133737</v>
      </c>
      <c r="Y5" s="110">
        <f>Table11234[[#This Row],[a (mm)]]</f>
        <v>609.59999999999991</v>
      </c>
      <c r="Z5" s="110">
        <f>Table11234[[#This Row],[width]]*Table11234[[#This Row],[h (mm)]]^2</f>
        <v>21237634.943999995</v>
      </c>
      <c r="AA5" s="110">
        <f>Table11234[[#This Row],[b (mm)]]</f>
        <v>228.6</v>
      </c>
      <c r="AB5" s="110">
        <f>Table11234[[#This Row],[a]]/Table11234[[#This Row],[h (mm)]]</f>
        <v>2</v>
      </c>
      <c r="AC5" s="110">
        <f>Table11234[[#This Row],[h (mm)]]</f>
        <v>304.79999999999995</v>
      </c>
      <c r="AD5" s="110">
        <f t="shared" si="4"/>
        <v>609.59999999999991</v>
      </c>
      <c r="AE5" s="110">
        <f t="shared" si="5"/>
        <v>266.7</v>
      </c>
      <c r="AF5" s="110">
        <f t="shared" si="6"/>
        <v>304.79999999999995</v>
      </c>
      <c r="AG5" s="110">
        <f t="shared" si="7"/>
        <v>228.6</v>
      </c>
      <c r="AH5" s="7">
        <v>24.82</v>
      </c>
      <c r="AI5" s="110">
        <f>Table11234[[#This Row],[pho (%)]]/100*Table11234[[#This Row],[b (mm)]]*Table11234[[#This Row],[h (mm)]]</f>
        <v>592.25687999999991</v>
      </c>
      <c r="AJ5" s="111">
        <v>0.85</v>
      </c>
      <c r="AK5" s="110">
        <v>663.3</v>
      </c>
      <c r="AL5" s="110">
        <f>(1/3-0.21*(MIN(Table11234[[#This Row],[b (mm)]],AF5)/MAX(Table11234[[#This Row],[b (mm)]],AF5))*(MIN(Table11234[[#This Row],[b (mm)]],AF5)^4/(12*MAX(Table11234[[#This Row],[b (mm)]],AF5)^4)))*MAX(Table11234[[#This Row],[b (mm)]],AF5)*MIN(Table11234[[#This Row],[b (mm)]],AF5)^3</f>
        <v>1198609576.1573534</v>
      </c>
      <c r="AM5" s="110">
        <f>Table11234[[#This Row],[b (mm)]]*AF5^3/12</f>
        <v>539435927.57759976</v>
      </c>
      <c r="AN5" s="110">
        <f t="shared" si="8"/>
        <v>1984.375</v>
      </c>
      <c r="AO5" s="106" t="s">
        <v>8</v>
      </c>
      <c r="AP5" s="107">
        <f>4700*SQRT(AP4)</f>
        <v>26336.780365109171</v>
      </c>
    </row>
    <row r="6" spans="1:44" x14ac:dyDescent="0.3">
      <c r="A6" s="130" t="s">
        <v>69</v>
      </c>
      <c r="B6" s="110" t="s">
        <v>64</v>
      </c>
      <c r="C6" s="110">
        <v>21</v>
      </c>
      <c r="D6" s="110">
        <f>Table11234[[#This Row],[a (mm)]]/Table11234[[#This Row],[d (mm)]]</f>
        <v>2.2857142857142856</v>
      </c>
      <c r="E6" s="110">
        <v>60.048000000000002</v>
      </c>
      <c r="F6" s="127">
        <f>Table11234[[#This Row],[d (mm)]]</f>
        <v>266.7</v>
      </c>
      <c r="G6" s="110">
        <f t="shared" si="0"/>
        <v>36605.260799999996</v>
      </c>
      <c r="H6" s="110">
        <f t="shared" si="1"/>
        <v>2.576564124111419E-6</v>
      </c>
      <c r="I6" s="110">
        <f>G6/(Table11234[[#This Row],[b (mm)]]*Table11234[[#This Row],[h]]^2)</f>
        <v>1.7236034472068948E-3</v>
      </c>
      <c r="J6" s="110">
        <f t="shared" si="2"/>
        <v>0.34938188045398572</v>
      </c>
      <c r="K6" s="110">
        <f t="shared" si="3"/>
        <v>1.5954792335540584E-6</v>
      </c>
      <c r="L6" s="110">
        <f>E6/(Table11234[[#This Row],[b (mm)]]*AE6)</f>
        <v>9.8491625554679701E-4</v>
      </c>
      <c r="M6" s="110">
        <f>Table11234[[#This Row],[M (KN.mm)]]/(Table11234[[#This Row],[b (mm)]]*Table11234[[#This Row],[d (mm)]])</f>
        <v>0.60040494938132727</v>
      </c>
      <c r="N6" s="110">
        <f>Table11234[[#This Row],[M (KN.mm)]]/(Table11234[[#This Row],[b (mm)]]*Table11234[[#This Row],[h (mm)]])</f>
        <v>0.52535433070866144</v>
      </c>
      <c r="O6" s="110">
        <f>Table11234[[#This Row],[M (KN.mm)]]/(Table11234[[#This Row],[b (mm)]]*Table11234[[#This Row],[h (mm)]]*Table11234[[#This Row],[L(mm)]])</f>
        <v>2.6474548949097899E-4</v>
      </c>
      <c r="P6" s="110">
        <f>Table11234[[#This Row],[M (KN.mm)]]/(Table11234[[#This Row],[b (mm)]]*Table11234[[#This Row],[d (mm)]]*Table11234[[#This Row],[L(mm)]])</f>
        <v>3.0256627370397598E-4</v>
      </c>
      <c r="Q6" s="110">
        <f>Table11234[[#This Row],[M (KN.mm)]]/(Table11234[[#This Row],[b (mm)]]*Table11234[[#This Row],[h (mm)]]*Table11234[[#This Row],[L(mm)]]*Table11234[[#This Row],[fc (Mpa)]])</f>
        <v>1.0666619238153868E-5</v>
      </c>
      <c r="R6" s="110">
        <f>Table11234[[#This Row],[M (KN.mm)]]/(Table11234[[#This Row],[b (mm)]]*Table11234[[#This Row],[h (mm)]]*Table11234[[#This Row],[L(mm)]]/2)</f>
        <v>5.2949097898195797E-4</v>
      </c>
      <c r="S6" s="110">
        <f>Table11234[[#This Row],[M (KN.mm)]]/(Table11234[[#This Row],[a (mm)]]*Table11234[[#This Row],[b (mm)]]*Table11234[[#This Row],[h (mm)]]*Table11234[[#This Row],[L(mm)]]/2)</f>
        <v>8.6858756394678169E-7</v>
      </c>
      <c r="T6" s="110">
        <f>Table11234[[#This Row],[M (KN.mm)]]/(Table11234[[#This Row],[a (mm)]]^2*Table11234[[#This Row],[b (mm)]]*Table11234[[#This Row],[h (mm)]])</f>
        <v>1.4137167381946317E-6</v>
      </c>
      <c r="U6" s="110">
        <f>Table11234[[#This Row],[M (KN.mm)]]/(Table11234[[#This Row],[b (mm)]]*Table11234[[#This Row],[d (mm)]]*Table11234[[#This Row],[pho (%)]])</f>
        <v>0.70635876397803221</v>
      </c>
      <c r="V6" s="110">
        <f>E6*224.8/(2*SQRT(Table11234[[#This Row],[fc (Mpa)]]*145.037)*Table11234[[#This Row],[b (mm)]]*Table11234[[#This Row],[d (mm)]]*(1/25.4)^2)</f>
        <v>1.1903995586306237</v>
      </c>
      <c r="W6" s="110">
        <f>Table11234[[#This Row],[M (KN.mm)]]/$G$8</f>
        <v>0.79411764705882348</v>
      </c>
      <c r="X6" s="110">
        <f>Table11234[[#This Row],[V/(2*sqrt(fc) bd)]]</f>
        <v>1.1903995586306237</v>
      </c>
      <c r="Y6" s="110">
        <f>Table11234[[#This Row],[a (mm)]]</f>
        <v>609.59999999999991</v>
      </c>
      <c r="Z6" s="110">
        <f>Table11234[[#This Row],[width]]*Table11234[[#This Row],[h (mm)]]^2</f>
        <v>21237634.943999995</v>
      </c>
      <c r="AA6" s="110">
        <f>Table11234[[#This Row],[b (mm)]]</f>
        <v>228.6</v>
      </c>
      <c r="AB6" s="110">
        <f>Table11234[[#This Row],[a]]/Table11234[[#This Row],[h (mm)]]</f>
        <v>2</v>
      </c>
      <c r="AC6" s="110">
        <f>Table11234[[#This Row],[h (mm)]]</f>
        <v>304.79999999999995</v>
      </c>
      <c r="AD6" s="110">
        <f t="shared" si="4"/>
        <v>609.59999999999991</v>
      </c>
      <c r="AE6" s="110">
        <f t="shared" si="5"/>
        <v>266.7</v>
      </c>
      <c r="AF6" s="110">
        <f t="shared" si="6"/>
        <v>304.79999999999995</v>
      </c>
      <c r="AG6" s="110">
        <f t="shared" si="7"/>
        <v>228.6</v>
      </c>
      <c r="AH6" s="7">
        <v>24.82</v>
      </c>
      <c r="AI6" s="110">
        <f>Table11234[[#This Row],[pho (%)]]/100*Table11234[[#This Row],[b (mm)]]*Table11234[[#This Row],[h (mm)]]</f>
        <v>592.25687999999991</v>
      </c>
      <c r="AJ6" s="111">
        <v>0.85</v>
      </c>
      <c r="AK6" s="110">
        <v>663.3</v>
      </c>
      <c r="AL6" s="110">
        <f>(1/3-0.21*(MIN(Table11234[[#This Row],[b (mm)]],AF6)/MAX(Table11234[[#This Row],[b (mm)]],AF6))*(MIN(Table11234[[#This Row],[b (mm)]],AF6)^4/(12*MAX(Table11234[[#This Row],[b (mm)]],AF6)^4)))*MAX(Table11234[[#This Row],[b (mm)]],AF6)*MIN(Table11234[[#This Row],[b (mm)]],AF6)^3</f>
        <v>1198609576.1573534</v>
      </c>
      <c r="AM6" s="110">
        <f>Table11234[[#This Row],[b (mm)]]*AF6^3/12</f>
        <v>539435927.57759976</v>
      </c>
      <c r="AN6" s="110">
        <f t="shared" si="8"/>
        <v>1984.375</v>
      </c>
      <c r="AO6" s="106" t="s">
        <v>16</v>
      </c>
      <c r="AP6" s="107">
        <f>AP5/(2*(1+0.15))</f>
        <v>11450.774071786596</v>
      </c>
    </row>
    <row r="7" spans="1:44" x14ac:dyDescent="0.3">
      <c r="A7" s="130" t="s">
        <v>69</v>
      </c>
      <c r="B7" s="110" t="s">
        <v>65</v>
      </c>
      <c r="C7" s="110">
        <v>22</v>
      </c>
      <c r="D7" s="110">
        <f>Table11234[[#This Row],[a (mm)]]/Table11234[[#This Row],[d (mm)]]</f>
        <v>2.2857142857142856</v>
      </c>
      <c r="E7" s="110">
        <v>70.500799999999998</v>
      </c>
      <c r="F7" s="127">
        <f>Table11234[[#This Row],[d (mm)]]</f>
        <v>266.7</v>
      </c>
      <c r="G7" s="110">
        <f t="shared" si="0"/>
        <v>42977.287679999994</v>
      </c>
      <c r="H7" s="110">
        <f t="shared" si="1"/>
        <v>3.0250771383085918E-6</v>
      </c>
      <c r="I7" s="110">
        <f>G7/(Table11234[[#This Row],[b (mm)]]*Table11234[[#This Row],[h]]^2)</f>
        <v>2.0236381213503169E-3</v>
      </c>
      <c r="J7" s="110">
        <f t="shared" si="2"/>
        <v>0.41020020779227212</v>
      </c>
      <c r="K7" s="110">
        <f t="shared" si="3"/>
        <v>1.8732108038393944E-6</v>
      </c>
      <c r="L7" s="110">
        <f>E7/(Table11234[[#This Row],[b (mm)]]*AE7)</f>
        <v>1.1563646407716096E-3</v>
      </c>
      <c r="M7" s="110">
        <f>Table11234[[#This Row],[M (KN.mm)]]/(Table11234[[#This Row],[b (mm)]]*Table11234[[#This Row],[d (mm)]])</f>
        <v>0.70491988501437319</v>
      </c>
      <c r="N7" s="110">
        <f>Table11234[[#This Row],[M (KN.mm)]]/(Table11234[[#This Row],[b (mm)]]*Table11234[[#This Row],[h (mm)]])</f>
        <v>0.61680489938757666</v>
      </c>
      <c r="O7" s="110">
        <f>Table11234[[#This Row],[M (KN.mm)]]/(Table11234[[#This Row],[b (mm)]]*Table11234[[#This Row],[h (mm)]]*Table11234[[#This Row],[L(mm)]])</f>
        <v>3.1083081543940865E-4</v>
      </c>
      <c r="P7" s="110">
        <f>Table11234[[#This Row],[M (KN.mm)]]/(Table11234[[#This Row],[b (mm)]]*Table11234[[#This Row],[d (mm)]]*Table11234[[#This Row],[L(mm)]])</f>
        <v>3.5523521764503846E-4</v>
      </c>
      <c r="Q7" s="110">
        <f>Table11234[[#This Row],[M (KN.mm)]]/(Table11234[[#This Row],[b (mm)]]*Table11234[[#This Row],[h (mm)]]*Table11234[[#This Row],[L(mm)]]*Table11234[[#This Row],[fc (Mpa)]])</f>
        <v>1.2523401105536208E-5</v>
      </c>
      <c r="R7" s="110">
        <f>Table11234[[#This Row],[M (KN.mm)]]/(Table11234[[#This Row],[b (mm)]]*Table11234[[#This Row],[h (mm)]]*Table11234[[#This Row],[L(mm)]]/2)</f>
        <v>6.2166163087881731E-4</v>
      </c>
      <c r="S7" s="110">
        <f>Table11234[[#This Row],[M (KN.mm)]]/(Table11234[[#This Row],[a (mm)]]*Table11234[[#This Row],[b (mm)]]*Table11234[[#This Row],[h (mm)]]*Table11234[[#This Row],[L(mm)]]/2)</f>
        <v>1.0197861398930732E-6</v>
      </c>
      <c r="T7" s="110">
        <f>Table11234[[#This Row],[M (KN.mm)]]/(Table11234[[#This Row],[a (mm)]]^2*Table11234[[#This Row],[b (mm)]]*Table11234[[#This Row],[h (mm)]])</f>
        <v>1.6598081703988824E-6</v>
      </c>
      <c r="U7" s="110">
        <f>Table11234[[#This Row],[M (KN.mm)]]/(Table11234[[#This Row],[b (mm)]]*Table11234[[#This Row],[d (mm)]]*Table11234[[#This Row],[pho (%)]])</f>
        <v>0.8293175117816155</v>
      </c>
      <c r="V7" s="110">
        <f>E7*224.8/(2*SQRT(Table11234[[#This Row],[fc (Mpa)]]*145.037)*Table11234[[#This Row],[b (mm)]]*Table11234[[#This Row],[d (mm)]]*(1/25.4)^2)</f>
        <v>1.3976172595774359</v>
      </c>
      <c r="W7" s="110">
        <f>Table11234[[#This Row],[M (KN.mm)]]/$G$8</f>
        <v>0.9323529411764705</v>
      </c>
      <c r="X7" s="110">
        <f>Table11234[[#This Row],[V/(2*sqrt(fc) bd)]]</f>
        <v>1.3976172595774359</v>
      </c>
      <c r="Y7" s="110">
        <f>Table11234[[#This Row],[a (mm)]]</f>
        <v>609.59999999999991</v>
      </c>
      <c r="Z7" s="110">
        <f>Table11234[[#This Row],[width]]*Table11234[[#This Row],[h (mm)]]^2</f>
        <v>21237634.943999995</v>
      </c>
      <c r="AA7" s="110">
        <f>Table11234[[#This Row],[b (mm)]]</f>
        <v>228.6</v>
      </c>
      <c r="AB7" s="110">
        <f>Table11234[[#This Row],[a]]/Table11234[[#This Row],[h (mm)]]</f>
        <v>2</v>
      </c>
      <c r="AC7" s="110">
        <f>Table11234[[#This Row],[h (mm)]]</f>
        <v>304.79999999999995</v>
      </c>
      <c r="AD7" s="110">
        <f t="shared" si="4"/>
        <v>609.59999999999991</v>
      </c>
      <c r="AE7" s="110">
        <f t="shared" si="5"/>
        <v>266.7</v>
      </c>
      <c r="AF7" s="110">
        <f t="shared" si="6"/>
        <v>304.79999999999995</v>
      </c>
      <c r="AG7" s="110">
        <f t="shared" si="7"/>
        <v>228.6</v>
      </c>
      <c r="AH7" s="7">
        <v>24.82</v>
      </c>
      <c r="AI7" s="110">
        <f>Table11234[[#This Row],[pho (%)]]/100*Table11234[[#This Row],[b (mm)]]*Table11234[[#This Row],[h (mm)]]</f>
        <v>592.25687999999991</v>
      </c>
      <c r="AJ7" s="111">
        <v>0.85</v>
      </c>
      <c r="AK7" s="110">
        <v>663.3</v>
      </c>
      <c r="AL7" s="110">
        <f>(1/3-0.21*(MIN(Table11234[[#This Row],[b (mm)]],AF7)/MAX(Table11234[[#This Row],[b (mm)]],AF7))*(MIN(Table11234[[#This Row],[b (mm)]],AF7)^4/(12*MAX(Table11234[[#This Row],[b (mm)]],AF7)^4)))*MAX(Table11234[[#This Row],[b (mm)]],AF7)*MIN(Table11234[[#This Row],[b (mm)]],AF7)^3</f>
        <v>1198609576.1573534</v>
      </c>
      <c r="AM7" s="110">
        <f>Table11234[[#This Row],[b (mm)]]*AF7^3/12</f>
        <v>539435927.57759976</v>
      </c>
      <c r="AN7" s="110">
        <f t="shared" si="8"/>
        <v>1984.375</v>
      </c>
      <c r="AO7" s="106"/>
      <c r="AP7" s="107"/>
    </row>
    <row r="8" spans="1:44" x14ac:dyDescent="0.3">
      <c r="A8" s="131" t="s">
        <v>69</v>
      </c>
      <c r="B8" s="110" t="s">
        <v>66</v>
      </c>
      <c r="C8" s="110">
        <v>23</v>
      </c>
      <c r="D8" s="110">
        <f>Table11234[[#This Row],[a (mm)]]/Table11234[[#This Row],[d (mm)]]</f>
        <v>2.2857142857142856</v>
      </c>
      <c r="E8" s="110">
        <v>75.616000000000014</v>
      </c>
      <c r="F8" s="127">
        <f>Table11234[[#This Row],[d (mm)]]</f>
        <v>266.7</v>
      </c>
      <c r="G8" s="110">
        <f t="shared" si="0"/>
        <v>46095.513599999998</v>
      </c>
      <c r="H8" s="110">
        <f t="shared" si="1"/>
        <v>3.2445622303625278E-6</v>
      </c>
      <c r="I8" s="110">
        <f>G8/(Table11234[[#This Row],[b (mm)]]*Table11234[[#This Row],[h]]^2)</f>
        <v>2.1704636001864601E-3</v>
      </c>
      <c r="J8" s="110">
        <f t="shared" si="2"/>
        <v>0.43996236797909316</v>
      </c>
      <c r="K8" s="110">
        <f t="shared" si="3"/>
        <v>2.0091219978088144E-6</v>
      </c>
      <c r="L8" s="110">
        <f>E8/(Table11234[[#This Row],[b (mm)]]*AE8)</f>
        <v>1.2402649143922629E-3</v>
      </c>
      <c r="M8" s="110">
        <f>Table11234[[#This Row],[M (KN.mm)]]/(Table11234[[#This Row],[b (mm)]]*Table11234[[#This Row],[d (mm)]])</f>
        <v>0.75606549181352334</v>
      </c>
      <c r="N8" s="110">
        <f>Table11234[[#This Row],[M (KN.mm)]]/(Table11234[[#This Row],[b (mm)]]*Table11234[[#This Row],[h (mm)]])</f>
        <v>0.66155730533683299</v>
      </c>
      <c r="O8" s="110">
        <f>Table11234[[#This Row],[M (KN.mm)]]/(Table11234[[#This Row],[b (mm)]]*Table11234[[#This Row],[h (mm)]]*Table11234[[#This Row],[L(mm)]])</f>
        <v>3.3338320898864028E-4</v>
      </c>
      <c r="P8" s="110">
        <f>Table11234[[#This Row],[M (KN.mm)]]/(Table11234[[#This Row],[b (mm)]]*Table11234[[#This Row],[d (mm)]]*Table11234[[#This Row],[L(mm)]])</f>
        <v>3.8100938170130313E-4</v>
      </c>
      <c r="Q8" s="110">
        <f>Table11234[[#This Row],[M (KN.mm)]]/(Table11234[[#This Row],[b (mm)]]*Table11234[[#This Row],[h (mm)]]*Table11234[[#This Row],[L(mm)]]*Table11234[[#This Row],[fc (Mpa)]])</f>
        <v>1.3432039040638206E-5</v>
      </c>
      <c r="R8" s="110">
        <f>Table11234[[#This Row],[M (KN.mm)]]/(Table11234[[#This Row],[b (mm)]]*Table11234[[#This Row],[h (mm)]]*Table11234[[#This Row],[L(mm)]]/2)</f>
        <v>6.6676641797728056E-4</v>
      </c>
      <c r="S8" s="110">
        <f>Table11234[[#This Row],[M (KN.mm)]]/(Table11234[[#This Row],[a (mm)]]*Table11234[[#This Row],[b (mm)]]*Table11234[[#This Row],[h (mm)]]*Table11234[[#This Row],[L(mm)]]/2)</f>
        <v>1.0937769323774288E-6</v>
      </c>
      <c r="T8" s="110">
        <f>Table11234[[#This Row],[M (KN.mm)]]/(Table11234[[#This Row],[a (mm)]]^2*Table11234[[#This Row],[b (mm)]]*Table11234[[#This Row],[h (mm)]])</f>
        <v>1.7802358925413882E-6</v>
      </c>
      <c r="U8" s="110">
        <f>Table11234[[#This Row],[M (KN.mm)]]/(Table11234[[#This Row],[b (mm)]]*Table11234[[#This Row],[d (mm)]]*Table11234[[#This Row],[pho (%)]])</f>
        <v>0.88948881389826284</v>
      </c>
      <c r="V8" s="110">
        <f>E8*224.8/(2*SQRT(Table11234[[#This Row],[fc (Mpa)]]*145.037)*Table11234[[#This Row],[b (mm)]]*Table11234[[#This Row],[d (mm)]]*(1/25.4)^2)</f>
        <v>1.4990216664237486</v>
      </c>
      <c r="W8" s="110">
        <f>Table11234[[#This Row],[M (KN.mm)]]/$G$8</f>
        <v>1</v>
      </c>
      <c r="X8" s="110">
        <f>Table11234[[#This Row],[V/(2*sqrt(fc) bd)]]</f>
        <v>1.4990216664237486</v>
      </c>
      <c r="Y8" s="110">
        <f>Table11234[[#This Row],[a (mm)]]</f>
        <v>609.59999999999991</v>
      </c>
      <c r="Z8" s="110">
        <f>Table11234[[#This Row],[width]]*Table11234[[#This Row],[h (mm)]]^2</f>
        <v>21237634.943999995</v>
      </c>
      <c r="AA8" s="110">
        <f>Table11234[[#This Row],[b (mm)]]</f>
        <v>228.6</v>
      </c>
      <c r="AB8" s="110">
        <f>Table11234[[#This Row],[a]]/Table11234[[#This Row],[h (mm)]]</f>
        <v>2</v>
      </c>
      <c r="AC8" s="110">
        <f>Table11234[[#This Row],[h (mm)]]</f>
        <v>304.79999999999995</v>
      </c>
      <c r="AD8" s="110">
        <f t="shared" si="4"/>
        <v>609.59999999999991</v>
      </c>
      <c r="AE8" s="110">
        <f t="shared" si="5"/>
        <v>266.7</v>
      </c>
      <c r="AF8" s="110">
        <f t="shared" si="6"/>
        <v>304.79999999999995</v>
      </c>
      <c r="AG8" s="110">
        <f t="shared" si="7"/>
        <v>228.6</v>
      </c>
      <c r="AH8" s="7">
        <v>24.82</v>
      </c>
      <c r="AI8" s="110">
        <f>Table11234[[#This Row],[pho (%)]]/100*Table11234[[#This Row],[b (mm)]]*Table11234[[#This Row],[h (mm)]]</f>
        <v>592.25687999999991</v>
      </c>
      <c r="AJ8" s="111">
        <v>0.85</v>
      </c>
      <c r="AK8" s="110">
        <v>663.3</v>
      </c>
      <c r="AL8" s="110">
        <f>(1/3-0.21*(MIN(Table11234[[#This Row],[b (mm)]],AF8)/MAX(Table11234[[#This Row],[b (mm)]],AF8))*(MIN(Table11234[[#This Row],[b (mm)]],AF8)^4/(12*MAX(Table11234[[#This Row],[b (mm)]],AF8)^4)))*MAX(Table11234[[#This Row],[b (mm)]],AF8)*MIN(Table11234[[#This Row],[b (mm)]],AF8)^3</f>
        <v>1198609576.1573534</v>
      </c>
      <c r="AM8" s="110">
        <f>Table11234[[#This Row],[b (mm)]]*AF8^3/12</f>
        <v>539435927.57759976</v>
      </c>
      <c r="AN8" s="110">
        <f t="shared" si="8"/>
        <v>1984.375</v>
      </c>
      <c r="AO8" s="106"/>
      <c r="AP8" s="107"/>
    </row>
    <row r="9" spans="1:44" x14ac:dyDescent="0.3">
      <c r="A9" s="121" t="s">
        <v>70</v>
      </c>
      <c r="B9" s="110" t="s">
        <v>60</v>
      </c>
      <c r="C9" s="110">
        <v>24</v>
      </c>
      <c r="D9" s="110">
        <f>Table11234[[#This Row],[a (mm)]]/Table11234[[#This Row],[d (mm)]]</f>
        <v>2.2857142857142856</v>
      </c>
      <c r="E9" s="110">
        <v>46.036799999999999</v>
      </c>
      <c r="F9" s="127">
        <f>Table11234[[#This Row],[d (mm)]]</f>
        <v>266.7</v>
      </c>
      <c r="G9" s="110">
        <f t="shared" si="0"/>
        <v>28064.033279999996</v>
      </c>
      <c r="H9" s="110">
        <f t="shared" si="1"/>
        <v>1.9753658284854213E-6</v>
      </c>
      <c r="I9" s="110">
        <f>G9/(Table11234[[#This Row],[b (mm)]]*Table11234[[#This Row],[h]]^2)</f>
        <v>1.3214293095252859E-3</v>
      </c>
      <c r="J9" s="110">
        <f t="shared" si="2"/>
        <v>0.28246608532156647</v>
      </c>
      <c r="K9" s="110">
        <f t="shared" si="3"/>
        <v>1.223200745724778E-6</v>
      </c>
      <c r="L9" s="110">
        <f>E9/(Table11234[[#This Row],[b (mm)]]*AE9)</f>
        <v>7.551024625858776E-4</v>
      </c>
      <c r="M9" s="110">
        <f>Table11234[[#This Row],[M (KN.mm)]]/(Table11234[[#This Row],[b (mm)]]*Table11234[[#This Row],[d (mm)]])</f>
        <v>0.46031046119235092</v>
      </c>
      <c r="N9" s="110">
        <f>Table11234[[#This Row],[M (KN.mm)]]/(Table11234[[#This Row],[b (mm)]]*Table11234[[#This Row],[h (mm)]])</f>
        <v>0.40277165354330713</v>
      </c>
      <c r="O9" s="110">
        <f>Table11234[[#This Row],[M (KN.mm)]]/(Table11234[[#This Row],[b (mm)]]*Table11234[[#This Row],[h (mm)]]*Table11234[[#This Row],[L(mm)]])</f>
        <v>2.0297154194308389E-4</v>
      </c>
      <c r="P9" s="110">
        <f>Table11234[[#This Row],[M (KN.mm)]]/(Table11234[[#This Row],[b (mm)]]*Table11234[[#This Row],[d (mm)]]*Table11234[[#This Row],[L(mm)]])</f>
        <v>2.3196747650638158E-4</v>
      </c>
      <c r="Q9" s="110">
        <f>Table11234[[#This Row],[M (KN.mm)]]/(Table11234[[#This Row],[b (mm)]]*Table11234[[#This Row],[h (mm)]]*Table11234[[#This Row],[L(mm)]]*Table11234[[#This Row],[fc (Mpa)]])</f>
        <v>8.1777414159179648E-6</v>
      </c>
      <c r="R9" s="110">
        <f>Table11234[[#This Row],[M (KN.mm)]]/(Table11234[[#This Row],[b (mm)]]*Table11234[[#This Row],[h (mm)]]*Table11234[[#This Row],[L(mm)]]/2)</f>
        <v>4.0594308388616779E-4</v>
      </c>
      <c r="S9" s="110">
        <f>Table11234[[#This Row],[M (KN.mm)]]/(Table11234[[#This Row],[a (mm)]]*Table11234[[#This Row],[b (mm)]]*Table11234[[#This Row],[h (mm)]]*Table11234[[#This Row],[L(mm)]]/2)</f>
        <v>6.659171323591993E-7</v>
      </c>
      <c r="T9" s="110">
        <f>Table11234[[#This Row],[M (KN.mm)]]/(Table11234[[#This Row],[a (mm)]]^2*Table11234[[#This Row],[b (mm)]]*Table11234[[#This Row],[h (mm)]])</f>
        <v>1.0838494992825509E-6</v>
      </c>
      <c r="U9" s="110">
        <f>Table11234[[#This Row],[M (KN.mm)]]/(Table11234[[#This Row],[b (mm)]]*Table11234[[#This Row],[d (mm)]]*Table11234[[#This Row],[pho (%)]])</f>
        <v>0.54154171904982462</v>
      </c>
      <c r="V9" s="110">
        <f>E9*224.8/(2*SQRT(Table11234[[#This Row],[fc (Mpa)]]*145.037)*Table11234[[#This Row],[b (mm)]]*Table11234[[#This Row],[d (mm)]]*(1/25.4)^2)</f>
        <v>0.91263966161681143</v>
      </c>
      <c r="W9" s="110">
        <f>Table11234[[#This Row],[M (KN.mm)]]/$G$14</f>
        <v>0.51749999999999996</v>
      </c>
      <c r="X9" s="110">
        <f>Table11234[[#This Row],[V/(2*sqrt(fc) bd)]]</f>
        <v>0.91263966161681143</v>
      </c>
      <c r="Y9" s="110">
        <f>Table11234[[#This Row],[a (mm)]]</f>
        <v>609.59999999999991</v>
      </c>
      <c r="Z9" s="110">
        <f>Table11234[[#This Row],[width]]*Table11234[[#This Row],[h (mm)]]^2</f>
        <v>21237634.943999995</v>
      </c>
      <c r="AA9" s="110">
        <f>Table11234[[#This Row],[b (mm)]]</f>
        <v>228.6</v>
      </c>
      <c r="AB9" s="110">
        <f>Table11234[[#This Row],[a]]/Table11234[[#This Row],[h (mm)]]</f>
        <v>2</v>
      </c>
      <c r="AC9" s="110">
        <f>Table11234[[#This Row],[h (mm)]]</f>
        <v>304.79999999999995</v>
      </c>
      <c r="AD9" s="110">
        <f t="shared" si="4"/>
        <v>609.59999999999991</v>
      </c>
      <c r="AE9" s="110">
        <f t="shared" si="5"/>
        <v>266.7</v>
      </c>
      <c r="AF9" s="110">
        <f t="shared" si="6"/>
        <v>304.79999999999995</v>
      </c>
      <c r="AG9" s="110">
        <f t="shared" si="7"/>
        <v>228.6</v>
      </c>
      <c r="AH9" s="7">
        <v>24.82</v>
      </c>
      <c r="AI9" s="110">
        <f>Table11234[[#This Row],[pho (%)]]/100*Table11234[[#This Row],[b (mm)]]*Table11234[[#This Row],[h (mm)]]</f>
        <v>592.25687999999991</v>
      </c>
      <c r="AJ9" s="111">
        <v>0.85</v>
      </c>
      <c r="AK9" s="110">
        <v>629</v>
      </c>
      <c r="AL9" s="110">
        <f>(1/3-0.21*(MIN(Table11234[[#This Row],[b (mm)]],AF9)/MAX(Table11234[[#This Row],[b (mm)]],AF9))*(MIN(Table11234[[#This Row],[b (mm)]],AF9)^4/(12*MAX(Table11234[[#This Row],[b (mm)]],AF9)^4)))*MAX(Table11234[[#This Row],[b (mm)]],AF9)*MIN(Table11234[[#This Row],[b (mm)]],AF9)^3</f>
        <v>1198609576.1573534</v>
      </c>
      <c r="AM9" s="110">
        <f>Table11234[[#This Row],[b (mm)]]*AF9^3/12</f>
        <v>539435927.57759976</v>
      </c>
      <c r="AN9" s="110">
        <f t="shared" si="8"/>
        <v>1984.375</v>
      </c>
      <c r="AO9" s="106"/>
      <c r="AP9" s="107"/>
    </row>
    <row r="10" spans="1:44" x14ac:dyDescent="0.3">
      <c r="A10" s="121" t="s">
        <v>70</v>
      </c>
      <c r="B10" s="110" t="s">
        <v>61</v>
      </c>
      <c r="C10" s="110">
        <v>25</v>
      </c>
      <c r="D10" s="110">
        <f>Table11234[[#This Row],[a (mm)]]/Table11234[[#This Row],[d (mm)]]</f>
        <v>2.2857142857142856</v>
      </c>
      <c r="E10" s="110">
        <v>52.708800000000004</v>
      </c>
      <c r="F10" s="127">
        <f>Table11234[[#This Row],[d (mm)]]</f>
        <v>266.7</v>
      </c>
      <c r="G10" s="110">
        <f t="shared" si="0"/>
        <v>32131.284479999998</v>
      </c>
      <c r="H10" s="110">
        <f t="shared" si="1"/>
        <v>2.2616507311644679E-6</v>
      </c>
      <c r="I10" s="110">
        <f>G10/(Table11234[[#This Row],[b (mm)]]*Table11234[[#This Row],[h]]^2)</f>
        <v>1.5129408036593855E-3</v>
      </c>
      <c r="J10" s="110">
        <f t="shared" si="2"/>
        <v>0.32340319913628629</v>
      </c>
      <c r="K10" s="110">
        <f t="shared" si="3"/>
        <v>1.4004762161196736E-6</v>
      </c>
      <c r="L10" s="110">
        <f>E10/(Table11234[[#This Row],[b (mm)]]*AE10)</f>
        <v>8.6453760209107737E-4</v>
      </c>
      <c r="M10" s="110">
        <f>Table11234[[#This Row],[M (KN.mm)]]/(Table11234[[#This Row],[b (mm)]]*Table11234[[#This Row],[d (mm)]])</f>
        <v>0.52702212223472067</v>
      </c>
      <c r="N10" s="110">
        <f>Table11234[[#This Row],[M (KN.mm)]]/(Table11234[[#This Row],[b (mm)]]*Table11234[[#This Row],[h (mm)]])</f>
        <v>0.46114435695538064</v>
      </c>
      <c r="O10" s="110">
        <f>Table11234[[#This Row],[M (KN.mm)]]/(Table11234[[#This Row],[b (mm)]]*Table11234[[#This Row],[h (mm)]]*Table11234[[#This Row],[L(mm)]])</f>
        <v>2.3238770744208158E-4</v>
      </c>
      <c r="P10" s="110">
        <f>Table11234[[#This Row],[M (KN.mm)]]/(Table11234[[#This Row],[b (mm)]]*Table11234[[#This Row],[d (mm)]]*Table11234[[#This Row],[L(mm)]])</f>
        <v>2.6558595136237894E-4</v>
      </c>
      <c r="Q10" s="110">
        <f>Table11234[[#This Row],[M (KN.mm)]]/(Table11234[[#This Row],[b (mm)]]*Table11234[[#This Row],[h (mm)]]*Table11234[[#This Row],[L(mm)]]*Table11234[[#This Row],[fc (Mpa)]])</f>
        <v>9.3629213312683961E-6</v>
      </c>
      <c r="R10" s="110">
        <f>Table11234[[#This Row],[M (KN.mm)]]/(Table11234[[#This Row],[b (mm)]]*Table11234[[#This Row],[h (mm)]]*Table11234[[#This Row],[L(mm)]]/2)</f>
        <v>4.6477541488416317E-4</v>
      </c>
      <c r="S10" s="110">
        <f>Table11234[[#This Row],[M (KN.mm)]]/(Table11234[[#This Row],[a (mm)]]*Table11234[[#This Row],[b (mm)]]*Table11234[[#This Row],[h (mm)]]*Table11234[[#This Row],[L(mm)]]/2)</f>
        <v>7.6242686168661955E-7</v>
      </c>
      <c r="T10" s="110">
        <f>Table11234[[#This Row],[M (KN.mm)]]/(Table11234[[#This Row],[a (mm)]]^2*Table11234[[#This Row],[b (mm)]]*Table11234[[#This Row],[h (mm)]])</f>
        <v>1.2409291368597324E-6</v>
      </c>
      <c r="U10" s="110">
        <f>Table11234[[#This Row],[M (KN.mm)]]/(Table11234[[#This Row],[b (mm)]]*Table11234[[#This Row],[d (mm)]]*Table11234[[#This Row],[pho (%)]])</f>
        <v>0.620026026158495</v>
      </c>
      <c r="V10" s="110">
        <f>E10*224.8/(2*SQRT(Table11234[[#This Row],[fc (Mpa)]]*145.037)*Table11234[[#This Row],[b (mm)]]*Table11234[[#This Row],[d (mm)]]*(1/25.4)^2)</f>
        <v>1.0449062792424364</v>
      </c>
      <c r="W10" s="110">
        <f>Table11234[[#This Row],[M (KN.mm)]]/$G$14</f>
        <v>0.59250000000000003</v>
      </c>
      <c r="X10" s="110">
        <f>Table11234[[#This Row],[V/(2*sqrt(fc) bd)]]</f>
        <v>1.0449062792424364</v>
      </c>
      <c r="Y10" s="110">
        <f>Table11234[[#This Row],[a (mm)]]</f>
        <v>609.59999999999991</v>
      </c>
      <c r="Z10" s="110">
        <f>Table11234[[#This Row],[width]]*Table11234[[#This Row],[h (mm)]]^2</f>
        <v>21237634.943999995</v>
      </c>
      <c r="AA10" s="110">
        <f>Table11234[[#This Row],[b (mm)]]</f>
        <v>228.6</v>
      </c>
      <c r="AB10" s="110">
        <f>Table11234[[#This Row],[a]]/Table11234[[#This Row],[h (mm)]]</f>
        <v>2</v>
      </c>
      <c r="AC10" s="110">
        <f>Table11234[[#This Row],[h (mm)]]</f>
        <v>304.79999999999995</v>
      </c>
      <c r="AD10" s="110">
        <f t="shared" si="4"/>
        <v>609.59999999999991</v>
      </c>
      <c r="AE10" s="110">
        <f t="shared" si="5"/>
        <v>266.7</v>
      </c>
      <c r="AF10" s="110">
        <f t="shared" si="6"/>
        <v>304.79999999999995</v>
      </c>
      <c r="AG10" s="110">
        <f t="shared" si="7"/>
        <v>228.6</v>
      </c>
      <c r="AH10" s="7">
        <v>24.82</v>
      </c>
      <c r="AI10" s="110">
        <f>Table11234[[#This Row],[pho (%)]]/100*Table11234[[#This Row],[b (mm)]]*Table11234[[#This Row],[h (mm)]]</f>
        <v>592.25687999999991</v>
      </c>
      <c r="AJ10" s="111">
        <v>0.85</v>
      </c>
      <c r="AK10" s="110">
        <v>629</v>
      </c>
      <c r="AL10" s="110">
        <f>(1/3-0.21*(MIN(Table11234[[#This Row],[b (mm)]],AF10)/MAX(Table11234[[#This Row],[b (mm)]],AF10))*(MIN(Table11234[[#This Row],[b (mm)]],AF10)^4/(12*MAX(Table11234[[#This Row],[b (mm)]],AF10)^4)))*MAX(Table11234[[#This Row],[b (mm)]],AF10)*MIN(Table11234[[#This Row],[b (mm)]],AF10)^3</f>
        <v>1198609576.1573534</v>
      </c>
      <c r="AM10" s="110">
        <f>Table11234[[#This Row],[b (mm)]]*AF10^3/12</f>
        <v>539435927.57759976</v>
      </c>
      <c r="AN10" s="110">
        <f t="shared" si="8"/>
        <v>1984.375</v>
      </c>
      <c r="AO10" s="106"/>
      <c r="AP10" s="107"/>
    </row>
    <row r="11" spans="1:44" x14ac:dyDescent="0.3">
      <c r="A11" s="121" t="s">
        <v>70</v>
      </c>
      <c r="B11" s="110" t="s">
        <v>62</v>
      </c>
      <c r="C11" s="110">
        <v>26</v>
      </c>
      <c r="D11" s="110">
        <f>Table11234[[#This Row],[a (mm)]]/Table11234[[#This Row],[d (mm)]]</f>
        <v>2.2857142857142856</v>
      </c>
      <c r="E11" s="110">
        <v>59.380800000000001</v>
      </c>
      <c r="F11" s="127">
        <f>Table11234[[#This Row],[d (mm)]]</f>
        <v>266.7</v>
      </c>
      <c r="G11" s="110">
        <f t="shared" si="0"/>
        <v>36198.535679999994</v>
      </c>
      <c r="H11" s="110">
        <f t="shared" si="1"/>
        <v>2.5479356338435141E-6</v>
      </c>
      <c r="I11" s="110">
        <f>G11/(Table11234[[#This Row],[b (mm)]]*Table11234[[#This Row],[h]]^2)</f>
        <v>1.7044522977934847E-3</v>
      </c>
      <c r="J11" s="110">
        <f t="shared" si="2"/>
        <v>0.364340312951006</v>
      </c>
      <c r="K11" s="110">
        <f t="shared" si="3"/>
        <v>1.5777516865145689E-6</v>
      </c>
      <c r="L11" s="110">
        <f>E11/(Table11234[[#This Row],[b (mm)]]*AE11)</f>
        <v>9.7397274159627693E-4</v>
      </c>
      <c r="M11" s="110">
        <f>Table11234[[#This Row],[M (KN.mm)]]/(Table11234[[#This Row],[b (mm)]]*Table11234[[#This Row],[d (mm)]])</f>
        <v>0.59373378327709025</v>
      </c>
      <c r="N11" s="110">
        <f>Table11234[[#This Row],[M (KN.mm)]]/(Table11234[[#This Row],[b (mm)]]*Table11234[[#This Row],[h (mm)]])</f>
        <v>0.51951706036745404</v>
      </c>
      <c r="O11" s="110">
        <f>Table11234[[#This Row],[M (KN.mm)]]/(Table11234[[#This Row],[b (mm)]]*Table11234[[#This Row],[h (mm)]]*Table11234[[#This Row],[L(mm)]])</f>
        <v>2.6180387294107924E-4</v>
      </c>
      <c r="P11" s="110">
        <f>Table11234[[#This Row],[M (KN.mm)]]/(Table11234[[#This Row],[b (mm)]]*Table11234[[#This Row],[d (mm)]]*Table11234[[#This Row],[L(mm)]])</f>
        <v>2.9920442621837626E-4</v>
      </c>
      <c r="Q11" s="110">
        <f>Table11234[[#This Row],[M (KN.mm)]]/(Table11234[[#This Row],[b (mm)]]*Table11234[[#This Row],[h (mm)]]*Table11234[[#This Row],[L(mm)]]*Table11234[[#This Row],[fc (Mpa)]])</f>
        <v>1.0548101246618824E-5</v>
      </c>
      <c r="R11" s="110">
        <f>Table11234[[#This Row],[M (KN.mm)]]/(Table11234[[#This Row],[b (mm)]]*Table11234[[#This Row],[h (mm)]]*Table11234[[#This Row],[L(mm)]]/2)</f>
        <v>5.2360774588215849E-4</v>
      </c>
      <c r="S11" s="110">
        <f>Table11234[[#This Row],[M (KN.mm)]]/(Table11234[[#This Row],[a (mm)]]*Table11234[[#This Row],[b (mm)]]*Table11234[[#This Row],[h (mm)]]*Table11234[[#This Row],[L(mm)]]/2)</f>
        <v>8.5893659101403958E-7</v>
      </c>
      <c r="T11" s="110">
        <f>Table11234[[#This Row],[M (KN.mm)]]/(Table11234[[#This Row],[a (mm)]]^2*Table11234[[#This Row],[b (mm)]]*Table11234[[#This Row],[h (mm)]])</f>
        <v>1.3980087744369134E-6</v>
      </c>
      <c r="U11" s="110">
        <f>Table11234[[#This Row],[M (KN.mm)]]/(Table11234[[#This Row],[b (mm)]]*Table11234[[#This Row],[d (mm)]]*Table11234[[#This Row],[pho (%)]])</f>
        <v>0.69851033326716516</v>
      </c>
      <c r="V11" s="110">
        <f>E11*224.8/(2*SQRT(Table11234[[#This Row],[fc (Mpa)]]*145.037)*Table11234[[#This Row],[b (mm)]]*Table11234[[#This Row],[d (mm)]]*(1/25.4)^2)</f>
        <v>1.177172896868061</v>
      </c>
      <c r="W11" s="110">
        <f>Table11234[[#This Row],[M (KN.mm)]]/$G$14</f>
        <v>0.66749999999999998</v>
      </c>
      <c r="X11" s="110">
        <f>Table11234[[#This Row],[V/(2*sqrt(fc) bd)]]</f>
        <v>1.177172896868061</v>
      </c>
      <c r="Y11" s="110">
        <f>Table11234[[#This Row],[a (mm)]]</f>
        <v>609.59999999999991</v>
      </c>
      <c r="Z11" s="110">
        <f>Table11234[[#This Row],[width]]*Table11234[[#This Row],[h (mm)]]^2</f>
        <v>21237634.943999995</v>
      </c>
      <c r="AA11" s="110">
        <f>Table11234[[#This Row],[b (mm)]]</f>
        <v>228.6</v>
      </c>
      <c r="AB11" s="110">
        <f>Table11234[[#This Row],[a]]/Table11234[[#This Row],[h (mm)]]</f>
        <v>2</v>
      </c>
      <c r="AC11" s="110">
        <f>Table11234[[#This Row],[h (mm)]]</f>
        <v>304.79999999999995</v>
      </c>
      <c r="AD11" s="110">
        <f t="shared" si="4"/>
        <v>609.59999999999991</v>
      </c>
      <c r="AE11" s="110">
        <f t="shared" si="5"/>
        <v>266.7</v>
      </c>
      <c r="AF11" s="110">
        <f t="shared" si="6"/>
        <v>304.79999999999995</v>
      </c>
      <c r="AG11" s="110">
        <f t="shared" si="7"/>
        <v>228.6</v>
      </c>
      <c r="AH11" s="7">
        <v>24.82</v>
      </c>
      <c r="AI11" s="110">
        <f>Table11234[[#This Row],[pho (%)]]/100*Table11234[[#This Row],[b (mm)]]*Table11234[[#This Row],[h (mm)]]</f>
        <v>592.25687999999991</v>
      </c>
      <c r="AJ11" s="111">
        <v>0.85</v>
      </c>
      <c r="AK11" s="110">
        <v>629</v>
      </c>
      <c r="AL11" s="110">
        <f>(1/3-0.21*(MIN(Table11234[[#This Row],[b (mm)]],AF11)/MAX(Table11234[[#This Row],[b (mm)]],AF11))*(MIN(Table11234[[#This Row],[b (mm)]],AF11)^4/(12*MAX(Table11234[[#This Row],[b (mm)]],AF11)^4)))*MAX(Table11234[[#This Row],[b (mm)]],AF11)*MIN(Table11234[[#This Row],[b (mm)]],AF11)^3</f>
        <v>1198609576.1573534</v>
      </c>
      <c r="AM11" s="110">
        <f>Table11234[[#This Row],[b (mm)]]*AF11^3/12</f>
        <v>539435927.57759976</v>
      </c>
      <c r="AN11" s="110">
        <f t="shared" si="8"/>
        <v>1984.375</v>
      </c>
      <c r="AO11" s="106"/>
      <c r="AP11" s="107"/>
    </row>
    <row r="12" spans="1:44" x14ac:dyDescent="0.3">
      <c r="A12" s="121" t="s">
        <v>70</v>
      </c>
      <c r="B12" s="110" t="s">
        <v>63</v>
      </c>
      <c r="C12" s="110">
        <v>27</v>
      </c>
      <c r="D12" s="110">
        <f>Table11234[[#This Row],[a (mm)]]/Table11234[[#This Row],[d (mm)]]</f>
        <v>2.2857142857142856</v>
      </c>
      <c r="E12" s="110">
        <v>66.275200000000012</v>
      </c>
      <c r="F12" s="127">
        <f>Table11234[[#This Row],[d (mm)]]</f>
        <v>266.7</v>
      </c>
      <c r="G12" s="110">
        <f t="shared" si="0"/>
        <v>40401.361920000003</v>
      </c>
      <c r="H12" s="110">
        <f t="shared" si="1"/>
        <v>2.8437633666118628E-6</v>
      </c>
      <c r="I12" s="110">
        <f>G12/(Table11234[[#This Row],[b (mm)]]*Table11234[[#This Row],[h]]^2)</f>
        <v>1.9023475083987211E-3</v>
      </c>
      <c r="J12" s="110">
        <f t="shared" si="2"/>
        <v>0.40664199722621658</v>
      </c>
      <c r="K12" s="110">
        <f t="shared" si="3"/>
        <v>1.760936339255961E-6</v>
      </c>
      <c r="L12" s="110">
        <f>E12/(Table11234[[#This Row],[b (mm)]]*AE12)</f>
        <v>1.0870557190849834E-3</v>
      </c>
      <c r="M12" s="110">
        <f>Table11234[[#This Row],[M (KN.mm)]]/(Table11234[[#This Row],[b (mm)]]*Table11234[[#This Row],[d (mm)]])</f>
        <v>0.66266916635420581</v>
      </c>
      <c r="N12" s="110">
        <f>Table11234[[#This Row],[M (KN.mm)]]/(Table11234[[#This Row],[b (mm)]]*Table11234[[#This Row],[h (mm)]])</f>
        <v>0.57983552055993015</v>
      </c>
      <c r="O12" s="110">
        <f>Table11234[[#This Row],[M (KN.mm)]]/(Table11234[[#This Row],[b (mm)]]*Table11234[[#This Row],[h (mm)]]*Table11234[[#This Row],[L(mm)]])</f>
        <v>2.9220057729004357E-4</v>
      </c>
      <c r="P12" s="110">
        <f>Table11234[[#This Row],[M (KN.mm)]]/(Table11234[[#This Row],[b (mm)]]*Table11234[[#This Row],[d (mm)]]*Table11234[[#This Row],[L(mm)]])</f>
        <v>3.3394351690290688E-4</v>
      </c>
      <c r="Q12" s="110">
        <f>Table11234[[#This Row],[M (KN.mm)]]/(Table11234[[#This Row],[b (mm)]]*Table11234[[#This Row],[h (mm)]]*Table11234[[#This Row],[L(mm)]]*Table11234[[#This Row],[fc (Mpa)]])</f>
        <v>1.1772787159147606E-5</v>
      </c>
      <c r="R12" s="110">
        <f>Table11234[[#This Row],[M (KN.mm)]]/(Table11234[[#This Row],[b (mm)]]*Table11234[[#This Row],[h (mm)]]*Table11234[[#This Row],[L(mm)]]/2)</f>
        <v>5.8440115458008714E-4</v>
      </c>
      <c r="S12" s="110">
        <f>Table11234[[#This Row],[M (KN.mm)]]/(Table11234[[#This Row],[a (mm)]]*Table11234[[#This Row],[b (mm)]]*Table11234[[#This Row],[h (mm)]]*Table11234[[#This Row],[L(mm)]]/2)</f>
        <v>9.5866331131904071E-7</v>
      </c>
      <c r="T12" s="110">
        <f>Table11234[[#This Row],[M (KN.mm)]]/(Table11234[[#This Row],[a (mm)]]^2*Table11234[[#This Row],[b (mm)]]*Table11234[[#This Row],[h (mm)]])</f>
        <v>1.5603243999333346E-6</v>
      </c>
      <c r="U12" s="110">
        <f>Table11234[[#This Row],[M (KN.mm)]]/(Table11234[[#This Row],[b (mm)]]*Table11234[[#This Row],[d (mm)]]*Table11234[[#This Row],[pho (%)]])</f>
        <v>0.7796107839461246</v>
      </c>
      <c r="V12" s="110">
        <f>E12*224.8/(2*SQRT(Table11234[[#This Row],[fc (Mpa)]]*145.037)*Table11234[[#This Row],[b (mm)]]*Table11234[[#This Row],[d (mm)]]*(1/25.4)^2)</f>
        <v>1.3138484017478738</v>
      </c>
      <c r="W12" s="110">
        <f>Table11234[[#This Row],[M (KN.mm)]]/$G$14</f>
        <v>0.74500000000000011</v>
      </c>
      <c r="X12" s="110">
        <f>Table11234[[#This Row],[V/(2*sqrt(fc) bd)]]</f>
        <v>1.3138484017478738</v>
      </c>
      <c r="Y12" s="110">
        <f>Table11234[[#This Row],[a (mm)]]</f>
        <v>609.59999999999991</v>
      </c>
      <c r="Z12" s="110">
        <f>Table11234[[#This Row],[width]]*Table11234[[#This Row],[h (mm)]]^2</f>
        <v>21237634.943999995</v>
      </c>
      <c r="AA12" s="110">
        <f>Table11234[[#This Row],[b (mm)]]</f>
        <v>228.6</v>
      </c>
      <c r="AB12" s="110">
        <f>Table11234[[#This Row],[a]]/Table11234[[#This Row],[h (mm)]]</f>
        <v>2</v>
      </c>
      <c r="AC12" s="110">
        <f>Table11234[[#This Row],[h (mm)]]</f>
        <v>304.79999999999995</v>
      </c>
      <c r="AD12" s="110">
        <f t="shared" si="4"/>
        <v>609.59999999999991</v>
      </c>
      <c r="AE12" s="110">
        <f t="shared" si="5"/>
        <v>266.7</v>
      </c>
      <c r="AF12" s="110">
        <f t="shared" si="6"/>
        <v>304.79999999999995</v>
      </c>
      <c r="AG12" s="110">
        <f t="shared" si="7"/>
        <v>228.6</v>
      </c>
      <c r="AH12" s="7">
        <v>24.82</v>
      </c>
      <c r="AI12" s="110">
        <f>Table11234[[#This Row],[pho (%)]]/100*Table11234[[#This Row],[b (mm)]]*Table11234[[#This Row],[h (mm)]]</f>
        <v>592.25687999999991</v>
      </c>
      <c r="AJ12" s="111">
        <v>0.85</v>
      </c>
      <c r="AK12" s="110">
        <v>629</v>
      </c>
      <c r="AL12" s="110">
        <f>(1/3-0.21*(MIN(Table11234[[#This Row],[b (mm)]],AF12)/MAX(Table11234[[#This Row],[b (mm)]],AF12))*(MIN(Table11234[[#This Row],[b (mm)]],AF12)^4/(12*MAX(Table11234[[#This Row],[b (mm)]],AF12)^4)))*MAX(Table11234[[#This Row],[b (mm)]],AF12)*MIN(Table11234[[#This Row],[b (mm)]],AF12)^3</f>
        <v>1198609576.1573534</v>
      </c>
      <c r="AM12" s="110">
        <f>Table11234[[#This Row],[b (mm)]]*AF12^3/12</f>
        <v>539435927.57759976</v>
      </c>
      <c r="AN12" s="110">
        <f t="shared" si="8"/>
        <v>1984.375</v>
      </c>
      <c r="AO12" s="106"/>
      <c r="AP12" s="107"/>
    </row>
    <row r="13" spans="1:44" x14ac:dyDescent="0.3">
      <c r="A13" s="121" t="s">
        <v>70</v>
      </c>
      <c r="B13" s="110" t="s">
        <v>64</v>
      </c>
      <c r="C13" s="110">
        <v>28</v>
      </c>
      <c r="D13" s="110">
        <f>Table11234[[#This Row],[a (mm)]]/Table11234[[#This Row],[d (mm)]]</f>
        <v>2.2857142857142856</v>
      </c>
      <c r="E13" s="110">
        <v>77.395200000000003</v>
      </c>
      <c r="F13" s="127">
        <f>Table11234[[#This Row],[d (mm)]]</f>
        <v>266.7</v>
      </c>
      <c r="G13" s="110">
        <f t="shared" si="0"/>
        <v>47180.113919999996</v>
      </c>
      <c r="H13" s="110">
        <f t="shared" si="1"/>
        <v>3.3209048710769401E-6</v>
      </c>
      <c r="I13" s="110">
        <f>G13/(Table11234[[#This Row],[b (mm)]]*Table11234[[#This Row],[h]]^2)</f>
        <v>2.2215333319555533E-3</v>
      </c>
      <c r="J13" s="110">
        <f t="shared" si="2"/>
        <v>0.47487052025074944</v>
      </c>
      <c r="K13" s="110">
        <f t="shared" si="3"/>
        <v>2.0563954565807863E-6</v>
      </c>
      <c r="L13" s="110">
        <f>E13/(Table11234[[#This Row],[b (mm)]]*AE13)</f>
        <v>1.2694476182603159E-3</v>
      </c>
      <c r="M13" s="110">
        <f>Table11234[[#This Row],[M (KN.mm)]]/(Table11234[[#This Row],[b (mm)]]*Table11234[[#This Row],[d (mm)]])</f>
        <v>0.77385526809148852</v>
      </c>
      <c r="N13" s="110">
        <f>Table11234[[#This Row],[M (KN.mm)]]/(Table11234[[#This Row],[b (mm)]]*Table11234[[#This Row],[h (mm)]])</f>
        <v>0.67712335958005254</v>
      </c>
      <c r="O13" s="110">
        <f>Table11234[[#This Row],[M (KN.mm)]]/(Table11234[[#This Row],[b (mm)]]*Table11234[[#This Row],[h (mm)]]*Table11234[[#This Row],[L(mm)]])</f>
        <v>3.4122751978837298E-4</v>
      </c>
      <c r="P13" s="110">
        <f>Table11234[[#This Row],[M (KN.mm)]]/(Table11234[[#This Row],[b (mm)]]*Table11234[[#This Row],[d (mm)]]*Table11234[[#This Row],[L(mm)]])</f>
        <v>3.8997430832956903E-4</v>
      </c>
      <c r="Q13" s="110">
        <f>Table11234[[#This Row],[M (KN.mm)]]/(Table11234[[#This Row],[b (mm)]]*Table11234[[#This Row],[h (mm)]]*Table11234[[#This Row],[L(mm)]]*Table11234[[#This Row],[fc (Mpa)]])</f>
        <v>1.3748087018064986E-5</v>
      </c>
      <c r="R13" s="110">
        <f>Table11234[[#This Row],[M (KN.mm)]]/(Table11234[[#This Row],[b (mm)]]*Table11234[[#This Row],[h (mm)]]*Table11234[[#This Row],[L(mm)]]/2)</f>
        <v>6.8245503957674596E-4</v>
      </c>
      <c r="S13" s="110">
        <f>Table11234[[#This Row],[M (KN.mm)]]/(Table11234[[#This Row],[a (mm)]]*Table11234[[#This Row],[b (mm)]]*Table11234[[#This Row],[h (mm)]]*Table11234[[#This Row],[L(mm)]]/2)</f>
        <v>1.1195128601980741E-6</v>
      </c>
      <c r="T13" s="110">
        <f>Table11234[[#This Row],[M (KN.mm)]]/(Table11234[[#This Row],[a (mm)]]^2*Table11234[[#This Row],[b (mm)]]*Table11234[[#This Row],[h (mm)]])</f>
        <v>1.8221237958953031E-6</v>
      </c>
      <c r="U13" s="110">
        <f>Table11234[[#This Row],[M (KN.mm)]]/(Table11234[[#This Row],[b (mm)]]*Table11234[[#This Row],[d (mm)]]*Table11234[[#This Row],[pho (%)]])</f>
        <v>0.91041796246057483</v>
      </c>
      <c r="V13" s="110">
        <f>E13*224.8/(2*SQRT(Table11234[[#This Row],[fc (Mpa)]]*145.037)*Table11234[[#This Row],[b (mm)]]*Table11234[[#This Row],[d (mm)]]*(1/25.4)^2)</f>
        <v>1.5342927644572482</v>
      </c>
      <c r="W13" s="110">
        <f>Table11234[[#This Row],[M (KN.mm)]]/$G$14</f>
        <v>0.87</v>
      </c>
      <c r="X13" s="110">
        <f>Table11234[[#This Row],[V/(2*sqrt(fc) bd)]]</f>
        <v>1.5342927644572482</v>
      </c>
      <c r="Y13" s="110">
        <f>Table11234[[#This Row],[a (mm)]]</f>
        <v>609.59999999999991</v>
      </c>
      <c r="Z13" s="110">
        <f>Table11234[[#This Row],[width]]*Table11234[[#This Row],[h (mm)]]^2</f>
        <v>21237634.943999995</v>
      </c>
      <c r="AA13" s="110">
        <f>Table11234[[#This Row],[b (mm)]]</f>
        <v>228.6</v>
      </c>
      <c r="AB13" s="110">
        <f>Table11234[[#This Row],[a]]/Table11234[[#This Row],[h (mm)]]</f>
        <v>2</v>
      </c>
      <c r="AC13" s="110">
        <f>Table11234[[#This Row],[h (mm)]]</f>
        <v>304.79999999999995</v>
      </c>
      <c r="AD13" s="110">
        <f t="shared" si="4"/>
        <v>609.59999999999991</v>
      </c>
      <c r="AE13" s="110">
        <f t="shared" si="5"/>
        <v>266.7</v>
      </c>
      <c r="AF13" s="110">
        <f t="shared" si="6"/>
        <v>304.79999999999995</v>
      </c>
      <c r="AG13" s="110">
        <f t="shared" si="7"/>
        <v>228.6</v>
      </c>
      <c r="AH13" s="7">
        <v>24.82</v>
      </c>
      <c r="AI13" s="110">
        <f>Table11234[[#This Row],[pho (%)]]/100*Table11234[[#This Row],[b (mm)]]*Table11234[[#This Row],[h (mm)]]</f>
        <v>592.25687999999991</v>
      </c>
      <c r="AJ13" s="111">
        <v>0.85</v>
      </c>
      <c r="AK13" s="110">
        <v>629</v>
      </c>
      <c r="AL13" s="110">
        <f>(1/3-0.21*(MIN(Table11234[[#This Row],[b (mm)]],AF13)/MAX(Table11234[[#This Row],[b (mm)]],AF13))*(MIN(Table11234[[#This Row],[b (mm)]],AF13)^4/(12*MAX(Table11234[[#This Row],[b (mm)]],AF13)^4)))*MAX(Table11234[[#This Row],[b (mm)]],AF13)*MIN(Table11234[[#This Row],[b (mm)]],AF13)^3</f>
        <v>1198609576.1573534</v>
      </c>
      <c r="AM13" s="110">
        <f>Table11234[[#This Row],[b (mm)]]*AF13^3/12</f>
        <v>539435927.57759976</v>
      </c>
      <c r="AN13" s="110">
        <f t="shared" si="8"/>
        <v>1984.375</v>
      </c>
      <c r="AO13" s="106"/>
      <c r="AP13" s="107"/>
    </row>
    <row r="14" spans="1:44" x14ac:dyDescent="0.3">
      <c r="A14" s="122" t="s">
        <v>70</v>
      </c>
      <c r="B14" s="110" t="s">
        <v>65</v>
      </c>
      <c r="C14" s="110">
        <v>29</v>
      </c>
      <c r="D14" s="110">
        <f>Table11234[[#This Row],[a (mm)]]/Table11234[[#This Row],[d (mm)]]</f>
        <v>2.2857142857142856</v>
      </c>
      <c r="E14" s="110">
        <v>88.960000000000008</v>
      </c>
      <c r="F14" s="127">
        <f>Table11234[[#This Row],[d (mm)]]</f>
        <v>266.7</v>
      </c>
      <c r="G14" s="110">
        <f t="shared" si="0"/>
        <v>54230.015999999996</v>
      </c>
      <c r="H14" s="110">
        <f t="shared" si="1"/>
        <v>3.8171320357206206E-6</v>
      </c>
      <c r="I14" s="110">
        <f>G14/(Table11234[[#This Row],[b (mm)]]*Table11234[[#This Row],[h]]^2)</f>
        <v>2.5534865884546589E-3</v>
      </c>
      <c r="J14" s="110">
        <f t="shared" si="2"/>
        <v>0.54582818419626378</v>
      </c>
      <c r="K14" s="110">
        <f t="shared" si="3"/>
        <v>2.3636729385986052E-6</v>
      </c>
      <c r="L14" s="110">
        <f>E14/(Table11234[[#This Row],[b (mm)]]*AE14)</f>
        <v>1.4591351934026622E-3</v>
      </c>
      <c r="M14" s="110">
        <f>Table11234[[#This Row],[M (KN.mm)]]/(Table11234[[#This Row],[b (mm)]]*Table11234[[#This Row],[d (mm)]])</f>
        <v>0.88948881389826273</v>
      </c>
      <c r="N14" s="110">
        <f>Table11234[[#This Row],[M (KN.mm)]]/(Table11234[[#This Row],[b (mm)]]*Table11234[[#This Row],[h (mm)]])</f>
        <v>0.77830271216098001</v>
      </c>
      <c r="O14" s="110">
        <f>Table11234[[#This Row],[M (KN.mm)]]/(Table11234[[#This Row],[b (mm)]]*Table11234[[#This Row],[h (mm)]]*Table11234[[#This Row],[L(mm)]])</f>
        <v>3.922155399866356E-4</v>
      </c>
      <c r="P14" s="110">
        <f>Table11234[[#This Row],[M (KN.mm)]]/(Table11234[[#This Row],[b (mm)]]*Table11234[[#This Row],[d (mm)]]*Table11234[[#This Row],[L(mm)]])</f>
        <v>4.4824633141329776E-4</v>
      </c>
      <c r="Q14" s="110">
        <f>Table11234[[#This Row],[M (KN.mm)]]/(Table11234[[#This Row],[b (mm)]]*Table11234[[#This Row],[h (mm)]]*Table11234[[#This Row],[L(mm)]]*Table11234[[#This Row],[fc (Mpa)]])</f>
        <v>1.5802398871339063E-5</v>
      </c>
      <c r="R14" s="110">
        <f>Table11234[[#This Row],[M (KN.mm)]]/(Table11234[[#This Row],[b (mm)]]*Table11234[[#This Row],[h (mm)]]*Table11234[[#This Row],[L(mm)]]/2)</f>
        <v>7.8443107997327121E-4</v>
      </c>
      <c r="S14" s="110">
        <f>Table11234[[#This Row],[M (KN.mm)]]/(Table11234[[#This Row],[a (mm)]]*Table11234[[#This Row],[b (mm)]]*Table11234[[#This Row],[h (mm)]]*Table11234[[#This Row],[L(mm)]]/2)</f>
        <v>1.2867963910322692E-6</v>
      </c>
      <c r="T14" s="110">
        <f>Table11234[[#This Row],[M (KN.mm)]]/(Table11234[[#This Row],[a (mm)]]^2*Table11234[[#This Row],[b (mm)]]*Table11234[[#This Row],[h (mm)]])</f>
        <v>2.0943951676957509E-6</v>
      </c>
      <c r="U14" s="110">
        <f>Table11234[[#This Row],[M (KN.mm)]]/(Table11234[[#This Row],[b (mm)]]*Table11234[[#This Row],[d (mm)]]*Table11234[[#This Row],[pho (%)]])</f>
        <v>1.0464574281156034</v>
      </c>
      <c r="V14" s="110">
        <f>E14*224.8/(2*SQRT(Table11234[[#This Row],[fc (Mpa)]]*145.037)*Table11234[[#This Row],[b (mm)]]*Table11234[[#This Row],[d (mm)]]*(1/25.4)^2)</f>
        <v>1.7635549016749981</v>
      </c>
      <c r="W14" s="110">
        <f>Table11234[[#This Row],[M (KN.mm)]]/$G$14</f>
        <v>1</v>
      </c>
      <c r="X14" s="110">
        <f>Table11234[[#This Row],[V/(2*sqrt(fc) bd)]]</f>
        <v>1.7635549016749981</v>
      </c>
      <c r="Y14" s="110">
        <f>Table11234[[#This Row],[a (mm)]]</f>
        <v>609.59999999999991</v>
      </c>
      <c r="Z14" s="110">
        <f>Table11234[[#This Row],[width]]*Table11234[[#This Row],[h (mm)]]^2</f>
        <v>21237634.943999995</v>
      </c>
      <c r="AA14" s="110">
        <f>Table11234[[#This Row],[b (mm)]]</f>
        <v>228.6</v>
      </c>
      <c r="AB14" s="110">
        <f>Table11234[[#This Row],[a]]/Table11234[[#This Row],[h (mm)]]</f>
        <v>2</v>
      </c>
      <c r="AC14" s="110">
        <f>Table11234[[#This Row],[h (mm)]]</f>
        <v>304.79999999999995</v>
      </c>
      <c r="AD14" s="110">
        <f t="shared" si="4"/>
        <v>609.59999999999991</v>
      </c>
      <c r="AE14" s="110">
        <f t="shared" si="5"/>
        <v>266.7</v>
      </c>
      <c r="AF14" s="110">
        <f t="shared" si="6"/>
        <v>304.79999999999995</v>
      </c>
      <c r="AG14" s="110">
        <f t="shared" si="7"/>
        <v>228.6</v>
      </c>
      <c r="AH14" s="7">
        <v>24.82</v>
      </c>
      <c r="AI14" s="110">
        <f>Table11234[[#This Row],[pho (%)]]/100*Table11234[[#This Row],[b (mm)]]*Table11234[[#This Row],[h (mm)]]</f>
        <v>592.25687999999991</v>
      </c>
      <c r="AJ14" s="111">
        <v>0.85</v>
      </c>
      <c r="AK14" s="110">
        <v>629</v>
      </c>
      <c r="AL14" s="110">
        <f>(1/3-0.21*(MIN(Table11234[[#This Row],[b (mm)]],AF14)/MAX(Table11234[[#This Row],[b (mm)]],AF14))*(MIN(Table11234[[#This Row],[b (mm)]],AF14)^4/(12*MAX(Table11234[[#This Row],[b (mm)]],AF14)^4)))*MAX(Table11234[[#This Row],[b (mm)]],AF14)*MIN(Table11234[[#This Row],[b (mm)]],AF14)^3</f>
        <v>1198609576.1573534</v>
      </c>
      <c r="AM14" s="110">
        <f>Table11234[[#This Row],[b (mm)]]*AF14^3/12</f>
        <v>539435927.57759976</v>
      </c>
      <c r="AN14" s="110">
        <f t="shared" si="8"/>
        <v>1984.375</v>
      </c>
      <c r="AO14" s="106"/>
      <c r="AP14" s="107"/>
    </row>
    <row r="15" spans="1:44" x14ac:dyDescent="0.3">
      <c r="A15" s="115" t="s">
        <v>71</v>
      </c>
      <c r="B15" s="109" t="s">
        <v>60</v>
      </c>
      <c r="C15" s="109">
        <v>30</v>
      </c>
      <c r="D15" s="110">
        <f>Table11234[[#This Row],[a (mm)]]/Table11234[[#This Row],[d (mm)]]</f>
        <v>2.2857142857142856</v>
      </c>
      <c r="E15" s="109">
        <v>40.921599999999998</v>
      </c>
      <c r="F15" s="127">
        <f>Table11234[[#This Row],[d (mm)]]</f>
        <v>266.7</v>
      </c>
      <c r="G15" s="109">
        <f t="shared" si="0"/>
        <v>24945.807359999995</v>
      </c>
      <c r="H15" s="109">
        <f t="shared" si="1"/>
        <v>1.7558807364314854E-6</v>
      </c>
      <c r="I15" s="110">
        <f>G15/(Table11234[[#This Row],[b (mm)]]*Table11234[[#This Row],[h]]^2)</f>
        <v>1.1746038306891429E-3</v>
      </c>
      <c r="J15" s="109">
        <f t="shared" si="2"/>
        <v>0.38803421821952566</v>
      </c>
      <c r="K15" s="109">
        <f t="shared" si="3"/>
        <v>1.0872895517553582E-6</v>
      </c>
      <c r="L15" s="109">
        <f>E15/(Table11234[[#This Row],[b (mm)]]*AE15)</f>
        <v>6.7120218896522452E-4</v>
      </c>
      <c r="M15" s="109">
        <f>Table11234[[#This Row],[M (KN.mm)]]/(Table11234[[#This Row],[b (mm)]]*Table11234[[#This Row],[d (mm)]])</f>
        <v>0.40916485439320083</v>
      </c>
      <c r="N15" s="109">
        <f>Table11234[[#This Row],[M (KN.mm)]]/(Table11234[[#This Row],[b (mm)]]*Table11234[[#This Row],[h (mm)]])</f>
        <v>0.35801924759405074</v>
      </c>
      <c r="O15" s="109">
        <f>Table11234[[#This Row],[M (KN.mm)]]/(Table11234[[#This Row],[b (mm)]]*Table11234[[#This Row],[h (mm)]]*Table11234[[#This Row],[L(mm)]])</f>
        <v>1.8041914839385235E-4</v>
      </c>
      <c r="P15" s="109">
        <f>Table11234[[#This Row],[M (KN.mm)]]/(Table11234[[#This Row],[b (mm)]]*Table11234[[#This Row],[d (mm)]]*Table11234[[#This Row],[L(mm)]])</f>
        <v>2.0619331245011694E-4</v>
      </c>
      <c r="Q15" s="109">
        <f>Table11234[[#This Row],[M (KN.mm)]]/(Table11234[[#This Row],[b (mm)]]*Table11234[[#This Row],[h (mm)]]*Table11234[[#This Row],[L(mm)]]*Table11234[[#This Row],[fc (Mpa)]])</f>
        <v>5.3410049850163511E-6</v>
      </c>
      <c r="R15" s="109">
        <f>Table11234[[#This Row],[M (KN.mm)]]/(Table11234[[#This Row],[b (mm)]]*Table11234[[#This Row],[h (mm)]]*Table11234[[#This Row],[L(mm)]]/2)</f>
        <v>3.608382967877047E-4</v>
      </c>
      <c r="S15" s="109">
        <f>Table11234[[#This Row],[M (KN.mm)]]/(Table11234[[#This Row],[a (mm)]]*Table11234[[#This Row],[b (mm)]]*Table11234[[#This Row],[h (mm)]]*Table11234[[#This Row],[L(mm)]]/2)</f>
        <v>5.9192633987484373E-7</v>
      </c>
      <c r="T15" s="109">
        <f>Table11234[[#This Row],[M (KN.mm)]]/(Table11234[[#This Row],[a (mm)]]^2*Table11234[[#This Row],[b (mm)]]*Table11234[[#This Row],[h (mm)]])</f>
        <v>9.6342177714004532E-7</v>
      </c>
      <c r="U15" s="109">
        <f>Table11234[[#This Row],[M (KN.mm)]]/(Table11234[[#This Row],[b (mm)]]*Table11234[[#This Row],[d (mm)]]*Table11234[[#This Row],[pho (%)]])</f>
        <v>0.74393609889672874</v>
      </c>
      <c r="V15" s="110">
        <f>E15*224.8/(2*SQRT(Table11234[[#This Row],[fc (Mpa)]]*145.037)*Table11234[[#This Row],[b (mm)]]*Table11234[[#This Row],[d (mm)]]*(1/25.4)^2)</f>
        <v>0.69537309308848461</v>
      </c>
      <c r="W15" s="110">
        <f>Table11234[[#This Row],[M (KN.mm)]]/$G$22</f>
        <v>0.4181818181818181</v>
      </c>
      <c r="X15" s="110">
        <f>Table11234[[#This Row],[V/(2*sqrt(fc) bd)]]</f>
        <v>0.69537309308848461</v>
      </c>
      <c r="Y15" s="110">
        <f>Table11234[[#This Row],[a (mm)]]</f>
        <v>609.59999999999991</v>
      </c>
      <c r="Z15" s="110">
        <f>Table11234[[#This Row],[width]]*Table11234[[#This Row],[h (mm)]]^2</f>
        <v>21237634.943999995</v>
      </c>
      <c r="AA15" s="110">
        <f>Table11234[[#This Row],[b (mm)]]</f>
        <v>228.6</v>
      </c>
      <c r="AB15" s="110">
        <f>Table11234[[#This Row],[a]]/Table11234[[#This Row],[h (mm)]]</f>
        <v>2</v>
      </c>
      <c r="AC15" s="110">
        <f>Table11234[[#This Row],[h (mm)]]</f>
        <v>304.79999999999995</v>
      </c>
      <c r="AD15" s="109">
        <f t="shared" si="4"/>
        <v>609.59999999999991</v>
      </c>
      <c r="AE15" s="109">
        <f t="shared" si="5"/>
        <v>266.7</v>
      </c>
      <c r="AF15" s="109">
        <f t="shared" si="6"/>
        <v>304.79999999999995</v>
      </c>
      <c r="AG15" s="109">
        <f t="shared" si="7"/>
        <v>228.6</v>
      </c>
      <c r="AH15" s="7">
        <v>33.78</v>
      </c>
      <c r="AI15" s="110">
        <f>Table11234[[#This Row],[pho (%)]]/100*Table11234[[#This Row],[b (mm)]]*Table11234[[#This Row],[h (mm)]]</f>
        <v>383.22503999999998</v>
      </c>
      <c r="AJ15" s="111">
        <v>0.55000000000000004</v>
      </c>
      <c r="AK15" s="110">
        <v>629</v>
      </c>
      <c r="AL15" s="110">
        <f>(1/3-0.21*(MIN(Table11234[[#This Row],[b (mm)]],AF15)/MAX(Table11234[[#This Row],[b (mm)]],AF15))*(MIN(Table11234[[#This Row],[b (mm)]],AF15)^4/(12*MAX(Table11234[[#This Row],[b (mm)]],AF15)^4)))*MAX(Table11234[[#This Row],[b (mm)]],AF15)*MIN(Table11234[[#This Row],[b (mm)]],AF15)^3</f>
        <v>1198609576.1573534</v>
      </c>
      <c r="AM15" s="110">
        <f>Table11234[[#This Row],[b (mm)]]*AF15^3/12</f>
        <v>539435927.57759976</v>
      </c>
      <c r="AN15" s="110">
        <f t="shared" si="8"/>
        <v>1984.375</v>
      </c>
      <c r="AO15" s="106"/>
      <c r="AP15" s="107"/>
    </row>
    <row r="16" spans="1:44" x14ac:dyDescent="0.3">
      <c r="A16" s="115" t="s">
        <v>71</v>
      </c>
      <c r="B16" s="109" t="s">
        <v>61</v>
      </c>
      <c r="C16" s="109">
        <v>31</v>
      </c>
      <c r="D16" s="110">
        <f>Table11234[[#This Row],[a (mm)]]/Table11234[[#This Row],[d (mm)]]</f>
        <v>2.2857142857142856</v>
      </c>
      <c r="E16" s="109">
        <v>47.593600000000002</v>
      </c>
      <c r="F16" s="127">
        <f>Table11234[[#This Row],[d (mm)]]</f>
        <v>266.7</v>
      </c>
      <c r="G16" s="109">
        <f t="shared" si="0"/>
        <v>29013.058559999998</v>
      </c>
      <c r="H16" s="109">
        <f t="shared" si="1"/>
        <v>2.042165639110532E-6</v>
      </c>
      <c r="I16" s="110">
        <f>G16/(Table11234[[#This Row],[b (mm)]]*Table11234[[#This Row],[h]]^2)</f>
        <v>1.3661153248232425E-3</v>
      </c>
      <c r="J16" s="109">
        <f t="shared" si="2"/>
        <v>0.45130066684227443</v>
      </c>
      <c r="K16" s="109">
        <f t="shared" si="3"/>
        <v>1.2645650221502538E-6</v>
      </c>
      <c r="L16" s="109">
        <f>E16/(Table11234[[#This Row],[b (mm)]]*AE16)</f>
        <v>7.8063732847042419E-4</v>
      </c>
      <c r="M16" s="109">
        <f>Table11234[[#This Row],[M (KN.mm)]]/(Table11234[[#This Row],[b (mm)]]*Table11234[[#This Row],[d (mm)]])</f>
        <v>0.47587651543557058</v>
      </c>
      <c r="N16" s="109">
        <f>Table11234[[#This Row],[M (KN.mm)]]/(Table11234[[#This Row],[b (mm)]]*Table11234[[#This Row],[h (mm)]])</f>
        <v>0.41639195100612431</v>
      </c>
      <c r="O16" s="109">
        <f>Table11234[[#This Row],[M (KN.mm)]]/(Table11234[[#This Row],[b (mm)]]*Table11234[[#This Row],[h (mm)]]*Table11234[[#This Row],[L(mm)]])</f>
        <v>2.0983531389285004E-4</v>
      </c>
      <c r="P16" s="109">
        <f>Table11234[[#This Row],[M (KN.mm)]]/(Table11234[[#This Row],[b (mm)]]*Table11234[[#This Row],[d (mm)]]*Table11234[[#This Row],[L(mm)]])</f>
        <v>2.398117873061143E-4</v>
      </c>
      <c r="Q16" s="109">
        <f>Table11234[[#This Row],[M (KN.mm)]]/(Table11234[[#This Row],[b (mm)]]*Table11234[[#This Row],[h (mm)]]*Table11234[[#This Row],[L(mm)]]*Table11234[[#This Row],[fc (Mpa)]])</f>
        <v>6.2118210151820613E-6</v>
      </c>
      <c r="R16" s="109">
        <f>Table11234[[#This Row],[M (KN.mm)]]/(Table11234[[#This Row],[b (mm)]]*Table11234[[#This Row],[h (mm)]]*Table11234[[#This Row],[L(mm)]]/2)</f>
        <v>4.1967062778570008E-4</v>
      </c>
      <c r="S16" s="109">
        <f>Table11234[[#This Row],[M (KN.mm)]]/(Table11234[[#This Row],[a (mm)]]*Table11234[[#This Row],[b (mm)]]*Table11234[[#This Row],[h (mm)]]*Table11234[[#This Row],[L(mm)]]/2)</f>
        <v>6.8843606920226397E-7</v>
      </c>
      <c r="T16" s="109">
        <f>Table11234[[#This Row],[M (KN.mm)]]/(Table11234[[#This Row],[a (mm)]]^2*Table11234[[#This Row],[b (mm)]]*Table11234[[#This Row],[h (mm)]])</f>
        <v>1.1205014147172266E-6</v>
      </c>
      <c r="U16" s="109">
        <f>Table11234[[#This Row],[M (KN.mm)]]/(Table11234[[#This Row],[b (mm)]]*Table11234[[#This Row],[d (mm)]]*Table11234[[#This Row],[pho (%)]])</f>
        <v>0.86523002806467364</v>
      </c>
      <c r="V16" s="110">
        <f>E16*224.8/(2*SQRT(Table11234[[#This Row],[fc (Mpa)]]*145.037)*Table11234[[#This Row],[b (mm)]]*Table11234[[#This Row],[d (mm)]]*(1/25.4)^2)</f>
        <v>0.80874914087465066</v>
      </c>
      <c r="W16" s="110">
        <f>Table11234[[#This Row],[M (KN.mm)]]/$G$22</f>
        <v>0.48636363636363633</v>
      </c>
      <c r="X16" s="110">
        <f>Table11234[[#This Row],[V/(2*sqrt(fc) bd)]]</f>
        <v>0.80874914087465066</v>
      </c>
      <c r="Y16" s="110">
        <f>Table11234[[#This Row],[a (mm)]]</f>
        <v>609.59999999999991</v>
      </c>
      <c r="Z16" s="110">
        <f>Table11234[[#This Row],[width]]*Table11234[[#This Row],[h (mm)]]^2</f>
        <v>21237634.943999995</v>
      </c>
      <c r="AA16" s="110">
        <f>Table11234[[#This Row],[b (mm)]]</f>
        <v>228.6</v>
      </c>
      <c r="AB16" s="110">
        <f>Table11234[[#This Row],[a]]/Table11234[[#This Row],[h (mm)]]</f>
        <v>2</v>
      </c>
      <c r="AC16" s="110">
        <f>Table11234[[#This Row],[h (mm)]]</f>
        <v>304.79999999999995</v>
      </c>
      <c r="AD16" s="109">
        <f t="shared" si="4"/>
        <v>609.59999999999991</v>
      </c>
      <c r="AE16" s="109">
        <f t="shared" si="5"/>
        <v>266.7</v>
      </c>
      <c r="AF16" s="109">
        <f t="shared" si="6"/>
        <v>304.79999999999995</v>
      </c>
      <c r="AG16" s="109">
        <f t="shared" si="7"/>
        <v>228.6</v>
      </c>
      <c r="AH16" s="7">
        <v>33.78</v>
      </c>
      <c r="AI16" s="110">
        <f>Table11234[[#This Row],[pho (%)]]/100*Table11234[[#This Row],[b (mm)]]*Table11234[[#This Row],[h (mm)]]</f>
        <v>383.22503999999998</v>
      </c>
      <c r="AJ16" s="111">
        <v>0.55000000000000004</v>
      </c>
      <c r="AK16" s="110">
        <v>629</v>
      </c>
      <c r="AL16" s="110">
        <f>(1/3-0.21*(MIN(Table11234[[#This Row],[b (mm)]],AF16)/MAX(Table11234[[#This Row],[b (mm)]],AF16))*(MIN(Table11234[[#This Row],[b (mm)]],AF16)^4/(12*MAX(Table11234[[#This Row],[b (mm)]],AF16)^4)))*MAX(Table11234[[#This Row],[b (mm)]],AF16)*MIN(Table11234[[#This Row],[b (mm)]],AF16)^3</f>
        <v>1198609576.1573534</v>
      </c>
      <c r="AM16" s="110">
        <f>Table11234[[#This Row],[b (mm)]]*AF16^3/12</f>
        <v>539435927.57759976</v>
      </c>
      <c r="AN16" s="110">
        <f t="shared" si="8"/>
        <v>1984.375</v>
      </c>
      <c r="AO16" s="106"/>
      <c r="AP16" s="107"/>
    </row>
    <row r="17" spans="1:44" x14ac:dyDescent="0.3">
      <c r="A17" s="115" t="s">
        <v>71</v>
      </c>
      <c r="B17" s="109" t="s">
        <v>62</v>
      </c>
      <c r="C17" s="109">
        <v>32</v>
      </c>
      <c r="D17" s="110">
        <f>Table11234[[#This Row],[a (mm)]]/Table11234[[#This Row],[d (mm)]]</f>
        <v>2.2857142857142856</v>
      </c>
      <c r="E17" s="109">
        <v>54.488000000000007</v>
      </c>
      <c r="F17" s="127">
        <f>Table11234[[#This Row],[d (mm)]]</f>
        <v>266.7</v>
      </c>
      <c r="G17" s="109">
        <f t="shared" si="0"/>
        <v>33215.8848</v>
      </c>
      <c r="H17" s="109">
        <f t="shared" si="1"/>
        <v>2.3379933718788802E-6</v>
      </c>
      <c r="I17" s="110">
        <f>G17/(Table11234[[#This Row],[b (mm)]]*Table11234[[#This Row],[h]]^2)</f>
        <v>1.5640105354284787E-3</v>
      </c>
      <c r="J17" s="109">
        <f t="shared" si="2"/>
        <v>0.51667599708578149</v>
      </c>
      <c r="K17" s="109">
        <f t="shared" si="3"/>
        <v>1.4477496748916457E-6</v>
      </c>
      <c r="L17" s="109">
        <f>E17/(Table11234[[#This Row],[b (mm)]]*AE17)</f>
        <v>8.9372030595913062E-4</v>
      </c>
      <c r="M17" s="109">
        <f>Table11234[[#This Row],[M (KN.mm)]]/(Table11234[[#This Row],[b (mm)]]*Table11234[[#This Row],[d (mm)]])</f>
        <v>0.54481189851268597</v>
      </c>
      <c r="N17" s="109">
        <f>Table11234[[#This Row],[M (KN.mm)]]/(Table11234[[#This Row],[b (mm)]]*Table11234[[#This Row],[h (mm)]])</f>
        <v>0.4767104111986003</v>
      </c>
      <c r="O17" s="109">
        <f>Table11234[[#This Row],[M (KN.mm)]]/(Table11234[[#This Row],[b (mm)]]*Table11234[[#This Row],[h (mm)]]*Table11234[[#This Row],[L(mm)]])</f>
        <v>2.4023201824181431E-4</v>
      </c>
      <c r="P17" s="109">
        <f>Table11234[[#This Row],[M (KN.mm)]]/(Table11234[[#This Row],[b (mm)]]*Table11234[[#This Row],[d (mm)]]*Table11234[[#This Row],[L(mm)]])</f>
        <v>2.745508779906449E-4</v>
      </c>
      <c r="Q17" s="109">
        <f>Table11234[[#This Row],[M (KN.mm)]]/(Table11234[[#This Row],[b (mm)]]*Table11234[[#This Row],[h (mm)]]*Table11234[[#This Row],[L(mm)]]*Table11234[[#This Row],[fc (Mpa)]])</f>
        <v>7.111664246353295E-6</v>
      </c>
      <c r="R17" s="109">
        <f>Table11234[[#This Row],[M (KN.mm)]]/(Table11234[[#This Row],[b (mm)]]*Table11234[[#This Row],[h (mm)]]*Table11234[[#This Row],[L(mm)]]/2)</f>
        <v>4.8046403648362862E-4</v>
      </c>
      <c r="S17" s="109">
        <f>Table11234[[#This Row],[M (KN.mm)]]/(Table11234[[#This Row],[a (mm)]]*Table11234[[#This Row],[b (mm)]]*Table11234[[#This Row],[h (mm)]]*Table11234[[#This Row],[L(mm)]]/2)</f>
        <v>7.8816278950726489E-7</v>
      </c>
      <c r="T17" s="109">
        <f>Table11234[[#This Row],[M (KN.mm)]]/(Table11234[[#This Row],[a (mm)]]^2*Table11234[[#This Row],[b (mm)]]*Table11234[[#This Row],[h (mm)]])</f>
        <v>1.2828170402136473E-6</v>
      </c>
      <c r="U17" s="109">
        <f>Table11234[[#This Row],[M (KN.mm)]]/(Table11234[[#This Row],[b (mm)]]*Table11234[[#This Row],[d (mm)]]*Table11234[[#This Row],[pho (%)]])</f>
        <v>0.99056708820488348</v>
      </c>
      <c r="V17" s="110">
        <f>E17*224.8/(2*SQRT(Table11234[[#This Row],[fc (Mpa)]]*145.037)*Table11234[[#This Row],[b (mm)]]*Table11234[[#This Row],[d (mm)]]*(1/25.4)^2)</f>
        <v>0.92590439025368898</v>
      </c>
      <c r="W17" s="110">
        <f>Table11234[[#This Row],[M (KN.mm)]]/$G$22</f>
        <v>0.55681818181818177</v>
      </c>
      <c r="X17" s="110">
        <f>Table11234[[#This Row],[V/(2*sqrt(fc) bd)]]</f>
        <v>0.92590439025368898</v>
      </c>
      <c r="Y17" s="110">
        <f>Table11234[[#This Row],[a (mm)]]</f>
        <v>609.59999999999991</v>
      </c>
      <c r="Z17" s="110">
        <f>Table11234[[#This Row],[width]]*Table11234[[#This Row],[h (mm)]]^2</f>
        <v>21237634.943999995</v>
      </c>
      <c r="AA17" s="110">
        <f>Table11234[[#This Row],[b (mm)]]</f>
        <v>228.6</v>
      </c>
      <c r="AB17" s="110">
        <f>Table11234[[#This Row],[a]]/Table11234[[#This Row],[h (mm)]]</f>
        <v>2</v>
      </c>
      <c r="AC17" s="110">
        <f>Table11234[[#This Row],[h (mm)]]</f>
        <v>304.79999999999995</v>
      </c>
      <c r="AD17" s="109">
        <f t="shared" si="4"/>
        <v>609.59999999999991</v>
      </c>
      <c r="AE17" s="109">
        <f t="shared" si="5"/>
        <v>266.7</v>
      </c>
      <c r="AF17" s="109">
        <f t="shared" si="6"/>
        <v>304.79999999999995</v>
      </c>
      <c r="AG17" s="109">
        <f t="shared" si="7"/>
        <v>228.6</v>
      </c>
      <c r="AH17" s="7">
        <v>33.78</v>
      </c>
      <c r="AI17" s="110">
        <f>Table11234[[#This Row],[pho (%)]]/100*Table11234[[#This Row],[b (mm)]]*Table11234[[#This Row],[h (mm)]]</f>
        <v>383.22503999999998</v>
      </c>
      <c r="AJ17" s="111">
        <v>0.55000000000000004</v>
      </c>
      <c r="AK17" s="110">
        <v>629</v>
      </c>
      <c r="AL17" s="110">
        <f>(1/3-0.21*(MIN(Table11234[[#This Row],[b (mm)]],AF17)/MAX(Table11234[[#This Row],[b (mm)]],AF17))*(MIN(Table11234[[#This Row],[b (mm)]],AF17)^4/(12*MAX(Table11234[[#This Row],[b (mm)]],AF17)^4)))*MAX(Table11234[[#This Row],[b (mm)]],AF17)*MIN(Table11234[[#This Row],[b (mm)]],AF17)^3</f>
        <v>1198609576.1573534</v>
      </c>
      <c r="AM17" s="110">
        <f>Table11234[[#This Row],[b (mm)]]*AF17^3/12</f>
        <v>539435927.57759976</v>
      </c>
      <c r="AN17" s="110">
        <f t="shared" si="8"/>
        <v>1984.375</v>
      </c>
      <c r="AO17" s="106"/>
      <c r="AP17" s="107"/>
    </row>
    <row r="18" spans="1:44" s="129" customFormat="1" x14ac:dyDescent="0.3">
      <c r="A18" s="115" t="s">
        <v>71</v>
      </c>
      <c r="B18" s="110" t="s">
        <v>63</v>
      </c>
      <c r="C18" s="110">
        <v>33</v>
      </c>
      <c r="D18" s="110">
        <f>Table11234[[#This Row],[a (mm)]]/Table11234[[#This Row],[d (mm)]]</f>
        <v>2.2857142857142856</v>
      </c>
      <c r="E18" s="110">
        <v>61.160000000000004</v>
      </c>
      <c r="F18" s="127">
        <f>Table11234[[#This Row],[d (mm)]]</f>
        <v>266.7</v>
      </c>
      <c r="G18" s="110">
        <f t="shared" si="0"/>
        <v>37283.135999999999</v>
      </c>
      <c r="H18" s="110">
        <f t="shared" si="1"/>
        <v>2.6242782745579268E-6</v>
      </c>
      <c r="I18" s="110">
        <f>G18/(Table11234[[#This Row],[b (mm)]]*Table11234[[#This Row],[h]]^2)</f>
        <v>1.7555220295625781E-3</v>
      </c>
      <c r="J18" s="110">
        <f t="shared" si="2"/>
        <v>0.57994244570853026</v>
      </c>
      <c r="K18" s="110">
        <f t="shared" si="3"/>
        <v>1.625025145286541E-6</v>
      </c>
      <c r="L18" s="132">
        <f>E18/(Table11234[[#This Row],[b (mm)]]*AE18)</f>
        <v>1.0031554454643303E-3</v>
      </c>
      <c r="M18" s="132">
        <f>Table11234[[#This Row],[M (KN.mm)]]/(Table11234[[#This Row],[b (mm)]]*Table11234[[#This Row],[d (mm)]])</f>
        <v>0.61152355955505566</v>
      </c>
      <c r="N18" s="132">
        <f>Table11234[[#This Row],[M (KN.mm)]]/(Table11234[[#This Row],[b (mm)]]*Table11234[[#This Row],[h (mm)]])</f>
        <v>0.53508311461067382</v>
      </c>
      <c r="O18" s="133">
        <f>Table11234[[#This Row],[M (KN.mm)]]/(Table11234[[#This Row],[b (mm)]]*Table11234[[#This Row],[h (mm)]]*Table11234[[#This Row],[L(mm)]])</f>
        <v>2.69648183740812E-4</v>
      </c>
      <c r="P18" s="133">
        <f>Table11234[[#This Row],[M (KN.mm)]]/(Table11234[[#This Row],[b (mm)]]*Table11234[[#This Row],[d (mm)]]*Table11234[[#This Row],[L(mm)]])</f>
        <v>3.0816935284664221E-4</v>
      </c>
      <c r="Q18" s="133">
        <f>Table11234[[#This Row],[M (KN.mm)]]/(Table11234[[#This Row],[b (mm)]]*Table11234[[#This Row],[h (mm)]]*Table11234[[#This Row],[L(mm)]]*Table11234[[#This Row],[fc (Mpa)]])</f>
        <v>7.9824802765190053E-6</v>
      </c>
      <c r="R18" s="133">
        <f>Table11234[[#This Row],[M (KN.mm)]]/(Table11234[[#This Row],[b (mm)]]*Table11234[[#This Row],[h (mm)]]*Table11234[[#This Row],[L(mm)]]/2)</f>
        <v>5.39296367481624E-4</v>
      </c>
      <c r="S18" s="133">
        <f>Table11234[[#This Row],[M (KN.mm)]]/(Table11234[[#This Row],[a (mm)]]*Table11234[[#This Row],[b (mm)]]*Table11234[[#This Row],[h (mm)]]*Table11234[[#This Row],[L(mm)]]/2)</f>
        <v>8.8467251883468513E-7</v>
      </c>
      <c r="T18" s="133">
        <f>Table11234[[#This Row],[M (KN.mm)]]/(Table11234[[#This Row],[a (mm)]]^2*Table11234[[#This Row],[b (mm)]]*Table11234[[#This Row],[h (mm)]])</f>
        <v>1.4398966777908286E-6</v>
      </c>
      <c r="U18" s="133">
        <f>Table11234[[#This Row],[M (KN.mm)]]/(Table11234[[#This Row],[b (mm)]]*Table11234[[#This Row],[d (mm)]]*Table11234[[#This Row],[pho (%)]])</f>
        <v>1.1118610173728285</v>
      </c>
      <c r="V18" s="110">
        <f>E18*224.8/(2*SQRT(Table11234[[#This Row],[fc (Mpa)]]*145.037)*Table11234[[#This Row],[b (mm)]]*Table11234[[#This Row],[d (mm)]]*(1/25.4)^2)</f>
        <v>1.0392804380398548</v>
      </c>
      <c r="W18" s="110">
        <f>Table11234[[#This Row],[M (KN.mm)]]/$G$22</f>
        <v>0.625</v>
      </c>
      <c r="X18" s="110">
        <f>Table11234[[#This Row],[V/(2*sqrt(fc) bd)]]</f>
        <v>1.0392804380398548</v>
      </c>
      <c r="Y18" s="110">
        <f>Table11234[[#This Row],[a (mm)]]</f>
        <v>609.59999999999991</v>
      </c>
      <c r="Z18" s="110">
        <f>Table11234[[#This Row],[width]]*Table11234[[#This Row],[h (mm)]]^2</f>
        <v>21237634.943999995</v>
      </c>
      <c r="AA18" s="110">
        <f>Table11234[[#This Row],[b (mm)]]</f>
        <v>228.6</v>
      </c>
      <c r="AB18" s="110">
        <f>Table11234[[#This Row],[a]]/Table11234[[#This Row],[h (mm)]]</f>
        <v>2</v>
      </c>
      <c r="AC18" s="110">
        <f>Table11234[[#This Row],[h (mm)]]</f>
        <v>304.79999999999995</v>
      </c>
      <c r="AD18" s="110">
        <f t="shared" si="4"/>
        <v>609.59999999999991</v>
      </c>
      <c r="AE18" s="110">
        <f t="shared" si="5"/>
        <v>266.7</v>
      </c>
      <c r="AF18" s="110">
        <f t="shared" si="6"/>
        <v>304.79999999999995</v>
      </c>
      <c r="AG18" s="134">
        <f t="shared" si="7"/>
        <v>228.6</v>
      </c>
      <c r="AH18" s="7">
        <v>33.78</v>
      </c>
      <c r="AI18" s="110">
        <f>Table11234[[#This Row],[pho (%)]]/100*Table11234[[#This Row],[b (mm)]]*Table11234[[#This Row],[h (mm)]]</f>
        <v>383.22503999999998</v>
      </c>
      <c r="AJ18" s="135">
        <v>0.55000000000000004</v>
      </c>
      <c r="AK18" s="110">
        <v>629</v>
      </c>
      <c r="AL18" s="132">
        <f>(1/3-0.21*(MIN(Table11234[[#This Row],[b (mm)]],AF18)/MAX(Table11234[[#This Row],[b (mm)]],AF18))*(MIN(Table11234[[#This Row],[b (mm)]],AF18)^4/(12*MAX(Table11234[[#This Row],[b (mm)]],AF18)^4)))*MAX(Table11234[[#This Row],[b (mm)]],AF18)*MIN(Table11234[[#This Row],[b (mm)]],AF18)^3</f>
        <v>1198609576.1573534</v>
      </c>
      <c r="AM18" s="132">
        <f>Table11234[[#This Row],[b (mm)]]*AF18^3/12</f>
        <v>539435927.57759976</v>
      </c>
      <c r="AN18" s="132">
        <f t="shared" si="8"/>
        <v>1984.375</v>
      </c>
      <c r="AO18" s="106"/>
      <c r="AP18" s="128"/>
      <c r="AQ18" s="106"/>
      <c r="AR18"/>
    </row>
    <row r="19" spans="1:44" s="129" customFormat="1" x14ac:dyDescent="0.3">
      <c r="A19" s="115" t="s">
        <v>71</v>
      </c>
      <c r="B19" s="110" t="s">
        <v>64</v>
      </c>
      <c r="C19" s="110">
        <v>34</v>
      </c>
      <c r="D19" s="110">
        <f>Table11234[[#This Row],[a (mm)]]/Table11234[[#This Row],[d (mm)]]</f>
        <v>2.2857142857142856</v>
      </c>
      <c r="E19" s="110">
        <v>67.832000000000008</v>
      </c>
      <c r="F19" s="127">
        <f>Table11234[[#This Row],[d (mm)]]</f>
        <v>266.7</v>
      </c>
      <c r="G19" s="110">
        <f t="shared" si="0"/>
        <v>41350.387199999997</v>
      </c>
      <c r="H19" s="110">
        <f t="shared" si="1"/>
        <v>2.9105631772369734E-6</v>
      </c>
      <c r="I19" s="110">
        <f>G19/(Table11234[[#This Row],[b (mm)]]*Table11234[[#This Row],[h]]^2)</f>
        <v>1.9470335236966773E-3</v>
      </c>
      <c r="J19" s="110">
        <f t="shared" si="2"/>
        <v>0.64320889433127904</v>
      </c>
      <c r="K19" s="110">
        <f t="shared" si="3"/>
        <v>1.8023006156814364E-6</v>
      </c>
      <c r="L19" s="132">
        <f>E19/(Table11234[[#This Row],[b (mm)]]*AE19)</f>
        <v>1.11259058496953E-3</v>
      </c>
      <c r="M19" s="132">
        <f>Table11234[[#This Row],[M (KN.mm)]]/(Table11234[[#This Row],[b (mm)]]*Table11234[[#This Row],[d (mm)]])</f>
        <v>0.67823522059742536</v>
      </c>
      <c r="N19" s="132">
        <f>Table11234[[#This Row],[M (KN.mm)]]/(Table11234[[#This Row],[b (mm)]]*Table11234[[#This Row],[h (mm)]])</f>
        <v>0.59345581802274727</v>
      </c>
      <c r="O19" s="133">
        <f>Table11234[[#This Row],[M (KN.mm)]]/(Table11234[[#This Row],[b (mm)]]*Table11234[[#This Row],[h (mm)]]*Table11234[[#This Row],[L(mm)]])</f>
        <v>2.9906434923980963E-4</v>
      </c>
      <c r="P19" s="133">
        <f>Table11234[[#This Row],[M (KN.mm)]]/(Table11234[[#This Row],[b (mm)]]*Table11234[[#This Row],[d (mm)]]*Table11234[[#This Row],[L(mm)]])</f>
        <v>3.4178782770263953E-4</v>
      </c>
      <c r="Q19" s="133">
        <f>Table11234[[#This Row],[M (KN.mm)]]/(Table11234[[#This Row],[b (mm)]]*Table11234[[#This Row],[h (mm)]]*Table11234[[#This Row],[L(mm)]]*Table11234[[#This Row],[fc (Mpa)]])</f>
        <v>8.8532963066847139E-6</v>
      </c>
      <c r="R19" s="133">
        <f>Table11234[[#This Row],[M (KN.mm)]]/(Table11234[[#This Row],[b (mm)]]*Table11234[[#This Row],[h (mm)]]*Table11234[[#This Row],[L(mm)]]/2)</f>
        <v>5.9812869847961927E-4</v>
      </c>
      <c r="S19" s="133">
        <f>Table11234[[#This Row],[M (KN.mm)]]/(Table11234[[#This Row],[a (mm)]]*Table11234[[#This Row],[b (mm)]]*Table11234[[#This Row],[h (mm)]]*Table11234[[#This Row],[L(mm)]]/2)</f>
        <v>9.8118224816210517E-7</v>
      </c>
      <c r="T19" s="133">
        <f>Table11234[[#This Row],[M (KN.mm)]]/(Table11234[[#This Row],[a (mm)]]^2*Table11234[[#This Row],[b (mm)]]*Table11234[[#This Row],[h (mm)]])</f>
        <v>1.5969763153680101E-6</v>
      </c>
      <c r="U19" s="133">
        <f>Table11234[[#This Row],[M (KN.mm)]]/(Table11234[[#This Row],[b (mm)]]*Table11234[[#This Row],[d (mm)]]*Table11234[[#This Row],[pho (%)]])</f>
        <v>1.2331549465407732</v>
      </c>
      <c r="V19" s="110">
        <f>E19*224.8/(2*SQRT(Table11234[[#This Row],[fc (Mpa)]]*145.037)*Table11234[[#This Row],[b (mm)]]*Table11234[[#This Row],[d (mm)]]*(1/25.4)^2)</f>
        <v>1.1526564858260209</v>
      </c>
      <c r="W19" s="110">
        <f>Table11234[[#This Row],[M (KN.mm)]]/$G$22</f>
        <v>0.69318181818181812</v>
      </c>
      <c r="X19" s="110">
        <f>Table11234[[#This Row],[V/(2*sqrt(fc) bd)]]</f>
        <v>1.1526564858260209</v>
      </c>
      <c r="Y19" s="110">
        <f>Table11234[[#This Row],[a (mm)]]</f>
        <v>609.59999999999991</v>
      </c>
      <c r="Z19" s="110">
        <f>Table11234[[#This Row],[width]]*Table11234[[#This Row],[h (mm)]]^2</f>
        <v>21237634.943999995</v>
      </c>
      <c r="AA19" s="110">
        <f>Table11234[[#This Row],[b (mm)]]</f>
        <v>228.6</v>
      </c>
      <c r="AB19" s="110">
        <f>Table11234[[#This Row],[a]]/Table11234[[#This Row],[h (mm)]]</f>
        <v>2</v>
      </c>
      <c r="AC19" s="110">
        <f>Table11234[[#This Row],[h (mm)]]</f>
        <v>304.79999999999995</v>
      </c>
      <c r="AD19" s="110">
        <f t="shared" si="4"/>
        <v>609.59999999999991</v>
      </c>
      <c r="AE19" s="110">
        <f t="shared" si="5"/>
        <v>266.7</v>
      </c>
      <c r="AF19" s="110">
        <f t="shared" si="6"/>
        <v>304.79999999999995</v>
      </c>
      <c r="AG19" s="134">
        <f t="shared" si="7"/>
        <v>228.6</v>
      </c>
      <c r="AH19" s="7">
        <v>33.78</v>
      </c>
      <c r="AI19" s="110">
        <f>Table11234[[#This Row],[pho (%)]]/100*Table11234[[#This Row],[b (mm)]]*Table11234[[#This Row],[h (mm)]]</f>
        <v>383.22503999999998</v>
      </c>
      <c r="AJ19" s="135">
        <v>0.55000000000000004</v>
      </c>
      <c r="AK19" s="110">
        <v>629</v>
      </c>
      <c r="AL19" s="132">
        <f>(1/3-0.21*(MIN(Table11234[[#This Row],[b (mm)]],AF19)/MAX(Table11234[[#This Row],[b (mm)]],AF19))*(MIN(Table11234[[#This Row],[b (mm)]],AF19)^4/(12*MAX(Table11234[[#This Row],[b (mm)]],AF19)^4)))*MAX(Table11234[[#This Row],[b (mm)]],AF19)*MIN(Table11234[[#This Row],[b (mm)]],AF19)^3</f>
        <v>1198609576.1573534</v>
      </c>
      <c r="AM19" s="132">
        <f>Table11234[[#This Row],[b (mm)]]*AF19^3/12</f>
        <v>539435927.57759976</v>
      </c>
      <c r="AN19" s="132">
        <f t="shared" si="8"/>
        <v>1984.375</v>
      </c>
      <c r="AO19" s="106"/>
      <c r="AP19" s="128"/>
      <c r="AQ19" s="106"/>
      <c r="AR19"/>
    </row>
    <row r="20" spans="1:44" s="129" customFormat="1" x14ac:dyDescent="0.3">
      <c r="A20" s="115" t="s">
        <v>71</v>
      </c>
      <c r="B20" s="110" t="s">
        <v>65</v>
      </c>
      <c r="C20" s="110">
        <v>35</v>
      </c>
      <c r="D20" s="110">
        <f>Table11234[[#This Row],[a (mm)]]/Table11234[[#This Row],[d (mm)]]</f>
        <v>2.2857142857142856</v>
      </c>
      <c r="E20" s="110">
        <v>79.174400000000006</v>
      </c>
      <c r="F20" s="127">
        <f>Table11234[[#This Row],[d (mm)]]</f>
        <v>266.7</v>
      </c>
      <c r="G20" s="110">
        <f t="shared" si="0"/>
        <v>48264.714239999994</v>
      </c>
      <c r="H20" s="110">
        <f t="shared" si="1"/>
        <v>3.3972475117913523E-6</v>
      </c>
      <c r="I20" s="110">
        <f>G20/(Table11234[[#This Row],[b (mm)]]*Table11234[[#This Row],[h]]^2)</f>
        <v>2.2726030637246464E-3</v>
      </c>
      <c r="J20" s="110">
        <f t="shared" si="2"/>
        <v>0.75076185698995179</v>
      </c>
      <c r="K20" s="110">
        <f t="shared" si="3"/>
        <v>2.1036689153527586E-6</v>
      </c>
      <c r="L20" s="132">
        <f>E20/(Table11234[[#This Row],[b (mm)]]*AE20)</f>
        <v>1.2986303221283694E-3</v>
      </c>
      <c r="M20" s="132">
        <f>Table11234[[#This Row],[M (KN.mm)]]/(Table11234[[#This Row],[b (mm)]]*Table11234[[#This Row],[d (mm)]])</f>
        <v>0.79164504436945382</v>
      </c>
      <c r="N20" s="132">
        <f>Table11234[[#This Row],[M (KN.mm)]]/(Table11234[[#This Row],[b (mm)]]*Table11234[[#This Row],[h (mm)]])</f>
        <v>0.6926894138232722</v>
      </c>
      <c r="O20" s="133">
        <f>Table11234[[#This Row],[M (KN.mm)]]/(Table11234[[#This Row],[b (mm)]]*Table11234[[#This Row],[h (mm)]]*Table11234[[#This Row],[L(mm)]])</f>
        <v>3.4907183058810568E-4</v>
      </c>
      <c r="P20" s="133">
        <f>Table11234[[#This Row],[M (KN.mm)]]/(Table11234[[#This Row],[b (mm)]]*Table11234[[#This Row],[d (mm)]]*Table11234[[#This Row],[L(mm)]])</f>
        <v>3.9893923495783499E-4</v>
      </c>
      <c r="Q20" s="133">
        <f>Table11234[[#This Row],[M (KN.mm)]]/(Table11234[[#This Row],[b (mm)]]*Table11234[[#This Row],[h (mm)]]*Table11234[[#This Row],[L(mm)]]*Table11234[[#This Row],[fc (Mpa)]])</f>
        <v>1.0333683557966419E-5</v>
      </c>
      <c r="R20" s="133">
        <f>Table11234[[#This Row],[M (KN.mm)]]/(Table11234[[#This Row],[b (mm)]]*Table11234[[#This Row],[h (mm)]]*Table11234[[#This Row],[L(mm)]]/2)</f>
        <v>6.9814366117621136E-4</v>
      </c>
      <c r="S20" s="133">
        <f>Table11234[[#This Row],[M (KN.mm)]]/(Table11234[[#This Row],[a (mm)]]*Table11234[[#This Row],[b (mm)]]*Table11234[[#This Row],[h (mm)]]*Table11234[[#This Row],[L(mm)]]/2)</f>
        <v>1.1452487880187194E-6</v>
      </c>
      <c r="T20" s="133">
        <f>Table11234[[#This Row],[M (KN.mm)]]/(Table11234[[#This Row],[a (mm)]]^2*Table11234[[#This Row],[b (mm)]]*Table11234[[#This Row],[h (mm)]])</f>
        <v>1.8640116992492181E-6</v>
      </c>
      <c r="U20" s="133">
        <f>Table11234[[#This Row],[M (KN.mm)]]/(Table11234[[#This Row],[b (mm)]]*Table11234[[#This Row],[d (mm)]]*Table11234[[#This Row],[pho (%)]])</f>
        <v>1.4393546261262795</v>
      </c>
      <c r="V20" s="110">
        <f>E20*224.8/(2*SQRT(Table11234[[#This Row],[fc (Mpa)]]*145.037)*Table11234[[#This Row],[b (mm)]]*Table11234[[#This Row],[d (mm)]]*(1/25.4)^2)</f>
        <v>1.3453957670625032</v>
      </c>
      <c r="W20" s="110">
        <f>Table11234[[#This Row],[M (KN.mm)]]/$G$22</f>
        <v>0.80909090909090897</v>
      </c>
      <c r="X20" s="110">
        <f>Table11234[[#This Row],[V/(2*sqrt(fc) bd)]]</f>
        <v>1.3453957670625032</v>
      </c>
      <c r="Y20" s="110">
        <f>Table11234[[#This Row],[a (mm)]]</f>
        <v>609.59999999999991</v>
      </c>
      <c r="Z20" s="110">
        <f>Table11234[[#This Row],[width]]*Table11234[[#This Row],[h (mm)]]^2</f>
        <v>21237634.943999995</v>
      </c>
      <c r="AA20" s="110">
        <f>Table11234[[#This Row],[b (mm)]]</f>
        <v>228.6</v>
      </c>
      <c r="AB20" s="110">
        <f>Table11234[[#This Row],[a]]/Table11234[[#This Row],[h (mm)]]</f>
        <v>2</v>
      </c>
      <c r="AC20" s="110">
        <f>Table11234[[#This Row],[h (mm)]]</f>
        <v>304.79999999999995</v>
      </c>
      <c r="AD20" s="110">
        <f t="shared" si="4"/>
        <v>609.59999999999991</v>
      </c>
      <c r="AE20" s="110">
        <f t="shared" si="5"/>
        <v>266.7</v>
      </c>
      <c r="AF20" s="110">
        <f t="shared" si="6"/>
        <v>304.79999999999995</v>
      </c>
      <c r="AG20" s="134">
        <f t="shared" si="7"/>
        <v>228.6</v>
      </c>
      <c r="AH20" s="7">
        <v>33.78</v>
      </c>
      <c r="AI20" s="110">
        <f>Table11234[[#This Row],[pho (%)]]/100*Table11234[[#This Row],[b (mm)]]*Table11234[[#This Row],[h (mm)]]</f>
        <v>383.22503999999998</v>
      </c>
      <c r="AJ20" s="135">
        <v>0.55000000000000004</v>
      </c>
      <c r="AK20" s="110">
        <v>629</v>
      </c>
      <c r="AL20" s="132">
        <f>(1/3-0.21*(MIN(Table11234[[#This Row],[b (mm)]],AF20)/MAX(Table11234[[#This Row],[b (mm)]],AF20))*(MIN(Table11234[[#This Row],[b (mm)]],AF20)^4/(12*MAX(Table11234[[#This Row],[b (mm)]],AF20)^4)))*MAX(Table11234[[#This Row],[b (mm)]],AF20)*MIN(Table11234[[#This Row],[b (mm)]],AF20)^3</f>
        <v>1198609576.1573534</v>
      </c>
      <c r="AM20" s="132">
        <f>Table11234[[#This Row],[b (mm)]]*AF20^3/12</f>
        <v>539435927.57759976</v>
      </c>
      <c r="AN20" s="132">
        <f t="shared" si="8"/>
        <v>1984.375</v>
      </c>
      <c r="AO20" s="106"/>
      <c r="AP20" s="128"/>
      <c r="AQ20" s="106"/>
      <c r="AR20"/>
    </row>
    <row r="21" spans="1:44" s="129" customFormat="1" x14ac:dyDescent="0.3">
      <c r="A21" s="115" t="s">
        <v>71</v>
      </c>
      <c r="B21" s="110" t="s">
        <v>66</v>
      </c>
      <c r="C21" s="110">
        <v>36</v>
      </c>
      <c r="D21" s="110">
        <f>Table11234[[#This Row],[a (mm)]]/Table11234[[#This Row],[d (mm)]]</f>
        <v>2.2857142857142856</v>
      </c>
      <c r="E21" s="110">
        <v>90.29440000000001</v>
      </c>
      <c r="F21" s="127">
        <f>Table11234[[#This Row],[d (mm)]]</f>
        <v>266.7</v>
      </c>
      <c r="G21" s="110">
        <f t="shared" si="0"/>
        <v>55043.466240000002</v>
      </c>
      <c r="H21" s="110">
        <f t="shared" si="1"/>
        <v>3.8743890162564304E-6</v>
      </c>
      <c r="I21" s="110">
        <f>G21/(Table11234[[#This Row],[b (mm)]]*Table11234[[#This Row],[h]]^2)</f>
        <v>2.591788887281479E-3</v>
      </c>
      <c r="J21" s="110">
        <f t="shared" si="2"/>
        <v>0.8562059380278666</v>
      </c>
      <c r="K21" s="110">
        <f t="shared" si="3"/>
        <v>2.3991280326775845E-6</v>
      </c>
      <c r="L21" s="132">
        <f>E21/(Table11234[[#This Row],[b (mm)]]*AE21)</f>
        <v>1.4810222213037022E-3</v>
      </c>
      <c r="M21" s="132">
        <f>Table11234[[#This Row],[M (KN.mm)]]/(Table11234[[#This Row],[b (mm)]]*Table11234[[#This Row],[d (mm)]])</f>
        <v>0.90283114610673676</v>
      </c>
      <c r="N21" s="132">
        <f>Table11234[[#This Row],[M (KN.mm)]]/(Table11234[[#This Row],[b (mm)]]*Table11234[[#This Row],[h (mm)]])</f>
        <v>0.78997725284339482</v>
      </c>
      <c r="O21" s="133">
        <f>Table11234[[#This Row],[M (KN.mm)]]/(Table11234[[#This Row],[b (mm)]]*Table11234[[#This Row],[h (mm)]]*Table11234[[#This Row],[L(mm)]])</f>
        <v>3.9809877308643514E-4</v>
      </c>
      <c r="P21" s="133">
        <f>Table11234[[#This Row],[M (KN.mm)]]/(Table11234[[#This Row],[b (mm)]]*Table11234[[#This Row],[d (mm)]]*Table11234[[#This Row],[L(mm)]])</f>
        <v>4.5497002638449731E-4</v>
      </c>
      <c r="Q21" s="133">
        <f>Table11234[[#This Row],[M (KN.mm)]]/(Table11234[[#This Row],[b (mm)]]*Table11234[[#This Row],[h (mm)]]*Table11234[[#This Row],[L(mm)]]*Table11234[[#This Row],[fc (Mpa)]])</f>
        <v>1.1785043608242603E-5</v>
      </c>
      <c r="R21" s="133">
        <f>Table11234[[#This Row],[M (KN.mm)]]/(Table11234[[#This Row],[b (mm)]]*Table11234[[#This Row],[h (mm)]]*Table11234[[#This Row],[L(mm)]]/2)</f>
        <v>7.9619754617287028E-4</v>
      </c>
      <c r="S21" s="133">
        <f>Table11234[[#This Row],[M (KN.mm)]]/(Table11234[[#This Row],[a (mm)]]*Table11234[[#This Row],[b (mm)]]*Table11234[[#This Row],[h (mm)]]*Table11234[[#This Row],[L(mm)]]/2)</f>
        <v>1.3060983368977533E-6</v>
      </c>
      <c r="T21" s="133">
        <f>Table11234[[#This Row],[M (KN.mm)]]/(Table11234[[#This Row],[a (mm)]]^2*Table11234[[#This Row],[b (mm)]]*Table11234[[#This Row],[h (mm)]])</f>
        <v>2.1258110952111871E-6</v>
      </c>
      <c r="U21" s="133">
        <f>Table11234[[#This Row],[M (KN.mm)]]/(Table11234[[#This Row],[b (mm)]]*Table11234[[#This Row],[d (mm)]]*Table11234[[#This Row],[pho (%)]])</f>
        <v>1.6415111747395212</v>
      </c>
      <c r="V21" s="110">
        <f>E21*224.8/(2*SQRT(Table11234[[#This Row],[fc (Mpa)]]*145.037)*Table11234[[#This Row],[b (mm)]]*Table11234[[#This Row],[d (mm)]]*(1/25.4)^2)</f>
        <v>1.5343558467061131</v>
      </c>
      <c r="W21" s="110">
        <f>Table11234[[#This Row],[M (KN.mm)]]/$G$22</f>
        <v>0.92272727272727273</v>
      </c>
      <c r="X21" s="110">
        <f>Table11234[[#This Row],[V/(2*sqrt(fc) bd)]]</f>
        <v>1.5343558467061131</v>
      </c>
      <c r="Y21" s="110">
        <f>Table11234[[#This Row],[a (mm)]]</f>
        <v>609.59999999999991</v>
      </c>
      <c r="Z21" s="110">
        <f>Table11234[[#This Row],[width]]*Table11234[[#This Row],[h (mm)]]^2</f>
        <v>21237634.943999995</v>
      </c>
      <c r="AA21" s="110">
        <f>Table11234[[#This Row],[b (mm)]]</f>
        <v>228.6</v>
      </c>
      <c r="AB21" s="110">
        <f>Table11234[[#This Row],[a]]/Table11234[[#This Row],[h (mm)]]</f>
        <v>2</v>
      </c>
      <c r="AC21" s="110">
        <f>Table11234[[#This Row],[h (mm)]]</f>
        <v>304.79999999999995</v>
      </c>
      <c r="AD21" s="110">
        <f t="shared" si="4"/>
        <v>609.59999999999991</v>
      </c>
      <c r="AE21" s="110">
        <f t="shared" si="5"/>
        <v>266.7</v>
      </c>
      <c r="AF21" s="110">
        <f t="shared" si="6"/>
        <v>304.79999999999995</v>
      </c>
      <c r="AG21" s="134">
        <f t="shared" si="7"/>
        <v>228.6</v>
      </c>
      <c r="AH21" s="7">
        <v>33.78</v>
      </c>
      <c r="AI21" s="110">
        <f>Table11234[[#This Row],[pho (%)]]/100*Table11234[[#This Row],[b (mm)]]*Table11234[[#This Row],[h (mm)]]</f>
        <v>383.22503999999998</v>
      </c>
      <c r="AJ21" s="135">
        <v>0.55000000000000004</v>
      </c>
      <c r="AK21" s="110">
        <v>629</v>
      </c>
      <c r="AL21" s="132">
        <f>(1/3-0.21*(MIN(Table11234[[#This Row],[b (mm)]],AF21)/MAX(Table11234[[#This Row],[b (mm)]],AF21))*(MIN(Table11234[[#This Row],[b (mm)]],AF21)^4/(12*MAX(Table11234[[#This Row],[b (mm)]],AF21)^4)))*MAX(Table11234[[#This Row],[b (mm)]],AF21)*MIN(Table11234[[#This Row],[b (mm)]],AF21)^3</f>
        <v>1198609576.1573534</v>
      </c>
      <c r="AM21" s="132">
        <f>Table11234[[#This Row],[b (mm)]]*AF21^3/12</f>
        <v>539435927.57759976</v>
      </c>
      <c r="AN21" s="132">
        <f t="shared" si="8"/>
        <v>1984.375</v>
      </c>
      <c r="AO21" s="106"/>
      <c r="AP21" s="128"/>
      <c r="AQ21" s="106"/>
      <c r="AR21"/>
    </row>
    <row r="22" spans="1:44" s="129" customFormat="1" x14ac:dyDescent="0.3">
      <c r="A22" s="116" t="s">
        <v>71</v>
      </c>
      <c r="B22" s="110" t="s">
        <v>67</v>
      </c>
      <c r="C22" s="110">
        <v>37</v>
      </c>
      <c r="D22" s="110">
        <f>Table11234[[#This Row],[a (mm)]]/Table11234[[#This Row],[d (mm)]]</f>
        <v>2.2857142857142856</v>
      </c>
      <c r="E22" s="110">
        <v>97.856000000000009</v>
      </c>
      <c r="F22" s="127">
        <f>Table11234[[#This Row],[d (mm)]]</f>
        <v>266.7</v>
      </c>
      <c r="G22" s="110">
        <f t="shared" si="0"/>
        <v>59653.017599999999</v>
      </c>
      <c r="H22" s="110">
        <f t="shared" si="1"/>
        <v>4.1988452392926827E-6</v>
      </c>
      <c r="I22" s="110">
        <f>G22/(Table11234[[#This Row],[b (mm)]]*Table11234[[#This Row],[h]]^2)</f>
        <v>2.8088352473001248E-3</v>
      </c>
      <c r="J22" s="110">
        <f t="shared" si="2"/>
        <v>0.9279079131336484</v>
      </c>
      <c r="K22" s="110">
        <f t="shared" si="3"/>
        <v>2.6000402324584658E-6</v>
      </c>
      <c r="L22" s="132">
        <f>E22/(Table11234[[#This Row],[b (mm)]]*AE22)</f>
        <v>1.6050487127429285E-3</v>
      </c>
      <c r="M22" s="132">
        <f>Table11234[[#This Row],[M (KN.mm)]]/(Table11234[[#This Row],[b (mm)]]*Table11234[[#This Row],[d (mm)]])</f>
        <v>0.9784376952880891</v>
      </c>
      <c r="N22" s="132">
        <f>Table11234[[#This Row],[M (KN.mm)]]/(Table11234[[#This Row],[b (mm)]]*Table11234[[#This Row],[h (mm)]])</f>
        <v>0.85613298337707799</v>
      </c>
      <c r="O22" s="133">
        <f>Table11234[[#This Row],[M (KN.mm)]]/(Table11234[[#This Row],[b (mm)]]*Table11234[[#This Row],[h (mm)]]*Table11234[[#This Row],[L(mm)]])</f>
        <v>4.3143709398529915E-4</v>
      </c>
      <c r="P22" s="133">
        <f>Table11234[[#This Row],[M (KN.mm)]]/(Table11234[[#This Row],[b (mm)]]*Table11234[[#This Row],[d (mm)]]*Table11234[[#This Row],[L(mm)]])</f>
        <v>4.9307096455462754E-4</v>
      </c>
      <c r="Q22" s="133">
        <f>Table11234[[#This Row],[M (KN.mm)]]/(Table11234[[#This Row],[b (mm)]]*Table11234[[#This Row],[h (mm)]]*Table11234[[#This Row],[L(mm)]]*Table11234[[#This Row],[fc (Mpa)]])</f>
        <v>1.2771968442430407E-5</v>
      </c>
      <c r="R22" s="133">
        <f>Table11234[[#This Row],[M (KN.mm)]]/(Table11234[[#This Row],[b (mm)]]*Table11234[[#This Row],[h (mm)]]*Table11234[[#This Row],[L(mm)]]/2)</f>
        <v>8.6287418797059831E-4</v>
      </c>
      <c r="S22" s="133">
        <f>Table11234[[#This Row],[M (KN.mm)]]/(Table11234[[#This Row],[a (mm)]]*Table11234[[#This Row],[b (mm)]]*Table11234[[#This Row],[h (mm)]]*Table11234[[#This Row],[L(mm)]]/2)</f>
        <v>1.4154760301354962E-6</v>
      </c>
      <c r="T22" s="133">
        <f>Table11234[[#This Row],[M (KN.mm)]]/(Table11234[[#This Row],[a (mm)]]^2*Table11234[[#This Row],[b (mm)]]*Table11234[[#This Row],[h (mm)]])</f>
        <v>2.3038346844653259E-6</v>
      </c>
      <c r="U22" s="133">
        <f>Table11234[[#This Row],[M (KN.mm)]]/(Table11234[[#This Row],[b (mm)]]*Table11234[[#This Row],[d (mm)]]*Table11234[[#This Row],[pho (%)]])</f>
        <v>1.7789776277965255</v>
      </c>
      <c r="V22" s="110">
        <f>E22*224.8/(2*SQRT(Table11234[[#This Row],[fc (Mpa)]]*145.037)*Table11234[[#This Row],[b (mm)]]*Table11234[[#This Row],[d (mm)]]*(1/25.4)^2)</f>
        <v>1.6628487008637678</v>
      </c>
      <c r="W22" s="110">
        <f>Table11234[[#This Row],[M (KN.mm)]]/$G$22</f>
        <v>1</v>
      </c>
      <c r="X22" s="110">
        <f>Table11234[[#This Row],[V/(2*sqrt(fc) bd)]]</f>
        <v>1.6628487008637678</v>
      </c>
      <c r="Y22" s="110">
        <f>Table11234[[#This Row],[a (mm)]]</f>
        <v>609.59999999999991</v>
      </c>
      <c r="Z22" s="110">
        <f>Table11234[[#This Row],[width]]*Table11234[[#This Row],[h (mm)]]^2</f>
        <v>21237634.943999995</v>
      </c>
      <c r="AA22" s="110">
        <f>Table11234[[#This Row],[b (mm)]]</f>
        <v>228.6</v>
      </c>
      <c r="AB22" s="110">
        <f>Table11234[[#This Row],[a]]/Table11234[[#This Row],[h (mm)]]</f>
        <v>2</v>
      </c>
      <c r="AC22" s="110">
        <f>Table11234[[#This Row],[h (mm)]]</f>
        <v>304.79999999999995</v>
      </c>
      <c r="AD22" s="110">
        <f t="shared" si="4"/>
        <v>609.59999999999991</v>
      </c>
      <c r="AE22" s="110">
        <f t="shared" si="5"/>
        <v>266.7</v>
      </c>
      <c r="AF22" s="110">
        <f t="shared" si="6"/>
        <v>304.79999999999995</v>
      </c>
      <c r="AG22" s="134">
        <f t="shared" si="7"/>
        <v>228.6</v>
      </c>
      <c r="AH22" s="7">
        <v>33.78</v>
      </c>
      <c r="AI22" s="110">
        <f>Table11234[[#This Row],[pho (%)]]/100*Table11234[[#This Row],[b (mm)]]*Table11234[[#This Row],[h (mm)]]</f>
        <v>383.22503999999998</v>
      </c>
      <c r="AJ22" s="135">
        <v>0.55000000000000004</v>
      </c>
      <c r="AK22" s="110">
        <v>629</v>
      </c>
      <c r="AL22" s="132">
        <f>(1/3-0.21*(MIN(Table11234[[#This Row],[b (mm)]],AF22)/MAX(Table11234[[#This Row],[b (mm)]],AF22))*(MIN(Table11234[[#This Row],[b (mm)]],AF22)^4/(12*MAX(Table11234[[#This Row],[b (mm)]],AF22)^4)))*MAX(Table11234[[#This Row],[b (mm)]],AF22)*MIN(Table11234[[#This Row],[b (mm)]],AF22)^3</f>
        <v>1198609576.1573534</v>
      </c>
      <c r="AM22" s="132">
        <f>Table11234[[#This Row],[b (mm)]]*AF22^3/12</f>
        <v>539435927.57759976</v>
      </c>
      <c r="AN22" s="132">
        <f t="shared" si="8"/>
        <v>1984.375</v>
      </c>
      <c r="AO22" s="106"/>
      <c r="AP22" s="106"/>
      <c r="AQ22" s="106"/>
      <c r="AR22"/>
    </row>
    <row r="23" spans="1:44" s="129" customFormat="1" x14ac:dyDescent="0.3">
      <c r="A23" s="117" t="s">
        <v>72</v>
      </c>
      <c r="B23" s="110" t="s">
        <v>60</v>
      </c>
      <c r="C23" s="110">
        <v>38</v>
      </c>
      <c r="D23" s="110">
        <f>Table11234[[#This Row],[a (mm)]]/Table11234[[#This Row],[d (mm)]]</f>
        <v>2.2857142857142856</v>
      </c>
      <c r="E23" s="110">
        <v>40.699200000000005</v>
      </c>
      <c r="F23" s="127">
        <f>Table11234[[#This Row],[d (mm)]]</f>
        <v>266.7</v>
      </c>
      <c r="G23" s="110">
        <f t="shared" si="0"/>
        <v>24810.232319999999</v>
      </c>
      <c r="H23" s="110">
        <f t="shared" si="1"/>
        <v>1.7463379063421841E-6</v>
      </c>
      <c r="I23" s="110">
        <f>G23/(Table11234[[#This Row],[b (mm)]]*Table11234[[#This Row],[h]]^2)</f>
        <v>1.1682201142180066E-3</v>
      </c>
      <c r="J23" s="110">
        <f t="shared" si="2"/>
        <v>0.38592533659876743</v>
      </c>
      <c r="K23" s="110">
        <f t="shared" si="3"/>
        <v>1.0813803694088619E-6</v>
      </c>
      <c r="L23" s="132">
        <f>E23/(Table11234[[#This Row],[b (mm)]]*AE23)</f>
        <v>6.6755435098171797E-4</v>
      </c>
      <c r="M23" s="132">
        <f>Table11234[[#This Row],[M (KN.mm)]]/(Table11234[[#This Row],[b (mm)]]*Table11234[[#This Row],[d (mm)]])</f>
        <v>0.40694113235845519</v>
      </c>
      <c r="N23" s="132">
        <f>Table11234[[#This Row],[M (KN.mm)]]/(Table11234[[#This Row],[b (mm)]]*Table11234[[#This Row],[h (mm)]])</f>
        <v>0.35607349081364836</v>
      </c>
      <c r="O23" s="133">
        <f>Table11234[[#This Row],[M (KN.mm)]]/(Table11234[[#This Row],[b (mm)]]*Table11234[[#This Row],[h (mm)]]*Table11234[[#This Row],[L(mm)]])</f>
        <v>1.794386095438858E-4</v>
      </c>
      <c r="P23" s="133">
        <f>Table11234[[#This Row],[M (KN.mm)]]/(Table11234[[#This Row],[b (mm)]]*Table11234[[#This Row],[d (mm)]]*Table11234[[#This Row],[L(mm)]])</f>
        <v>2.0507269662158373E-4</v>
      </c>
      <c r="Q23" s="133">
        <f>Table11234[[#This Row],[M (KN.mm)]]/(Table11234[[#This Row],[b (mm)]]*Table11234[[#This Row],[h (mm)]]*Table11234[[#This Row],[L(mm)]]*Table11234[[#This Row],[fc (Mpa)]])</f>
        <v>5.5382286896261047E-6</v>
      </c>
      <c r="R23" s="133">
        <f>Table11234[[#This Row],[M (KN.mm)]]/(Table11234[[#This Row],[b (mm)]]*Table11234[[#This Row],[h (mm)]]*Table11234[[#This Row],[L(mm)]]/2)</f>
        <v>3.5887721908777159E-4</v>
      </c>
      <c r="S23" s="133">
        <f>Table11234[[#This Row],[M (KN.mm)]]/(Table11234[[#This Row],[a (mm)]]*Table11234[[#This Row],[b (mm)]]*Table11234[[#This Row],[h (mm)]]*Table11234[[#This Row],[L(mm)]]/2)</f>
        <v>5.8870934889726317E-7</v>
      </c>
      <c r="T23" s="133">
        <f>Table11234[[#This Row],[M (KN.mm)]]/(Table11234[[#This Row],[a (mm)]]^2*Table11234[[#This Row],[b (mm)]]*Table11234[[#This Row],[h (mm)]])</f>
        <v>9.5818578922080603E-7</v>
      </c>
      <c r="U23" s="133">
        <f>Table11234[[#This Row],[M (KN.mm)]]/(Table11234[[#This Row],[b (mm)]]*Table11234[[#This Row],[d (mm)]]*Table11234[[#This Row],[pho (%)]])</f>
        <v>0.73989296792446402</v>
      </c>
      <c r="V23" s="110">
        <f>E23*224.8/(2*SQRT(Table11234[[#This Row],[fc (Mpa)]]*145.037)*Table11234[[#This Row],[b (mm)]]*Table11234[[#This Row],[d (mm)]]*(1/25.4)^2)</f>
        <v>0.70616870342260918</v>
      </c>
      <c r="W23" s="110">
        <f>Table11234[[#This Row],[M (KN.mm)]]/$G$29</f>
        <v>0.46923076923076928</v>
      </c>
      <c r="X23" s="110">
        <f>Table11234[[#This Row],[V/(2*sqrt(fc) bd)]]</f>
        <v>0.70616870342260918</v>
      </c>
      <c r="Y23" s="110">
        <f>Table11234[[#This Row],[a (mm)]]</f>
        <v>609.59999999999991</v>
      </c>
      <c r="Z23" s="110">
        <f>Table11234[[#This Row],[width]]*Table11234[[#This Row],[h (mm)]]^2</f>
        <v>21237634.943999995</v>
      </c>
      <c r="AA23" s="110">
        <f>Table11234[[#This Row],[b (mm)]]</f>
        <v>228.6</v>
      </c>
      <c r="AB23" s="110">
        <f>Table11234[[#This Row],[a]]/Table11234[[#This Row],[h (mm)]]</f>
        <v>2</v>
      </c>
      <c r="AC23" s="110">
        <f>Table11234[[#This Row],[h (mm)]]</f>
        <v>304.79999999999995</v>
      </c>
      <c r="AD23" s="110">
        <f t="shared" si="4"/>
        <v>609.59999999999991</v>
      </c>
      <c r="AE23" s="110">
        <f t="shared" si="5"/>
        <v>266.7</v>
      </c>
      <c r="AF23" s="110">
        <f t="shared" si="6"/>
        <v>304.79999999999995</v>
      </c>
      <c r="AG23" s="134">
        <f t="shared" si="7"/>
        <v>228.6</v>
      </c>
      <c r="AH23" s="7">
        <v>32.4</v>
      </c>
      <c r="AI23" s="110">
        <f>Table11234[[#This Row],[pho (%)]]/100*Table11234[[#This Row],[b (mm)]]*Table11234[[#This Row],[h (mm)]]</f>
        <v>383.22503999999998</v>
      </c>
      <c r="AJ23" s="135">
        <v>0.55000000000000004</v>
      </c>
      <c r="AK23" s="110">
        <v>629</v>
      </c>
      <c r="AL23" s="132">
        <f>(1/3-0.21*(MIN(Table11234[[#This Row],[b (mm)]],AF23)/MAX(Table11234[[#This Row],[b (mm)]],AF23))*(MIN(Table11234[[#This Row],[b (mm)]],AF23)^4/(12*MAX(Table11234[[#This Row],[b (mm)]],AF23)^4)))*MAX(Table11234[[#This Row],[b (mm)]],AF23)*MIN(Table11234[[#This Row],[b (mm)]],AF23)^3</f>
        <v>1198609576.1573534</v>
      </c>
      <c r="AM23" s="132">
        <f>Table11234[[#This Row],[b (mm)]]*AF23^3/12</f>
        <v>539435927.57759976</v>
      </c>
      <c r="AN23" s="132">
        <f t="shared" si="8"/>
        <v>1984.375</v>
      </c>
      <c r="AO23" s="106"/>
      <c r="AP23" s="106"/>
      <c r="AQ23" s="106"/>
      <c r="AR23"/>
    </row>
    <row r="24" spans="1:44" s="129" customFormat="1" x14ac:dyDescent="0.3">
      <c r="A24" s="117" t="s">
        <v>72</v>
      </c>
      <c r="B24" s="110" t="s">
        <v>61</v>
      </c>
      <c r="C24" s="110">
        <v>39</v>
      </c>
      <c r="D24" s="110">
        <f>Table11234[[#This Row],[a (mm)]]/Table11234[[#This Row],[d (mm)]]</f>
        <v>2.2857142857142856</v>
      </c>
      <c r="E24" s="110">
        <v>47.371200000000009</v>
      </c>
      <c r="F24" s="127">
        <f>Table11234[[#This Row],[d (mm)]]</f>
        <v>266.7</v>
      </c>
      <c r="G24" s="110">
        <f t="shared" si="0"/>
        <v>28877.483520000002</v>
      </c>
      <c r="H24" s="110">
        <f t="shared" si="1"/>
        <v>2.0326228090212307E-6</v>
      </c>
      <c r="I24" s="110">
        <f>G24/(Table11234[[#This Row],[b (mm)]]*Table11234[[#This Row],[h]]^2)</f>
        <v>1.359731608352106E-3</v>
      </c>
      <c r="J24" s="110">
        <f t="shared" si="2"/>
        <v>0.4491917852215162</v>
      </c>
      <c r="K24" s="110">
        <f t="shared" si="3"/>
        <v>1.2586558398037573E-6</v>
      </c>
      <c r="L24" s="132">
        <f>E24/(Table11234[[#This Row],[b (mm)]]*AE24)</f>
        <v>7.7698949048691764E-4</v>
      </c>
      <c r="M24" s="132">
        <f>Table11234[[#This Row],[M (KN.mm)]]/(Table11234[[#This Row],[b (mm)]]*Table11234[[#This Row],[d (mm)]])</f>
        <v>0.47365279340082495</v>
      </c>
      <c r="N24" s="132">
        <f>Table11234[[#This Row],[M (KN.mm)]]/(Table11234[[#This Row],[b (mm)]]*Table11234[[#This Row],[h (mm)]])</f>
        <v>0.41444619422572188</v>
      </c>
      <c r="O24" s="133">
        <f>Table11234[[#This Row],[M (KN.mm)]]/(Table11234[[#This Row],[b (mm)]]*Table11234[[#This Row],[h (mm)]]*Table11234[[#This Row],[L(mm)]])</f>
        <v>2.0885477504288349E-4</v>
      </c>
      <c r="P24" s="133">
        <f>Table11234[[#This Row],[M (KN.mm)]]/(Table11234[[#This Row],[b (mm)]]*Table11234[[#This Row],[d (mm)]]*Table11234[[#This Row],[L(mm)]])</f>
        <v>2.386911714775811E-4</v>
      </c>
      <c r="Q24" s="133">
        <f>Table11234[[#This Row],[M (KN.mm)]]/(Table11234[[#This Row],[b (mm)]]*Table11234[[#This Row],[h (mm)]]*Table11234[[#This Row],[L(mm)]]*Table11234[[#This Row],[fc (Mpa)]])</f>
        <v>6.4461350321877618E-6</v>
      </c>
      <c r="R24" s="133">
        <f>Table11234[[#This Row],[M (KN.mm)]]/(Table11234[[#This Row],[b (mm)]]*Table11234[[#This Row],[h (mm)]]*Table11234[[#This Row],[L(mm)]]/2)</f>
        <v>4.1770955008576697E-4</v>
      </c>
      <c r="S24" s="133">
        <f>Table11234[[#This Row],[M (KN.mm)]]/(Table11234[[#This Row],[a (mm)]]*Table11234[[#This Row],[b (mm)]]*Table11234[[#This Row],[h (mm)]]*Table11234[[#This Row],[L(mm)]]/2)</f>
        <v>6.8521907822468341E-7</v>
      </c>
      <c r="T24" s="133">
        <f>Table11234[[#This Row],[M (KN.mm)]]/(Table11234[[#This Row],[a (mm)]]^2*Table11234[[#This Row],[b (mm)]]*Table11234[[#This Row],[h (mm)]])</f>
        <v>1.1152654267979875E-6</v>
      </c>
      <c r="U24" s="133">
        <f>Table11234[[#This Row],[M (KN.mm)]]/(Table11234[[#This Row],[b (mm)]]*Table11234[[#This Row],[d (mm)]]*Table11234[[#This Row],[pho (%)]])</f>
        <v>0.86118689709240903</v>
      </c>
      <c r="V24" s="110">
        <f>E24*224.8/(2*SQRT(Table11234[[#This Row],[fc (Mpa)]]*145.037)*Table11234[[#This Row],[b (mm)]]*Table11234[[#This Row],[d (mm)]]*(1/25.4)^2)</f>
        <v>0.82193406463943042</v>
      </c>
      <c r="W24" s="110">
        <f>Table11234[[#This Row],[M (KN.mm)]]/$G$29</f>
        <v>0.54615384615384632</v>
      </c>
      <c r="X24" s="110">
        <f>Table11234[[#This Row],[V/(2*sqrt(fc) bd)]]</f>
        <v>0.82193406463943042</v>
      </c>
      <c r="Y24" s="110">
        <f>Table11234[[#This Row],[a (mm)]]</f>
        <v>609.59999999999991</v>
      </c>
      <c r="Z24" s="110">
        <f>Table11234[[#This Row],[width]]*Table11234[[#This Row],[h (mm)]]^2</f>
        <v>21237634.943999995</v>
      </c>
      <c r="AA24" s="110">
        <f>Table11234[[#This Row],[b (mm)]]</f>
        <v>228.6</v>
      </c>
      <c r="AB24" s="110">
        <f>Table11234[[#This Row],[a]]/Table11234[[#This Row],[h (mm)]]</f>
        <v>2</v>
      </c>
      <c r="AC24" s="110">
        <f>Table11234[[#This Row],[h (mm)]]</f>
        <v>304.79999999999995</v>
      </c>
      <c r="AD24" s="110">
        <f t="shared" si="4"/>
        <v>609.59999999999991</v>
      </c>
      <c r="AE24" s="110">
        <f t="shared" si="5"/>
        <v>266.7</v>
      </c>
      <c r="AF24" s="110">
        <f t="shared" si="6"/>
        <v>304.79999999999995</v>
      </c>
      <c r="AG24" s="134">
        <f t="shared" si="7"/>
        <v>228.6</v>
      </c>
      <c r="AH24" s="7">
        <v>32.4</v>
      </c>
      <c r="AI24" s="110">
        <f>Table11234[[#This Row],[pho (%)]]/100*Table11234[[#This Row],[b (mm)]]*Table11234[[#This Row],[h (mm)]]</f>
        <v>383.22503999999998</v>
      </c>
      <c r="AJ24" s="135">
        <v>0.55000000000000004</v>
      </c>
      <c r="AK24" s="110">
        <v>629</v>
      </c>
      <c r="AL24" s="132">
        <f>(1/3-0.21*(MIN(Table11234[[#This Row],[b (mm)]],AF24)/MAX(Table11234[[#This Row],[b (mm)]],AF24))*(MIN(Table11234[[#This Row],[b (mm)]],AF24)^4/(12*MAX(Table11234[[#This Row],[b (mm)]],AF24)^4)))*MAX(Table11234[[#This Row],[b (mm)]],AF24)*MIN(Table11234[[#This Row],[b (mm)]],AF24)^3</f>
        <v>1198609576.1573534</v>
      </c>
      <c r="AM24" s="132">
        <f>Table11234[[#This Row],[b (mm)]]*AF24^3/12</f>
        <v>539435927.57759976</v>
      </c>
      <c r="AN24" s="132">
        <f t="shared" si="8"/>
        <v>1984.375</v>
      </c>
      <c r="AO24" s="106"/>
      <c r="AP24" s="106"/>
      <c r="AQ24" s="106"/>
      <c r="AR24"/>
    </row>
    <row r="25" spans="1:44" s="129" customFormat="1" x14ac:dyDescent="0.3">
      <c r="A25" s="117" t="s">
        <v>72</v>
      </c>
      <c r="B25" s="110" t="s">
        <v>62</v>
      </c>
      <c r="C25" s="110">
        <v>40</v>
      </c>
      <c r="D25" s="110">
        <f>Table11234[[#This Row],[a (mm)]]/Table11234[[#This Row],[d (mm)]]</f>
        <v>2.2857142857142856</v>
      </c>
      <c r="E25" s="110">
        <v>54.265599999999999</v>
      </c>
      <c r="F25" s="127">
        <f>Table11234[[#This Row],[d (mm)]]</f>
        <v>266.7</v>
      </c>
      <c r="G25" s="110">
        <f t="shared" si="0"/>
        <v>33080.309759999996</v>
      </c>
      <c r="H25" s="110">
        <f t="shared" si="1"/>
        <v>2.3284505417895786E-6</v>
      </c>
      <c r="I25" s="110">
        <f>G25/(Table11234[[#This Row],[b (mm)]]*Table11234[[#This Row],[h]]^2)</f>
        <v>1.5576268189573419E-3</v>
      </c>
      <c r="J25" s="110">
        <f t="shared" si="2"/>
        <v>0.50770622059215609</v>
      </c>
      <c r="K25" s="110">
        <f t="shared" si="3"/>
        <v>1.441840492545149E-6</v>
      </c>
      <c r="L25" s="132">
        <f>E25/(Table11234[[#This Row],[b (mm)]]*AE25)</f>
        <v>8.9007246797562385E-4</v>
      </c>
      <c r="M25" s="132">
        <f>Table11234[[#This Row],[M (KN.mm)]]/(Table11234[[#This Row],[b (mm)]]*Table11234[[#This Row],[d (mm)]])</f>
        <v>0.54258817647794022</v>
      </c>
      <c r="N25" s="132">
        <f>Table11234[[#This Row],[M (KN.mm)]]/(Table11234[[#This Row],[b (mm)]]*Table11234[[#This Row],[h (mm)]])</f>
        <v>0.47476465441819776</v>
      </c>
      <c r="O25" s="133">
        <f>Table11234[[#This Row],[M (KN.mm)]]/(Table11234[[#This Row],[b (mm)]]*Table11234[[#This Row],[h (mm)]]*Table11234[[#This Row],[L(mm)]])</f>
        <v>2.392514793918477E-4</v>
      </c>
      <c r="P25" s="133">
        <f>Table11234[[#This Row],[M (KN.mm)]]/(Table11234[[#This Row],[b (mm)]]*Table11234[[#This Row],[d (mm)]]*Table11234[[#This Row],[L(mm)]])</f>
        <v>2.7343026216211164E-4</v>
      </c>
      <c r="Q25" s="133">
        <f>Table11234[[#This Row],[M (KN.mm)]]/(Table11234[[#This Row],[b (mm)]]*Table11234[[#This Row],[h (mm)]]*Table11234[[#This Row],[L(mm)]]*Table11234[[#This Row],[fc (Mpa)]])</f>
        <v>7.3843049195014718E-6</v>
      </c>
      <c r="R25" s="133">
        <f>Table11234[[#This Row],[M (KN.mm)]]/(Table11234[[#This Row],[b (mm)]]*Table11234[[#This Row],[h (mm)]]*Table11234[[#This Row],[L(mm)]]/2)</f>
        <v>4.785029587836954E-4</v>
      </c>
      <c r="S25" s="133">
        <f>Table11234[[#This Row],[M (KN.mm)]]/(Table11234[[#This Row],[a (mm)]]*Table11234[[#This Row],[b (mm)]]*Table11234[[#This Row],[h (mm)]]*Table11234[[#This Row],[L(mm)]]/2)</f>
        <v>7.8494579852968411E-7</v>
      </c>
      <c r="T25" s="133">
        <f>Table11234[[#This Row],[M (KN.mm)]]/(Table11234[[#This Row],[a (mm)]]^2*Table11234[[#This Row],[b (mm)]]*Table11234[[#This Row],[h (mm)]])</f>
        <v>1.2775810522944078E-6</v>
      </c>
      <c r="U25" s="133">
        <f>Table11234[[#This Row],[M (KN.mm)]]/(Table11234[[#This Row],[b (mm)]]*Table11234[[#This Row],[d (mm)]]*Table11234[[#This Row],[pho (%)]])</f>
        <v>0.98652395723261854</v>
      </c>
      <c r="V25" s="110">
        <f>E25*224.8/(2*SQRT(Table11234[[#This Row],[fc (Mpa)]]*145.037)*Table11234[[#This Row],[b (mm)]]*Table11234[[#This Row],[d (mm)]]*(1/25.4)^2)</f>
        <v>0.94155827123014546</v>
      </c>
      <c r="W25" s="110">
        <f>Table11234[[#This Row],[M (KN.mm)]]/$G$29</f>
        <v>0.62564102564102564</v>
      </c>
      <c r="X25" s="110">
        <f>Table11234[[#This Row],[V/(2*sqrt(fc) bd)]]</f>
        <v>0.94155827123014546</v>
      </c>
      <c r="Y25" s="110">
        <f>Table11234[[#This Row],[a (mm)]]</f>
        <v>609.59999999999991</v>
      </c>
      <c r="Z25" s="110">
        <f>Table11234[[#This Row],[width]]*Table11234[[#This Row],[h (mm)]]^2</f>
        <v>21237634.943999995</v>
      </c>
      <c r="AA25" s="110">
        <f>Table11234[[#This Row],[b (mm)]]</f>
        <v>228.6</v>
      </c>
      <c r="AB25" s="110">
        <f>Table11234[[#This Row],[a]]/Table11234[[#This Row],[h (mm)]]</f>
        <v>2</v>
      </c>
      <c r="AC25" s="110">
        <f>Table11234[[#This Row],[h (mm)]]</f>
        <v>304.79999999999995</v>
      </c>
      <c r="AD25" s="110">
        <f t="shared" si="4"/>
        <v>609.59999999999991</v>
      </c>
      <c r="AE25" s="110">
        <f t="shared" si="5"/>
        <v>266.7</v>
      </c>
      <c r="AF25" s="110">
        <f t="shared" si="6"/>
        <v>304.79999999999995</v>
      </c>
      <c r="AG25" s="134">
        <f t="shared" si="7"/>
        <v>228.6</v>
      </c>
      <c r="AH25" s="7">
        <v>32.4</v>
      </c>
      <c r="AI25" s="110">
        <f>Table11234[[#This Row],[pho (%)]]/100*Table11234[[#This Row],[b (mm)]]*Table11234[[#This Row],[h (mm)]]</f>
        <v>383.22503999999998</v>
      </c>
      <c r="AJ25" s="135">
        <v>0.55000000000000004</v>
      </c>
      <c r="AK25" s="110">
        <v>637.5</v>
      </c>
      <c r="AL25" s="132">
        <f>(1/3-0.21*(MIN(Table11234[[#This Row],[b (mm)]],AF25)/MAX(Table11234[[#This Row],[b (mm)]],AF25))*(MIN(Table11234[[#This Row],[b (mm)]],AF25)^4/(12*MAX(Table11234[[#This Row],[b (mm)]],AF25)^4)))*MAX(Table11234[[#This Row],[b (mm)]],AF25)*MIN(Table11234[[#This Row],[b (mm)]],AF25)^3</f>
        <v>1198609576.1573534</v>
      </c>
      <c r="AM25" s="132">
        <f>Table11234[[#This Row],[b (mm)]]*AF25^3/12</f>
        <v>539435927.57759976</v>
      </c>
      <c r="AN25" s="132">
        <f t="shared" si="8"/>
        <v>1984.375</v>
      </c>
      <c r="AO25" s="106"/>
      <c r="AP25" s="106"/>
      <c r="AQ25" s="106"/>
      <c r="AR25"/>
    </row>
    <row r="26" spans="1:44" s="129" customFormat="1" x14ac:dyDescent="0.3">
      <c r="A26" s="117" t="s">
        <v>72</v>
      </c>
      <c r="B26" s="110" t="s">
        <v>63</v>
      </c>
      <c r="C26" s="110">
        <v>41</v>
      </c>
      <c r="D26" s="110">
        <f>Table11234[[#This Row],[a (mm)]]/Table11234[[#This Row],[d (mm)]]</f>
        <v>2.2857142857142856</v>
      </c>
      <c r="E26" s="110">
        <v>60.937600000000003</v>
      </c>
      <c r="F26" s="127">
        <f>Table11234[[#This Row],[d (mm)]]</f>
        <v>266.7</v>
      </c>
      <c r="G26" s="110">
        <f t="shared" si="0"/>
        <v>37147.560959999995</v>
      </c>
      <c r="H26" s="110">
        <f t="shared" si="1"/>
        <v>2.6147354444686252E-6</v>
      </c>
      <c r="I26" s="110">
        <f>G26/(Table11234[[#This Row],[b (mm)]]*Table11234[[#This Row],[h]]^2)</f>
        <v>1.7491383130914411E-3</v>
      </c>
      <c r="J26" s="110">
        <f t="shared" si="2"/>
        <v>0.57012911656660159</v>
      </c>
      <c r="K26" s="110">
        <f t="shared" si="3"/>
        <v>1.6191159629400445E-6</v>
      </c>
      <c r="L26" s="132">
        <f>E26/(Table11234[[#This Row],[b (mm)]]*AE26)</f>
        <v>9.9950760748082363E-4</v>
      </c>
      <c r="M26" s="132">
        <f>Table11234[[#This Row],[M (KN.mm)]]/(Table11234[[#This Row],[b (mm)]]*Table11234[[#This Row],[d (mm)]])</f>
        <v>0.60929983752030992</v>
      </c>
      <c r="N26" s="132">
        <f>Table11234[[#This Row],[M (KN.mm)]]/(Table11234[[#This Row],[b (mm)]]*Table11234[[#This Row],[h (mm)]])</f>
        <v>0.53313735783027127</v>
      </c>
      <c r="O26" s="133">
        <f>Table11234[[#This Row],[M (KN.mm)]]/(Table11234[[#This Row],[b (mm)]]*Table11234[[#This Row],[h (mm)]]*Table11234[[#This Row],[L(mm)]])</f>
        <v>2.6866764489084536E-4</v>
      </c>
      <c r="P26" s="133">
        <f>Table11234[[#This Row],[M (KN.mm)]]/(Table11234[[#This Row],[b (mm)]]*Table11234[[#This Row],[d (mm)]]*Table11234[[#This Row],[L(mm)]])</f>
        <v>3.0704873701810896E-4</v>
      </c>
      <c r="Q26" s="133">
        <f>Table11234[[#This Row],[M (KN.mm)]]/(Table11234[[#This Row],[b (mm)]]*Table11234[[#This Row],[h (mm)]]*Table11234[[#This Row],[L(mm)]]*Table11234[[#This Row],[fc (Mpa)]])</f>
        <v>8.2922112620631289E-6</v>
      </c>
      <c r="R26" s="133">
        <f>Table11234[[#This Row],[M (KN.mm)]]/(Table11234[[#This Row],[b (mm)]]*Table11234[[#This Row],[h (mm)]]*Table11234[[#This Row],[L(mm)]]/2)</f>
        <v>5.3733528978169073E-4</v>
      </c>
      <c r="S26" s="133">
        <f>Table11234[[#This Row],[M (KN.mm)]]/(Table11234[[#This Row],[a (mm)]]*Table11234[[#This Row],[b (mm)]]*Table11234[[#This Row],[h (mm)]]*Table11234[[#This Row],[L(mm)]]/2)</f>
        <v>8.8145552785710436E-7</v>
      </c>
      <c r="T26" s="133">
        <f>Table11234[[#This Row],[M (KN.mm)]]/(Table11234[[#This Row],[a (mm)]]^2*Table11234[[#This Row],[b (mm)]]*Table11234[[#This Row],[h (mm)]])</f>
        <v>1.4346606898715891E-6</v>
      </c>
      <c r="U26" s="133">
        <f>Table11234[[#This Row],[M (KN.mm)]]/(Table11234[[#This Row],[b (mm)]]*Table11234[[#This Row],[d (mm)]]*Table11234[[#This Row],[pho (%)]])</f>
        <v>1.1078178864005634</v>
      </c>
      <c r="V26" s="110">
        <f>E26*224.8/(2*SQRT(Table11234[[#This Row],[fc (Mpa)]]*145.037)*Table11234[[#This Row],[b (mm)]]*Table11234[[#This Row],[d (mm)]]*(1/25.4)^2)</f>
        <v>1.0573236324469666</v>
      </c>
      <c r="W26" s="110">
        <f>Table11234[[#This Row],[M (KN.mm)]]/$G$29</f>
        <v>0.70256410256410262</v>
      </c>
      <c r="X26" s="110">
        <f>Table11234[[#This Row],[V/(2*sqrt(fc) bd)]]</f>
        <v>1.0573236324469666</v>
      </c>
      <c r="Y26" s="110">
        <f>Table11234[[#This Row],[a (mm)]]</f>
        <v>609.59999999999991</v>
      </c>
      <c r="Z26" s="110">
        <f>Table11234[[#This Row],[width]]*Table11234[[#This Row],[h (mm)]]^2</f>
        <v>21237634.943999995</v>
      </c>
      <c r="AA26" s="110">
        <f>Table11234[[#This Row],[b (mm)]]</f>
        <v>228.6</v>
      </c>
      <c r="AB26" s="110">
        <f>Table11234[[#This Row],[a]]/Table11234[[#This Row],[h (mm)]]</f>
        <v>2</v>
      </c>
      <c r="AC26" s="110">
        <f>Table11234[[#This Row],[h (mm)]]</f>
        <v>304.79999999999995</v>
      </c>
      <c r="AD26" s="110">
        <f t="shared" si="4"/>
        <v>609.59999999999991</v>
      </c>
      <c r="AE26" s="110">
        <f t="shared" si="5"/>
        <v>266.7</v>
      </c>
      <c r="AF26" s="110">
        <f t="shared" si="6"/>
        <v>304.79999999999995</v>
      </c>
      <c r="AG26" s="134">
        <f t="shared" si="7"/>
        <v>228.6</v>
      </c>
      <c r="AH26" s="7">
        <v>32.4</v>
      </c>
      <c r="AI26" s="110">
        <f>Table11234[[#This Row],[pho (%)]]/100*Table11234[[#This Row],[b (mm)]]*Table11234[[#This Row],[h (mm)]]</f>
        <v>383.22503999999998</v>
      </c>
      <c r="AJ26" s="135">
        <v>0.55000000000000004</v>
      </c>
      <c r="AK26" s="110">
        <v>637.5</v>
      </c>
      <c r="AL26" s="132">
        <f>(1/3-0.21*(MIN(Table11234[[#This Row],[b (mm)]],AF26)/MAX(Table11234[[#This Row],[b (mm)]],AF26))*(MIN(Table11234[[#This Row],[b (mm)]],AF26)^4/(12*MAX(Table11234[[#This Row],[b (mm)]],AF26)^4)))*MAX(Table11234[[#This Row],[b (mm)]],AF26)*MIN(Table11234[[#This Row],[b (mm)]],AF26)^3</f>
        <v>1198609576.1573534</v>
      </c>
      <c r="AM26" s="132">
        <f>Table11234[[#This Row],[b (mm)]]*AF26^3/12</f>
        <v>539435927.57759976</v>
      </c>
      <c r="AN26" s="132">
        <f t="shared" si="8"/>
        <v>1984.375</v>
      </c>
      <c r="AO26" s="106"/>
      <c r="AP26" s="106"/>
      <c r="AQ26" s="106"/>
      <c r="AR26"/>
    </row>
    <row r="27" spans="1:44" s="129" customFormat="1" x14ac:dyDescent="0.3">
      <c r="A27" s="117" t="s">
        <v>72</v>
      </c>
      <c r="B27" s="110" t="s">
        <v>64</v>
      </c>
      <c r="C27" s="110">
        <v>42</v>
      </c>
      <c r="D27" s="110">
        <f>Table11234[[#This Row],[a (mm)]]/Table11234[[#This Row],[d (mm)]]</f>
        <v>2.2857142857142856</v>
      </c>
      <c r="E27" s="110">
        <v>67.832000000000008</v>
      </c>
      <c r="F27" s="127">
        <f>Table11234[[#This Row],[d (mm)]]</f>
        <v>266.7</v>
      </c>
      <c r="G27" s="110">
        <f t="shared" si="0"/>
        <v>41350.387199999997</v>
      </c>
      <c r="H27" s="110">
        <f t="shared" si="1"/>
        <v>2.9105631772369734E-6</v>
      </c>
      <c r="I27" s="110">
        <f>G27/(Table11234[[#This Row],[b (mm)]]*Table11234[[#This Row],[h]]^2)</f>
        <v>1.9470335236966773E-3</v>
      </c>
      <c r="J27" s="110">
        <f t="shared" si="2"/>
        <v>0.63463277574019517</v>
      </c>
      <c r="K27" s="110">
        <f t="shared" si="3"/>
        <v>1.8023006156814364E-6</v>
      </c>
      <c r="L27" s="132">
        <f>E27/(Table11234[[#This Row],[b (mm)]]*AE27)</f>
        <v>1.11259058496953E-3</v>
      </c>
      <c r="M27" s="132">
        <f>Table11234[[#This Row],[M (KN.mm)]]/(Table11234[[#This Row],[b (mm)]]*Table11234[[#This Row],[d (mm)]])</f>
        <v>0.67823522059742536</v>
      </c>
      <c r="N27" s="132">
        <f>Table11234[[#This Row],[M (KN.mm)]]/(Table11234[[#This Row],[b (mm)]]*Table11234[[#This Row],[h (mm)]])</f>
        <v>0.59345581802274727</v>
      </c>
      <c r="O27" s="133">
        <f>Table11234[[#This Row],[M (KN.mm)]]/(Table11234[[#This Row],[b (mm)]]*Table11234[[#This Row],[h (mm)]]*Table11234[[#This Row],[L(mm)]])</f>
        <v>2.9906434923980963E-4</v>
      </c>
      <c r="P27" s="133">
        <f>Table11234[[#This Row],[M (KN.mm)]]/(Table11234[[#This Row],[b (mm)]]*Table11234[[#This Row],[d (mm)]]*Table11234[[#This Row],[L(mm)]])</f>
        <v>3.4178782770263953E-4</v>
      </c>
      <c r="Q27" s="133">
        <f>Table11234[[#This Row],[M (KN.mm)]]/(Table11234[[#This Row],[b (mm)]]*Table11234[[#This Row],[h (mm)]]*Table11234[[#This Row],[L(mm)]]*Table11234[[#This Row],[fc (Mpa)]])</f>
        <v>9.2303811493768406E-6</v>
      </c>
      <c r="R27" s="133">
        <f>Table11234[[#This Row],[M (KN.mm)]]/(Table11234[[#This Row],[b (mm)]]*Table11234[[#This Row],[h (mm)]]*Table11234[[#This Row],[L(mm)]]/2)</f>
        <v>5.9812869847961927E-4</v>
      </c>
      <c r="S27" s="133">
        <f>Table11234[[#This Row],[M (KN.mm)]]/(Table11234[[#This Row],[a (mm)]]*Table11234[[#This Row],[b (mm)]]*Table11234[[#This Row],[h (mm)]]*Table11234[[#This Row],[L(mm)]]/2)</f>
        <v>9.8118224816210517E-7</v>
      </c>
      <c r="T27" s="133">
        <f>Table11234[[#This Row],[M (KN.mm)]]/(Table11234[[#This Row],[a (mm)]]^2*Table11234[[#This Row],[b (mm)]]*Table11234[[#This Row],[h (mm)]])</f>
        <v>1.5969763153680101E-6</v>
      </c>
      <c r="U27" s="133">
        <f>Table11234[[#This Row],[M (KN.mm)]]/(Table11234[[#This Row],[b (mm)]]*Table11234[[#This Row],[d (mm)]]*Table11234[[#This Row],[pho (%)]])</f>
        <v>1.2331549465407732</v>
      </c>
      <c r="V27" s="110">
        <f>E27*224.8/(2*SQRT(Table11234[[#This Row],[fc (Mpa)]]*145.037)*Table11234[[#This Row],[b (mm)]]*Table11234[[#This Row],[d (mm)]]*(1/25.4)^2)</f>
        <v>1.176947839037682</v>
      </c>
      <c r="W27" s="110">
        <f>Table11234[[#This Row],[M (KN.mm)]]/$G$29</f>
        <v>0.78205128205128216</v>
      </c>
      <c r="X27" s="110">
        <f>Table11234[[#This Row],[V/(2*sqrt(fc) bd)]]</f>
        <v>1.176947839037682</v>
      </c>
      <c r="Y27" s="110">
        <f>Table11234[[#This Row],[a (mm)]]</f>
        <v>609.59999999999991</v>
      </c>
      <c r="Z27" s="110">
        <f>Table11234[[#This Row],[width]]*Table11234[[#This Row],[h (mm)]]^2</f>
        <v>21237634.943999995</v>
      </c>
      <c r="AA27" s="110">
        <f>Table11234[[#This Row],[b (mm)]]</f>
        <v>228.6</v>
      </c>
      <c r="AB27" s="110">
        <f>Table11234[[#This Row],[a]]/Table11234[[#This Row],[h (mm)]]</f>
        <v>2</v>
      </c>
      <c r="AC27" s="110">
        <f>Table11234[[#This Row],[h (mm)]]</f>
        <v>304.79999999999995</v>
      </c>
      <c r="AD27" s="110">
        <f t="shared" si="4"/>
        <v>609.59999999999991</v>
      </c>
      <c r="AE27" s="110">
        <f t="shared" si="5"/>
        <v>266.7</v>
      </c>
      <c r="AF27" s="110">
        <f t="shared" si="6"/>
        <v>304.79999999999995</v>
      </c>
      <c r="AG27" s="134">
        <f t="shared" si="7"/>
        <v>228.6</v>
      </c>
      <c r="AH27" s="7">
        <v>32.4</v>
      </c>
      <c r="AI27" s="110">
        <f>Table11234[[#This Row],[pho (%)]]/100*Table11234[[#This Row],[b (mm)]]*Table11234[[#This Row],[h (mm)]]</f>
        <v>383.22503999999998</v>
      </c>
      <c r="AJ27" s="135">
        <v>0.55000000000000004</v>
      </c>
      <c r="AK27" s="110">
        <v>637.5</v>
      </c>
      <c r="AL27" s="132">
        <f>(1/3-0.21*(MIN(Table11234[[#This Row],[b (mm)]],AF27)/MAX(Table11234[[#This Row],[b (mm)]],AF27))*(MIN(Table11234[[#This Row],[b (mm)]],AF27)^4/(12*MAX(Table11234[[#This Row],[b (mm)]],AF27)^4)))*MAX(Table11234[[#This Row],[b (mm)]],AF27)*MIN(Table11234[[#This Row],[b (mm)]],AF27)^3</f>
        <v>1198609576.1573534</v>
      </c>
      <c r="AM27" s="132">
        <f>Table11234[[#This Row],[b (mm)]]*AF27^3/12</f>
        <v>539435927.57759976</v>
      </c>
      <c r="AN27" s="132">
        <f t="shared" si="8"/>
        <v>1984.375</v>
      </c>
      <c r="AO27" s="106"/>
      <c r="AP27" s="106"/>
      <c r="AQ27" s="106"/>
      <c r="AR27"/>
    </row>
    <row r="28" spans="1:44" s="129" customFormat="1" x14ac:dyDescent="0.3">
      <c r="A28" s="117" t="s">
        <v>72</v>
      </c>
      <c r="B28" s="110" t="s">
        <v>65</v>
      </c>
      <c r="C28" s="110">
        <v>43</v>
      </c>
      <c r="D28" s="110">
        <f>Table11234[[#This Row],[a (mm)]]/Table11234[[#This Row],[d (mm)]]</f>
        <v>2.2857142857142856</v>
      </c>
      <c r="E28" s="110">
        <v>78.952000000000012</v>
      </c>
      <c r="F28" s="127">
        <f>Table11234[[#This Row],[d (mm)]]</f>
        <v>266.7</v>
      </c>
      <c r="G28" s="110">
        <f t="shared" si="0"/>
        <v>48129.139199999998</v>
      </c>
      <c r="H28" s="110">
        <f t="shared" si="1"/>
        <v>3.3877046817020511E-6</v>
      </c>
      <c r="I28" s="110">
        <f>G28/(Table11234[[#This Row],[b (mm)]]*Table11234[[#This Row],[h]]^2)</f>
        <v>2.2662193472535097E-3</v>
      </c>
      <c r="J28" s="110">
        <f t="shared" si="2"/>
        <v>0.73867093569760423</v>
      </c>
      <c r="K28" s="110">
        <f t="shared" si="3"/>
        <v>2.0977597330062621E-6</v>
      </c>
      <c r="L28" s="132">
        <f>E28/(Table11234[[#This Row],[b (mm)]]*AE28)</f>
        <v>1.2949824841448627E-3</v>
      </c>
      <c r="M28" s="132">
        <f>Table11234[[#This Row],[M (KN.mm)]]/(Table11234[[#This Row],[b (mm)]]*Table11234[[#This Row],[d (mm)]])</f>
        <v>0.78942132233470819</v>
      </c>
      <c r="N28" s="132">
        <f>Table11234[[#This Row],[M (KN.mm)]]/(Table11234[[#This Row],[b (mm)]]*Table11234[[#This Row],[h (mm)]])</f>
        <v>0.69074365704286977</v>
      </c>
      <c r="O28" s="133">
        <f>Table11234[[#This Row],[M (KN.mm)]]/(Table11234[[#This Row],[b (mm)]]*Table11234[[#This Row],[h (mm)]]*Table11234[[#This Row],[L(mm)]])</f>
        <v>3.480912917381391E-4</v>
      </c>
      <c r="P28" s="133">
        <f>Table11234[[#This Row],[M (KN.mm)]]/(Table11234[[#This Row],[b (mm)]]*Table11234[[#This Row],[d (mm)]]*Table11234[[#This Row],[L(mm)]])</f>
        <v>3.9781861912930179E-4</v>
      </c>
      <c r="Q28" s="133">
        <f>Table11234[[#This Row],[M (KN.mm)]]/(Table11234[[#This Row],[b (mm)]]*Table11234[[#This Row],[h (mm)]]*Table11234[[#This Row],[L(mm)]]*Table11234[[#This Row],[fc (Mpa)]])</f>
        <v>1.0743558386979601E-5</v>
      </c>
      <c r="R28" s="133">
        <f>Table11234[[#This Row],[M (KN.mm)]]/(Table11234[[#This Row],[b (mm)]]*Table11234[[#This Row],[h (mm)]]*Table11234[[#This Row],[L(mm)]]/2)</f>
        <v>6.9618258347627819E-4</v>
      </c>
      <c r="S28" s="133">
        <f>Table11234[[#This Row],[M (KN.mm)]]/(Table11234[[#This Row],[a (mm)]]*Table11234[[#This Row],[b (mm)]]*Table11234[[#This Row],[h (mm)]]*Table11234[[#This Row],[L(mm)]]/2)</f>
        <v>1.142031797041139E-6</v>
      </c>
      <c r="T28" s="133">
        <f>Table11234[[#This Row],[M (KN.mm)]]/(Table11234[[#This Row],[a (mm)]]^2*Table11234[[#This Row],[b (mm)]]*Table11234[[#This Row],[h (mm)]])</f>
        <v>1.8587757113299788E-6</v>
      </c>
      <c r="U28" s="133">
        <f>Table11234[[#This Row],[M (KN.mm)]]/(Table11234[[#This Row],[b (mm)]]*Table11234[[#This Row],[d (mm)]]*Table11234[[#This Row],[pho (%)]])</f>
        <v>1.4353114951540149</v>
      </c>
      <c r="V28" s="110">
        <f>E28*224.8/(2*SQRT(Table11234[[#This Row],[fc (Mpa)]]*145.037)*Table11234[[#This Row],[b (mm)]]*Table11234[[#This Row],[d (mm)]]*(1/25.4)^2)</f>
        <v>1.369890107732384</v>
      </c>
      <c r="W28" s="110">
        <f>Table11234[[#This Row],[M (KN.mm)]]/$G$29</f>
        <v>0.91025641025641035</v>
      </c>
      <c r="X28" s="110">
        <f>Table11234[[#This Row],[V/(2*sqrt(fc) bd)]]</f>
        <v>1.369890107732384</v>
      </c>
      <c r="Y28" s="110">
        <f>Table11234[[#This Row],[a (mm)]]</f>
        <v>609.59999999999991</v>
      </c>
      <c r="Z28" s="110">
        <f>Table11234[[#This Row],[width]]*Table11234[[#This Row],[h (mm)]]^2</f>
        <v>21237634.943999995</v>
      </c>
      <c r="AA28" s="110">
        <f>Table11234[[#This Row],[b (mm)]]</f>
        <v>228.6</v>
      </c>
      <c r="AB28" s="110">
        <f>Table11234[[#This Row],[a]]/Table11234[[#This Row],[h (mm)]]</f>
        <v>2</v>
      </c>
      <c r="AC28" s="110">
        <f>Table11234[[#This Row],[h (mm)]]</f>
        <v>304.79999999999995</v>
      </c>
      <c r="AD28" s="110">
        <f t="shared" si="4"/>
        <v>609.59999999999991</v>
      </c>
      <c r="AE28" s="110">
        <f t="shared" si="5"/>
        <v>266.7</v>
      </c>
      <c r="AF28" s="110">
        <f t="shared" si="6"/>
        <v>304.79999999999995</v>
      </c>
      <c r="AG28" s="134">
        <f t="shared" si="7"/>
        <v>228.6</v>
      </c>
      <c r="AH28" s="7">
        <v>32.4</v>
      </c>
      <c r="AI28" s="110">
        <f>Table11234[[#This Row],[pho (%)]]/100*Table11234[[#This Row],[b (mm)]]*Table11234[[#This Row],[h (mm)]]</f>
        <v>383.22503999999998</v>
      </c>
      <c r="AJ28" s="135">
        <v>0.55000000000000004</v>
      </c>
      <c r="AK28" s="110">
        <v>637.5</v>
      </c>
      <c r="AL28" s="132">
        <f>(1/3-0.21*(MIN(Table11234[[#This Row],[b (mm)]],AF28)/MAX(Table11234[[#This Row],[b (mm)]],AF28))*(MIN(Table11234[[#This Row],[b (mm)]],AF28)^4/(12*MAX(Table11234[[#This Row],[b (mm)]],AF28)^4)))*MAX(Table11234[[#This Row],[b (mm)]],AF28)*MIN(Table11234[[#This Row],[b (mm)]],AF28)^3</f>
        <v>1198609576.1573534</v>
      </c>
      <c r="AM28" s="132">
        <f>Table11234[[#This Row],[b (mm)]]*AF28^3/12</f>
        <v>539435927.57759976</v>
      </c>
      <c r="AN28" s="132">
        <f t="shared" si="8"/>
        <v>1984.375</v>
      </c>
      <c r="AO28" s="106"/>
      <c r="AP28" s="106"/>
      <c r="AQ28" s="106"/>
      <c r="AR28"/>
    </row>
    <row r="29" spans="1:44" s="129" customFormat="1" x14ac:dyDescent="0.3">
      <c r="A29" s="118" t="s">
        <v>72</v>
      </c>
      <c r="B29" s="110" t="s">
        <v>66</v>
      </c>
      <c r="C29" s="110">
        <v>44</v>
      </c>
      <c r="D29" s="110">
        <f>Table11234[[#This Row],[a (mm)]]/Table11234[[#This Row],[d (mm)]]</f>
        <v>2.2857142857142856</v>
      </c>
      <c r="E29" s="110">
        <v>86.736000000000004</v>
      </c>
      <c r="F29" s="127">
        <f>Table11234[[#This Row],[d (mm)]]</f>
        <v>266.7</v>
      </c>
      <c r="G29" s="110">
        <f t="shared" si="0"/>
        <v>52874.265599999992</v>
      </c>
      <c r="H29" s="110">
        <f t="shared" si="1"/>
        <v>3.7217037348276051E-6</v>
      </c>
      <c r="I29" s="110">
        <f>G29/(Table11234[[#This Row],[b (mm)]]*Table11234[[#This Row],[h]]^2)</f>
        <v>2.4896494237432922E-3</v>
      </c>
      <c r="J29" s="110">
        <f t="shared" si="2"/>
        <v>0.81149764766779053</v>
      </c>
      <c r="K29" s="110">
        <f t="shared" si="3"/>
        <v>2.3045811151336399E-6</v>
      </c>
      <c r="L29" s="132">
        <f>E29/(Table11234[[#This Row],[b (mm)]]*AE29)</f>
        <v>1.4226568135675955E-3</v>
      </c>
      <c r="M29" s="132">
        <f>Table11234[[#This Row],[M (KN.mm)]]/(Table11234[[#This Row],[b (mm)]]*Table11234[[#This Row],[d (mm)]])</f>
        <v>0.86725159355080605</v>
      </c>
      <c r="N29" s="132">
        <f>Table11234[[#This Row],[M (KN.mm)]]/(Table11234[[#This Row],[b (mm)]]*Table11234[[#This Row],[h (mm)]])</f>
        <v>0.75884514435695538</v>
      </c>
      <c r="O29" s="133">
        <f>Table11234[[#This Row],[M (KN.mm)]]/(Table11234[[#This Row],[b (mm)]]*Table11234[[#This Row],[h (mm)]]*Table11234[[#This Row],[L(mm)]])</f>
        <v>3.8241015148696964E-4</v>
      </c>
      <c r="P29" s="133">
        <f>Table11234[[#This Row],[M (KN.mm)]]/(Table11234[[#This Row],[b (mm)]]*Table11234[[#This Row],[d (mm)]]*Table11234[[#This Row],[L(mm)]])</f>
        <v>4.3704017312796528E-4</v>
      </c>
      <c r="Q29" s="133">
        <f>Table11234[[#This Row],[M (KN.mm)]]/(Table11234[[#This Row],[b (mm)]]*Table11234[[#This Row],[h (mm)]]*Table11234[[#This Row],[L(mm)]]*Table11234[[#This Row],[fc (Mpa)]])</f>
        <v>1.1802782453301532E-5</v>
      </c>
      <c r="R29" s="133">
        <f>Table11234[[#This Row],[M (KN.mm)]]/(Table11234[[#This Row],[b (mm)]]*Table11234[[#This Row],[h (mm)]]*Table11234[[#This Row],[L(mm)]]/2)</f>
        <v>7.6482030297393927E-4</v>
      </c>
      <c r="S29" s="133">
        <f>Table11234[[#This Row],[M (KN.mm)]]/(Table11234[[#This Row],[a (mm)]]*Table11234[[#This Row],[b (mm)]]*Table11234[[#This Row],[h (mm)]]*Table11234[[#This Row],[L(mm)]]/2)</f>
        <v>1.2546264812564624E-6</v>
      </c>
      <c r="T29" s="133">
        <f>Table11234[[#This Row],[M (KN.mm)]]/(Table11234[[#This Row],[a (mm)]]^2*Table11234[[#This Row],[b (mm)]]*Table11234[[#This Row],[h (mm)]])</f>
        <v>2.0420352885033567E-6</v>
      </c>
      <c r="U29" s="133">
        <f>Table11234[[#This Row],[M (KN.mm)]]/(Table11234[[#This Row],[b (mm)]]*Table11234[[#This Row],[d (mm)]]*Table11234[[#This Row],[pho (%)]])</f>
        <v>1.5768210791832837</v>
      </c>
      <c r="V29" s="110">
        <f>E29*224.8/(2*SQRT(Table11234[[#This Row],[fc (Mpa)]]*145.037)*Table11234[[#This Row],[b (mm)]]*Table11234[[#This Row],[d (mm)]]*(1/25.4)^2)</f>
        <v>1.5049496958186752</v>
      </c>
      <c r="W29" s="110">
        <f>Table11234[[#This Row],[M (KN.mm)]]/$G$29</f>
        <v>1</v>
      </c>
      <c r="X29" s="110">
        <f>Table11234[[#This Row],[V/(2*sqrt(fc) bd)]]</f>
        <v>1.5049496958186752</v>
      </c>
      <c r="Y29" s="110">
        <f>Table11234[[#This Row],[a (mm)]]</f>
        <v>609.59999999999991</v>
      </c>
      <c r="Z29" s="110">
        <f>Table11234[[#This Row],[width]]*Table11234[[#This Row],[h (mm)]]^2</f>
        <v>21237634.943999995</v>
      </c>
      <c r="AA29" s="110">
        <f>Table11234[[#This Row],[b (mm)]]</f>
        <v>228.6</v>
      </c>
      <c r="AB29" s="110">
        <f>Table11234[[#This Row],[a]]/Table11234[[#This Row],[h (mm)]]</f>
        <v>2</v>
      </c>
      <c r="AC29" s="110">
        <f>Table11234[[#This Row],[h (mm)]]</f>
        <v>304.79999999999995</v>
      </c>
      <c r="AD29" s="110">
        <f t="shared" si="4"/>
        <v>609.59999999999991</v>
      </c>
      <c r="AE29" s="110">
        <f t="shared" si="5"/>
        <v>266.7</v>
      </c>
      <c r="AF29" s="110">
        <f t="shared" si="6"/>
        <v>304.79999999999995</v>
      </c>
      <c r="AG29" s="134">
        <f t="shared" si="7"/>
        <v>228.6</v>
      </c>
      <c r="AH29" s="7">
        <v>32.4</v>
      </c>
      <c r="AI29" s="110">
        <f>Table11234[[#This Row],[pho (%)]]/100*Table11234[[#This Row],[b (mm)]]*Table11234[[#This Row],[h (mm)]]</f>
        <v>383.22503999999998</v>
      </c>
      <c r="AJ29" s="135">
        <v>0.55000000000000004</v>
      </c>
      <c r="AK29" s="110">
        <v>637.5</v>
      </c>
      <c r="AL29" s="132">
        <f>(1/3-0.21*(MIN(Table11234[[#This Row],[b (mm)]],AF29)/MAX(Table11234[[#This Row],[b (mm)]],AF29))*(MIN(Table11234[[#This Row],[b (mm)]],AF29)^4/(12*MAX(Table11234[[#This Row],[b (mm)]],AF29)^4)))*MAX(Table11234[[#This Row],[b (mm)]],AF29)*MIN(Table11234[[#This Row],[b (mm)]],AF29)^3</f>
        <v>1198609576.1573534</v>
      </c>
      <c r="AM29" s="132">
        <f>Table11234[[#This Row],[b (mm)]]*AF29^3/12</f>
        <v>539435927.57759976</v>
      </c>
      <c r="AN29" s="132">
        <f t="shared" si="8"/>
        <v>1984.375</v>
      </c>
      <c r="AO29" s="106"/>
      <c r="AP29" s="106"/>
      <c r="AQ29" s="106"/>
      <c r="AR29"/>
    </row>
    <row r="30" spans="1:44" s="129" customFormat="1" x14ac:dyDescent="0.3">
      <c r="A30" s="119" t="s">
        <v>73</v>
      </c>
      <c r="B30" s="110" t="s">
        <v>60</v>
      </c>
      <c r="C30" s="110">
        <v>45</v>
      </c>
      <c r="D30" s="110">
        <f>Table11234[[#This Row],[a (mm)]]/Table11234[[#This Row],[d (mm)]]</f>
        <v>2.2857142857142856</v>
      </c>
      <c r="E30" s="110">
        <v>34.027200000000008</v>
      </c>
      <c r="F30" s="127">
        <f>Table11234[[#This Row],[d (mm)]]</f>
        <v>266.7</v>
      </c>
      <c r="G30" s="110">
        <f t="shared" si="0"/>
        <v>20742.98112</v>
      </c>
      <c r="H30" s="110">
        <f t="shared" si="1"/>
        <v>1.4600530036631375E-6</v>
      </c>
      <c r="I30" s="110">
        <f>G30/(Table11234[[#This Row],[b (mm)]]*Table11234[[#This Row],[h]]^2)</f>
        <v>9.7670862008390714E-4</v>
      </c>
      <c r="J30" s="110">
        <f t="shared" si="2"/>
        <v>0.31686563705997772</v>
      </c>
      <c r="K30" s="110">
        <f t="shared" si="3"/>
        <v>9.0410489901396666E-7</v>
      </c>
      <c r="L30" s="132">
        <f>E30/(Table11234[[#This Row],[b (mm)]]*AE30)</f>
        <v>5.5811921147651841E-4</v>
      </c>
      <c r="M30" s="132">
        <f>Table11234[[#This Row],[M (KN.mm)]]/(Table11234[[#This Row],[b (mm)]]*Table11234[[#This Row],[d (mm)]])</f>
        <v>0.3402294713160855</v>
      </c>
      <c r="N30" s="132">
        <f>Table11234[[#This Row],[M (KN.mm)]]/(Table11234[[#This Row],[b (mm)]]*Table11234[[#This Row],[h (mm)]])</f>
        <v>0.29770078740157485</v>
      </c>
      <c r="O30" s="133">
        <f>Table11234[[#This Row],[M (KN.mm)]]/(Table11234[[#This Row],[b (mm)]]*Table11234[[#This Row],[h (mm)]]*Table11234[[#This Row],[L(mm)]])</f>
        <v>1.5002244404488813E-4</v>
      </c>
      <c r="P30" s="133">
        <f>Table11234[[#This Row],[M (KN.mm)]]/(Table11234[[#This Row],[b (mm)]]*Table11234[[#This Row],[d (mm)]]*Table11234[[#This Row],[L(mm)]])</f>
        <v>1.7145422176558642E-4</v>
      </c>
      <c r="Q30" s="133">
        <f>Table11234[[#This Row],[M (KN.mm)]]/(Table11234[[#This Row],[b (mm)]]*Table11234[[#This Row],[h (mm)]]*Table11234[[#This Row],[L(mm)]]*Table11234[[#This Row],[fc (Mpa)]])</f>
        <v>8.0657227981122645E-6</v>
      </c>
      <c r="R30" s="133">
        <f>Table11234[[#This Row],[M (KN.mm)]]/(Table11234[[#This Row],[b (mm)]]*Table11234[[#This Row],[h (mm)]]*Table11234[[#This Row],[L(mm)]]/2)</f>
        <v>3.0004488808977627E-4</v>
      </c>
      <c r="S30" s="133">
        <f>Table11234[[#This Row],[M (KN.mm)]]/(Table11234[[#This Row],[a (mm)]]*Table11234[[#This Row],[b (mm)]]*Table11234[[#This Row],[h (mm)]]*Table11234[[#This Row],[L(mm)]]/2)</f>
        <v>4.9219961956984302E-7</v>
      </c>
      <c r="T30" s="133">
        <f>Table11234[[#This Row],[M (KN.mm)]]/(Table11234[[#This Row],[a (mm)]]^2*Table11234[[#This Row],[b (mm)]]*Table11234[[#This Row],[h (mm)]])</f>
        <v>8.0110615164362478E-7</v>
      </c>
      <c r="U30" s="133">
        <f>Table11234[[#This Row],[M (KN.mm)]]/(Table11234[[#This Row],[b (mm)]]*Table11234[[#This Row],[d (mm)]]*Table11234[[#This Row],[pho (%)]])</f>
        <v>0.61859903875651912</v>
      </c>
      <c r="V30" s="110">
        <f>E30*224.8/(2*SQRT(Table11234[[#This Row],[fc (Mpa)]]*145.037)*Table11234[[#This Row],[b (mm)]]*Table11234[[#This Row],[d (mm)]]*(1/25.4)^2)</f>
        <v>0.77922852150099264</v>
      </c>
      <c r="W30" s="110">
        <f>Table11234[[#This Row],[M (KN.mm)]]/$G$33</f>
        <v>0.69545454545454544</v>
      </c>
      <c r="X30" s="110">
        <f>Table11234[[#This Row],[V/(2*sqrt(fc) bd)]]</f>
        <v>0.77922852150099264</v>
      </c>
      <c r="Y30" s="110">
        <f>Table11234[[#This Row],[a (mm)]]</f>
        <v>609.59999999999991</v>
      </c>
      <c r="Z30" s="110">
        <f>Table11234[[#This Row],[width]]*Table11234[[#This Row],[h (mm)]]^2</f>
        <v>21237634.943999995</v>
      </c>
      <c r="AA30" s="110">
        <f>Table11234[[#This Row],[b (mm)]]</f>
        <v>228.6</v>
      </c>
      <c r="AB30" s="110">
        <f>Table11234[[#This Row],[a]]/Table11234[[#This Row],[h (mm)]]</f>
        <v>2</v>
      </c>
      <c r="AC30" s="110">
        <f>Table11234[[#This Row],[h (mm)]]</f>
        <v>304.79999999999995</v>
      </c>
      <c r="AD30" s="110">
        <f t="shared" si="4"/>
        <v>609.59999999999991</v>
      </c>
      <c r="AE30" s="110">
        <f t="shared" si="5"/>
        <v>266.7</v>
      </c>
      <c r="AF30" s="110">
        <f t="shared" si="6"/>
        <v>304.79999999999995</v>
      </c>
      <c r="AG30" s="134">
        <f t="shared" si="7"/>
        <v>228.6</v>
      </c>
      <c r="AH30" s="7">
        <v>18.600000000000001</v>
      </c>
      <c r="AI30" s="110">
        <f>Table11234[[#This Row],[pho (%)]]/100*Table11234[[#This Row],[b (mm)]]*Table11234[[#This Row],[h (mm)]]</f>
        <v>383.22503999999998</v>
      </c>
      <c r="AJ30" s="135">
        <v>0.55000000000000004</v>
      </c>
      <c r="AK30" s="110">
        <v>640.5</v>
      </c>
      <c r="AL30" s="132">
        <f>(1/3-0.21*(MIN(Table11234[[#This Row],[b (mm)]],AF30)/MAX(Table11234[[#This Row],[b (mm)]],AF30))*(MIN(Table11234[[#This Row],[b (mm)]],AF30)^4/(12*MAX(Table11234[[#This Row],[b (mm)]],AF30)^4)))*MAX(Table11234[[#This Row],[b (mm)]],AF30)*MIN(Table11234[[#This Row],[b (mm)]],AF30)^3</f>
        <v>1198609576.1573534</v>
      </c>
      <c r="AM30" s="132">
        <f>Table11234[[#This Row],[b (mm)]]*AF30^3/12</f>
        <v>539435927.57759976</v>
      </c>
      <c r="AN30" s="132">
        <f t="shared" si="8"/>
        <v>1984.375</v>
      </c>
      <c r="AO30" s="106"/>
      <c r="AP30" s="106"/>
      <c r="AQ30" s="106"/>
      <c r="AR30"/>
    </row>
    <row r="31" spans="1:44" x14ac:dyDescent="0.3">
      <c r="A31" s="119" t="s">
        <v>73</v>
      </c>
      <c r="B31" s="110" t="s">
        <v>61</v>
      </c>
      <c r="C31" s="110">
        <v>46</v>
      </c>
      <c r="D31" s="110">
        <f>Table11234[[#This Row],[a (mm)]]/Table11234[[#This Row],[d (mm)]]</f>
        <v>2.2857142857142856</v>
      </c>
      <c r="E31" s="110">
        <v>40.699200000000005</v>
      </c>
      <c r="F31" s="127">
        <f>Table11234[[#This Row],[d (mm)]]</f>
        <v>266.7</v>
      </c>
      <c r="G31" s="110">
        <f t="shared" si="0"/>
        <v>24810.232319999999</v>
      </c>
      <c r="H31" s="110">
        <f t="shared" si="1"/>
        <v>1.7463379063421841E-6</v>
      </c>
      <c r="I31" s="110">
        <f>G31/(Table11234[[#This Row],[b (mm)]]*Table11234[[#This Row],[h]]^2)</f>
        <v>1.1682201142180066E-3</v>
      </c>
      <c r="J31" s="110">
        <f t="shared" si="2"/>
        <v>0.37899615413056154</v>
      </c>
      <c r="K31" s="110">
        <f t="shared" si="3"/>
        <v>1.0813803694088619E-6</v>
      </c>
      <c r="L31" s="132">
        <f>E31/(Table11234[[#This Row],[b (mm)]]*AE31)</f>
        <v>6.6755435098171797E-4</v>
      </c>
      <c r="M31" s="132">
        <f>Table11234[[#This Row],[M (KN.mm)]]/(Table11234[[#This Row],[b (mm)]]*Table11234[[#This Row],[d (mm)]])</f>
        <v>0.40694113235845519</v>
      </c>
      <c r="N31" s="132">
        <f>Table11234[[#This Row],[M (KN.mm)]]/(Table11234[[#This Row],[b (mm)]]*Table11234[[#This Row],[h (mm)]])</f>
        <v>0.35607349081364836</v>
      </c>
      <c r="O31" s="133">
        <f>Table11234[[#This Row],[M (KN.mm)]]/(Table11234[[#This Row],[b (mm)]]*Table11234[[#This Row],[h (mm)]]*Table11234[[#This Row],[L(mm)]])</f>
        <v>1.794386095438858E-4</v>
      </c>
      <c r="P31" s="133">
        <f>Table11234[[#This Row],[M (KN.mm)]]/(Table11234[[#This Row],[b (mm)]]*Table11234[[#This Row],[d (mm)]]*Table11234[[#This Row],[L(mm)]])</f>
        <v>2.0507269662158373E-4</v>
      </c>
      <c r="Q31" s="133">
        <f>Table11234[[#This Row],[M (KN.mm)]]/(Table11234[[#This Row],[b (mm)]]*Table11234[[#This Row],[h (mm)]]*Table11234[[#This Row],[L(mm)]]*Table11234[[#This Row],[fc (Mpa)]])</f>
        <v>9.6472370722519232E-6</v>
      </c>
      <c r="R31" s="133">
        <f>Table11234[[#This Row],[M (KN.mm)]]/(Table11234[[#This Row],[b (mm)]]*Table11234[[#This Row],[h (mm)]]*Table11234[[#This Row],[L(mm)]]/2)</f>
        <v>3.5887721908777159E-4</v>
      </c>
      <c r="S31" s="133">
        <f>Table11234[[#This Row],[M (KN.mm)]]/(Table11234[[#This Row],[a (mm)]]*Table11234[[#This Row],[b (mm)]]*Table11234[[#This Row],[h (mm)]]*Table11234[[#This Row],[L(mm)]]/2)</f>
        <v>5.8870934889726317E-7</v>
      </c>
      <c r="T31" s="133">
        <f>Table11234[[#This Row],[M (KN.mm)]]/(Table11234[[#This Row],[a (mm)]]^2*Table11234[[#This Row],[b (mm)]]*Table11234[[#This Row],[h (mm)]])</f>
        <v>9.5818578922080603E-7</v>
      </c>
      <c r="U31" s="133">
        <f>Table11234[[#This Row],[M (KN.mm)]]/(Table11234[[#This Row],[b (mm)]]*Table11234[[#This Row],[d (mm)]]*Table11234[[#This Row],[pho (%)]])</f>
        <v>0.73989296792446402</v>
      </c>
      <c r="V31" s="110">
        <f>E31*224.8/(2*SQRT(Table11234[[#This Row],[fc (Mpa)]]*145.037)*Table11234[[#This Row],[b (mm)]]*Table11234[[#This Row],[d (mm)]]*(1/25.4)^2)</f>
        <v>0.93201842767765775</v>
      </c>
      <c r="W31" s="110">
        <f>Table11234[[#This Row],[M (KN.mm)]]/$G$33</f>
        <v>0.83181818181818179</v>
      </c>
      <c r="X31" s="110">
        <f>Table11234[[#This Row],[V/(2*sqrt(fc) bd)]]</f>
        <v>0.93201842767765775</v>
      </c>
      <c r="Y31" s="110">
        <f>Table11234[[#This Row],[a (mm)]]</f>
        <v>609.59999999999991</v>
      </c>
      <c r="Z31" s="110">
        <f>Table11234[[#This Row],[width]]*Table11234[[#This Row],[h (mm)]]^2</f>
        <v>21237634.943999995</v>
      </c>
      <c r="AA31" s="110">
        <f>Table11234[[#This Row],[b (mm)]]</f>
        <v>228.6</v>
      </c>
      <c r="AB31" s="110">
        <f>Table11234[[#This Row],[a]]/Table11234[[#This Row],[h (mm)]]</f>
        <v>2</v>
      </c>
      <c r="AC31" s="110">
        <f>Table11234[[#This Row],[h (mm)]]</f>
        <v>304.79999999999995</v>
      </c>
      <c r="AD31" s="110">
        <f t="shared" si="4"/>
        <v>609.59999999999991</v>
      </c>
      <c r="AE31" s="110">
        <f t="shared" si="5"/>
        <v>266.7</v>
      </c>
      <c r="AF31" s="110">
        <f t="shared" si="6"/>
        <v>304.79999999999995</v>
      </c>
      <c r="AG31" s="134">
        <f t="shared" si="7"/>
        <v>228.6</v>
      </c>
      <c r="AH31" s="7">
        <v>18.600000000000001</v>
      </c>
      <c r="AI31" s="110">
        <f>Table11234[[#This Row],[pho (%)]]/100*Table11234[[#This Row],[b (mm)]]*Table11234[[#This Row],[h (mm)]]</f>
        <v>383.22503999999998</v>
      </c>
      <c r="AJ31" s="135">
        <v>0.55000000000000004</v>
      </c>
      <c r="AK31" s="110">
        <v>640.5</v>
      </c>
      <c r="AL31" s="132">
        <f>(1/3-0.21*(MIN(Table11234[[#This Row],[b (mm)]],AF31)/MAX(Table11234[[#This Row],[b (mm)]],AF31))*(MIN(Table11234[[#This Row],[b (mm)]],AF31)^4/(12*MAX(Table11234[[#This Row],[b (mm)]],AF31)^4)))*MAX(Table11234[[#This Row],[b (mm)]],AF31)*MIN(Table11234[[#This Row],[b (mm)]],AF31)^3</f>
        <v>1198609576.1573534</v>
      </c>
      <c r="AM31" s="132">
        <f>Table11234[[#This Row],[b (mm)]]*AF31^3/12</f>
        <v>539435927.57759976</v>
      </c>
      <c r="AN31" s="132">
        <f t="shared" si="8"/>
        <v>1984.375</v>
      </c>
      <c r="AO31"/>
      <c r="AP31"/>
    </row>
    <row r="32" spans="1:44" x14ac:dyDescent="0.3">
      <c r="A32" s="119" t="s">
        <v>73</v>
      </c>
      <c r="B32" s="110" t="s">
        <v>62</v>
      </c>
      <c r="C32" s="110">
        <v>47</v>
      </c>
      <c r="D32" s="110">
        <f>Table11234[[#This Row],[a (mm)]]/Table11234[[#This Row],[d (mm)]]</f>
        <v>2.2857142857142856</v>
      </c>
      <c r="E32" s="110">
        <v>47.371200000000009</v>
      </c>
      <c r="F32" s="127">
        <f>Table11234[[#This Row],[d (mm)]]</f>
        <v>266.7</v>
      </c>
      <c r="G32" s="110">
        <f t="shared" si="0"/>
        <v>28877.483520000002</v>
      </c>
      <c r="H32" s="110">
        <f t="shared" si="1"/>
        <v>2.0326228090212307E-6</v>
      </c>
      <c r="I32" s="110">
        <f>G32/(Table11234[[#This Row],[b (mm)]]*Table11234[[#This Row],[h]]^2)</f>
        <v>1.359731608352106E-3</v>
      </c>
      <c r="J32" s="110">
        <f t="shared" si="2"/>
        <v>0.44112667120114546</v>
      </c>
      <c r="K32" s="110">
        <f t="shared" si="3"/>
        <v>1.2586558398037573E-6</v>
      </c>
      <c r="L32" s="132">
        <f>E32/(Table11234[[#This Row],[b (mm)]]*AE32)</f>
        <v>7.7698949048691764E-4</v>
      </c>
      <c r="M32" s="132">
        <f>Table11234[[#This Row],[M (KN.mm)]]/(Table11234[[#This Row],[b (mm)]]*Table11234[[#This Row],[d (mm)]])</f>
        <v>0.47365279340082495</v>
      </c>
      <c r="N32" s="132">
        <f>Table11234[[#This Row],[M (KN.mm)]]/(Table11234[[#This Row],[b (mm)]]*Table11234[[#This Row],[h (mm)]])</f>
        <v>0.41444619422572188</v>
      </c>
      <c r="O32" s="133">
        <f>Table11234[[#This Row],[M (KN.mm)]]/(Table11234[[#This Row],[b (mm)]]*Table11234[[#This Row],[h (mm)]]*Table11234[[#This Row],[L(mm)]])</f>
        <v>2.0885477504288349E-4</v>
      </c>
      <c r="P32" s="133">
        <f>Table11234[[#This Row],[M (KN.mm)]]/(Table11234[[#This Row],[b (mm)]]*Table11234[[#This Row],[d (mm)]]*Table11234[[#This Row],[L(mm)]])</f>
        <v>2.386911714775811E-4</v>
      </c>
      <c r="Q32" s="133">
        <f>Table11234[[#This Row],[M (KN.mm)]]/(Table11234[[#This Row],[b (mm)]]*Table11234[[#This Row],[h (mm)]]*Table11234[[#This Row],[L(mm)]]*Table11234[[#This Row],[fc (Mpa)]])</f>
        <v>1.1228751346391584E-5</v>
      </c>
      <c r="R32" s="133">
        <f>Table11234[[#This Row],[M (KN.mm)]]/(Table11234[[#This Row],[b (mm)]]*Table11234[[#This Row],[h (mm)]]*Table11234[[#This Row],[L(mm)]]/2)</f>
        <v>4.1770955008576697E-4</v>
      </c>
      <c r="S32" s="133">
        <f>Table11234[[#This Row],[M (KN.mm)]]/(Table11234[[#This Row],[a (mm)]]*Table11234[[#This Row],[b (mm)]]*Table11234[[#This Row],[h (mm)]]*Table11234[[#This Row],[L(mm)]]/2)</f>
        <v>6.8521907822468341E-7</v>
      </c>
      <c r="T32" s="133">
        <f>Table11234[[#This Row],[M (KN.mm)]]/(Table11234[[#This Row],[a (mm)]]^2*Table11234[[#This Row],[b (mm)]]*Table11234[[#This Row],[h (mm)]])</f>
        <v>1.1152654267979875E-6</v>
      </c>
      <c r="U32" s="133">
        <f>Table11234[[#This Row],[M (KN.mm)]]/(Table11234[[#This Row],[b (mm)]]*Table11234[[#This Row],[d (mm)]]*Table11234[[#This Row],[pho (%)]])</f>
        <v>0.86118689709240903</v>
      </c>
      <c r="V32" s="110">
        <f>E32*224.8/(2*SQRT(Table11234[[#This Row],[fc (Mpa)]]*145.037)*Table11234[[#This Row],[b (mm)]]*Table11234[[#This Row],[d (mm)]]*(1/25.4)^2)</f>
        <v>1.0848083338543231</v>
      </c>
      <c r="W32" s="110">
        <f>Table11234[[#This Row],[M (KN.mm)]]/$G$33</f>
        <v>0.96818181818181825</v>
      </c>
      <c r="X32" s="110">
        <f>Table11234[[#This Row],[V/(2*sqrt(fc) bd)]]</f>
        <v>1.0848083338543231</v>
      </c>
      <c r="Y32" s="110">
        <f>Table11234[[#This Row],[a (mm)]]</f>
        <v>609.59999999999991</v>
      </c>
      <c r="Z32" s="110">
        <f>Table11234[[#This Row],[width]]*Table11234[[#This Row],[h (mm)]]^2</f>
        <v>21237634.943999995</v>
      </c>
      <c r="AA32" s="110">
        <f>Table11234[[#This Row],[b (mm)]]</f>
        <v>228.6</v>
      </c>
      <c r="AB32" s="110">
        <f>Table11234[[#This Row],[a]]/Table11234[[#This Row],[h (mm)]]</f>
        <v>2</v>
      </c>
      <c r="AC32" s="110">
        <f>Table11234[[#This Row],[h (mm)]]</f>
        <v>304.79999999999995</v>
      </c>
      <c r="AD32" s="110">
        <f t="shared" si="4"/>
        <v>609.59999999999991</v>
      </c>
      <c r="AE32" s="110">
        <f t="shared" si="5"/>
        <v>266.7</v>
      </c>
      <c r="AF32" s="110">
        <f t="shared" si="6"/>
        <v>304.79999999999995</v>
      </c>
      <c r="AG32" s="134">
        <f t="shared" si="7"/>
        <v>228.6</v>
      </c>
      <c r="AH32" s="7">
        <v>18.600000000000001</v>
      </c>
      <c r="AI32" s="110">
        <f>Table11234[[#This Row],[pho (%)]]/100*Table11234[[#This Row],[b (mm)]]*Table11234[[#This Row],[h (mm)]]</f>
        <v>383.22503999999998</v>
      </c>
      <c r="AJ32" s="135">
        <v>0.55000000000000004</v>
      </c>
      <c r="AK32" s="110">
        <v>640.5</v>
      </c>
      <c r="AL32" s="132">
        <f>(1/3-0.21*(MIN(Table11234[[#This Row],[b (mm)]],AF32)/MAX(Table11234[[#This Row],[b (mm)]],AF32))*(MIN(Table11234[[#This Row],[b (mm)]],AF32)^4/(12*MAX(Table11234[[#This Row],[b (mm)]],AF32)^4)))*MAX(Table11234[[#This Row],[b (mm)]],AF32)*MIN(Table11234[[#This Row],[b (mm)]],AF32)^3</f>
        <v>1198609576.1573534</v>
      </c>
      <c r="AM32" s="132">
        <f>Table11234[[#This Row],[b (mm)]]*AF32^3/12</f>
        <v>539435927.57759976</v>
      </c>
      <c r="AN32" s="132">
        <f t="shared" si="8"/>
        <v>1984.375</v>
      </c>
      <c r="AO32"/>
      <c r="AP32"/>
    </row>
    <row r="33" spans="1:49" x14ac:dyDescent="0.3">
      <c r="A33" s="120" t="s">
        <v>73</v>
      </c>
      <c r="B33" s="110" t="s">
        <v>63</v>
      </c>
      <c r="C33" s="110">
        <v>48</v>
      </c>
      <c r="D33" s="110">
        <f>Table11234[[#This Row],[a (mm)]]/Table11234[[#This Row],[d (mm)]]</f>
        <v>2.2857142857142856</v>
      </c>
      <c r="E33" s="110">
        <v>48.928000000000004</v>
      </c>
      <c r="F33" s="127">
        <f>Table11234[[#This Row],[d (mm)]]</f>
        <v>266.7</v>
      </c>
      <c r="G33" s="110">
        <f t="shared" si="0"/>
        <v>29826.5088</v>
      </c>
      <c r="H33" s="110">
        <f t="shared" si="1"/>
        <v>2.0994226196463414E-6</v>
      </c>
      <c r="I33" s="110">
        <f>G33/(Table11234[[#This Row],[b (mm)]]*Table11234[[#This Row],[h]]^2)</f>
        <v>1.4044176236500624E-3</v>
      </c>
      <c r="J33" s="110">
        <f t="shared" si="2"/>
        <v>0.45562379185094831</v>
      </c>
      <c r="K33" s="110">
        <f t="shared" si="3"/>
        <v>1.3000201162292329E-6</v>
      </c>
      <c r="L33" s="132">
        <f>E33/(Table11234[[#This Row],[b (mm)]]*AE33)</f>
        <v>8.0252435637146423E-4</v>
      </c>
      <c r="M33" s="132">
        <f>Table11234[[#This Row],[M (KN.mm)]]/(Table11234[[#This Row],[b (mm)]]*Table11234[[#This Row],[d (mm)]])</f>
        <v>0.48921884764404455</v>
      </c>
      <c r="N33" s="132">
        <f>Table11234[[#This Row],[M (KN.mm)]]/(Table11234[[#This Row],[b (mm)]]*Table11234[[#This Row],[h (mm)]])</f>
        <v>0.428066491688539</v>
      </c>
      <c r="O33" s="133">
        <f>Table11234[[#This Row],[M (KN.mm)]]/(Table11234[[#This Row],[b (mm)]]*Table11234[[#This Row],[h (mm)]]*Table11234[[#This Row],[L(mm)]])</f>
        <v>2.1571854699264958E-4</v>
      </c>
      <c r="P33" s="133">
        <f>Table11234[[#This Row],[M (KN.mm)]]/(Table11234[[#This Row],[b (mm)]]*Table11234[[#This Row],[d (mm)]]*Table11234[[#This Row],[L(mm)]])</f>
        <v>2.4653548227731377E-4</v>
      </c>
      <c r="Q33" s="133">
        <f>Table11234[[#This Row],[M (KN.mm)]]/(Table11234[[#This Row],[b (mm)]]*Table11234[[#This Row],[h (mm)]]*Table11234[[#This Row],[L(mm)]]*Table11234[[#This Row],[fc (Mpa)]])</f>
        <v>1.1597771343690837E-5</v>
      </c>
      <c r="R33" s="133">
        <f>Table11234[[#This Row],[M (KN.mm)]]/(Table11234[[#This Row],[b (mm)]]*Table11234[[#This Row],[h (mm)]]*Table11234[[#This Row],[L(mm)]]/2)</f>
        <v>4.3143709398529915E-4</v>
      </c>
      <c r="S33" s="133">
        <f>Table11234[[#This Row],[M (KN.mm)]]/(Table11234[[#This Row],[a (mm)]]*Table11234[[#This Row],[b (mm)]]*Table11234[[#This Row],[h (mm)]]*Table11234[[#This Row],[L(mm)]]/2)</f>
        <v>7.0773801506774809E-7</v>
      </c>
      <c r="T33" s="133">
        <f>Table11234[[#This Row],[M (KN.mm)]]/(Table11234[[#This Row],[a (mm)]]^2*Table11234[[#This Row],[b (mm)]]*Table11234[[#This Row],[h (mm)]])</f>
        <v>1.151917342232663E-6</v>
      </c>
      <c r="U33" s="133">
        <f>Table11234[[#This Row],[M (KN.mm)]]/(Table11234[[#This Row],[b (mm)]]*Table11234[[#This Row],[d (mm)]]*Table11234[[#This Row],[pho (%)]])</f>
        <v>0.88948881389826273</v>
      </c>
      <c r="V33" s="110">
        <f>E33*224.8/(2*SQRT(Table11234[[#This Row],[fc (Mpa)]]*145.037)*Table11234[[#This Row],[b (mm)]]*Table11234[[#This Row],[d (mm)]]*(1/25.4)^2)</f>
        <v>1.1204593119622115</v>
      </c>
      <c r="W33" s="110">
        <f>Table11234[[#This Row],[M (KN.mm)]]/$G$33</f>
        <v>1</v>
      </c>
      <c r="X33" s="110">
        <f>Table11234[[#This Row],[V/(2*sqrt(fc) bd)]]</f>
        <v>1.1204593119622115</v>
      </c>
      <c r="Y33" s="110">
        <f>Table11234[[#This Row],[a (mm)]]</f>
        <v>609.59999999999991</v>
      </c>
      <c r="Z33" s="110">
        <f>Table11234[[#This Row],[width]]*Table11234[[#This Row],[h (mm)]]^2</f>
        <v>21237634.943999995</v>
      </c>
      <c r="AA33" s="110">
        <f>Table11234[[#This Row],[b (mm)]]</f>
        <v>228.6</v>
      </c>
      <c r="AB33" s="110">
        <f>Table11234[[#This Row],[a]]/Table11234[[#This Row],[h (mm)]]</f>
        <v>2</v>
      </c>
      <c r="AC33" s="110">
        <f>Table11234[[#This Row],[h (mm)]]</f>
        <v>304.79999999999995</v>
      </c>
      <c r="AD33" s="110">
        <f t="shared" si="4"/>
        <v>609.59999999999991</v>
      </c>
      <c r="AE33" s="110">
        <f t="shared" si="5"/>
        <v>266.7</v>
      </c>
      <c r="AF33" s="110">
        <f t="shared" si="6"/>
        <v>304.79999999999995</v>
      </c>
      <c r="AG33" s="134">
        <f t="shared" si="7"/>
        <v>228.6</v>
      </c>
      <c r="AH33" s="7">
        <v>18.600000000000001</v>
      </c>
      <c r="AI33" s="110">
        <f>Table11234[[#This Row],[pho (%)]]/100*Table11234[[#This Row],[b (mm)]]*Table11234[[#This Row],[h (mm)]]</f>
        <v>383.22503999999998</v>
      </c>
      <c r="AJ33" s="135">
        <v>0.55000000000000004</v>
      </c>
      <c r="AK33" s="110">
        <v>640.5</v>
      </c>
      <c r="AL33" s="132">
        <f>(1/3-0.21*(MIN(Table11234[[#This Row],[b (mm)]],AF33)/MAX(Table11234[[#This Row],[b (mm)]],AF33))*(MIN(Table11234[[#This Row],[b (mm)]],AF33)^4/(12*MAX(Table11234[[#This Row],[b (mm)]],AF33)^4)))*MAX(Table11234[[#This Row],[b (mm)]],AF33)*MIN(Table11234[[#This Row],[b (mm)]],AF33)^3</f>
        <v>1198609576.1573534</v>
      </c>
      <c r="AM33" s="132">
        <f>Table11234[[#This Row],[b (mm)]]*AF33^3/12</f>
        <v>539435927.57759976</v>
      </c>
      <c r="AN33" s="132">
        <f t="shared" si="8"/>
        <v>1984.375</v>
      </c>
      <c r="AO33"/>
      <c r="AP33"/>
    </row>
    <row r="34" spans="1:49" x14ac:dyDescent="0.3">
      <c r="A34" s="121" t="s">
        <v>74</v>
      </c>
      <c r="B34" s="110" t="s">
        <v>60</v>
      </c>
      <c r="C34" s="110">
        <v>49</v>
      </c>
      <c r="D34" s="110">
        <f>Table11234[[#This Row],[a (mm)]]/Table11234[[#This Row],[d (mm)]]</f>
        <v>2.2857142857142856</v>
      </c>
      <c r="E34" s="110">
        <v>34.027200000000008</v>
      </c>
      <c r="F34" s="127">
        <f>Table11234[[#This Row],[d (mm)]]</f>
        <v>266.7</v>
      </c>
      <c r="G34" s="110">
        <f t="shared" si="0"/>
        <v>20742.98112</v>
      </c>
      <c r="H34" s="110">
        <f t="shared" si="1"/>
        <v>1.4600530036631375E-6</v>
      </c>
      <c r="I34" s="110">
        <f>G34/(Table11234[[#This Row],[b (mm)]]*Table11234[[#This Row],[h]]^2)</f>
        <v>9.7670862008390714E-4</v>
      </c>
      <c r="J34" s="110">
        <f t="shared" si="2"/>
        <v>0.31686563705997772</v>
      </c>
      <c r="K34" s="110">
        <f t="shared" si="3"/>
        <v>9.0410489901396666E-7</v>
      </c>
      <c r="L34" s="132">
        <f>E34/(Table11234[[#This Row],[b (mm)]]*AE34)</f>
        <v>5.5811921147651841E-4</v>
      </c>
      <c r="M34" s="132">
        <f>Table11234[[#This Row],[M (KN.mm)]]/(Table11234[[#This Row],[b (mm)]]*Table11234[[#This Row],[d (mm)]])</f>
        <v>0.3402294713160855</v>
      </c>
      <c r="N34" s="132">
        <f>Table11234[[#This Row],[M (KN.mm)]]/(Table11234[[#This Row],[b (mm)]]*Table11234[[#This Row],[h (mm)]])</f>
        <v>0.29770078740157485</v>
      </c>
      <c r="O34" s="133">
        <f>Table11234[[#This Row],[M (KN.mm)]]/(Table11234[[#This Row],[b (mm)]]*Table11234[[#This Row],[h (mm)]]*Table11234[[#This Row],[L(mm)]])</f>
        <v>1.5002244404488813E-4</v>
      </c>
      <c r="P34" s="133">
        <f>Table11234[[#This Row],[M (KN.mm)]]/(Table11234[[#This Row],[b (mm)]]*Table11234[[#This Row],[d (mm)]]*Table11234[[#This Row],[L(mm)]])</f>
        <v>1.7145422176558642E-4</v>
      </c>
      <c r="Q34" s="133">
        <f>Table11234[[#This Row],[M (KN.mm)]]/(Table11234[[#This Row],[b (mm)]]*Table11234[[#This Row],[h (mm)]]*Table11234[[#This Row],[L(mm)]]*Table11234[[#This Row],[fc (Mpa)]])</f>
        <v>7.7731836292688137E-6</v>
      </c>
      <c r="R34" s="133">
        <f>Table11234[[#This Row],[M (KN.mm)]]/(Table11234[[#This Row],[b (mm)]]*Table11234[[#This Row],[h (mm)]]*Table11234[[#This Row],[L(mm)]]/2)</f>
        <v>3.0004488808977627E-4</v>
      </c>
      <c r="S34" s="133">
        <f>Table11234[[#This Row],[M (KN.mm)]]/(Table11234[[#This Row],[a (mm)]]*Table11234[[#This Row],[b (mm)]]*Table11234[[#This Row],[h (mm)]]*Table11234[[#This Row],[L(mm)]]/2)</f>
        <v>4.9219961956984302E-7</v>
      </c>
      <c r="T34" s="133">
        <f>Table11234[[#This Row],[M (KN.mm)]]/(Table11234[[#This Row],[a (mm)]]^2*Table11234[[#This Row],[b (mm)]]*Table11234[[#This Row],[h (mm)]])</f>
        <v>8.0110615164362478E-7</v>
      </c>
      <c r="U34" s="133">
        <f>Table11234[[#This Row],[M (KN.mm)]]/(Table11234[[#This Row],[b (mm)]]*Table11234[[#This Row],[d (mm)]]*Table11234[[#This Row],[pho (%)]])</f>
        <v>0.61859903875651912</v>
      </c>
      <c r="V34" s="110">
        <f>E34*224.8/(2*SQRT(Table11234[[#This Row],[fc (Mpa)]]*145.037)*Table11234[[#This Row],[b (mm)]]*Table11234[[#This Row],[d (mm)]]*(1/25.4)^2)</f>
        <v>0.76496692502591612</v>
      </c>
      <c r="W34" s="110">
        <f>Table11234[[#This Row],[M (KN.mm)]]/$G$37</f>
        <v>0.66521739130434787</v>
      </c>
      <c r="X34" s="110">
        <f>Table11234[[#This Row],[V/(2*sqrt(fc) bd)]]</f>
        <v>0.76496692502591612</v>
      </c>
      <c r="Y34" s="110">
        <f>Table11234[[#This Row],[a (mm)]]</f>
        <v>609.59999999999991</v>
      </c>
      <c r="Z34" s="110">
        <f>Table11234[[#This Row],[width]]*Table11234[[#This Row],[h (mm)]]^2</f>
        <v>21237634.943999995</v>
      </c>
      <c r="AA34" s="110">
        <f>Table11234[[#This Row],[b (mm)]]</f>
        <v>228.6</v>
      </c>
      <c r="AB34" s="110">
        <f>Table11234[[#This Row],[a]]/Table11234[[#This Row],[h (mm)]]</f>
        <v>2</v>
      </c>
      <c r="AC34" s="110">
        <f>Table11234[[#This Row],[h (mm)]]</f>
        <v>304.79999999999995</v>
      </c>
      <c r="AD34" s="110">
        <f>24*25.4</f>
        <v>609.59999999999991</v>
      </c>
      <c r="AE34" s="110">
        <f>10.5*25.4</f>
        <v>266.7</v>
      </c>
      <c r="AF34" s="110">
        <f>12*25.4</f>
        <v>304.79999999999995</v>
      </c>
      <c r="AG34" s="134">
        <f>9*25.4</f>
        <v>228.6</v>
      </c>
      <c r="AH34" s="7">
        <v>19.3</v>
      </c>
      <c r="AI34" s="110">
        <f>Table11234[[#This Row],[pho (%)]]/100*Table11234[[#This Row],[b (mm)]]*Table11234[[#This Row],[h (mm)]]</f>
        <v>383.22503999999998</v>
      </c>
      <c r="AJ34" s="135">
        <v>0.55000000000000004</v>
      </c>
      <c r="AK34" s="110">
        <v>640.5</v>
      </c>
      <c r="AL34" s="132">
        <f>(1/3-0.21*(MIN(Table11234[[#This Row],[b (mm)]],AF34)/MAX(Table11234[[#This Row],[b (mm)]],AF34))*(MIN(Table11234[[#This Row],[b (mm)]],AF34)^4/(12*MAX(Table11234[[#This Row],[b (mm)]],AF34)^4)))*MAX(Table11234[[#This Row],[b (mm)]],AF34)*MIN(Table11234[[#This Row],[b (mm)]],AF34)^3</f>
        <v>1198609576.1573534</v>
      </c>
      <c r="AM34" s="132">
        <f>Table11234[[#This Row],[b (mm)]]*AF34^3/12</f>
        <v>539435927.57759976</v>
      </c>
      <c r="AN34" s="132">
        <f>78.125*25.4</f>
        <v>1984.375</v>
      </c>
      <c r="AO34"/>
      <c r="AP34"/>
    </row>
    <row r="35" spans="1:49" x14ac:dyDescent="0.3">
      <c r="A35" s="121" t="s">
        <v>74</v>
      </c>
      <c r="B35" s="110" t="s">
        <v>61</v>
      </c>
      <c r="C35" s="110">
        <v>50</v>
      </c>
      <c r="D35" s="110">
        <f>Table11234[[#This Row],[a (mm)]]/Table11234[[#This Row],[d (mm)]]</f>
        <v>2.2857142857142856</v>
      </c>
      <c r="E35" s="110">
        <v>40.699200000000005</v>
      </c>
      <c r="F35" s="127">
        <f>Table11234[[#This Row],[d (mm)]]</f>
        <v>266.7</v>
      </c>
      <c r="G35" s="110">
        <f t="shared" si="0"/>
        <v>24810.232319999999</v>
      </c>
      <c r="H35" s="110">
        <f t="shared" si="1"/>
        <v>1.7463379063421841E-6</v>
      </c>
      <c r="I35" s="110">
        <f>G35/(Table11234[[#This Row],[b (mm)]]*Table11234[[#This Row],[h]]^2)</f>
        <v>1.1682201142180066E-3</v>
      </c>
      <c r="J35" s="110">
        <f t="shared" si="2"/>
        <v>0.37899615413056154</v>
      </c>
      <c r="K35" s="110">
        <f t="shared" si="3"/>
        <v>1.0813803694088619E-6</v>
      </c>
      <c r="L35" s="132">
        <f>E35/(Table11234[[#This Row],[b (mm)]]*AE35)</f>
        <v>6.6755435098171797E-4</v>
      </c>
      <c r="M35" s="132">
        <f>Table11234[[#This Row],[M (KN.mm)]]/(Table11234[[#This Row],[b (mm)]]*Table11234[[#This Row],[d (mm)]])</f>
        <v>0.40694113235845519</v>
      </c>
      <c r="N35" s="132">
        <f>Table11234[[#This Row],[M (KN.mm)]]/(Table11234[[#This Row],[b (mm)]]*Table11234[[#This Row],[h (mm)]])</f>
        <v>0.35607349081364836</v>
      </c>
      <c r="O35" s="133">
        <f>Table11234[[#This Row],[M (KN.mm)]]/(Table11234[[#This Row],[b (mm)]]*Table11234[[#This Row],[h (mm)]]*Table11234[[#This Row],[L(mm)]])</f>
        <v>1.794386095438858E-4</v>
      </c>
      <c r="P35" s="133">
        <f>Table11234[[#This Row],[M (KN.mm)]]/(Table11234[[#This Row],[b (mm)]]*Table11234[[#This Row],[d (mm)]]*Table11234[[#This Row],[L(mm)]])</f>
        <v>2.0507269662158373E-4</v>
      </c>
      <c r="Q35" s="133">
        <f>Table11234[[#This Row],[M (KN.mm)]]/(Table11234[[#This Row],[b (mm)]]*Table11234[[#This Row],[h (mm)]]*Table11234[[#This Row],[L(mm)]]*Table11234[[#This Row],[fc (Mpa)]])</f>
        <v>9.2973372820666211E-6</v>
      </c>
      <c r="R35" s="133">
        <f>Table11234[[#This Row],[M (KN.mm)]]/(Table11234[[#This Row],[b (mm)]]*Table11234[[#This Row],[h (mm)]]*Table11234[[#This Row],[L(mm)]]/2)</f>
        <v>3.5887721908777159E-4</v>
      </c>
      <c r="S35" s="133">
        <f>Table11234[[#This Row],[M (KN.mm)]]/(Table11234[[#This Row],[a (mm)]]*Table11234[[#This Row],[b (mm)]]*Table11234[[#This Row],[h (mm)]]*Table11234[[#This Row],[L(mm)]]/2)</f>
        <v>5.8870934889726317E-7</v>
      </c>
      <c r="T35" s="133">
        <f>Table11234[[#This Row],[M (KN.mm)]]/(Table11234[[#This Row],[a (mm)]]^2*Table11234[[#This Row],[b (mm)]]*Table11234[[#This Row],[h (mm)]])</f>
        <v>9.5818578922080603E-7</v>
      </c>
      <c r="U35" s="133">
        <f>Table11234[[#This Row],[M (KN.mm)]]/(Table11234[[#This Row],[b (mm)]]*Table11234[[#This Row],[d (mm)]]*Table11234[[#This Row],[pho (%)]])</f>
        <v>0.73989296792446402</v>
      </c>
      <c r="V35" s="110">
        <f>E35*224.8/(2*SQRT(Table11234[[#This Row],[fc (Mpa)]]*145.037)*Table11234[[#This Row],[b (mm)]]*Table11234[[#This Row],[d (mm)]]*(1/25.4)^2)</f>
        <v>0.9149604397368799</v>
      </c>
      <c r="W35" s="110">
        <f>Table11234[[#This Row],[M (KN.mm)]]/$G$37</f>
        <v>0.79565217391304355</v>
      </c>
      <c r="X35" s="110">
        <f>Table11234[[#This Row],[V/(2*sqrt(fc) bd)]]</f>
        <v>0.9149604397368799</v>
      </c>
      <c r="Y35" s="110">
        <f>Table11234[[#This Row],[a (mm)]]</f>
        <v>609.59999999999991</v>
      </c>
      <c r="Z35" s="110">
        <f>Table11234[[#This Row],[width]]*Table11234[[#This Row],[h (mm)]]^2</f>
        <v>21237634.943999995</v>
      </c>
      <c r="AA35" s="110">
        <f>Table11234[[#This Row],[b (mm)]]</f>
        <v>228.6</v>
      </c>
      <c r="AB35" s="110">
        <f>Table11234[[#This Row],[a]]/Table11234[[#This Row],[h (mm)]]</f>
        <v>2</v>
      </c>
      <c r="AC35" s="110">
        <f>Table11234[[#This Row],[h (mm)]]</f>
        <v>304.79999999999995</v>
      </c>
      <c r="AD35" s="110">
        <f>24*25.4</f>
        <v>609.59999999999991</v>
      </c>
      <c r="AE35" s="110">
        <f>10.5*25.4</f>
        <v>266.7</v>
      </c>
      <c r="AF35" s="110">
        <f>12*25.4</f>
        <v>304.79999999999995</v>
      </c>
      <c r="AG35" s="134">
        <f>9*25.4</f>
        <v>228.6</v>
      </c>
      <c r="AH35" s="7">
        <v>19.3</v>
      </c>
      <c r="AI35" s="110">
        <f>Table11234[[#This Row],[pho (%)]]/100*Table11234[[#This Row],[b (mm)]]*Table11234[[#This Row],[h (mm)]]</f>
        <v>383.22503999999998</v>
      </c>
      <c r="AJ35" s="135">
        <v>0.55000000000000004</v>
      </c>
      <c r="AK35" s="110">
        <v>640.5</v>
      </c>
      <c r="AL35" s="132">
        <f>(1/3-0.21*(MIN(Table11234[[#This Row],[b (mm)]],AF35)/MAX(Table11234[[#This Row],[b (mm)]],AF35))*(MIN(Table11234[[#This Row],[b (mm)]],AF35)^4/(12*MAX(Table11234[[#This Row],[b (mm)]],AF35)^4)))*MAX(Table11234[[#This Row],[b (mm)]],AF35)*MIN(Table11234[[#This Row],[b (mm)]],AF35)^3</f>
        <v>1198609576.1573534</v>
      </c>
      <c r="AM35" s="132">
        <f>Table11234[[#This Row],[b (mm)]]*AF35^3/12</f>
        <v>539435927.57759976</v>
      </c>
      <c r="AN35" s="132">
        <f>78.125*25.4</f>
        <v>1984.375</v>
      </c>
      <c r="AO35"/>
      <c r="AP35"/>
    </row>
    <row r="36" spans="1:49" x14ac:dyDescent="0.3">
      <c r="A36" s="121" t="s">
        <v>74</v>
      </c>
      <c r="B36" s="110" t="s">
        <v>62</v>
      </c>
      <c r="C36" s="110">
        <v>51</v>
      </c>
      <c r="D36" s="110">
        <f>Table11234[[#This Row],[a (mm)]]/Table11234[[#This Row],[d (mm)]]</f>
        <v>2.2857142857142856</v>
      </c>
      <c r="E36" s="110">
        <v>47.593600000000002</v>
      </c>
      <c r="F36" s="127">
        <f>Table11234[[#This Row],[d (mm)]]</f>
        <v>266.7</v>
      </c>
      <c r="G36" s="110">
        <f t="shared" si="0"/>
        <v>29013.058559999998</v>
      </c>
      <c r="H36" s="110">
        <f t="shared" si="1"/>
        <v>2.042165639110532E-6</v>
      </c>
      <c r="I36" s="110">
        <f>G36/(Table11234[[#This Row],[b (mm)]]*Table11234[[#This Row],[h]]^2)</f>
        <v>1.3661153248232425E-3</v>
      </c>
      <c r="J36" s="110">
        <f t="shared" si="2"/>
        <v>0.44319768843683155</v>
      </c>
      <c r="K36" s="110">
        <f t="shared" si="3"/>
        <v>1.2645650221502538E-6</v>
      </c>
      <c r="L36" s="132">
        <f>E36/(Table11234[[#This Row],[b (mm)]]*AE36)</f>
        <v>7.8063732847042419E-4</v>
      </c>
      <c r="M36" s="132">
        <f>Table11234[[#This Row],[M (KN.mm)]]/(Table11234[[#This Row],[b (mm)]]*Table11234[[#This Row],[d (mm)]])</f>
        <v>0.47587651543557058</v>
      </c>
      <c r="N36" s="132">
        <f>Table11234[[#This Row],[M (KN.mm)]]/(Table11234[[#This Row],[b (mm)]]*Table11234[[#This Row],[h (mm)]])</f>
        <v>0.41639195100612431</v>
      </c>
      <c r="O36" s="133">
        <f>Table11234[[#This Row],[M (KN.mm)]]/(Table11234[[#This Row],[b (mm)]]*Table11234[[#This Row],[h (mm)]]*Table11234[[#This Row],[L(mm)]])</f>
        <v>2.0983531389285004E-4</v>
      </c>
      <c r="P36" s="133">
        <f>Table11234[[#This Row],[M (KN.mm)]]/(Table11234[[#This Row],[b (mm)]]*Table11234[[#This Row],[d (mm)]]*Table11234[[#This Row],[L(mm)]])</f>
        <v>2.398117873061143E-4</v>
      </c>
      <c r="Q36" s="133">
        <f>Table11234[[#This Row],[M (KN.mm)]]/(Table11234[[#This Row],[b (mm)]]*Table11234[[#This Row],[h (mm)]]*Table11234[[#This Row],[L(mm)]]*Table11234[[#This Row],[fc (Mpa)]])</f>
        <v>1.0872296056624354E-5</v>
      </c>
      <c r="R36" s="133">
        <f>Table11234[[#This Row],[M (KN.mm)]]/(Table11234[[#This Row],[b (mm)]]*Table11234[[#This Row],[h (mm)]]*Table11234[[#This Row],[L(mm)]]/2)</f>
        <v>4.1967062778570008E-4</v>
      </c>
      <c r="S36" s="133">
        <f>Table11234[[#This Row],[M (KN.mm)]]/(Table11234[[#This Row],[a (mm)]]*Table11234[[#This Row],[b (mm)]]*Table11234[[#This Row],[h (mm)]]*Table11234[[#This Row],[L(mm)]]/2)</f>
        <v>6.8843606920226397E-7</v>
      </c>
      <c r="T36" s="133">
        <f>Table11234[[#This Row],[M (KN.mm)]]/(Table11234[[#This Row],[a (mm)]]^2*Table11234[[#This Row],[b (mm)]]*Table11234[[#This Row],[h (mm)]])</f>
        <v>1.1205014147172266E-6</v>
      </c>
      <c r="U36" s="133">
        <f>Table11234[[#This Row],[M (KN.mm)]]/(Table11234[[#This Row],[b (mm)]]*Table11234[[#This Row],[d (mm)]]*Table11234[[#This Row],[pho (%)]])</f>
        <v>0.86523002806467364</v>
      </c>
      <c r="V36" s="110">
        <f>E36*224.8/(2*SQRT(Table11234[[#This Row],[fc (Mpa)]]*145.037)*Table11234[[#This Row],[b (mm)]]*Table11234[[#This Row],[d (mm)]]*(1/25.4)^2)</f>
        <v>1.0699537382715425</v>
      </c>
      <c r="W36" s="110">
        <f>Table11234[[#This Row],[M (KN.mm)]]/$G$37</f>
        <v>0.93043478260869572</v>
      </c>
      <c r="X36" s="110">
        <f>Table11234[[#This Row],[V/(2*sqrt(fc) bd)]]</f>
        <v>1.0699537382715425</v>
      </c>
      <c r="Y36" s="110">
        <f>Table11234[[#This Row],[a (mm)]]</f>
        <v>609.59999999999991</v>
      </c>
      <c r="Z36" s="110">
        <f>Table11234[[#This Row],[width]]*Table11234[[#This Row],[h (mm)]]^2</f>
        <v>21237634.943999995</v>
      </c>
      <c r="AA36" s="110">
        <f>Table11234[[#This Row],[b (mm)]]</f>
        <v>228.6</v>
      </c>
      <c r="AB36" s="110">
        <f>Table11234[[#This Row],[a]]/Table11234[[#This Row],[h (mm)]]</f>
        <v>2</v>
      </c>
      <c r="AC36" s="110">
        <f>Table11234[[#This Row],[h (mm)]]</f>
        <v>304.79999999999995</v>
      </c>
      <c r="AD36" s="110">
        <f>24*25.4</f>
        <v>609.59999999999991</v>
      </c>
      <c r="AE36" s="110">
        <f>10.5*25.4</f>
        <v>266.7</v>
      </c>
      <c r="AF36" s="110">
        <f>12*25.4</f>
        <v>304.79999999999995</v>
      </c>
      <c r="AG36" s="134">
        <f>9*25.4</f>
        <v>228.6</v>
      </c>
      <c r="AH36" s="7">
        <v>19.3</v>
      </c>
      <c r="AI36" s="110">
        <f>Table11234[[#This Row],[pho (%)]]/100*Table11234[[#This Row],[b (mm)]]*Table11234[[#This Row],[h (mm)]]</f>
        <v>383.22503999999998</v>
      </c>
      <c r="AJ36" s="135">
        <v>0.55000000000000004</v>
      </c>
      <c r="AK36" s="110">
        <v>640.5</v>
      </c>
      <c r="AL36" s="132">
        <f>(1/3-0.21*(MIN(Table11234[[#This Row],[b (mm)]],AF36)/MAX(Table11234[[#This Row],[b (mm)]],AF36))*(MIN(Table11234[[#This Row],[b (mm)]],AF36)^4/(12*MAX(Table11234[[#This Row],[b (mm)]],AF36)^4)))*MAX(Table11234[[#This Row],[b (mm)]],AF36)*MIN(Table11234[[#This Row],[b (mm)]],AF36)^3</f>
        <v>1198609576.1573534</v>
      </c>
      <c r="AM36" s="132">
        <f>Table11234[[#This Row],[b (mm)]]*AF36^3/12</f>
        <v>539435927.57759976</v>
      </c>
      <c r="AN36" s="132">
        <f>78.125*25.4</f>
        <v>1984.375</v>
      </c>
      <c r="AO36"/>
      <c r="AP36"/>
    </row>
    <row r="37" spans="1:49" x14ac:dyDescent="0.3">
      <c r="A37" s="122" t="s">
        <v>74</v>
      </c>
      <c r="B37" s="110" t="s">
        <v>63</v>
      </c>
      <c r="C37" s="110">
        <v>52</v>
      </c>
      <c r="D37" s="110">
        <f>Table11234[[#This Row],[a (mm)]]/Table11234[[#This Row],[d (mm)]]</f>
        <v>2.2857142857142856</v>
      </c>
      <c r="E37" s="110">
        <v>51.152000000000001</v>
      </c>
      <c r="F37" s="127">
        <f>Table11234[[#This Row],[d (mm)]]</f>
        <v>266.7</v>
      </c>
      <c r="G37" s="110">
        <f t="shared" si="0"/>
        <v>31182.259199999997</v>
      </c>
      <c r="H37" s="110">
        <f t="shared" si="1"/>
        <v>2.1948509205393569E-6</v>
      </c>
      <c r="I37" s="110">
        <f>G37/(Table11234[[#This Row],[b (mm)]]*Table11234[[#This Row],[h]]^2)</f>
        <v>1.4682547883614289E-3</v>
      </c>
      <c r="J37" s="110">
        <f t="shared" si="2"/>
        <v>0.4763339642078096</v>
      </c>
      <c r="K37" s="110">
        <f t="shared" si="3"/>
        <v>1.359111939694198E-6</v>
      </c>
      <c r="L37" s="132">
        <f>E37/(Table11234[[#This Row],[b (mm)]]*AE37)</f>
        <v>8.3900273620653068E-4</v>
      </c>
      <c r="M37" s="132">
        <f>Table11234[[#This Row],[M (KN.mm)]]/(Table11234[[#This Row],[b (mm)]]*Table11234[[#This Row],[d (mm)]])</f>
        <v>0.51145606799150101</v>
      </c>
      <c r="N37" s="132">
        <f>Table11234[[#This Row],[M (KN.mm)]]/(Table11234[[#This Row],[b (mm)]]*Table11234[[#This Row],[h (mm)]])</f>
        <v>0.44752405949256346</v>
      </c>
      <c r="O37" s="133">
        <f>Table11234[[#This Row],[M (KN.mm)]]/(Table11234[[#This Row],[b (mm)]]*Table11234[[#This Row],[h (mm)]]*Table11234[[#This Row],[L(mm)]])</f>
        <v>2.2552393549231546E-4</v>
      </c>
      <c r="P37" s="133">
        <f>Table11234[[#This Row],[M (KN.mm)]]/(Table11234[[#This Row],[b (mm)]]*Table11234[[#This Row],[d (mm)]]*Table11234[[#This Row],[L(mm)]])</f>
        <v>2.5774164056264619E-4</v>
      </c>
      <c r="Q37" s="133">
        <f>Table11234[[#This Row],[M (KN.mm)]]/(Table11234[[#This Row],[b (mm)]]*Table11234[[#This Row],[h (mm)]]*Table11234[[#This Row],[L(mm)]]*Table11234[[#This Row],[fc (Mpa)]])</f>
        <v>1.1685178004783184E-5</v>
      </c>
      <c r="R37" s="133">
        <f>Table11234[[#This Row],[M (KN.mm)]]/(Table11234[[#This Row],[b (mm)]]*Table11234[[#This Row],[h (mm)]]*Table11234[[#This Row],[L(mm)]]/2)</f>
        <v>4.5104787098463093E-4</v>
      </c>
      <c r="S37" s="133">
        <f>Table11234[[#This Row],[M (KN.mm)]]/(Table11234[[#This Row],[a (mm)]]*Table11234[[#This Row],[b (mm)]]*Table11234[[#This Row],[h (mm)]]*Table11234[[#This Row],[L(mm)]]/2)</f>
        <v>7.3990792484355476E-7</v>
      </c>
      <c r="T37" s="133">
        <f>Table11234[[#This Row],[M (KN.mm)]]/(Table11234[[#This Row],[a (mm)]]^2*Table11234[[#This Row],[b (mm)]]*Table11234[[#This Row],[h (mm)]])</f>
        <v>1.2042772214250567E-6</v>
      </c>
      <c r="U37" s="133">
        <f>Table11234[[#This Row],[M (KN.mm)]]/(Table11234[[#This Row],[b (mm)]]*Table11234[[#This Row],[d (mm)]]*Table11234[[#This Row],[pho (%)]])</f>
        <v>0.92992012362091092</v>
      </c>
      <c r="V37" s="110">
        <f>E37*224.8/(2*SQRT(Table11234[[#This Row],[fc (Mpa)]]*145.037)*Table11234[[#This Row],[b (mm)]]*Table11234[[#This Row],[d (mm)]]*(1/25.4)^2)</f>
        <v>1.1499502794507233</v>
      </c>
      <c r="W37" s="110">
        <f>Table11234[[#This Row],[M (KN.mm)]]/$G$37</f>
        <v>1</v>
      </c>
      <c r="X37" s="110">
        <f>Table11234[[#This Row],[V/(2*sqrt(fc) bd)]]</f>
        <v>1.1499502794507233</v>
      </c>
      <c r="Y37" s="110">
        <f>Table11234[[#This Row],[a (mm)]]</f>
        <v>609.59999999999991</v>
      </c>
      <c r="Z37" s="110">
        <f>Table11234[[#This Row],[width]]*Table11234[[#This Row],[h (mm)]]^2</f>
        <v>21237634.943999995</v>
      </c>
      <c r="AA37" s="110">
        <f>Table11234[[#This Row],[b (mm)]]</f>
        <v>228.6</v>
      </c>
      <c r="AB37" s="110">
        <f>Table11234[[#This Row],[a]]/Table11234[[#This Row],[h (mm)]]</f>
        <v>2</v>
      </c>
      <c r="AC37" s="110">
        <f>Table11234[[#This Row],[h (mm)]]</f>
        <v>304.79999999999995</v>
      </c>
      <c r="AD37" s="110">
        <f>24*25.4</f>
        <v>609.59999999999991</v>
      </c>
      <c r="AE37" s="110">
        <f>10.5*25.4</f>
        <v>266.7</v>
      </c>
      <c r="AF37" s="110">
        <f>12*25.4</f>
        <v>304.79999999999995</v>
      </c>
      <c r="AG37" s="134">
        <f>9*25.4</f>
        <v>228.6</v>
      </c>
      <c r="AH37" s="7">
        <v>19.3</v>
      </c>
      <c r="AI37" s="110">
        <f>Table11234[[#This Row],[pho (%)]]/100*Table11234[[#This Row],[b (mm)]]*Table11234[[#This Row],[h (mm)]]</f>
        <v>383.22503999999998</v>
      </c>
      <c r="AJ37" s="135">
        <v>0.55000000000000004</v>
      </c>
      <c r="AK37" s="110">
        <v>640.5</v>
      </c>
      <c r="AL37" s="132">
        <f>(1/3-0.21*(MIN(Table11234[[#This Row],[b (mm)]],AF37)/MAX(Table11234[[#This Row],[b (mm)]],AF37))*(MIN(Table11234[[#This Row],[b (mm)]],AF37)^4/(12*MAX(Table11234[[#This Row],[b (mm)]],AF37)^4)))*MAX(Table11234[[#This Row],[b (mm)]],AF37)*MIN(Table11234[[#This Row],[b (mm)]],AF37)^3</f>
        <v>1198609576.1573534</v>
      </c>
      <c r="AM37" s="132">
        <f>Table11234[[#This Row],[b (mm)]]*AF37^3/12</f>
        <v>539435927.57759976</v>
      </c>
      <c r="AN37" s="132">
        <f>78.125*25.4</f>
        <v>1984.375</v>
      </c>
      <c r="AO37"/>
      <c r="AP37"/>
    </row>
    <row r="38" spans="1:49" x14ac:dyDescent="0.3">
      <c r="A38" s="136"/>
      <c r="B38" s="136"/>
      <c r="C38" s="136"/>
      <c r="D38" s="136"/>
      <c r="E38" s="136"/>
      <c r="F38" s="136"/>
      <c r="G38" s="136"/>
      <c r="H38" s="136"/>
      <c r="I38" s="136"/>
      <c r="J38" s="136"/>
      <c r="K38" s="136"/>
      <c r="L38" s="136"/>
      <c r="M38" s="136"/>
      <c r="N38" s="136"/>
      <c r="O38" s="136"/>
      <c r="P38" s="136"/>
      <c r="Q38" s="136"/>
      <c r="R38" s="136"/>
      <c r="S38" s="136"/>
      <c r="T38" s="136"/>
      <c r="U38" s="136"/>
      <c r="V38" s="136"/>
      <c r="W38" s="136"/>
      <c r="X38"/>
      <c r="Y38"/>
      <c r="Z38"/>
      <c r="AA38"/>
      <c r="AB38"/>
      <c r="AC38"/>
      <c r="AD38" s="136"/>
      <c r="AE38" s="136"/>
      <c r="AF38" s="136"/>
      <c r="AG38" s="136"/>
      <c r="AH38" s="136"/>
      <c r="AI38" s="136"/>
      <c r="AJ38" s="136"/>
      <c r="AK38" s="136"/>
      <c r="AL38" s="136"/>
      <c r="AM38" s="136"/>
      <c r="AN38" s="136"/>
      <c r="AO38" s="136"/>
      <c r="AP38" s="136"/>
      <c r="AQ38" s="136"/>
      <c r="AR38" s="136"/>
      <c r="AS38" s="136"/>
      <c r="AT38" s="136"/>
      <c r="AU38" s="136"/>
      <c r="AV38"/>
      <c r="AW38"/>
    </row>
    <row r="39" spans="1:49" x14ac:dyDescent="0.3">
      <c r="A39" s="136"/>
      <c r="B39" s="136"/>
      <c r="C39" s="136"/>
      <c r="D39" s="136"/>
      <c r="E39" s="136"/>
      <c r="F39" s="136"/>
      <c r="G39" s="136"/>
      <c r="H39" s="136"/>
      <c r="I39" s="136"/>
      <c r="J39" s="136"/>
      <c r="K39" s="136"/>
      <c r="L39" s="136"/>
      <c r="M39" s="136"/>
      <c r="N39" s="136"/>
      <c r="O39" s="136"/>
      <c r="P39" s="136"/>
      <c r="Q39" s="136"/>
      <c r="R39" s="136"/>
      <c r="S39" s="136"/>
      <c r="T39" s="136"/>
      <c r="U39" s="136"/>
      <c r="V39" s="136"/>
      <c r="W39" s="136"/>
      <c r="X39"/>
      <c r="Y39"/>
      <c r="Z39"/>
      <c r="AA39"/>
      <c r="AB39"/>
      <c r="AC39"/>
      <c r="AD39" s="136"/>
      <c r="AE39" s="136"/>
      <c r="AF39" s="136"/>
      <c r="AG39" s="136"/>
      <c r="AH39" s="136"/>
      <c r="AI39" s="136"/>
      <c r="AJ39" s="136"/>
      <c r="AK39" s="136"/>
      <c r="AL39" s="136"/>
      <c r="AM39" s="136"/>
      <c r="AN39" s="136"/>
      <c r="AO39" s="136"/>
      <c r="AP39" s="136"/>
      <c r="AQ39" s="136"/>
      <c r="AR39" s="136"/>
      <c r="AS39" s="136"/>
      <c r="AT39" s="136"/>
      <c r="AU39" s="136"/>
      <c r="AV39"/>
      <c r="AW39"/>
    </row>
    <row r="40" spans="1:49" x14ac:dyDescent="0.3">
      <c r="A40" s="136"/>
      <c r="B40" s="136"/>
      <c r="C40" s="136"/>
      <c r="D40" s="136"/>
      <c r="E40" s="136"/>
      <c r="F40" s="136"/>
      <c r="G40" s="136"/>
      <c r="H40" s="136"/>
      <c r="I40" s="136"/>
      <c r="J40" s="136"/>
      <c r="K40" s="136"/>
      <c r="L40" s="136"/>
      <c r="M40" s="136"/>
      <c r="N40" s="136"/>
      <c r="O40" s="136"/>
      <c r="P40" s="136"/>
      <c r="Q40" s="136"/>
      <c r="R40" s="136"/>
      <c r="S40" s="136"/>
      <c r="T40" s="136"/>
      <c r="U40" s="136"/>
      <c r="V40" s="136"/>
      <c r="W40" s="136"/>
      <c r="X40"/>
      <c r="Y40"/>
      <c r="Z40"/>
      <c r="AA40"/>
      <c r="AB40"/>
      <c r="AC40"/>
      <c r="AD40" s="136"/>
      <c r="AE40" s="136"/>
      <c r="AF40" s="136"/>
      <c r="AG40" s="136"/>
      <c r="AH40" s="136"/>
      <c r="AI40" s="136"/>
      <c r="AJ40" s="136"/>
      <c r="AK40" s="136"/>
      <c r="AL40" s="136"/>
      <c r="AM40" s="136"/>
      <c r="AN40" s="136"/>
      <c r="AO40" s="136"/>
      <c r="AP40" s="136"/>
      <c r="AQ40" s="136"/>
      <c r="AR40" s="136"/>
      <c r="AS40" s="136"/>
      <c r="AT40" s="136"/>
      <c r="AU40" s="136"/>
      <c r="AV40"/>
      <c r="AW40"/>
    </row>
    <row r="41" spans="1:49" x14ac:dyDescent="0.3">
      <c r="A41" s="136"/>
      <c r="B41" s="136"/>
      <c r="C41" s="136"/>
      <c r="D41" s="136"/>
      <c r="E41" s="136"/>
      <c r="F41" s="136"/>
      <c r="G41" s="136"/>
      <c r="H41" s="136"/>
      <c r="I41" s="136"/>
      <c r="J41" s="136"/>
      <c r="K41" s="136"/>
      <c r="L41" s="136"/>
      <c r="M41" s="136"/>
      <c r="N41" s="136"/>
      <c r="O41" s="136"/>
      <c r="P41" s="136"/>
      <c r="Q41" s="136"/>
      <c r="R41" s="136"/>
      <c r="S41" s="136"/>
      <c r="T41" s="136"/>
      <c r="U41" s="136"/>
      <c r="V41" s="136"/>
      <c r="W41" s="136"/>
      <c r="X41"/>
      <c r="Y41"/>
      <c r="Z41"/>
      <c r="AA41"/>
      <c r="AB41"/>
      <c r="AC41"/>
      <c r="AD41" s="136"/>
      <c r="AE41" s="136"/>
      <c r="AF41" s="136"/>
      <c r="AG41" s="136"/>
      <c r="AH41" s="136"/>
      <c r="AI41" s="136"/>
      <c r="AJ41" s="136"/>
      <c r="AK41" s="136"/>
      <c r="AL41" s="136"/>
      <c r="AM41" s="136"/>
      <c r="AN41" s="136"/>
      <c r="AO41" s="136"/>
      <c r="AP41" s="136"/>
      <c r="AQ41" s="136"/>
      <c r="AR41" s="136"/>
      <c r="AS41" s="136"/>
      <c r="AT41" s="136"/>
      <c r="AU41" s="136"/>
      <c r="AV41"/>
      <c r="AW41"/>
    </row>
    <row r="42" spans="1:49" x14ac:dyDescent="0.3">
      <c r="A42" s="136"/>
      <c r="B42" s="136"/>
      <c r="C42" s="136"/>
      <c r="D42" s="136"/>
      <c r="E42" s="136"/>
      <c r="F42" s="136"/>
      <c r="G42" s="136"/>
      <c r="H42" s="136"/>
      <c r="I42" s="136"/>
      <c r="J42" s="136"/>
      <c r="K42" s="136"/>
      <c r="L42" s="136"/>
      <c r="M42" s="136"/>
      <c r="N42" s="136"/>
      <c r="O42" s="136"/>
      <c r="P42" s="136"/>
      <c r="Q42" s="136"/>
      <c r="R42" s="136"/>
      <c r="S42" s="136"/>
      <c r="T42" s="136"/>
      <c r="U42" s="136"/>
      <c r="V42" s="136"/>
      <c r="W42" s="136"/>
      <c r="X42"/>
      <c r="Y42"/>
      <c r="Z42"/>
      <c r="AA42"/>
      <c r="AB42"/>
      <c r="AC42"/>
      <c r="AD42" s="136"/>
      <c r="AE42" s="136"/>
      <c r="AF42" s="136"/>
      <c r="AG42" s="136"/>
      <c r="AH42" s="136"/>
      <c r="AI42" s="136"/>
      <c r="AJ42" s="136"/>
      <c r="AK42" s="136"/>
      <c r="AL42" s="136"/>
      <c r="AM42" s="136"/>
      <c r="AN42" s="136"/>
      <c r="AO42" s="136"/>
      <c r="AP42" s="136"/>
      <c r="AQ42" s="136"/>
      <c r="AR42" s="136"/>
      <c r="AS42" s="136"/>
      <c r="AT42" s="136"/>
      <c r="AU42" s="136"/>
      <c r="AV42"/>
      <c r="AW42"/>
    </row>
    <row r="43" spans="1:49" x14ac:dyDescent="0.3">
      <c r="A43" s="136"/>
      <c r="B43" s="136"/>
      <c r="C43" s="136"/>
      <c r="D43" s="136"/>
      <c r="E43" s="136"/>
      <c r="F43" s="136"/>
      <c r="G43" s="136"/>
      <c r="H43" s="136"/>
      <c r="I43" s="136"/>
      <c r="J43" s="136"/>
      <c r="K43" s="136"/>
      <c r="L43" s="136"/>
      <c r="M43" s="136"/>
      <c r="N43" s="136"/>
      <c r="O43" s="136"/>
      <c r="P43" s="136"/>
      <c r="Q43" s="136"/>
      <c r="R43" s="136"/>
      <c r="S43" s="136"/>
      <c r="T43" s="136"/>
      <c r="U43" s="136"/>
      <c r="V43" s="136"/>
      <c r="W43" s="136"/>
      <c r="X43"/>
      <c r="Y43"/>
      <c r="Z43"/>
      <c r="AA43"/>
      <c r="AB43"/>
      <c r="AC43"/>
      <c r="AD43" s="136"/>
      <c r="AE43" s="136"/>
      <c r="AF43" s="136"/>
      <c r="AG43" s="136"/>
      <c r="AH43" s="136"/>
      <c r="AI43" s="136"/>
      <c r="AJ43" s="136"/>
      <c r="AK43" s="136"/>
      <c r="AL43" s="136"/>
      <c r="AM43" s="136"/>
      <c r="AN43" s="136"/>
      <c r="AO43" s="136"/>
      <c r="AP43" s="136"/>
      <c r="AQ43" s="136"/>
      <c r="AR43" s="136"/>
      <c r="AS43" s="136"/>
      <c r="AT43" s="136"/>
      <c r="AU43" s="136"/>
      <c r="AV43"/>
      <c r="AW43"/>
    </row>
    <row r="44" spans="1:49" x14ac:dyDescent="0.3">
      <c r="A44" s="136"/>
      <c r="B44" s="136"/>
      <c r="C44" s="136"/>
      <c r="D44" s="136"/>
      <c r="E44" s="136"/>
      <c r="F44" s="136"/>
      <c r="G44" s="136"/>
      <c r="H44" s="136"/>
      <c r="I44" s="136"/>
      <c r="J44" s="136"/>
      <c r="K44" s="136"/>
      <c r="L44" s="136"/>
      <c r="M44" s="136"/>
      <c r="N44" s="136"/>
      <c r="O44" s="136"/>
      <c r="P44" s="136"/>
      <c r="Q44" s="136"/>
      <c r="R44" s="136"/>
      <c r="S44" s="136"/>
      <c r="T44" s="136"/>
      <c r="U44" s="136"/>
      <c r="V44" s="136"/>
      <c r="W44" s="136"/>
      <c r="X44"/>
      <c r="Y44"/>
      <c r="Z44"/>
      <c r="AA44"/>
      <c r="AB44"/>
      <c r="AC44"/>
      <c r="AD44" s="136"/>
      <c r="AE44" s="136"/>
      <c r="AF44" s="136"/>
      <c r="AG44" s="136"/>
      <c r="AH44" s="136"/>
      <c r="AI44" s="136"/>
      <c r="AJ44" s="136"/>
      <c r="AK44" s="136"/>
      <c r="AL44" s="136"/>
      <c r="AM44" s="136"/>
      <c r="AN44" s="136"/>
      <c r="AO44" s="136"/>
      <c r="AP44" s="136"/>
      <c r="AQ44" s="136"/>
      <c r="AR44" s="136"/>
      <c r="AS44" s="136"/>
      <c r="AT44" s="136"/>
      <c r="AU44" s="136"/>
      <c r="AV44"/>
      <c r="AW44"/>
    </row>
    <row r="45" spans="1:49" x14ac:dyDescent="0.3">
      <c r="A45" s="136"/>
      <c r="B45" s="136"/>
      <c r="C45" s="136"/>
      <c r="D45" s="136"/>
      <c r="E45" s="136"/>
      <c r="F45" s="136"/>
      <c r="G45" s="136"/>
      <c r="H45" s="136"/>
      <c r="I45" s="136"/>
      <c r="J45" s="136"/>
      <c r="K45" s="136"/>
      <c r="L45" s="136"/>
      <c r="M45" s="136"/>
      <c r="N45" s="136"/>
      <c r="O45" s="136"/>
      <c r="P45" s="136"/>
      <c r="Q45" s="136"/>
      <c r="R45" s="136"/>
      <c r="S45" s="136"/>
      <c r="T45" s="136"/>
      <c r="U45" s="136"/>
      <c r="V45" s="136"/>
      <c r="W45" s="136"/>
      <c r="X45"/>
      <c r="Y45"/>
      <c r="Z45"/>
      <c r="AA45"/>
      <c r="AB45"/>
      <c r="AC45"/>
      <c r="AD45" s="136"/>
      <c r="AE45" s="136"/>
      <c r="AF45" s="136"/>
      <c r="AG45" s="136"/>
      <c r="AH45" s="136"/>
      <c r="AI45" s="136"/>
      <c r="AJ45" s="136"/>
      <c r="AK45" s="136"/>
      <c r="AL45" s="136"/>
      <c r="AM45" s="136"/>
      <c r="AN45" s="136"/>
      <c r="AO45" s="136"/>
      <c r="AP45" s="136"/>
      <c r="AQ45" s="136"/>
      <c r="AR45" s="136"/>
      <c r="AS45" s="136"/>
      <c r="AT45" s="136"/>
      <c r="AU45" s="136"/>
      <c r="AV45"/>
      <c r="AW45"/>
    </row>
    <row r="46" spans="1:49" x14ac:dyDescent="0.3">
      <c r="A46" s="136"/>
      <c r="B46" s="136"/>
      <c r="C46" s="136"/>
      <c r="D46" s="136"/>
      <c r="E46" s="136"/>
      <c r="F46" s="136"/>
      <c r="G46" s="136"/>
      <c r="H46" s="136"/>
      <c r="I46" s="136"/>
      <c r="J46" s="136"/>
      <c r="K46" s="136"/>
      <c r="L46" s="136"/>
      <c r="M46" s="136"/>
      <c r="N46" s="136"/>
      <c r="O46" s="136"/>
      <c r="P46" s="136"/>
      <c r="Q46" s="136"/>
      <c r="R46" s="136"/>
      <c r="S46" s="136"/>
      <c r="T46" s="136"/>
      <c r="U46" s="136"/>
      <c r="V46" s="136"/>
      <c r="W46"/>
      <c r="X46"/>
      <c r="Y46"/>
      <c r="Z46"/>
      <c r="AA46"/>
      <c r="AB46"/>
      <c r="AC46"/>
      <c r="AD46"/>
      <c r="AE46" s="136"/>
      <c r="AF46" s="136"/>
      <c r="AG46" s="136"/>
      <c r="AH46" s="136"/>
      <c r="AI46" s="136"/>
      <c r="AJ46" s="136"/>
      <c r="AK46" s="136"/>
      <c r="AL46" s="136"/>
      <c r="AM46" s="136"/>
      <c r="AN46" s="136"/>
      <c r="AO46" s="136"/>
      <c r="AP46" s="136"/>
      <c r="AQ46" s="136"/>
      <c r="AR46" s="136"/>
      <c r="AS46" s="136"/>
      <c r="AT46" s="136"/>
      <c r="AU46" s="136"/>
      <c r="AV46"/>
      <c r="AW46"/>
    </row>
    <row r="47" spans="1:49" x14ac:dyDescent="0.3">
      <c r="A47" s="136"/>
      <c r="B47" s="136"/>
      <c r="C47" s="136"/>
      <c r="D47" s="136"/>
      <c r="E47" s="136"/>
      <c r="F47" s="136"/>
      <c r="G47" s="136"/>
      <c r="H47" s="136"/>
      <c r="I47" s="136"/>
      <c r="J47" s="136"/>
      <c r="K47" s="136"/>
      <c r="L47" s="136"/>
      <c r="M47" s="136"/>
      <c r="N47" s="136"/>
      <c r="O47" s="136"/>
      <c r="P47" s="136"/>
      <c r="Q47" s="136"/>
      <c r="R47" s="136"/>
      <c r="S47" s="136"/>
      <c r="T47" s="136"/>
      <c r="U47" s="136"/>
      <c r="V47" s="136"/>
      <c r="W47"/>
      <c r="X47"/>
      <c r="Y47"/>
      <c r="Z47"/>
      <c r="AA47"/>
      <c r="AB47"/>
      <c r="AC47"/>
      <c r="AD47"/>
      <c r="AE47" s="136"/>
      <c r="AF47" s="136"/>
      <c r="AG47" s="136"/>
      <c r="AH47" s="136"/>
      <c r="AI47" s="136"/>
      <c r="AJ47" s="136"/>
      <c r="AK47" s="136"/>
      <c r="AL47" s="136"/>
      <c r="AM47" s="136"/>
      <c r="AN47" s="136"/>
      <c r="AO47" s="136"/>
      <c r="AP47" s="136"/>
      <c r="AQ47" s="136"/>
      <c r="AR47" s="136"/>
      <c r="AS47" s="136"/>
      <c r="AT47" s="136"/>
      <c r="AU47" s="136"/>
      <c r="AV47"/>
      <c r="AW47"/>
    </row>
    <row r="48" spans="1:49" x14ac:dyDescent="0.3">
      <c r="A48" s="136"/>
      <c r="B48" s="136"/>
      <c r="C48" s="136"/>
      <c r="D48" s="136"/>
      <c r="E48" s="136"/>
      <c r="F48" s="136"/>
      <c r="G48" s="136"/>
      <c r="H48" s="136"/>
      <c r="I48" s="136"/>
      <c r="J48" s="136"/>
      <c r="K48" s="136"/>
      <c r="L48" s="136"/>
      <c r="M48" s="136"/>
      <c r="N48" s="136"/>
      <c r="O48" s="136"/>
      <c r="P48" s="136"/>
      <c r="Q48" s="136"/>
      <c r="R48" s="136"/>
      <c r="S48" s="136"/>
      <c r="T48" s="136"/>
      <c r="U48" s="136"/>
      <c r="V48" s="136"/>
      <c r="W48"/>
      <c r="X48"/>
      <c r="Y48"/>
      <c r="Z48"/>
      <c r="AA48"/>
      <c r="AB48"/>
      <c r="AC48"/>
      <c r="AD48"/>
      <c r="AE48" s="136"/>
      <c r="AF48" s="136"/>
      <c r="AG48" s="136"/>
      <c r="AH48" s="136"/>
      <c r="AI48" s="136"/>
      <c r="AJ48" s="136"/>
      <c r="AK48" s="136"/>
      <c r="AL48" s="136"/>
      <c r="AM48" s="136"/>
      <c r="AN48" s="136"/>
      <c r="AO48" s="136"/>
      <c r="AP48" s="136"/>
      <c r="AQ48" s="136"/>
      <c r="AR48" s="136"/>
      <c r="AS48" s="136"/>
      <c r="AT48" s="136"/>
      <c r="AU48" s="136"/>
      <c r="AV48"/>
      <c r="AW48"/>
    </row>
    <row r="49" spans="1:49" x14ac:dyDescent="0.3">
      <c r="A49" s="136"/>
      <c r="B49" s="136"/>
      <c r="C49" s="136"/>
      <c r="D49" s="136"/>
      <c r="E49" s="136"/>
      <c r="F49" s="136"/>
      <c r="G49" s="136"/>
      <c r="H49" s="136"/>
      <c r="I49" s="136"/>
      <c r="J49" s="136"/>
      <c r="K49" s="136"/>
      <c r="L49" s="136"/>
      <c r="M49" s="136"/>
      <c r="N49" s="136"/>
      <c r="O49" s="136"/>
      <c r="P49" s="136"/>
      <c r="Q49" s="136"/>
      <c r="R49" s="136"/>
      <c r="S49" s="136"/>
      <c r="T49" s="136"/>
      <c r="U49" s="136"/>
      <c r="V49" s="136"/>
      <c r="W49"/>
      <c r="X49"/>
      <c r="Y49"/>
      <c r="Z49"/>
      <c r="AA49"/>
      <c r="AB49"/>
      <c r="AC49"/>
      <c r="AD49"/>
      <c r="AE49" s="136"/>
      <c r="AF49" s="136"/>
      <c r="AG49" s="136"/>
      <c r="AH49" s="136"/>
      <c r="AI49" s="136"/>
      <c r="AJ49" s="136"/>
      <c r="AK49" s="136"/>
      <c r="AL49" s="136"/>
      <c r="AM49" s="136"/>
      <c r="AN49" s="136"/>
      <c r="AO49" s="136"/>
      <c r="AP49" s="136"/>
      <c r="AQ49" s="136"/>
      <c r="AR49" s="136"/>
      <c r="AS49" s="136"/>
      <c r="AT49" s="136"/>
      <c r="AU49" s="136"/>
      <c r="AV49"/>
      <c r="AW49"/>
    </row>
    <row r="50" spans="1:49" x14ac:dyDescent="0.3">
      <c r="A50" s="136"/>
      <c r="B50" s="136"/>
      <c r="C50" s="136"/>
      <c r="D50" s="136"/>
      <c r="E50" s="136"/>
      <c r="F50" s="136"/>
      <c r="G50" s="136"/>
      <c r="H50" s="136"/>
      <c r="I50" s="136"/>
      <c r="J50" s="136"/>
      <c r="K50" s="136"/>
      <c r="L50" s="136"/>
      <c r="M50" s="136"/>
      <c r="N50" s="136"/>
      <c r="O50" s="136"/>
      <c r="P50" s="136"/>
      <c r="Q50" s="136"/>
      <c r="R50" s="136"/>
      <c r="S50" s="136"/>
      <c r="T50" s="136"/>
      <c r="U50" s="136"/>
      <c r="V50" s="136"/>
      <c r="W50"/>
      <c r="X50"/>
      <c r="Y50"/>
      <c r="Z50"/>
      <c r="AA50"/>
      <c r="AB50"/>
      <c r="AC50"/>
      <c r="AD50"/>
      <c r="AE50" s="136"/>
      <c r="AF50" s="136"/>
      <c r="AG50" s="136"/>
      <c r="AH50" s="136"/>
      <c r="AI50" s="136"/>
      <c r="AJ50" s="136"/>
      <c r="AK50" s="136"/>
      <c r="AL50" s="136"/>
      <c r="AM50" s="136"/>
      <c r="AN50" s="136"/>
      <c r="AO50" s="136"/>
      <c r="AP50" s="136"/>
      <c r="AQ50" s="136"/>
      <c r="AR50" s="136"/>
      <c r="AS50" s="136"/>
      <c r="AT50" s="136"/>
      <c r="AU50" s="136"/>
      <c r="AV50"/>
      <c r="AW50"/>
    </row>
    <row r="51" spans="1:49" x14ac:dyDescent="0.3">
      <c r="A51" s="136"/>
      <c r="B51" s="136"/>
      <c r="C51" s="136"/>
      <c r="D51" s="136"/>
      <c r="E51" s="136"/>
      <c r="F51" s="136"/>
      <c r="G51" s="136"/>
      <c r="H51" s="136"/>
      <c r="I51" s="136"/>
      <c r="J51" s="136"/>
      <c r="K51" s="136"/>
      <c r="L51" s="136"/>
      <c r="M51" s="136"/>
      <c r="N51" s="136"/>
      <c r="O51" s="136"/>
      <c r="P51" s="136"/>
      <c r="Q51" s="136"/>
      <c r="R51" s="136"/>
      <c r="S51" s="136"/>
      <c r="T51" s="136"/>
      <c r="U51" s="136"/>
      <c r="V51" s="136"/>
      <c r="W51"/>
      <c r="X51"/>
      <c r="Y51"/>
      <c r="Z51"/>
      <c r="AA51"/>
      <c r="AB51"/>
      <c r="AC51"/>
      <c r="AD51"/>
      <c r="AE51" s="136"/>
      <c r="AF51" s="136"/>
      <c r="AG51" s="136"/>
      <c r="AH51" s="136"/>
      <c r="AI51" s="136"/>
      <c r="AJ51" s="136"/>
      <c r="AK51" s="136"/>
      <c r="AL51" s="136"/>
      <c r="AM51" s="136"/>
      <c r="AN51" s="136"/>
      <c r="AO51" s="136"/>
      <c r="AP51" s="136"/>
      <c r="AQ51" s="136"/>
      <c r="AR51" s="136"/>
      <c r="AS51" s="136"/>
      <c r="AT51" s="136"/>
      <c r="AU51" s="136"/>
      <c r="AV51"/>
      <c r="AW51"/>
    </row>
    <row r="52" spans="1:49" x14ac:dyDescent="0.3">
      <c r="A52" s="136"/>
      <c r="B52" s="136"/>
      <c r="C52" s="136"/>
      <c r="D52" s="136"/>
      <c r="E52" s="136"/>
      <c r="F52" s="136"/>
      <c r="G52" s="136"/>
      <c r="H52" s="136"/>
      <c r="I52" s="136"/>
      <c r="J52" s="136"/>
      <c r="K52" s="136"/>
      <c r="L52" s="136"/>
      <c r="M52" s="136"/>
      <c r="N52" s="136"/>
      <c r="O52" s="136"/>
      <c r="P52" s="136"/>
      <c r="Q52" s="136"/>
      <c r="R52" s="136"/>
      <c r="S52" s="136"/>
      <c r="T52" s="136"/>
      <c r="U52" s="136"/>
      <c r="V52" s="136"/>
      <c r="W52"/>
      <c r="X52"/>
      <c r="Y52"/>
      <c r="Z52"/>
      <c r="AA52"/>
      <c r="AB52"/>
      <c r="AC52"/>
      <c r="AD52"/>
      <c r="AE52" s="136"/>
      <c r="AF52" s="136"/>
      <c r="AG52" s="136"/>
      <c r="AH52" s="136"/>
      <c r="AI52" s="136"/>
      <c r="AJ52" s="136"/>
      <c r="AK52" s="136"/>
      <c r="AL52" s="136"/>
      <c r="AM52" s="136"/>
      <c r="AN52" s="136"/>
      <c r="AO52" s="136"/>
      <c r="AP52" s="136"/>
      <c r="AQ52" s="136"/>
      <c r="AR52" s="136"/>
      <c r="AS52" s="136"/>
      <c r="AT52" s="136"/>
      <c r="AU52" s="136"/>
      <c r="AV52"/>
      <c r="AW52"/>
    </row>
    <row r="53" spans="1:49" x14ac:dyDescent="0.3">
      <c r="A53" s="136"/>
      <c r="B53" s="136"/>
      <c r="C53" s="136"/>
      <c r="D53" s="136"/>
      <c r="E53" s="136"/>
      <c r="F53" s="136"/>
      <c r="G53" s="136"/>
      <c r="H53" s="136"/>
      <c r="I53" s="136"/>
      <c r="J53" s="136"/>
      <c r="K53" s="136"/>
      <c r="L53" s="136"/>
      <c r="M53" s="136"/>
      <c r="N53" s="136"/>
      <c r="O53" s="136"/>
      <c r="P53" s="136"/>
      <c r="Q53" s="136"/>
      <c r="R53" s="136"/>
      <c r="S53" s="136"/>
      <c r="T53" s="136"/>
      <c r="U53" s="136"/>
      <c r="V53" s="136"/>
      <c r="W53"/>
      <c r="X53"/>
      <c r="Y53"/>
      <c r="Z53"/>
      <c r="AA53"/>
      <c r="AB53"/>
      <c r="AC53"/>
      <c r="AD53"/>
      <c r="AE53" s="136"/>
      <c r="AF53" s="136"/>
      <c r="AG53" s="136"/>
      <c r="AH53" s="136"/>
      <c r="AI53" s="136"/>
      <c r="AJ53" s="136"/>
      <c r="AK53" s="136"/>
      <c r="AL53" s="136"/>
      <c r="AM53" s="136"/>
      <c r="AN53" s="136"/>
      <c r="AO53" s="136"/>
      <c r="AP53" s="136"/>
      <c r="AQ53" s="136"/>
      <c r="AR53" s="136"/>
      <c r="AS53" s="136"/>
      <c r="AT53" s="136"/>
      <c r="AU53" s="136"/>
      <c r="AV53"/>
      <c r="AW53"/>
    </row>
    <row r="54" spans="1:49" x14ac:dyDescent="0.3">
      <c r="A54" s="105"/>
      <c r="B54" s="105"/>
      <c r="C54" s="105"/>
      <c r="D54" s="105"/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  <c r="AA54"/>
      <c r="AB54"/>
      <c r="AC54"/>
      <c r="AD54" s="105"/>
      <c r="AE54" s="105"/>
      <c r="AF54" s="105"/>
      <c r="AG54" s="136"/>
      <c r="AH54" s="105"/>
      <c r="AI54" s="105"/>
      <c r="AJ54" s="105"/>
      <c r="AK54" s="105"/>
      <c r="AL54" s="105"/>
      <c r="AM54" s="105"/>
      <c r="AN54" s="105"/>
      <c r="AO54" s="136"/>
      <c r="AP54" s="136"/>
      <c r="AQ54" s="136"/>
      <c r="AR54" s="136"/>
      <c r="AS54" s="105"/>
      <c r="AT54" s="105"/>
      <c r="AU54" s="105"/>
    </row>
    <row r="55" spans="1:49" x14ac:dyDescent="0.3">
      <c r="A55" s="105"/>
      <c r="B55" s="105"/>
      <c r="C55" s="105"/>
      <c r="D55" s="105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/>
      <c r="AC55" s="105"/>
      <c r="AD55" s="105"/>
      <c r="AE55" s="105"/>
      <c r="AF55" s="105"/>
      <c r="AG55" s="105"/>
      <c r="AH55" s="105"/>
      <c r="AI55" s="105"/>
      <c r="AJ55" s="105"/>
      <c r="AK55" s="105"/>
      <c r="AL55" s="105"/>
      <c r="AM55" s="105"/>
      <c r="AN55" s="105"/>
      <c r="AO55" s="136"/>
      <c r="AP55" s="136"/>
      <c r="AQ55" s="136"/>
      <c r="AR55" s="136"/>
      <c r="AS55" s="105"/>
      <c r="AT55" s="105"/>
      <c r="AU55" s="105"/>
    </row>
    <row r="56" spans="1:49" x14ac:dyDescent="0.3">
      <c r="A56" s="105"/>
      <c r="B56" s="105"/>
      <c r="C56" s="105"/>
      <c r="D56" s="105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/>
      <c r="AC56" s="105"/>
      <c r="AD56" s="105"/>
      <c r="AE56" s="105"/>
      <c r="AF56" s="105"/>
      <c r="AG56" s="105"/>
      <c r="AH56" s="105"/>
      <c r="AI56" s="105"/>
      <c r="AJ56" s="105"/>
      <c r="AK56" s="105"/>
      <c r="AL56" s="105"/>
      <c r="AM56" s="105"/>
      <c r="AN56" s="105"/>
      <c r="AO56" s="136"/>
      <c r="AP56" s="136"/>
      <c r="AQ56" s="136"/>
      <c r="AR56" s="136"/>
      <c r="AS56" s="105"/>
      <c r="AT56" s="105"/>
      <c r="AU56" s="105"/>
    </row>
    <row r="57" spans="1:49" x14ac:dyDescent="0.3">
      <c r="AO57"/>
      <c r="AP57"/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W89"/>
  <sheetViews>
    <sheetView topLeftCell="W64" zoomScaleNormal="100" workbookViewId="0">
      <selection activeCell="AC4" sqref="AC4"/>
    </sheetView>
  </sheetViews>
  <sheetFormatPr defaultColWidth="9.109375" defaultRowHeight="14.4" x14ac:dyDescent="0.3"/>
  <cols>
    <col min="1" max="1" width="15" style="140" customWidth="1"/>
    <col min="2" max="2" width="8.33203125" style="142" customWidth="1"/>
    <col min="3" max="3" width="7.44140625" style="2" customWidth="1"/>
    <col min="4" max="4" width="15" style="2" customWidth="1"/>
    <col min="5" max="5" width="10.88671875" style="2" customWidth="1"/>
    <col min="6" max="6" width="12.88671875" style="2" customWidth="1"/>
    <col min="7" max="7" width="12" style="2" customWidth="1"/>
    <col min="8" max="8" width="10.5546875" style="2" customWidth="1"/>
    <col min="9" max="9" width="10.88671875" style="2" customWidth="1"/>
    <col min="10" max="10" width="17.6640625" style="2" customWidth="1"/>
    <col min="11" max="11" width="8.88671875" style="2" customWidth="1"/>
    <col min="12" max="12" width="8.44140625" style="2" customWidth="1"/>
    <col min="13" max="17" width="10" style="2" customWidth="1"/>
    <col min="18" max="23" width="14.6640625" style="2" customWidth="1"/>
    <col min="24" max="24" width="17.109375" style="2" customWidth="1"/>
    <col min="25" max="29" width="14.6640625" style="2" customWidth="1"/>
    <col min="30" max="30" width="9.44140625" style="2" customWidth="1"/>
    <col min="31" max="32" width="9.5546875" style="2" customWidth="1"/>
    <col min="33" max="33" width="10.6640625" style="2" customWidth="1"/>
    <col min="34" max="34" width="9.88671875" style="2" customWidth="1"/>
    <col min="35" max="35" width="12.5546875" style="2" customWidth="1"/>
    <col min="36" max="36" width="11.6640625" style="2" customWidth="1"/>
    <col min="37" max="37" width="11" style="2" customWidth="1"/>
    <col min="38" max="38" width="12.44140625" style="2" customWidth="1"/>
    <col min="39" max="40" width="14.33203125" style="2" customWidth="1"/>
    <col min="41" max="41" width="15.33203125" customWidth="1"/>
    <col min="42" max="42" width="13.5546875" style="2" customWidth="1"/>
    <col min="43" max="43" width="12.44140625" style="1" customWidth="1"/>
    <col min="44" max="44" width="9.109375" style="1"/>
    <col min="45" max="47" width="9.109375" style="2"/>
    <col min="50" max="16384" width="9.109375" style="2"/>
  </cols>
  <sheetData>
    <row r="1" spans="1:44" ht="80.25" customHeight="1" x14ac:dyDescent="0.3">
      <c r="A1" s="151" t="s">
        <v>59</v>
      </c>
      <c r="B1" s="141" t="s">
        <v>57</v>
      </c>
      <c r="C1" s="104" t="s">
        <v>58</v>
      </c>
      <c r="D1" s="104" t="s">
        <v>194</v>
      </c>
      <c r="E1" s="17" t="s">
        <v>24</v>
      </c>
      <c r="F1" s="104" t="s">
        <v>63</v>
      </c>
      <c r="G1" s="17" t="s">
        <v>23</v>
      </c>
      <c r="H1" s="17" t="s">
        <v>3</v>
      </c>
      <c r="I1" s="17" t="s">
        <v>307</v>
      </c>
      <c r="J1" s="17" t="s">
        <v>14</v>
      </c>
      <c r="K1" s="17" t="s">
        <v>20</v>
      </c>
      <c r="L1" s="17" t="s">
        <v>19</v>
      </c>
      <c r="M1" s="17" t="s">
        <v>53</v>
      </c>
      <c r="N1" s="17" t="s">
        <v>54</v>
      </c>
      <c r="O1" s="17" t="s">
        <v>79</v>
      </c>
      <c r="P1" s="17" t="s">
        <v>81</v>
      </c>
      <c r="Q1" s="17" t="s">
        <v>82</v>
      </c>
      <c r="R1" s="17" t="s">
        <v>84</v>
      </c>
      <c r="S1" s="17" t="s">
        <v>85</v>
      </c>
      <c r="T1" s="17" t="s">
        <v>88</v>
      </c>
      <c r="U1" s="17" t="s">
        <v>91</v>
      </c>
      <c r="V1" s="17" t="s">
        <v>140</v>
      </c>
      <c r="W1" s="17" t="s">
        <v>103</v>
      </c>
      <c r="X1" s="3" t="s">
        <v>302</v>
      </c>
      <c r="Y1" s="191" t="s">
        <v>60</v>
      </c>
      <c r="Z1" s="191" t="s">
        <v>306</v>
      </c>
      <c r="AA1" s="73" t="s">
        <v>304</v>
      </c>
      <c r="AB1" s="396" t="s">
        <v>305</v>
      </c>
      <c r="AC1" s="396" t="s">
        <v>67</v>
      </c>
      <c r="AD1" s="17" t="s">
        <v>5</v>
      </c>
      <c r="AE1" s="17" t="s">
        <v>9</v>
      </c>
      <c r="AF1" s="17" t="s">
        <v>12</v>
      </c>
      <c r="AG1" s="2" t="s">
        <v>76</v>
      </c>
      <c r="AH1" s="17" t="s">
        <v>77</v>
      </c>
      <c r="AI1" s="17" t="s">
        <v>10</v>
      </c>
      <c r="AJ1" s="17" t="s">
        <v>11</v>
      </c>
      <c r="AK1" s="17" t="s">
        <v>18</v>
      </c>
      <c r="AL1" s="17" t="s">
        <v>15</v>
      </c>
      <c r="AM1" s="17" t="s">
        <v>17</v>
      </c>
      <c r="AN1" s="17" t="s">
        <v>78</v>
      </c>
      <c r="AO1" t="s">
        <v>50</v>
      </c>
      <c r="AP1" s="1" t="s">
        <v>75</v>
      </c>
      <c r="AQ1" s="1" t="s">
        <v>80</v>
      </c>
      <c r="AR1" s="1" t="s">
        <v>90</v>
      </c>
    </row>
    <row r="2" spans="1:44" x14ac:dyDescent="0.3">
      <c r="A2" s="152" t="s">
        <v>95</v>
      </c>
      <c r="B2" s="143">
        <v>1</v>
      </c>
      <c r="C2" s="111">
        <v>1</v>
      </c>
      <c r="D2" s="111">
        <f>Table112345[[#This Row],[a (mm)]]/Table112345[[#This Row],[d (mm)]]</f>
        <v>3.01</v>
      </c>
      <c r="E2" s="111">
        <v>29.134400000000003</v>
      </c>
      <c r="F2" s="137">
        <f>Table112345[[#This Row],[d (mm)]]</f>
        <v>232</v>
      </c>
      <c r="G2" s="111">
        <f>E2*AD2</f>
        <v>20345.134207999999</v>
      </c>
      <c r="H2" s="111">
        <f t="shared" ref="H2:H8" si="0">G2/($AQ$5*AM2*0.001)</f>
        <v>1.071222696587404E-6</v>
      </c>
      <c r="I2" s="111">
        <f>G2/(Table112345[[#This Row],[b (mm)]]*Table112345[[#This Row],[h]]^2)</f>
        <v>7.170691540877871E-4</v>
      </c>
      <c r="J2" s="111">
        <f t="shared" ref="J2:J8" si="1">G2/(AI2*AK2*AE2*0.001)</f>
        <v>0.196053082942097</v>
      </c>
      <c r="K2" s="111">
        <f t="shared" ref="K2:K8" si="2">E2/($AQ$4*AL2*0.001)</f>
        <v>3.3948384251857526E-7</v>
      </c>
      <c r="L2" s="111">
        <f>E2/(Table112345[[#This Row],[b (mm)]]*AE2)</f>
        <v>4.1173544375353309E-4</v>
      </c>
      <c r="M2" s="111">
        <f>Table112345[[#This Row],[M (KN.mm)]]/(Table112345[[#This Row],[b (mm)]]*Table112345[[#This Row],[d (mm)]])</f>
        <v>0.28752309508196722</v>
      </c>
      <c r="N2" s="111">
        <f>Table112345[[#This Row],[M (KN.mm)]]/(Table112345[[#This Row],[b (mm)]]*Table112345[[#This Row],[h (mm)]])</f>
        <v>0.21870609199677504</v>
      </c>
      <c r="O2" s="111">
        <f>Table112345[[#This Row],[M (KN.mm)]]/(Table112345[[#This Row],[b (mm)]]*Table112345[[#This Row],[h (mm)]]*Table112345[[#This Row],[L(mm)]])</f>
        <v>1.56554110233912E-4</v>
      </c>
      <c r="P2" s="111">
        <f>Table112345[[#This Row],[M (KN.mm)]]/(Table112345[[#This Row],[b (mm)]]*Table112345[[#This Row],[d (mm)]]*Table112345[[#This Row],[L(mm)]])</f>
        <v>2.0581467078165154E-4</v>
      </c>
      <c r="Q2" s="111">
        <f>Table112345[[#This Row],[M (KN.mm)]]/(Table112345[[#This Row],[b (mm)]]*Table112345[[#This Row],[h (mm)]]*Table112345[[#This Row],[L(mm)]]*Table112345[[#This Row],[fc (Mpa)]])</f>
        <v>2.3684434226007867E-6</v>
      </c>
      <c r="R2" s="111">
        <f>Table112345[[#This Row],[M (KN.mm)]]/(Table112345[[#This Row],[b (mm)]]*Table112345[[#This Row],[h (mm)]]*Table112345[[#This Row],[L(mm)]]/2)</f>
        <v>3.1310822046782399E-4</v>
      </c>
      <c r="S2" s="111">
        <f>Table112345[[#This Row],[M (KN.mm)]]/(Table112345[[#This Row],[a (mm)]]*Table112345[[#This Row],[b (mm)]]*Table112345[[#This Row],[h (mm)]]*Table112345[[#This Row],[L(mm)]]/2)</f>
        <v>4.4837355434159702E-7</v>
      </c>
      <c r="T2" s="111">
        <f>Table112345[[#This Row],[M (KN.mm)]]/(Table112345[[#This Row],[a (mm)]]^2*Table112345[[#This Row],[b (mm)]]*Table112345[[#This Row],[h (mm)]])</f>
        <v>4.4848912777466713E-7</v>
      </c>
      <c r="U2" s="111">
        <f>Table112345[[#This Row],[M (KN.mm)]]/(Table112345[[#This Row],[b (mm)]]*Table112345[[#This Row],[d (mm)]]*Table112345[[#This Row],[pho (%)]])</f>
        <v>0.23960257923497266</v>
      </c>
      <c r="V2" s="111">
        <f>E2*224.8/(2*SQRT(Table112345[[#This Row],[fc (Mpa)]]*145.037)*Table112345[[#This Row],[b (mm)]]*Table112345[[#This Row],[d (mm)]]*(1/25.4)^2)</f>
        <v>0.30493822290577194</v>
      </c>
      <c r="W2" s="111">
        <f>Table112345[[#This Row],[M (KN.mm)]]/$G$11</f>
        <v>0.2181901639344262</v>
      </c>
      <c r="X2" s="111">
        <f>Table112345[[#This Row],[V/(2*sqrt(fc) bd)]]</f>
        <v>0.30493822290577194</v>
      </c>
      <c r="Y2" s="110">
        <f>Table112345[[#This Row],[a (mm)]]</f>
        <v>698.31999999999994</v>
      </c>
      <c r="Z2" s="110">
        <f>Table112345[[#This Row],[width]]*Table112345[[#This Row],[h]]^2</f>
        <v>28372625</v>
      </c>
      <c r="AA2" s="110">
        <f>Table112345[[#This Row],[b (mm)]]</f>
        <v>305</v>
      </c>
      <c r="AB2" s="110">
        <f>Table112345[[#This Row],[a]]/Table112345[[#This Row],[h (mm)]]</f>
        <v>2.2895737704918031</v>
      </c>
      <c r="AC2" s="110">
        <f>Table112345[[#This Row],[h (mm)]]</f>
        <v>305</v>
      </c>
      <c r="AD2" s="111">
        <f>3.01*Table112345[[#This Row],[d (mm)]]</f>
        <v>698.31999999999994</v>
      </c>
      <c r="AE2" s="111">
        <v>232</v>
      </c>
      <c r="AF2" s="111">
        <v>305</v>
      </c>
      <c r="AG2" s="111">
        <v>305</v>
      </c>
      <c r="AH2" s="7">
        <v>66.099999999999994</v>
      </c>
      <c r="AI2" s="111">
        <v>852</v>
      </c>
      <c r="AJ2" s="111">
        <v>1.2</v>
      </c>
      <c r="AK2" s="111">
        <v>525</v>
      </c>
      <c r="AL2" s="111">
        <f>(1/3-0.21*(MIN(Table112345[[#This Row],[b (mm)]],AF2)/MAX(Table112345[[#This Row],[b (mm)]],AF2))*(MIN(Table112345[[#This Row],[b (mm)]],AF2)^4/(12*MAX(Table112345[[#This Row],[b (mm)]],AF2)^4)))*MAX(Table112345[[#This Row],[b (mm)]],AF2)*MIN(Table112345[[#This Row],[b (mm)]],AF2)^3</f>
        <v>2733111322.395833</v>
      </c>
      <c r="AM2" s="111">
        <f>Table112345[[#This Row],[b (mm)]]*AF2^3/12</f>
        <v>721137552.08333337</v>
      </c>
      <c r="AN2" s="111">
        <v>1397</v>
      </c>
      <c r="AP2" s="1"/>
    </row>
    <row r="3" spans="1:44" x14ac:dyDescent="0.3">
      <c r="A3" s="152" t="s">
        <v>95</v>
      </c>
      <c r="B3" s="143">
        <v>2</v>
      </c>
      <c r="C3" s="111">
        <v>2</v>
      </c>
      <c r="D3" s="111">
        <f>Table112345[[#This Row],[a (mm)]]/Table112345[[#This Row],[d (mm)]]</f>
        <v>3.01</v>
      </c>
      <c r="E3" s="111">
        <v>31.136000000000003</v>
      </c>
      <c r="F3" s="137">
        <f>Table112345[[#This Row],[d (mm)]]</f>
        <v>232</v>
      </c>
      <c r="G3" s="111">
        <f t="shared" ref="G3:G8" si="3">E3*AD3</f>
        <v>21742.891520000001</v>
      </c>
      <c r="H3" s="111">
        <f t="shared" si="0"/>
        <v>1.1448181490247066E-6</v>
      </c>
      <c r="I3" s="111">
        <f>G3/(Table112345[[#This Row],[b (mm)]]*Table112345[[#This Row],[h]]^2)</f>
        <v>7.6633344711671909E-4</v>
      </c>
      <c r="J3" s="111">
        <f t="shared" si="1"/>
        <v>0.20952237871674492</v>
      </c>
      <c r="K3" s="111">
        <f t="shared" si="2"/>
        <v>3.6280715994351553E-7</v>
      </c>
      <c r="L3" s="111">
        <f>E3/(Table112345[[#This Row],[b (mm)]]*AE3)</f>
        <v>4.4002261164499722E-4</v>
      </c>
      <c r="M3" s="111">
        <f>Table112345[[#This Row],[M (KN.mm)]]/(Table112345[[#This Row],[b (mm)]]*Table112345[[#This Row],[d (mm)]])</f>
        <v>0.30727659016393444</v>
      </c>
      <c r="N3" s="111">
        <f>Table112345[[#This Row],[M (KN.mm)]]/(Table112345[[#This Row],[b (mm)]]*Table112345[[#This Row],[h (mm)]])</f>
        <v>0.23373170137059932</v>
      </c>
      <c r="O3" s="111">
        <f>Table112345[[#This Row],[M (KN.mm)]]/(Table112345[[#This Row],[b (mm)]]*Table112345[[#This Row],[h (mm)]]*Table112345[[#This Row],[L(mm)]])</f>
        <v>1.6730973612784489E-4</v>
      </c>
      <c r="P3" s="111">
        <f>Table112345[[#This Row],[M (KN.mm)]]/(Table112345[[#This Row],[b (mm)]]*Table112345[[#This Row],[d (mm)]]*Table112345[[#This Row],[L(mm)]])</f>
        <v>2.1995460999565817E-4</v>
      </c>
      <c r="Q3" s="111">
        <f>Table112345[[#This Row],[M (KN.mm)]]/(Table112345[[#This Row],[b (mm)]]*Table112345[[#This Row],[h (mm)]]*Table112345[[#This Row],[L(mm)]]*Table112345[[#This Row],[fc (Mpa)]])</f>
        <v>2.5311609096496958E-6</v>
      </c>
      <c r="R3" s="111">
        <f>Table112345[[#This Row],[M (KN.mm)]]/(Table112345[[#This Row],[b (mm)]]*Table112345[[#This Row],[h (mm)]]*Table112345[[#This Row],[L(mm)]]/2)</f>
        <v>3.3461947225568977E-4</v>
      </c>
      <c r="S3" s="111">
        <f>Table112345[[#This Row],[M (KN.mm)]]/(Table112345[[#This Row],[a (mm)]]*Table112345[[#This Row],[b (mm)]]*Table112345[[#This Row],[h (mm)]]*Table112345[[#This Row],[L(mm)]]/2)</f>
        <v>4.7917784433453121E-7</v>
      </c>
      <c r="T3" s="111">
        <f>Table112345[[#This Row],[M (KN.mm)]]/(Table112345[[#This Row],[a (mm)]]^2*Table112345[[#This Row],[b (mm)]]*Table112345[[#This Row],[h (mm)]])</f>
        <v>4.7930135792712527E-7</v>
      </c>
      <c r="U3" s="111">
        <f>Table112345[[#This Row],[M (KN.mm)]]/(Table112345[[#This Row],[b (mm)]]*Table112345[[#This Row],[d (mm)]]*Table112345[[#This Row],[pho (%)]])</f>
        <v>0.25606382513661202</v>
      </c>
      <c r="V3" s="111">
        <f>E3*224.8/(2*SQRT(Table112345[[#This Row],[fc (Mpa)]]*145.037)*Table112345[[#This Row],[b (mm)]]*Table112345[[#This Row],[d (mm)]]*(1/25.4)^2)</f>
        <v>0.32588817715120666</v>
      </c>
      <c r="W3" s="111">
        <f>Table112345[[#This Row],[M (KN.mm)]]/$G$11</f>
        <v>0.23318032786885245</v>
      </c>
      <c r="X3" s="111">
        <f>Table112345[[#This Row],[V/(2*sqrt(fc) bd)]]</f>
        <v>0.32588817715120666</v>
      </c>
      <c r="Y3" s="110">
        <f>Table112345[[#This Row],[a (mm)]]</f>
        <v>698.31999999999994</v>
      </c>
      <c r="Z3" s="110">
        <f>Table112345[[#This Row],[width]]*Table112345[[#This Row],[h]]^2</f>
        <v>28372625</v>
      </c>
      <c r="AA3" s="110">
        <f>Table112345[[#This Row],[b (mm)]]</f>
        <v>305</v>
      </c>
      <c r="AB3" s="110">
        <f>Table112345[[#This Row],[a]]/Table112345[[#This Row],[h (mm)]]</f>
        <v>2.2895737704918031</v>
      </c>
      <c r="AC3" s="110">
        <f>Table112345[[#This Row],[h (mm)]]</f>
        <v>305</v>
      </c>
      <c r="AD3" s="111">
        <f>3.01*Table112345[[#This Row],[d (mm)]]</f>
        <v>698.31999999999994</v>
      </c>
      <c r="AE3" s="111">
        <v>232</v>
      </c>
      <c r="AF3" s="111">
        <v>305</v>
      </c>
      <c r="AG3" s="111">
        <v>305</v>
      </c>
      <c r="AH3" s="7">
        <v>66.099999999999994</v>
      </c>
      <c r="AI3" s="111">
        <v>852</v>
      </c>
      <c r="AJ3" s="111">
        <v>1.2</v>
      </c>
      <c r="AK3" s="111">
        <v>525</v>
      </c>
      <c r="AL3" s="111">
        <f>(1/3-0.21*(MIN(Table112345[[#This Row],[b (mm)]],AF3)/MAX(Table112345[[#This Row],[b (mm)]],AF3))*(MIN(Table112345[[#This Row],[b (mm)]],AF3)^4/(12*MAX(Table112345[[#This Row],[b (mm)]],AF3)^4)))*MAX(Table112345[[#This Row],[b (mm)]],AF3)*MIN(Table112345[[#This Row],[b (mm)]],AF3)^3</f>
        <v>2733111322.395833</v>
      </c>
      <c r="AM3" s="111">
        <f>Table112345[[#This Row],[b (mm)]]*AF3^3/12</f>
        <v>721137552.08333337</v>
      </c>
      <c r="AN3" s="111">
        <v>1397</v>
      </c>
      <c r="AP3" s="1"/>
    </row>
    <row r="4" spans="1:44" x14ac:dyDescent="0.3">
      <c r="A4" s="152" t="s">
        <v>95</v>
      </c>
      <c r="B4" s="143">
        <v>3</v>
      </c>
      <c r="C4" s="111">
        <v>3</v>
      </c>
      <c r="D4" s="111">
        <f>Table112345[[#This Row],[a (mm)]]/Table112345[[#This Row],[d (mm)]]</f>
        <v>3.01</v>
      </c>
      <c r="E4" s="111">
        <v>35.584000000000003</v>
      </c>
      <c r="F4" s="137">
        <f>Table112345[[#This Row],[d (mm)]]</f>
        <v>232</v>
      </c>
      <c r="G4" s="111">
        <f t="shared" si="3"/>
        <v>24849.01888</v>
      </c>
      <c r="H4" s="111">
        <f t="shared" si="0"/>
        <v>1.3083635988853789E-6</v>
      </c>
      <c r="I4" s="111">
        <f>G4/(Table112345[[#This Row],[b (mm)]]*Table112345[[#This Row],[h]]^2)</f>
        <v>8.7580965384767887E-4</v>
      </c>
      <c r="J4" s="111">
        <f t="shared" si="1"/>
        <v>0.2394541471048513</v>
      </c>
      <c r="K4" s="111">
        <f t="shared" si="2"/>
        <v>4.1463675422116061E-7</v>
      </c>
      <c r="L4" s="111">
        <f>E4/(Table112345[[#This Row],[b (mm)]]*AE4)</f>
        <v>5.0288298473713966E-4</v>
      </c>
      <c r="M4" s="111">
        <f>Table112345[[#This Row],[M (KN.mm)]]/(Table112345[[#This Row],[b (mm)]]*Table112345[[#This Row],[d (mm)]])</f>
        <v>0.35117324590163934</v>
      </c>
      <c r="N4" s="111">
        <f>Table112345[[#This Row],[M (KN.mm)]]/(Table112345[[#This Row],[b (mm)]]*Table112345[[#This Row],[h (mm)]])</f>
        <v>0.26712194442354203</v>
      </c>
      <c r="O4" s="111">
        <f>Table112345[[#This Row],[M (KN.mm)]]/(Table112345[[#This Row],[b (mm)]]*Table112345[[#This Row],[h (mm)]]*Table112345[[#This Row],[L(mm)]])</f>
        <v>1.9121112700325128E-4</v>
      </c>
      <c r="P4" s="111">
        <f>Table112345[[#This Row],[M (KN.mm)]]/(Table112345[[#This Row],[b (mm)]]*Table112345[[#This Row],[d (mm)]]*Table112345[[#This Row],[L(mm)]])</f>
        <v>2.5137669713789503E-4</v>
      </c>
      <c r="Q4" s="111">
        <f>Table112345[[#This Row],[M (KN.mm)]]/(Table112345[[#This Row],[b (mm)]]*Table112345[[#This Row],[h (mm)]]*Table112345[[#This Row],[L(mm)]]*Table112345[[#This Row],[fc (Mpa)]])</f>
        <v>2.8927553253139381E-6</v>
      </c>
      <c r="R4" s="111">
        <f>Table112345[[#This Row],[M (KN.mm)]]/(Table112345[[#This Row],[b (mm)]]*Table112345[[#This Row],[h (mm)]]*Table112345[[#This Row],[L(mm)]]/2)</f>
        <v>3.8242225400650256E-4</v>
      </c>
      <c r="S4" s="111">
        <f>Table112345[[#This Row],[M (KN.mm)]]/(Table112345[[#This Row],[a (mm)]]*Table112345[[#This Row],[b (mm)]]*Table112345[[#This Row],[h (mm)]]*Table112345[[#This Row],[L(mm)]]/2)</f>
        <v>5.4763182209660705E-7</v>
      </c>
      <c r="T4" s="111">
        <f>Table112345[[#This Row],[M (KN.mm)]]/(Table112345[[#This Row],[a (mm)]]^2*Table112345[[#This Row],[b (mm)]]*Table112345[[#This Row],[h (mm)]])</f>
        <v>5.4777298048814307E-7</v>
      </c>
      <c r="U4" s="111">
        <f>Table112345[[#This Row],[M (KN.mm)]]/(Table112345[[#This Row],[b (mm)]]*Table112345[[#This Row],[d (mm)]]*Table112345[[#This Row],[pho (%)]])</f>
        <v>0.29264437158469947</v>
      </c>
      <c r="V4" s="111">
        <f>E4*224.8/(2*SQRT(Table112345[[#This Row],[fc (Mpa)]]*145.037)*Table112345[[#This Row],[b (mm)]]*Table112345[[#This Row],[d (mm)]]*(1/25.4)^2)</f>
        <v>0.37244363102995043</v>
      </c>
      <c r="W4" s="111">
        <f>Table112345[[#This Row],[M (KN.mm)]]/$G$11</f>
        <v>0.26649180327868849</v>
      </c>
      <c r="X4" s="111">
        <f>Table112345[[#This Row],[V/(2*sqrt(fc) bd)]]</f>
        <v>0.37244363102995043</v>
      </c>
      <c r="Y4" s="110">
        <f>Table112345[[#This Row],[a (mm)]]</f>
        <v>698.31999999999994</v>
      </c>
      <c r="Z4" s="110">
        <f>Table112345[[#This Row],[width]]*Table112345[[#This Row],[h]]^2</f>
        <v>28372625</v>
      </c>
      <c r="AA4" s="110">
        <f>Table112345[[#This Row],[b (mm)]]</f>
        <v>305</v>
      </c>
      <c r="AB4" s="110">
        <f>Table112345[[#This Row],[a]]/Table112345[[#This Row],[h (mm)]]</f>
        <v>2.2895737704918031</v>
      </c>
      <c r="AC4" s="110">
        <f>Table112345[[#This Row],[h (mm)]]</f>
        <v>305</v>
      </c>
      <c r="AD4" s="111">
        <f>3.01*Table112345[[#This Row],[d (mm)]]</f>
        <v>698.31999999999994</v>
      </c>
      <c r="AE4" s="111">
        <v>232</v>
      </c>
      <c r="AF4" s="111">
        <v>305</v>
      </c>
      <c r="AG4" s="111">
        <v>305</v>
      </c>
      <c r="AH4" s="7">
        <v>66.099999999999994</v>
      </c>
      <c r="AI4" s="111">
        <v>852</v>
      </c>
      <c r="AJ4" s="111">
        <v>1.2</v>
      </c>
      <c r="AK4" s="111">
        <v>525</v>
      </c>
      <c r="AL4" s="111">
        <f>(1/3-0.21*(MIN(Table112345[[#This Row],[b (mm)]],AF4)/MAX(Table112345[[#This Row],[b (mm)]],AF4))*(MIN(Table112345[[#This Row],[b (mm)]],AF4)^4/(12*MAX(Table112345[[#This Row],[b (mm)]],AF4)^4)))*MAX(Table112345[[#This Row],[b (mm)]],AF4)*MIN(Table112345[[#This Row],[b (mm)]],AF4)^3</f>
        <v>2733111322.395833</v>
      </c>
      <c r="AM4" s="111">
        <f>Table112345[[#This Row],[b (mm)]]*AF4^3/12</f>
        <v>721137552.08333337</v>
      </c>
      <c r="AN4" s="111">
        <v>1397</v>
      </c>
      <c r="AP4" s="126" t="s">
        <v>7</v>
      </c>
      <c r="AQ4" s="107">
        <v>31.4</v>
      </c>
    </row>
    <row r="5" spans="1:44" x14ac:dyDescent="0.3">
      <c r="A5" s="152" t="s">
        <v>95</v>
      </c>
      <c r="B5" s="143">
        <v>4</v>
      </c>
      <c r="C5" s="111">
        <v>4</v>
      </c>
      <c r="D5" s="111">
        <f>Table112345[[#This Row],[a (mm)]]/Table112345[[#This Row],[d (mm)]]</f>
        <v>3.01</v>
      </c>
      <c r="E5" s="111">
        <v>40.032000000000004</v>
      </c>
      <c r="F5" s="137">
        <f>Table112345[[#This Row],[d (mm)]]</f>
        <v>232</v>
      </c>
      <c r="G5" s="111">
        <f t="shared" si="3"/>
        <v>27955.146239999998</v>
      </c>
      <c r="H5" s="111">
        <f t="shared" si="0"/>
        <v>1.471909048746051E-6</v>
      </c>
      <c r="I5" s="111">
        <f>G5/(Table112345[[#This Row],[b (mm)]]*Table112345[[#This Row],[h]]^2)</f>
        <v>9.8528586057863876E-4</v>
      </c>
      <c r="J5" s="111">
        <f t="shared" si="1"/>
        <v>0.26938591549295771</v>
      </c>
      <c r="K5" s="111">
        <f t="shared" si="2"/>
        <v>4.6646634849880569E-7</v>
      </c>
      <c r="L5" s="111">
        <f>E5/(Table112345[[#This Row],[b (mm)]]*AE5)</f>
        <v>5.6574335782928211E-4</v>
      </c>
      <c r="M5" s="111">
        <f>Table112345[[#This Row],[M (KN.mm)]]/(Table112345[[#This Row],[b (mm)]]*Table112345[[#This Row],[d (mm)]])</f>
        <v>0.39506990163934425</v>
      </c>
      <c r="N5" s="111">
        <f>Table112345[[#This Row],[M (KN.mm)]]/(Table112345[[#This Row],[b (mm)]]*Table112345[[#This Row],[h (mm)]])</f>
        <v>0.30051218747648478</v>
      </c>
      <c r="O5" s="111">
        <f>Table112345[[#This Row],[M (KN.mm)]]/(Table112345[[#This Row],[b (mm)]]*Table112345[[#This Row],[h (mm)]]*Table112345[[#This Row],[L(mm)]])</f>
        <v>2.1511251787865771E-4</v>
      </c>
      <c r="P5" s="111">
        <f>Table112345[[#This Row],[M (KN.mm)]]/(Table112345[[#This Row],[b (mm)]]*Table112345[[#This Row],[d (mm)]]*Table112345[[#This Row],[L(mm)]])</f>
        <v>2.827987842801319E-4</v>
      </c>
      <c r="Q5" s="111">
        <f>Table112345[[#This Row],[M (KN.mm)]]/(Table112345[[#This Row],[b (mm)]]*Table112345[[#This Row],[h (mm)]]*Table112345[[#This Row],[L(mm)]]*Table112345[[#This Row],[fc (Mpa)]])</f>
        <v>3.2543497409781798E-6</v>
      </c>
      <c r="R5" s="111">
        <f>Table112345[[#This Row],[M (KN.mm)]]/(Table112345[[#This Row],[b (mm)]]*Table112345[[#This Row],[h (mm)]]*Table112345[[#This Row],[L(mm)]]/2)</f>
        <v>4.3022503575731541E-4</v>
      </c>
      <c r="S5" s="111">
        <f>Table112345[[#This Row],[M (KN.mm)]]/(Table112345[[#This Row],[a (mm)]]*Table112345[[#This Row],[b (mm)]]*Table112345[[#This Row],[h (mm)]]*Table112345[[#This Row],[L(mm)]]/2)</f>
        <v>6.1608579985868289E-7</v>
      </c>
      <c r="T5" s="111">
        <f>Table112345[[#This Row],[M (KN.mm)]]/(Table112345[[#This Row],[a (mm)]]^2*Table112345[[#This Row],[b (mm)]]*Table112345[[#This Row],[h (mm)]])</f>
        <v>6.1624460304916098E-7</v>
      </c>
      <c r="U5" s="111">
        <f>Table112345[[#This Row],[M (KN.mm)]]/(Table112345[[#This Row],[b (mm)]]*Table112345[[#This Row],[d (mm)]]*Table112345[[#This Row],[pho (%)]])</f>
        <v>0.32922491803278686</v>
      </c>
      <c r="V5" s="111">
        <f>E5*224.8/(2*SQRT(Table112345[[#This Row],[fc (Mpa)]]*145.037)*Table112345[[#This Row],[b (mm)]]*Table112345[[#This Row],[d (mm)]]*(1/25.4)^2)</f>
        <v>0.4189990849086942</v>
      </c>
      <c r="W5" s="111">
        <f>Table112345[[#This Row],[M (KN.mm)]]/$G$11</f>
        <v>0.29980327868852452</v>
      </c>
      <c r="X5" s="111">
        <f>Table112345[[#This Row],[V/(2*sqrt(fc) bd)]]</f>
        <v>0.4189990849086942</v>
      </c>
      <c r="Y5" s="110">
        <f>Table112345[[#This Row],[a (mm)]]</f>
        <v>698.31999999999994</v>
      </c>
      <c r="Z5" s="110">
        <f>Table112345[[#This Row],[width]]*Table112345[[#This Row],[h]]^2</f>
        <v>28372625</v>
      </c>
      <c r="AA5" s="110">
        <f>Table112345[[#This Row],[b (mm)]]</f>
        <v>305</v>
      </c>
      <c r="AB5" s="110">
        <f>Table112345[[#This Row],[a]]/Table112345[[#This Row],[h (mm)]]</f>
        <v>2.2895737704918031</v>
      </c>
      <c r="AC5" s="110">
        <f>Table112345[[#This Row],[h (mm)]]</f>
        <v>305</v>
      </c>
      <c r="AD5" s="111">
        <f>3.01*Table112345[[#This Row],[d (mm)]]</f>
        <v>698.31999999999994</v>
      </c>
      <c r="AE5" s="111">
        <v>232</v>
      </c>
      <c r="AF5" s="111">
        <v>305</v>
      </c>
      <c r="AG5" s="111">
        <v>305</v>
      </c>
      <c r="AH5" s="7">
        <v>66.099999999999994</v>
      </c>
      <c r="AI5" s="111">
        <v>852</v>
      </c>
      <c r="AJ5" s="111">
        <v>1.2</v>
      </c>
      <c r="AK5" s="111">
        <v>525</v>
      </c>
      <c r="AL5" s="111">
        <f>(1/3-0.21*(MIN(Table112345[[#This Row],[b (mm)]],AF5)/MAX(Table112345[[#This Row],[b (mm)]],AF5))*(MIN(Table112345[[#This Row],[b (mm)]],AF5)^4/(12*MAX(Table112345[[#This Row],[b (mm)]],AF5)^4)))*MAX(Table112345[[#This Row],[b (mm)]],AF5)*MIN(Table112345[[#This Row],[b (mm)]],AF5)^3</f>
        <v>2733111322.395833</v>
      </c>
      <c r="AM5" s="111">
        <f>Table112345[[#This Row],[b (mm)]]*AF5^3/12</f>
        <v>721137552.08333337</v>
      </c>
      <c r="AN5" s="111">
        <v>1397</v>
      </c>
      <c r="AP5" s="126" t="s">
        <v>8</v>
      </c>
      <c r="AQ5" s="107">
        <f>4700*SQRT(AQ4)</f>
        <v>26336.780365109171</v>
      </c>
    </row>
    <row r="6" spans="1:44" x14ac:dyDescent="0.3">
      <c r="A6" s="152" t="s">
        <v>95</v>
      </c>
      <c r="B6" s="143">
        <v>5</v>
      </c>
      <c r="C6" s="111">
        <v>5</v>
      </c>
      <c r="D6" s="111">
        <f>Table112345[[#This Row],[a (mm)]]/Table112345[[#This Row],[d (mm)]]</f>
        <v>3.01</v>
      </c>
      <c r="E6" s="111">
        <v>44.480000000000004</v>
      </c>
      <c r="F6" s="137">
        <f>Table112345[[#This Row],[d (mm)]]</f>
        <v>232</v>
      </c>
      <c r="G6" s="111">
        <f t="shared" si="3"/>
        <v>31061.2736</v>
      </c>
      <c r="H6" s="111">
        <f t="shared" si="0"/>
        <v>1.6354544986067235E-6</v>
      </c>
      <c r="I6" s="111">
        <f>G6/(Table112345[[#This Row],[b (mm)]]*Table112345[[#This Row],[h]]^2)</f>
        <v>1.0947620673095986E-3</v>
      </c>
      <c r="J6" s="111">
        <f t="shared" si="1"/>
        <v>0.29931768388106417</v>
      </c>
      <c r="K6" s="111">
        <f t="shared" si="2"/>
        <v>5.1829594277645072E-7</v>
      </c>
      <c r="L6" s="111">
        <f>E6/(Table112345[[#This Row],[b (mm)]]*AE6)</f>
        <v>6.2860373092142455E-4</v>
      </c>
      <c r="M6" s="111">
        <f>Table112345[[#This Row],[M (KN.mm)]]/(Table112345[[#This Row],[b (mm)]]*Table112345[[#This Row],[d (mm)]])</f>
        <v>0.4389665573770492</v>
      </c>
      <c r="N6" s="111">
        <f>Table112345[[#This Row],[M (KN.mm)]]/(Table112345[[#This Row],[b (mm)]]*Table112345[[#This Row],[h (mm)]])</f>
        <v>0.33390243052942759</v>
      </c>
      <c r="O6" s="111">
        <f>Table112345[[#This Row],[M (KN.mm)]]/(Table112345[[#This Row],[b (mm)]]*Table112345[[#This Row],[h (mm)]]*Table112345[[#This Row],[L(mm)]])</f>
        <v>2.3901390875406413E-4</v>
      </c>
      <c r="P6" s="111">
        <f>Table112345[[#This Row],[M (KN.mm)]]/(Table112345[[#This Row],[b (mm)]]*Table112345[[#This Row],[d (mm)]]*Table112345[[#This Row],[L(mm)]])</f>
        <v>3.1422087142236876E-4</v>
      </c>
      <c r="Q6" s="111">
        <f>Table112345[[#This Row],[M (KN.mm)]]/(Table112345[[#This Row],[b (mm)]]*Table112345[[#This Row],[h (mm)]]*Table112345[[#This Row],[L(mm)]]*Table112345[[#This Row],[fc (Mpa)]])</f>
        <v>3.6159441566424225E-6</v>
      </c>
      <c r="R6" s="111">
        <f>Table112345[[#This Row],[M (KN.mm)]]/(Table112345[[#This Row],[b (mm)]]*Table112345[[#This Row],[h (mm)]]*Table112345[[#This Row],[L(mm)]]/2)</f>
        <v>4.7802781750812826E-4</v>
      </c>
      <c r="S6" s="111">
        <f>Table112345[[#This Row],[M (KN.mm)]]/(Table112345[[#This Row],[a (mm)]]*Table112345[[#This Row],[b (mm)]]*Table112345[[#This Row],[h (mm)]]*Table112345[[#This Row],[L(mm)]]/2)</f>
        <v>6.8453977762075884E-7</v>
      </c>
      <c r="T6" s="111">
        <f>Table112345[[#This Row],[M (KN.mm)]]/(Table112345[[#This Row],[a (mm)]]^2*Table112345[[#This Row],[b (mm)]]*Table112345[[#This Row],[h (mm)]])</f>
        <v>6.8471622561017889E-7</v>
      </c>
      <c r="U6" s="111">
        <f>Table112345[[#This Row],[M (KN.mm)]]/(Table112345[[#This Row],[b (mm)]]*Table112345[[#This Row],[d (mm)]]*Table112345[[#This Row],[pho (%)]])</f>
        <v>0.36580546448087431</v>
      </c>
      <c r="V6" s="111">
        <f>E6*224.8/(2*SQRT(Table112345[[#This Row],[fc (Mpa)]]*145.037)*Table112345[[#This Row],[b (mm)]]*Table112345[[#This Row],[d (mm)]]*(1/25.4)^2)</f>
        <v>0.46555453878743802</v>
      </c>
      <c r="W6" s="111">
        <f>Table112345[[#This Row],[M (KN.mm)]]/$G$11</f>
        <v>0.33311475409836061</v>
      </c>
      <c r="X6" s="111">
        <f>Table112345[[#This Row],[V/(2*sqrt(fc) bd)]]</f>
        <v>0.46555453878743802</v>
      </c>
      <c r="Y6" s="110">
        <f>Table112345[[#This Row],[a (mm)]]</f>
        <v>698.31999999999994</v>
      </c>
      <c r="Z6" s="110">
        <f>Table112345[[#This Row],[width]]*Table112345[[#This Row],[h]]^2</f>
        <v>28372625</v>
      </c>
      <c r="AA6" s="110">
        <f>Table112345[[#This Row],[b (mm)]]</f>
        <v>305</v>
      </c>
      <c r="AB6" s="110">
        <f>Table112345[[#This Row],[a]]/Table112345[[#This Row],[h (mm)]]</f>
        <v>2.2895737704918031</v>
      </c>
      <c r="AC6" s="110">
        <f>Table112345[[#This Row],[h (mm)]]</f>
        <v>305</v>
      </c>
      <c r="AD6" s="111">
        <f>3.01*Table112345[[#This Row],[d (mm)]]</f>
        <v>698.31999999999994</v>
      </c>
      <c r="AE6" s="111">
        <v>232</v>
      </c>
      <c r="AF6" s="111">
        <v>305</v>
      </c>
      <c r="AG6" s="111">
        <v>305</v>
      </c>
      <c r="AH6" s="7">
        <v>66.099999999999994</v>
      </c>
      <c r="AI6" s="111">
        <v>852</v>
      </c>
      <c r="AJ6" s="111">
        <v>1.2</v>
      </c>
      <c r="AK6" s="111">
        <v>525</v>
      </c>
      <c r="AL6" s="111">
        <f>(1/3-0.21*(MIN(Table112345[[#This Row],[b (mm)]],AF6)/MAX(Table112345[[#This Row],[b (mm)]],AF6))*(MIN(Table112345[[#This Row],[b (mm)]],AF6)^4/(12*MAX(Table112345[[#This Row],[b (mm)]],AF6)^4)))*MAX(Table112345[[#This Row],[b (mm)]],AF6)*MIN(Table112345[[#This Row],[b (mm)]],AF6)^3</f>
        <v>2733111322.395833</v>
      </c>
      <c r="AM6" s="111">
        <f>Table112345[[#This Row],[b (mm)]]*AF6^3/12</f>
        <v>721137552.08333337</v>
      </c>
      <c r="AN6" s="111">
        <v>1397</v>
      </c>
      <c r="AP6" s="126" t="s">
        <v>16</v>
      </c>
      <c r="AQ6" s="107">
        <f>AQ5/(2*(1+0.15))</f>
        <v>11450.774071786596</v>
      </c>
    </row>
    <row r="7" spans="1:44" x14ac:dyDescent="0.3">
      <c r="A7" s="152" t="s">
        <v>95</v>
      </c>
      <c r="B7" s="143">
        <v>6</v>
      </c>
      <c r="C7" s="111">
        <v>6</v>
      </c>
      <c r="D7" s="111">
        <f>Table112345[[#This Row],[a (mm)]]/Table112345[[#This Row],[d (mm)]]</f>
        <v>3.01</v>
      </c>
      <c r="E7" s="111">
        <v>48.928000000000004</v>
      </c>
      <c r="F7" s="137">
        <f>Table112345[[#This Row],[d (mm)]]</f>
        <v>232</v>
      </c>
      <c r="G7" s="111">
        <f t="shared" si="3"/>
        <v>34167.400959999999</v>
      </c>
      <c r="H7" s="111">
        <f t="shared" si="0"/>
        <v>1.7989999484673958E-6</v>
      </c>
      <c r="I7" s="111">
        <f>G7/(Table112345[[#This Row],[b (mm)]]*Table112345[[#This Row],[h]]^2)</f>
        <v>1.2042382740405585E-3</v>
      </c>
      <c r="J7" s="111">
        <f t="shared" si="1"/>
        <v>0.32924945226917057</v>
      </c>
      <c r="K7" s="111">
        <f t="shared" si="2"/>
        <v>5.7012553705409581E-7</v>
      </c>
      <c r="L7" s="111">
        <f>E7/(Table112345[[#This Row],[b (mm)]]*AE7)</f>
        <v>6.91464104013567E-4</v>
      </c>
      <c r="M7" s="111">
        <f>Table112345[[#This Row],[M (KN.mm)]]/(Table112345[[#This Row],[b (mm)]]*Table112345[[#This Row],[d (mm)]])</f>
        <v>0.48286321311475411</v>
      </c>
      <c r="N7" s="111">
        <f>Table112345[[#This Row],[M (KN.mm)]]/(Table112345[[#This Row],[b (mm)]]*Table112345[[#This Row],[h (mm)]])</f>
        <v>0.36729267358237033</v>
      </c>
      <c r="O7" s="111">
        <f>Table112345[[#This Row],[M (KN.mm)]]/(Table112345[[#This Row],[b (mm)]]*Table112345[[#This Row],[h (mm)]]*Table112345[[#This Row],[L(mm)]])</f>
        <v>2.629152996294705E-4</v>
      </c>
      <c r="P7" s="111">
        <f>Table112345[[#This Row],[M (KN.mm)]]/(Table112345[[#This Row],[b (mm)]]*Table112345[[#This Row],[d (mm)]]*Table112345[[#This Row],[L(mm)]])</f>
        <v>3.4564295856460563E-4</v>
      </c>
      <c r="Q7" s="111">
        <f>Table112345[[#This Row],[M (KN.mm)]]/(Table112345[[#This Row],[b (mm)]]*Table112345[[#This Row],[h (mm)]]*Table112345[[#This Row],[L(mm)]]*Table112345[[#This Row],[fc (Mpa)]])</f>
        <v>3.9775385723066642E-6</v>
      </c>
      <c r="R7" s="111">
        <f>Table112345[[#This Row],[M (KN.mm)]]/(Table112345[[#This Row],[b (mm)]]*Table112345[[#This Row],[h (mm)]]*Table112345[[#This Row],[L(mm)]]/2)</f>
        <v>5.25830599258941E-4</v>
      </c>
      <c r="S7" s="111">
        <f>Table112345[[#This Row],[M (KN.mm)]]/(Table112345[[#This Row],[a (mm)]]*Table112345[[#This Row],[b (mm)]]*Table112345[[#This Row],[h (mm)]]*Table112345[[#This Row],[L(mm)]]/2)</f>
        <v>7.5299375538283468E-7</v>
      </c>
      <c r="T7" s="111">
        <f>Table112345[[#This Row],[M (KN.mm)]]/(Table112345[[#This Row],[a (mm)]]^2*Table112345[[#This Row],[b (mm)]]*Table112345[[#This Row],[h (mm)]])</f>
        <v>7.531878481711967E-7</v>
      </c>
      <c r="U7" s="111">
        <f>Table112345[[#This Row],[M (KN.mm)]]/(Table112345[[#This Row],[b (mm)]]*Table112345[[#This Row],[d (mm)]]*Table112345[[#This Row],[pho (%)]])</f>
        <v>0.40238601092896176</v>
      </c>
      <c r="V7" s="111">
        <f>E7*224.8/(2*SQRT(Table112345[[#This Row],[fc (Mpa)]]*145.037)*Table112345[[#This Row],[b (mm)]]*Table112345[[#This Row],[d (mm)]]*(1/25.4)^2)</f>
        <v>0.51210999266618185</v>
      </c>
      <c r="W7" s="111">
        <f>Table112345[[#This Row],[M (KN.mm)]]/$G$11</f>
        <v>0.3664262295081967</v>
      </c>
      <c r="X7" s="111">
        <f>Table112345[[#This Row],[V/(2*sqrt(fc) bd)]]</f>
        <v>0.51210999266618185</v>
      </c>
      <c r="Y7" s="110">
        <f>Table112345[[#This Row],[a (mm)]]</f>
        <v>698.31999999999994</v>
      </c>
      <c r="Z7" s="110">
        <f>Table112345[[#This Row],[width]]*Table112345[[#This Row],[h]]^2</f>
        <v>28372625</v>
      </c>
      <c r="AA7" s="110">
        <f>Table112345[[#This Row],[b (mm)]]</f>
        <v>305</v>
      </c>
      <c r="AB7" s="110">
        <f>Table112345[[#This Row],[a]]/Table112345[[#This Row],[h (mm)]]</f>
        <v>2.2895737704918031</v>
      </c>
      <c r="AC7" s="110">
        <f>Table112345[[#This Row],[h (mm)]]</f>
        <v>305</v>
      </c>
      <c r="AD7" s="111">
        <f>3.01*Table112345[[#This Row],[d (mm)]]</f>
        <v>698.31999999999994</v>
      </c>
      <c r="AE7" s="111">
        <v>232</v>
      </c>
      <c r="AF7" s="111">
        <v>305</v>
      </c>
      <c r="AG7" s="111">
        <v>305</v>
      </c>
      <c r="AH7" s="7">
        <v>66.099999999999994</v>
      </c>
      <c r="AI7" s="111">
        <v>852</v>
      </c>
      <c r="AJ7" s="111">
        <v>1.2</v>
      </c>
      <c r="AK7" s="111">
        <v>525</v>
      </c>
      <c r="AL7" s="111">
        <f>(1/3-0.21*(MIN(Table112345[[#This Row],[b (mm)]],AF7)/MAX(Table112345[[#This Row],[b (mm)]],AF7))*(MIN(Table112345[[#This Row],[b (mm)]],AF7)^4/(12*MAX(Table112345[[#This Row],[b (mm)]],AF7)^4)))*MAX(Table112345[[#This Row],[b (mm)]],AF7)*MIN(Table112345[[#This Row],[b (mm)]],AF7)^3</f>
        <v>2733111322.395833</v>
      </c>
      <c r="AM7" s="111">
        <f>Table112345[[#This Row],[b (mm)]]*AF7^3/12</f>
        <v>721137552.08333337</v>
      </c>
      <c r="AN7" s="111">
        <v>1397</v>
      </c>
      <c r="AP7" s="107"/>
    </row>
    <row r="8" spans="1:44" x14ac:dyDescent="0.3">
      <c r="A8" s="152" t="s">
        <v>95</v>
      </c>
      <c r="B8" s="143">
        <v>7</v>
      </c>
      <c r="C8" s="111">
        <v>7</v>
      </c>
      <c r="D8" s="111">
        <f>Table112345[[#This Row],[a (mm)]]/Table112345[[#This Row],[d (mm)]]</f>
        <v>3.01</v>
      </c>
      <c r="E8" s="111">
        <v>53.376000000000005</v>
      </c>
      <c r="F8" s="137">
        <f>Table112345[[#This Row],[d (mm)]]</f>
        <v>232</v>
      </c>
      <c r="G8" s="111">
        <f t="shared" si="3"/>
        <v>37273.528319999998</v>
      </c>
      <c r="H8" s="111">
        <f t="shared" si="0"/>
        <v>1.9625453983280681E-6</v>
      </c>
      <c r="I8" s="111">
        <f>G8/(Table112345[[#This Row],[b (mm)]]*Table112345[[#This Row],[h]]^2)</f>
        <v>1.3137144807715182E-3</v>
      </c>
      <c r="J8" s="111">
        <f t="shared" si="1"/>
        <v>0.35918122065727698</v>
      </c>
      <c r="K8" s="111">
        <f t="shared" si="2"/>
        <v>6.2195513133174089E-7</v>
      </c>
      <c r="L8" s="111">
        <f>E8/(Table112345[[#This Row],[b (mm)]]*AE8)</f>
        <v>7.5432447710570955E-4</v>
      </c>
      <c r="M8" s="111">
        <f>Table112345[[#This Row],[M (KN.mm)]]/(Table112345[[#This Row],[b (mm)]]*Table112345[[#This Row],[d (mm)]])</f>
        <v>0.52675986885245896</v>
      </c>
      <c r="N8" s="111">
        <f>Table112345[[#This Row],[M (KN.mm)]]/(Table112345[[#This Row],[b (mm)]]*Table112345[[#This Row],[h (mm)]])</f>
        <v>0.40068291663531308</v>
      </c>
      <c r="O8" s="111">
        <f>Table112345[[#This Row],[M (KN.mm)]]/(Table112345[[#This Row],[b (mm)]]*Table112345[[#This Row],[h (mm)]]*Table112345[[#This Row],[L(mm)]])</f>
        <v>2.8681669050487692E-4</v>
      </c>
      <c r="P8" s="111">
        <f>Table112345[[#This Row],[M (KN.mm)]]/(Table112345[[#This Row],[b (mm)]]*Table112345[[#This Row],[d (mm)]]*Table112345[[#This Row],[L(mm)]])</f>
        <v>3.7706504570684249E-4</v>
      </c>
      <c r="Q8" s="111">
        <f>Table112345[[#This Row],[M (KN.mm)]]/(Table112345[[#This Row],[b (mm)]]*Table112345[[#This Row],[h (mm)]]*Table112345[[#This Row],[L(mm)]]*Table112345[[#This Row],[fc (Mpa)]])</f>
        <v>4.3391329879709064E-6</v>
      </c>
      <c r="R8" s="111">
        <f>Table112345[[#This Row],[M (KN.mm)]]/(Table112345[[#This Row],[b (mm)]]*Table112345[[#This Row],[h (mm)]]*Table112345[[#This Row],[L(mm)]]/2)</f>
        <v>5.7363338100975385E-4</v>
      </c>
      <c r="S8" s="111">
        <f>Table112345[[#This Row],[M (KN.mm)]]/(Table112345[[#This Row],[a (mm)]]*Table112345[[#This Row],[b (mm)]]*Table112345[[#This Row],[h (mm)]]*Table112345[[#This Row],[L(mm)]]/2)</f>
        <v>8.2144773314491052E-7</v>
      </c>
      <c r="T8" s="111">
        <f>Table112345[[#This Row],[M (KN.mm)]]/(Table112345[[#This Row],[a (mm)]]^2*Table112345[[#This Row],[b (mm)]]*Table112345[[#This Row],[h (mm)]])</f>
        <v>8.2165947073221461E-7</v>
      </c>
      <c r="U8" s="111">
        <f>Table112345[[#This Row],[M (KN.mm)]]/(Table112345[[#This Row],[b (mm)]]*Table112345[[#This Row],[d (mm)]]*Table112345[[#This Row],[pho (%)]])</f>
        <v>0.43896655737704915</v>
      </c>
      <c r="V8" s="111">
        <f>E8*224.8/(2*SQRT(Table112345[[#This Row],[fc (Mpa)]]*145.037)*Table112345[[#This Row],[b (mm)]]*Table112345[[#This Row],[d (mm)]]*(1/25.4)^2)</f>
        <v>0.55866544654492567</v>
      </c>
      <c r="W8" s="111">
        <f>Table112345[[#This Row],[M (KN.mm)]]/$G$11</f>
        <v>0.39973770491803273</v>
      </c>
      <c r="X8" s="111">
        <f>Table112345[[#This Row],[V/(2*sqrt(fc) bd)]]</f>
        <v>0.55866544654492567</v>
      </c>
      <c r="Y8" s="110">
        <f>Table112345[[#This Row],[a (mm)]]</f>
        <v>698.31999999999994</v>
      </c>
      <c r="Z8" s="110">
        <f>Table112345[[#This Row],[width]]*Table112345[[#This Row],[h]]^2</f>
        <v>28372625</v>
      </c>
      <c r="AA8" s="110">
        <f>Table112345[[#This Row],[b (mm)]]</f>
        <v>305</v>
      </c>
      <c r="AB8" s="110">
        <f>Table112345[[#This Row],[a]]/Table112345[[#This Row],[h (mm)]]</f>
        <v>2.2895737704918031</v>
      </c>
      <c r="AC8" s="110">
        <f>Table112345[[#This Row],[h (mm)]]</f>
        <v>305</v>
      </c>
      <c r="AD8" s="111">
        <f>3.01*Table112345[[#This Row],[d (mm)]]</f>
        <v>698.31999999999994</v>
      </c>
      <c r="AE8" s="111">
        <v>232</v>
      </c>
      <c r="AF8" s="111">
        <v>305</v>
      </c>
      <c r="AG8" s="111">
        <v>305</v>
      </c>
      <c r="AH8" s="7">
        <v>66.099999999999994</v>
      </c>
      <c r="AI8" s="111">
        <v>852</v>
      </c>
      <c r="AJ8" s="111">
        <v>1.2</v>
      </c>
      <c r="AK8" s="111">
        <v>525</v>
      </c>
      <c r="AL8" s="111">
        <f>(1/3-0.21*(MIN(Table112345[[#This Row],[b (mm)]],AF8)/MAX(Table112345[[#This Row],[b (mm)]],AF8))*(MIN(Table112345[[#This Row],[b (mm)]],AF8)^4/(12*MAX(Table112345[[#This Row],[b (mm)]],AF8)^4)))*MAX(Table112345[[#This Row],[b (mm)]],AF8)*MIN(Table112345[[#This Row],[b (mm)]],AF8)^3</f>
        <v>2733111322.395833</v>
      </c>
      <c r="AM8" s="111">
        <f>Table112345[[#This Row],[b (mm)]]*AF8^3/12</f>
        <v>721137552.08333337</v>
      </c>
      <c r="AN8" s="111">
        <v>1397</v>
      </c>
      <c r="AP8" s="107"/>
    </row>
    <row r="9" spans="1:44" x14ac:dyDescent="0.3">
      <c r="A9" s="152" t="s">
        <v>95</v>
      </c>
      <c r="B9" s="143">
        <v>8</v>
      </c>
      <c r="C9" s="111">
        <v>8</v>
      </c>
      <c r="D9" s="111">
        <f>Table112345[[#This Row],[a (mm)]]/Table112345[[#This Row],[d (mm)]]</f>
        <v>3.01</v>
      </c>
      <c r="E9" s="160">
        <v>57.824000000000005</v>
      </c>
      <c r="F9" s="137">
        <f>Table112345[[#This Row],[d (mm)]]</f>
        <v>232</v>
      </c>
      <c r="G9" s="111">
        <f>E9*AD9</f>
        <v>40379.655680000003</v>
      </c>
      <c r="H9" s="111">
        <f>G9/($AQ$5*AM9*0.001)</f>
        <v>2.1260908481887407E-6</v>
      </c>
      <c r="I9" s="111">
        <f>G9/(Table112345[[#This Row],[b (mm)]]*Table112345[[#This Row],[h]]^2)</f>
        <v>1.4231906875024783E-3</v>
      </c>
      <c r="J9" s="111">
        <f>G9/(AI9*AK9*AE9*0.001)</f>
        <v>0.38911298904538344</v>
      </c>
      <c r="K9" s="111">
        <f>E9/($AQ$4*AL9*0.001)</f>
        <v>6.7378472560938597E-7</v>
      </c>
      <c r="L9" s="111">
        <f>E9/(Table112345[[#This Row],[b (mm)]]*AE9)</f>
        <v>8.17184850197852E-4</v>
      </c>
      <c r="M9" s="111">
        <f>Table112345[[#This Row],[M (KN.mm)]]/(Table112345[[#This Row],[b (mm)]]*Table112345[[#This Row],[d (mm)]])</f>
        <v>0.57065652459016403</v>
      </c>
      <c r="N9" s="111">
        <f>Table112345[[#This Row],[M (KN.mm)]]/(Table112345[[#This Row],[b (mm)]]*Table112345[[#This Row],[h (mm)]])</f>
        <v>0.43407315968825588</v>
      </c>
      <c r="O9" s="111">
        <f>Table112345[[#This Row],[M (KN.mm)]]/(Table112345[[#This Row],[b (mm)]]*Table112345[[#This Row],[h (mm)]]*Table112345[[#This Row],[L(mm)]])</f>
        <v>3.1049582238072666E-4</v>
      </c>
      <c r="P9" s="111">
        <f>Table112345[[#This Row],[M (KN.mm)]]/(Table112345[[#This Row],[b (mm)]]*Table112345[[#This Row],[d (mm)]]*Table112345[[#This Row],[L(mm)]])</f>
        <v>4.081949389056967E-4</v>
      </c>
      <c r="Q9" s="111">
        <f>Table112345[[#This Row],[M (KN.mm)]]/(Table112345[[#This Row],[b (mm)]]*Table112345[[#This Row],[h (mm)]]*Table112345[[#This Row],[L(mm)]]*Table112345[[#This Row],[fc (Mpa)]])</f>
        <v>4.6973649376811901E-6</v>
      </c>
      <c r="R9" s="111">
        <f>Table112345[[#This Row],[M (KN.mm)]]/(Table112345[[#This Row],[b (mm)]]*Table112345[[#This Row],[h (mm)]]*Table112345[[#This Row],[L(mm)]]/2)</f>
        <v>6.2099164476145331E-4</v>
      </c>
      <c r="S9" s="111">
        <f>Table112345[[#This Row],[M (KN.mm)]]/(Table112345[[#This Row],[a (mm)]]*Table112345[[#This Row],[b (mm)]]*Table112345[[#This Row],[h (mm)]]*Table112345[[#This Row],[L(mm)]]/2)</f>
        <v>8.8926515746570838E-7</v>
      </c>
      <c r="T9" s="111">
        <f>Table112345[[#This Row],[M (KN.mm)]]/(Table112345[[#This Row],[a (mm)]]^2*Table112345[[#This Row],[b (mm)]]*Table112345[[#This Row],[h (mm)]])</f>
        <v>8.9013109329323263E-7</v>
      </c>
      <c r="U9" s="111">
        <f>Table112345[[#This Row],[M (KN.mm)]]/(Table112345[[#This Row],[b (mm)]]*Table112345[[#This Row],[d (mm)]]*Table112345[[#This Row],[pho (%)]])</f>
        <v>0.47554710382513665</v>
      </c>
      <c r="V9" s="111">
        <f>E9*224.8/(2*SQRT(Table112345[[#This Row],[fc (Mpa)]]*145.037)*Table112345[[#This Row],[b (mm)]]*Table112345[[#This Row],[d (mm)]]*(1/25.4)^2)</f>
        <v>0.60522090042366949</v>
      </c>
      <c r="W9" s="111">
        <f>Table112345[[#This Row],[M (KN.mm)]]/$G$11</f>
        <v>0.43304918032786888</v>
      </c>
      <c r="X9" s="111">
        <f>Table112345[[#This Row],[V/(2*sqrt(fc) bd)]]</f>
        <v>0.60522090042366949</v>
      </c>
      <c r="Y9" s="110">
        <f>Table112345[[#This Row],[a (mm)]]</f>
        <v>698.31999999999994</v>
      </c>
      <c r="Z9" s="110">
        <f>Table112345[[#This Row],[width]]*Table112345[[#This Row],[h]]^2</f>
        <v>28372625</v>
      </c>
      <c r="AA9" s="110">
        <f>Table112345[[#This Row],[b (mm)]]</f>
        <v>305</v>
      </c>
      <c r="AB9" s="110">
        <f>Table112345[[#This Row],[a]]/Table112345[[#This Row],[h (mm)]]</f>
        <v>2.2895737704918031</v>
      </c>
      <c r="AC9" s="110">
        <f>Table112345[[#This Row],[h (mm)]]</f>
        <v>305</v>
      </c>
      <c r="AD9" s="111">
        <f>3.01*Table112345[[#This Row],[d (mm)]]</f>
        <v>698.31999999999994</v>
      </c>
      <c r="AE9" s="111">
        <v>232</v>
      </c>
      <c r="AF9" s="111">
        <v>305</v>
      </c>
      <c r="AG9" s="111">
        <v>305</v>
      </c>
      <c r="AH9" s="7">
        <v>66.099999999999994</v>
      </c>
      <c r="AI9" s="111">
        <v>852</v>
      </c>
      <c r="AJ9" s="111">
        <v>1.2</v>
      </c>
      <c r="AK9" s="111">
        <v>525</v>
      </c>
      <c r="AL9" s="111">
        <f>(1/3-0.21*(MIN(Table112345[[#This Row],[b (mm)]],AF9)/MAX(Table112345[[#This Row],[b (mm)]],AF9))*(MIN(Table112345[[#This Row],[b (mm)]],AF9)^4/(12*MAX(Table112345[[#This Row],[b (mm)]],AF9)^4)))*MAX(Table112345[[#This Row],[b (mm)]],AF9)*MIN(Table112345[[#This Row],[b (mm)]],AF9)^3</f>
        <v>2733111322.395833</v>
      </c>
      <c r="AM9" s="111">
        <f>Table112345[[#This Row],[b (mm)]]*AF9^3/12</f>
        <v>721137552.08333337</v>
      </c>
      <c r="AN9" s="111">
        <v>1398</v>
      </c>
      <c r="AP9" s="107"/>
    </row>
    <row r="10" spans="1:44" ht="12.75" customHeight="1" x14ac:dyDescent="0.3">
      <c r="A10" s="152" t="s">
        <v>95</v>
      </c>
      <c r="B10" s="143">
        <v>9</v>
      </c>
      <c r="C10" s="111">
        <v>9</v>
      </c>
      <c r="D10" s="111">
        <f>Table112345[[#This Row],[a (mm)]]/Table112345[[#This Row],[d (mm)]]</f>
        <v>3.01</v>
      </c>
      <c r="E10" s="160">
        <v>62.272000000000006</v>
      </c>
      <c r="F10" s="137">
        <f>Table112345[[#This Row],[d (mm)]]</f>
        <v>232</v>
      </c>
      <c r="G10" s="111">
        <f>E10*AD10</f>
        <v>43485.783040000002</v>
      </c>
      <c r="H10" s="111">
        <f>G10/($AQ$5*AM10*0.001)</f>
        <v>2.2896362980494132E-6</v>
      </c>
      <c r="I10" s="111">
        <f>G10/(Table112345[[#This Row],[b (mm)]]*Table112345[[#This Row],[h]]^2)</f>
        <v>1.5326668942334382E-3</v>
      </c>
      <c r="J10" s="111">
        <f>G10/(AI10*AK10*AE10*0.001)</f>
        <v>0.41904475743348985</v>
      </c>
      <c r="K10" s="111">
        <f>E10/($AQ$4*AL10*0.001)</f>
        <v>7.2561431988703105E-7</v>
      </c>
      <c r="L10" s="111">
        <f>E10/(Table112345[[#This Row],[b (mm)]]*AE10)</f>
        <v>8.8004522328999444E-4</v>
      </c>
      <c r="M10" s="111">
        <f>Table112345[[#This Row],[M (KN.mm)]]/(Table112345[[#This Row],[b (mm)]]*Table112345[[#This Row],[d (mm)]])</f>
        <v>0.61455318032786888</v>
      </c>
      <c r="N10" s="111">
        <f>Table112345[[#This Row],[M (KN.mm)]]/(Table112345[[#This Row],[b (mm)]]*Table112345[[#This Row],[h (mm)]])</f>
        <v>0.46746340274119863</v>
      </c>
      <c r="O10" s="111">
        <f>Table112345[[#This Row],[M (KN.mm)]]/(Table112345[[#This Row],[b (mm)]]*Table112345[[#This Row],[h (mm)]]*Table112345[[#This Row],[L(mm)]])</f>
        <v>3.3414110274567447E-4</v>
      </c>
      <c r="P10" s="111">
        <f>Table112345[[#This Row],[M (KN.mm)]]/(Table112345[[#This Row],[b (mm)]]*Table112345[[#This Row],[d (mm)]]*Table112345[[#This Row],[L(mm)]])</f>
        <v>4.3928032904064966E-4</v>
      </c>
      <c r="Q10" s="111">
        <f>Table112345[[#This Row],[M (KN.mm)]]/(Table112345[[#This Row],[b (mm)]]*Table112345[[#This Row],[h (mm)]]*Table112345[[#This Row],[L(mm)]]*Table112345[[#This Row],[fc (Mpa)]])</f>
        <v>5.0550847616592205E-6</v>
      </c>
      <c r="R10" s="111">
        <f>Table112345[[#This Row],[M (KN.mm)]]/(Table112345[[#This Row],[b (mm)]]*Table112345[[#This Row],[h (mm)]]*Table112345[[#This Row],[L(mm)]]/2)</f>
        <v>6.6828220549134895E-4</v>
      </c>
      <c r="S10" s="111">
        <f>Table112345[[#This Row],[M (KN.mm)]]/(Table112345[[#This Row],[a (mm)]]*Table112345[[#This Row],[b (mm)]]*Table112345[[#This Row],[h (mm)]]*Table112345[[#This Row],[L(mm)]]/2)</f>
        <v>9.5698563050084367E-7</v>
      </c>
      <c r="T10" s="111">
        <f>Table112345[[#This Row],[M (KN.mm)]]/(Table112345[[#This Row],[a (mm)]]^2*Table112345[[#This Row],[b (mm)]]*Table112345[[#This Row],[h (mm)]])</f>
        <v>9.5860271585425054E-7</v>
      </c>
      <c r="U10" s="111">
        <f>Table112345[[#This Row],[M (KN.mm)]]/(Table112345[[#This Row],[b (mm)]]*Table112345[[#This Row],[d (mm)]]*Table112345[[#This Row],[pho (%)]])</f>
        <v>0.51212765027322404</v>
      </c>
      <c r="V10" s="111">
        <f>E10*224.8/(2*SQRT(Table112345[[#This Row],[fc (Mpa)]]*145.037)*Table112345[[#This Row],[b (mm)]]*Table112345[[#This Row],[d (mm)]]*(1/25.4)^2)</f>
        <v>0.65177635430241332</v>
      </c>
      <c r="W10" s="111">
        <f>Table112345[[#This Row],[M (KN.mm)]]/$G$11</f>
        <v>0.46636065573770491</v>
      </c>
      <c r="X10" s="111">
        <f>Table112345[[#This Row],[V/(2*sqrt(fc) bd)]]</f>
        <v>0.65177635430241332</v>
      </c>
      <c r="Y10" s="110">
        <f>Table112345[[#This Row],[a (mm)]]</f>
        <v>698.31999999999994</v>
      </c>
      <c r="Z10" s="110">
        <f>Table112345[[#This Row],[width]]*Table112345[[#This Row],[h]]^2</f>
        <v>28372625</v>
      </c>
      <c r="AA10" s="110">
        <f>Table112345[[#This Row],[b (mm)]]</f>
        <v>305</v>
      </c>
      <c r="AB10" s="110">
        <f>Table112345[[#This Row],[a]]/Table112345[[#This Row],[h (mm)]]</f>
        <v>2.2895737704918031</v>
      </c>
      <c r="AC10" s="110">
        <f>Table112345[[#This Row],[h (mm)]]</f>
        <v>305</v>
      </c>
      <c r="AD10" s="111">
        <f>3.01*Table112345[[#This Row],[d (mm)]]</f>
        <v>698.31999999999994</v>
      </c>
      <c r="AE10" s="111">
        <v>232</v>
      </c>
      <c r="AF10" s="111">
        <v>305</v>
      </c>
      <c r="AG10" s="111">
        <v>305</v>
      </c>
      <c r="AH10" s="7">
        <v>66.099999999999994</v>
      </c>
      <c r="AI10" s="111">
        <v>852</v>
      </c>
      <c r="AJ10" s="111">
        <v>1.2</v>
      </c>
      <c r="AK10" s="111">
        <v>525</v>
      </c>
      <c r="AL10" s="111">
        <f>(1/3-0.21*(MIN(Table112345[[#This Row],[b (mm)]],AF10)/MAX(Table112345[[#This Row],[b (mm)]],AF10))*(MIN(Table112345[[#This Row],[b (mm)]],AF10)^4/(12*MAX(Table112345[[#This Row],[b (mm)]],AF10)^4)))*MAX(Table112345[[#This Row],[b (mm)]],AF10)*MIN(Table112345[[#This Row],[b (mm)]],AF10)^3</f>
        <v>2733111322.395833</v>
      </c>
      <c r="AM10" s="111">
        <f>Table112345[[#This Row],[b (mm)]]*AF10^3/12</f>
        <v>721137552.08333337</v>
      </c>
      <c r="AN10" s="111">
        <v>1399</v>
      </c>
      <c r="AP10" s="107"/>
    </row>
    <row r="11" spans="1:44" x14ac:dyDescent="0.3">
      <c r="A11" s="152" t="s">
        <v>95</v>
      </c>
      <c r="B11" s="143" t="s">
        <v>93</v>
      </c>
      <c r="C11" s="111">
        <v>10</v>
      </c>
      <c r="D11" s="111">
        <f>Table112345[[#This Row],[a (mm)]]/Table112345[[#This Row],[d (mm)]]</f>
        <v>3.01</v>
      </c>
      <c r="E11" s="166">
        <v>133.52755905511813</v>
      </c>
      <c r="F11" s="137">
        <f>Table112345[[#This Row],[d (mm)]]</f>
        <v>232</v>
      </c>
      <c r="G11" s="111">
        <f>E11*AD11</f>
        <v>93244.965039370087</v>
      </c>
      <c r="H11" s="111">
        <f>G11/($AQ$5*AM11*0.001)</f>
        <v>4.9095828944394758E-6</v>
      </c>
      <c r="I11" s="111">
        <f>G11/(Table112345[[#This Row],[b (mm)]]*Table112345[[#This Row],[h]]^2)</f>
        <v>3.2864412453683821E-3</v>
      </c>
      <c r="J11" s="111">
        <f>G11/(AI11*AK11*AE11*0.001)</f>
        <v>0.89854225968232848</v>
      </c>
      <c r="K11" s="111">
        <f>E11/($AQ$4*AL11*0.001)</f>
        <v>1.5559080959332432E-6</v>
      </c>
      <c r="L11" s="111">
        <f>E11/(Table112345[[#This Row],[b (mm)]]*AE11)</f>
        <v>1.8870486016834107E-3</v>
      </c>
      <c r="M11" s="111">
        <f>Table112345[[#This Row],[M (KN.mm)]]/(Table112345[[#This Row],[b (mm)]]*Table112345[[#This Row],[d (mm)]])</f>
        <v>1.3177637795275592</v>
      </c>
      <c r="N11" s="111">
        <f>Table112345[[#This Row],[M (KN.mm)]]/(Table112345[[#This Row],[b (mm)]]*Table112345[[#This Row],[h (mm)]])</f>
        <v>1.0023645798373564</v>
      </c>
      <c r="O11" s="111">
        <f>Table112345[[#This Row],[M (KN.mm)]]/(Table112345[[#This Row],[b (mm)]]*Table112345[[#This Row],[h (mm)]]*Table112345[[#This Row],[L(mm)]])</f>
        <v>7.1648647593806751E-4</v>
      </c>
      <c r="P11" s="111">
        <f>Table112345[[#This Row],[M (KN.mm)]]/(Table112345[[#This Row],[b (mm)]]*Table112345[[#This Row],[d (mm)]]*Table112345[[#This Row],[L(mm)]])</f>
        <v>9.4193265155651125E-4</v>
      </c>
      <c r="Q11" s="111">
        <f>Table112345[[#This Row],[M (KN.mm)]]/(Table112345[[#This Row],[b (mm)]]*Table112345[[#This Row],[h (mm)]]*Table112345[[#This Row],[L(mm)]]*Table112345[[#This Row],[fc (Mpa)]])</f>
        <v>1.0839432313737784E-5</v>
      </c>
      <c r="R11" s="111">
        <f>Table112345[[#This Row],[M (KN.mm)]]/(Table112345[[#This Row],[b (mm)]]*Table112345[[#This Row],[h (mm)]]*Table112345[[#This Row],[L(mm)]]/2)</f>
        <v>1.432972951876135E-3</v>
      </c>
      <c r="S11" s="111">
        <f>Table112345[[#This Row],[M (KN.mm)]]/(Table112345[[#This Row],[a (mm)]]*Table112345[[#This Row],[b (mm)]]*Table112345[[#This Row],[h (mm)]]*Table112345[[#This Row],[L(mm)]]/2)</f>
        <v>2.0520290867741655E-6</v>
      </c>
      <c r="T11" s="111">
        <f>Table112345[[#This Row],[M (KN.mm)]]/(Table112345[[#This Row],[a (mm)]]^2*Table112345[[#This Row],[b (mm)]]*Table112345[[#This Row],[h (mm)]])</f>
        <v>2.0554965434163835E-6</v>
      </c>
      <c r="U11" s="111">
        <f>Table112345[[#This Row],[M (KN.mm)]]/(Table112345[[#This Row],[b (mm)]]*Table112345[[#This Row],[d (mm)]]*Table112345[[#This Row],[pho (%)]])</f>
        <v>1.0981364829396327</v>
      </c>
      <c r="V11" s="111">
        <f>E11*224.8/(2*SQRT(Table112345[[#This Row],[fc (Mpa)]]*145.037)*Table112345[[#This Row],[b (mm)]]*Table112345[[#This Row],[d (mm)]]*(1/25.4)^2)</f>
        <v>1.3975800623048091</v>
      </c>
      <c r="W11" s="111">
        <f>Table112345[[#This Row],[M (KN.mm)]]/$G$11</f>
        <v>1</v>
      </c>
      <c r="X11" s="111">
        <f>Table112345[[#This Row],[V/(2*sqrt(fc) bd)]]</f>
        <v>1.3975800623048091</v>
      </c>
      <c r="Y11" s="110">
        <f>Table112345[[#This Row],[a (mm)]]</f>
        <v>698.31999999999994</v>
      </c>
      <c r="Z11" s="110">
        <f>Table112345[[#This Row],[width]]*Table112345[[#This Row],[h]]^2</f>
        <v>28372625</v>
      </c>
      <c r="AA11" s="110">
        <f>Table112345[[#This Row],[b (mm)]]</f>
        <v>305</v>
      </c>
      <c r="AB11" s="110">
        <f>Table112345[[#This Row],[a]]/Table112345[[#This Row],[h (mm)]]</f>
        <v>2.2895737704918031</v>
      </c>
      <c r="AC11" s="110">
        <f>Table112345[[#This Row],[h (mm)]]</f>
        <v>305</v>
      </c>
      <c r="AD11" s="111">
        <f>3.01*Table112345[[#This Row],[d (mm)]]</f>
        <v>698.31999999999994</v>
      </c>
      <c r="AE11" s="111">
        <v>232</v>
      </c>
      <c r="AF11" s="111">
        <v>305</v>
      </c>
      <c r="AG11" s="111">
        <v>305</v>
      </c>
      <c r="AH11" s="7">
        <v>66.099999999999994</v>
      </c>
      <c r="AI11" s="111">
        <v>852</v>
      </c>
      <c r="AJ11" s="111">
        <v>1.2</v>
      </c>
      <c r="AK11" s="111">
        <v>525</v>
      </c>
      <c r="AL11" s="111">
        <f>(1/3-0.21*(MIN(Table112345[[#This Row],[b (mm)]],AF11)/MAX(Table112345[[#This Row],[b (mm)]],AF11))*(MIN(Table112345[[#This Row],[b (mm)]],AF11)^4/(12*MAX(Table112345[[#This Row],[b (mm)]],AF11)^4)))*MAX(Table112345[[#This Row],[b (mm)]],AF11)*MIN(Table112345[[#This Row],[b (mm)]],AF11)^3</f>
        <v>2733111322.395833</v>
      </c>
      <c r="AM11" s="111">
        <f>Table112345[[#This Row],[b (mm)]]*AF11^3/12</f>
        <v>721137552.08333337</v>
      </c>
      <c r="AN11" s="111">
        <v>1399</v>
      </c>
      <c r="AP11" s="107"/>
    </row>
    <row r="12" spans="1:44" ht="17.25" customHeight="1" x14ac:dyDescent="0.3">
      <c r="A12" s="152" t="s">
        <v>95</v>
      </c>
      <c r="B12" s="143" t="s">
        <v>94</v>
      </c>
      <c r="C12" s="111">
        <v>11</v>
      </c>
      <c r="D12" s="111">
        <f>Table112345[[#This Row],[a (mm)]]/Table112345[[#This Row],[d (mm)]]</f>
        <v>3.01</v>
      </c>
      <c r="E12" s="166">
        <v>133.52755905511813</v>
      </c>
      <c r="F12" s="137">
        <f>Table112345[[#This Row],[d (mm)]]</f>
        <v>232</v>
      </c>
      <c r="G12" s="111">
        <f>E12*AD12</f>
        <v>93244.965039370087</v>
      </c>
      <c r="H12" s="111">
        <f>G12/($AQ$5*AM12*0.001)</f>
        <v>4.9095828944394758E-6</v>
      </c>
      <c r="I12" s="111">
        <f>G12/(Table112345[[#This Row],[b (mm)]]*Table112345[[#This Row],[h]]^2)</f>
        <v>3.2864412453683821E-3</v>
      </c>
      <c r="J12" s="111">
        <f>G12/(AI12*AK12*AE12*0.001)</f>
        <v>0.89854225968232848</v>
      </c>
      <c r="K12" s="111">
        <f>E12/($AQ$4*AL12*0.001)</f>
        <v>1.5559080959332432E-6</v>
      </c>
      <c r="L12" s="111">
        <f>E12/(Table112345[[#This Row],[b (mm)]]*AE12)</f>
        <v>1.8870486016834107E-3</v>
      </c>
      <c r="M12" s="111">
        <f>Table112345[[#This Row],[M (KN.mm)]]/(Table112345[[#This Row],[b (mm)]]*Table112345[[#This Row],[d (mm)]])</f>
        <v>1.3177637795275592</v>
      </c>
      <c r="N12" s="111">
        <f>Table112345[[#This Row],[M (KN.mm)]]/(Table112345[[#This Row],[b (mm)]]*Table112345[[#This Row],[h (mm)]])</f>
        <v>1.0023645798373564</v>
      </c>
      <c r="O12" s="111">
        <f>Table112345[[#This Row],[M (KN.mm)]]/(Table112345[[#This Row],[b (mm)]]*Table112345[[#This Row],[h (mm)]]*Table112345[[#This Row],[L(mm)]])</f>
        <v>7.1648647593806751E-4</v>
      </c>
      <c r="P12" s="111">
        <f>Table112345[[#This Row],[M (KN.mm)]]/(Table112345[[#This Row],[b (mm)]]*Table112345[[#This Row],[d (mm)]]*Table112345[[#This Row],[L(mm)]])</f>
        <v>9.4193265155651125E-4</v>
      </c>
      <c r="Q12" s="111">
        <f>Table112345[[#This Row],[M (KN.mm)]]/(Table112345[[#This Row],[b (mm)]]*Table112345[[#This Row],[h (mm)]]*Table112345[[#This Row],[L(mm)]]*Table112345[[#This Row],[fc (Mpa)]])</f>
        <v>1.0839432313737784E-5</v>
      </c>
      <c r="R12" s="111">
        <f>Table112345[[#This Row],[M (KN.mm)]]/(Table112345[[#This Row],[b (mm)]]*Table112345[[#This Row],[h (mm)]]*Table112345[[#This Row],[L(mm)]]/2)</f>
        <v>1.432972951876135E-3</v>
      </c>
      <c r="S12" s="111">
        <f>Table112345[[#This Row],[M (KN.mm)]]/(Table112345[[#This Row],[a (mm)]]*Table112345[[#This Row],[b (mm)]]*Table112345[[#This Row],[h (mm)]]*Table112345[[#This Row],[L(mm)]]/2)</f>
        <v>2.0520290867741655E-6</v>
      </c>
      <c r="T12" s="111">
        <f>Table112345[[#This Row],[M (KN.mm)]]/(Table112345[[#This Row],[a (mm)]]^2*Table112345[[#This Row],[b (mm)]]*Table112345[[#This Row],[h (mm)]])</f>
        <v>2.0554965434163835E-6</v>
      </c>
      <c r="U12" s="111">
        <f>Table112345[[#This Row],[M (KN.mm)]]/(Table112345[[#This Row],[b (mm)]]*Table112345[[#This Row],[d (mm)]]*Table112345[[#This Row],[pho (%)]])</f>
        <v>1.0981364829396327</v>
      </c>
      <c r="V12" s="111">
        <f>E12*224.8/(2*SQRT(Table112345[[#This Row],[fc (Mpa)]]*145.037)*Table112345[[#This Row],[b (mm)]]*Table112345[[#This Row],[d (mm)]]*(1/25.4)^2)</f>
        <v>1.3975800623048091</v>
      </c>
      <c r="W12" s="111">
        <f>Table112345[[#This Row],[M (KN.mm)]]/$G$11</f>
        <v>1</v>
      </c>
      <c r="X12" s="111">
        <f>Table112345[[#This Row],[V/(2*sqrt(fc) bd)]]</f>
        <v>1.3975800623048091</v>
      </c>
      <c r="Y12" s="110">
        <f>Table112345[[#This Row],[a (mm)]]</f>
        <v>698.31999999999994</v>
      </c>
      <c r="Z12" s="110">
        <f>Table112345[[#This Row],[width]]*Table112345[[#This Row],[h]]^2</f>
        <v>28372625</v>
      </c>
      <c r="AA12" s="110">
        <f>Table112345[[#This Row],[b (mm)]]</f>
        <v>305</v>
      </c>
      <c r="AB12" s="110">
        <f>Table112345[[#This Row],[a]]/Table112345[[#This Row],[h (mm)]]</f>
        <v>2.2895737704918031</v>
      </c>
      <c r="AC12" s="110">
        <f>Table112345[[#This Row],[h (mm)]]</f>
        <v>305</v>
      </c>
      <c r="AD12" s="111">
        <f>3.01*Table112345[[#This Row],[d (mm)]]</f>
        <v>698.31999999999994</v>
      </c>
      <c r="AE12" s="111">
        <v>232</v>
      </c>
      <c r="AF12" s="111">
        <v>305</v>
      </c>
      <c r="AG12" s="111">
        <v>305</v>
      </c>
      <c r="AH12" s="7">
        <v>66.099999999999994</v>
      </c>
      <c r="AI12" s="111">
        <v>852</v>
      </c>
      <c r="AJ12" s="111">
        <v>1.2</v>
      </c>
      <c r="AK12" s="111">
        <v>525</v>
      </c>
      <c r="AL12" s="111">
        <f>(1/3-0.21*(MIN(Table112345[[#This Row],[b (mm)]],AF12)/MAX(Table112345[[#This Row],[b (mm)]],AF12))*(MIN(Table112345[[#This Row],[b (mm)]],AF12)^4/(12*MAX(Table112345[[#This Row],[b (mm)]],AF12)^4)))*MAX(Table112345[[#This Row],[b (mm)]],AF12)*MIN(Table112345[[#This Row],[b (mm)]],AF12)^3</f>
        <v>2733111322.395833</v>
      </c>
      <c r="AM12" s="111">
        <f>Table112345[[#This Row],[b (mm)]]*AF12^3/12</f>
        <v>721137552.08333337</v>
      </c>
      <c r="AN12" s="111">
        <v>1399</v>
      </c>
      <c r="AP12" s="107"/>
    </row>
    <row r="13" spans="1:44" x14ac:dyDescent="0.3">
      <c r="A13" s="153" t="s">
        <v>96</v>
      </c>
      <c r="B13" s="161">
        <v>1</v>
      </c>
      <c r="C13" s="111">
        <v>12</v>
      </c>
      <c r="D13" s="111">
        <f>Table112345[[#This Row],[a (mm)]]/Table112345[[#This Row],[d (mm)]]</f>
        <v>2.98</v>
      </c>
      <c r="E13" s="160">
        <v>45.369599999999998</v>
      </c>
      <c r="F13" s="137">
        <f>Table112345[[#This Row],[d (mm)]]</f>
        <v>530</v>
      </c>
      <c r="G13" s="111">
        <f t="shared" ref="G13:G22" si="4">E13*AD13</f>
        <v>71656.746240000008</v>
      </c>
      <c r="H13" s="111">
        <f t="shared" ref="H13:H22" si="5">G13/($AQ$5*AM13*0.001)</f>
        <v>4.6776808882316272E-7</v>
      </c>
      <c r="I13" s="111">
        <f>G13/(Table112345[[#This Row],[b (mm)]]*Table112345[[#This Row],[h]]^2)</f>
        <v>6.2726815082283973E-4</v>
      </c>
      <c r="J13" s="111">
        <f t="shared" ref="J13:J22" si="6">G13/(AI13*AK13*AE13*0.001)</f>
        <v>0.12630038814544947</v>
      </c>
      <c r="K13" s="111">
        <f t="shared" ref="K13:K22" si="7">E13/($AQ$4*AL13*0.001)</f>
        <v>2.4801047623916138E-7</v>
      </c>
      <c r="L13" s="111">
        <f>E13/(Table112345[[#This Row],[b (mm)]]*AE13)</f>
        <v>2.7974842767295599E-4</v>
      </c>
      <c r="M13" s="111">
        <f>Table112345[[#This Row],[M (KN.mm)]]/(Table112345[[#This Row],[b (mm)]]*Table112345[[#This Row],[d (mm)]])</f>
        <v>0.44183466666666671</v>
      </c>
      <c r="N13" s="111">
        <f>Table112345[[#This Row],[M (KN.mm)]]/(Table112345[[#This Row],[b (mm)]]*Table112345[[#This Row],[h (mm)]])</f>
        <v>0.38326084015275508</v>
      </c>
      <c r="O13" s="111">
        <f>Table112345[[#This Row],[M (KN.mm)]]/(Table112345[[#This Row],[b (mm)]]*Table112345[[#This Row],[h (mm)]]*Table112345[[#This Row],[L(mm)]])</f>
        <v>1.2120836184464108E-4</v>
      </c>
      <c r="P13" s="111">
        <f>Table112345[[#This Row],[M (KN.mm)]]/(Table112345[[#This Row],[b (mm)]]*Table112345[[#This Row],[d (mm)]]*Table112345[[#This Row],[L(mm)]])</f>
        <v>1.3973265865485982E-4</v>
      </c>
      <c r="Q13" s="111">
        <f>Table112345[[#This Row],[M (KN.mm)]]/(Table112345[[#This Row],[b (mm)]]*Table112345[[#This Row],[h (mm)]]*Table112345[[#This Row],[L(mm)]]*Table112345[[#This Row],[fc (Mpa)]])</f>
        <v>1.8337119794953265E-6</v>
      </c>
      <c r="R13" s="111">
        <f>Table112345[[#This Row],[M (KN.mm)]]/(Table112345[[#This Row],[b (mm)]]*Table112345[[#This Row],[h (mm)]]*Table112345[[#This Row],[L(mm)]]/2)</f>
        <v>2.4241672368928216E-4</v>
      </c>
      <c r="S13" s="111">
        <f>Table112345[[#This Row],[M (KN.mm)]]/(Table112345[[#This Row],[a (mm)]]*Table112345[[#This Row],[b (mm)]]*Table112345[[#This Row],[h (mm)]]*Table112345[[#This Row],[L(mm)]]/2)</f>
        <v>1.5348659218012037E-7</v>
      </c>
      <c r="T13" s="111">
        <f>Table112345[[#This Row],[M (KN.mm)]]/(Table112345[[#This Row],[a (mm)]]^2*Table112345[[#This Row],[b (mm)]]*Table112345[[#This Row],[h (mm)]])</f>
        <v>1.5364208068682431E-7</v>
      </c>
      <c r="U13" s="111">
        <f>Table112345[[#This Row],[M (KN.mm)]]/(Table112345[[#This Row],[b (mm)]]*Table112345[[#This Row],[d (mm)]]*Table112345[[#This Row],[pho (%)]])</f>
        <v>0.35346773333333337</v>
      </c>
      <c r="V13" s="111">
        <f>E13*224.8/(2*SQRT(Table112345[[#This Row],[fc (Mpa)]]*145.037)*Table112345[[#This Row],[b (mm)]]*Table112345[[#This Row],[d (mm)]]*(1/25.4)^2)</f>
        <v>0.207186409840246</v>
      </c>
      <c r="W13" s="111">
        <f>Table112345[[#This Row],[M (KN.mm)]]/$G$21</f>
        <v>0.33202614379084966</v>
      </c>
      <c r="X13" s="111">
        <f>Table112345[[#This Row],[V/(2*sqrt(fc) bd)]]</f>
        <v>0.207186409840246</v>
      </c>
      <c r="Y13" s="110">
        <f>Table112345[[#This Row],[a (mm)]]</f>
        <v>1579.4</v>
      </c>
      <c r="Z13" s="110">
        <f>Table112345[[#This Row],[width]]*Table112345[[#This Row],[h]]^2</f>
        <v>114236226</v>
      </c>
      <c r="AA13" s="110">
        <f>Table112345[[#This Row],[b (mm)]]</f>
        <v>306</v>
      </c>
      <c r="AB13" s="110">
        <f>Table112345[[#This Row],[a]]/Table112345[[#This Row],[h (mm)]]</f>
        <v>2.5849427168576105</v>
      </c>
      <c r="AC13" s="110">
        <f>Table112345[[#This Row],[h (mm)]]</f>
        <v>611</v>
      </c>
      <c r="AD13" s="111">
        <f>2.98*Table112345[[#This Row],[d (mm)]]</f>
        <v>1579.4</v>
      </c>
      <c r="AE13" s="160">
        <v>530</v>
      </c>
      <c r="AF13" s="160">
        <v>611</v>
      </c>
      <c r="AG13" s="160">
        <v>306</v>
      </c>
      <c r="AH13" s="160">
        <v>66.099999999999994</v>
      </c>
      <c r="AI13" s="160">
        <v>2039</v>
      </c>
      <c r="AJ13" s="160">
        <v>1.25</v>
      </c>
      <c r="AK13" s="160">
        <v>525</v>
      </c>
      <c r="AL13" s="111">
        <f>(1/3-0.21*(MIN(Table112345[[#This Row],[b (mm)]],AF13)/MAX(Table112345[[#This Row],[b (mm)]],AF13))*(MIN(Table112345[[#This Row],[b (mm)]],AF13)^4/(12*MAX(Table112345[[#This Row],[b (mm)]],AF13)^4)))*MAX(Table112345[[#This Row],[b (mm)]],AF13)*MIN(Table112345[[#This Row],[b (mm)]],AF13)^3</f>
        <v>5825930185.1099443</v>
      </c>
      <c r="AM13" s="111">
        <f>Table112345[[#This Row],[b (mm)]]*AF13^3/12</f>
        <v>5816527840.5</v>
      </c>
      <c r="AN13" s="160">
        <v>3162</v>
      </c>
      <c r="AP13" s="107"/>
    </row>
    <row r="14" spans="1:44" x14ac:dyDescent="0.3">
      <c r="A14" s="153" t="s">
        <v>96</v>
      </c>
      <c r="B14" s="161">
        <v>2</v>
      </c>
      <c r="C14" s="111">
        <v>13</v>
      </c>
      <c r="D14" s="111">
        <f>Table112345[[#This Row],[a (mm)]]/Table112345[[#This Row],[d (mm)]]</f>
        <v>2.98</v>
      </c>
      <c r="E14" s="160">
        <v>55.600000000000009</v>
      </c>
      <c r="F14" s="137">
        <f>Table112345[[#This Row],[d (mm)]]</f>
        <v>530</v>
      </c>
      <c r="G14" s="111">
        <f t="shared" si="4"/>
        <v>87814.640000000014</v>
      </c>
      <c r="H14" s="111">
        <f t="shared" si="5"/>
        <v>5.7324520689113081E-7</v>
      </c>
      <c r="I14" s="111">
        <f>G14/(Table112345[[#This Row],[b (mm)]]*Table112345[[#This Row],[h]]^2)</f>
        <v>7.6871096914563704E-4</v>
      </c>
      <c r="J14" s="111">
        <f t="shared" si="6"/>
        <v>0.15477988743314886</v>
      </c>
      <c r="K14" s="111">
        <f t="shared" si="7"/>
        <v>3.0393440715583505E-7</v>
      </c>
      <c r="L14" s="111">
        <f>E14/(Table112345[[#This Row],[b (mm)]]*AE14)</f>
        <v>3.4282895548156376E-4</v>
      </c>
      <c r="M14" s="111">
        <f>Table112345[[#This Row],[M (KN.mm)]]/(Table112345[[#This Row],[b (mm)]]*Table112345[[#This Row],[d (mm)]])</f>
        <v>0.54146405228758177</v>
      </c>
      <c r="N14" s="111">
        <f>Table112345[[#This Row],[M (KN.mm)]]/(Table112345[[#This Row],[b (mm)]]*Table112345[[#This Row],[h (mm)]])</f>
        <v>0.46968240214798418</v>
      </c>
      <c r="O14" s="111">
        <f>Table112345[[#This Row],[M (KN.mm)]]/(Table112345[[#This Row],[b (mm)]]*Table112345[[#This Row],[h (mm)]]*Table112345[[#This Row],[L(mm)]])</f>
        <v>1.4853965912333466E-4</v>
      </c>
      <c r="P14" s="111">
        <f>Table112345[[#This Row],[M (KN.mm)]]/(Table112345[[#This Row],[b (mm)]]*Table112345[[#This Row],[d (mm)]]*Table112345[[#This Row],[L(mm)]])</f>
        <v>1.7124100325350468E-4</v>
      </c>
      <c r="Q14" s="111">
        <f>Table112345[[#This Row],[M (KN.mm)]]/(Table112345[[#This Row],[b (mm)]]*Table112345[[#This Row],[h (mm)]]*Table112345[[#This Row],[L(mm)]]*Table112345[[#This Row],[fc (Mpa)]])</f>
        <v>2.2471960533030966E-6</v>
      </c>
      <c r="R14" s="111">
        <f>Table112345[[#This Row],[M (KN.mm)]]/(Table112345[[#This Row],[b (mm)]]*Table112345[[#This Row],[h (mm)]]*Table112345[[#This Row],[L(mm)]]/2)</f>
        <v>2.9707931824666931E-4</v>
      </c>
      <c r="S14" s="111">
        <f>Table112345[[#This Row],[M (KN.mm)]]/(Table112345[[#This Row],[a (mm)]]*Table112345[[#This Row],[b (mm)]]*Table112345[[#This Row],[h (mm)]]*Table112345[[#This Row],[L(mm)]]/2)</f>
        <v>1.8809631394622595E-7</v>
      </c>
      <c r="T14" s="111">
        <f>Table112345[[#This Row],[M (KN.mm)]]/(Table112345[[#This Row],[a (mm)]]^2*Table112345[[#This Row],[b (mm)]]*Table112345[[#This Row],[h (mm)]])</f>
        <v>1.8828686358679449E-7</v>
      </c>
      <c r="U14" s="111">
        <f>Table112345[[#This Row],[M (KN.mm)]]/(Table112345[[#This Row],[b (mm)]]*Table112345[[#This Row],[d (mm)]]*Table112345[[#This Row],[pho (%)]])</f>
        <v>0.43317124183006545</v>
      </c>
      <c r="V14" s="111">
        <f>E14*224.8/(2*SQRT(Table112345[[#This Row],[fc (Mpa)]]*145.037)*Table112345[[#This Row],[b (mm)]]*Table112345[[#This Row],[d (mm)]]*(1/25.4)^2)</f>
        <v>0.25390491401990933</v>
      </c>
      <c r="W14" s="111">
        <f>Table112345[[#This Row],[M (KN.mm)]]/$G$21</f>
        <v>0.40689478405741381</v>
      </c>
      <c r="X14" s="111">
        <f>Table112345[[#This Row],[V/(2*sqrt(fc) bd)]]</f>
        <v>0.25390491401990933</v>
      </c>
      <c r="Y14" s="110">
        <f>Table112345[[#This Row],[a (mm)]]</f>
        <v>1579.4</v>
      </c>
      <c r="Z14" s="110">
        <f>Table112345[[#This Row],[width]]*Table112345[[#This Row],[h]]^2</f>
        <v>114236226</v>
      </c>
      <c r="AA14" s="110">
        <f>Table112345[[#This Row],[b (mm)]]</f>
        <v>306</v>
      </c>
      <c r="AB14" s="110">
        <f>Table112345[[#This Row],[a]]/Table112345[[#This Row],[h (mm)]]</f>
        <v>2.5849427168576105</v>
      </c>
      <c r="AC14" s="110">
        <f>Table112345[[#This Row],[h (mm)]]</f>
        <v>611</v>
      </c>
      <c r="AD14" s="111">
        <f>2.98*Table112345[[#This Row],[d (mm)]]</f>
        <v>1579.4</v>
      </c>
      <c r="AE14" s="160">
        <v>530</v>
      </c>
      <c r="AF14" s="160">
        <v>611</v>
      </c>
      <c r="AG14" s="160">
        <v>306</v>
      </c>
      <c r="AH14" s="160">
        <v>66.099999999999994</v>
      </c>
      <c r="AI14" s="160">
        <v>2039</v>
      </c>
      <c r="AJ14" s="160">
        <v>1.25</v>
      </c>
      <c r="AK14" s="160">
        <v>525</v>
      </c>
      <c r="AL14" s="111">
        <f>(1/3-0.21*(MIN(Table112345[[#This Row],[b (mm)]],AF14)/MAX(Table112345[[#This Row],[b (mm)]],AF14))*(MIN(Table112345[[#This Row],[b (mm)]],AF14)^4/(12*MAX(Table112345[[#This Row],[b (mm)]],AF14)^4)))*MAX(Table112345[[#This Row],[b (mm)]],AF14)*MIN(Table112345[[#This Row],[b (mm)]],AF14)^3</f>
        <v>5825930185.1099443</v>
      </c>
      <c r="AM14" s="111">
        <f>Table112345[[#This Row],[b (mm)]]*AF14^3/12</f>
        <v>5816527840.5</v>
      </c>
      <c r="AN14" s="160">
        <v>3162</v>
      </c>
      <c r="AP14" s="107"/>
    </row>
    <row r="15" spans="1:44" x14ac:dyDescent="0.3">
      <c r="A15" s="153" t="s">
        <v>96</v>
      </c>
      <c r="B15" s="161">
        <v>3</v>
      </c>
      <c r="C15" s="111">
        <v>14</v>
      </c>
      <c r="D15" s="111">
        <f>Table112345[[#This Row],[a (mm)]]/Table112345[[#This Row],[d (mm)]]</f>
        <v>2.98</v>
      </c>
      <c r="E15" s="160">
        <v>66.72</v>
      </c>
      <c r="F15" s="137">
        <f>Table112345[[#This Row],[d (mm)]]</f>
        <v>530</v>
      </c>
      <c r="G15" s="111">
        <f t="shared" si="4"/>
        <v>105377.568</v>
      </c>
      <c r="H15" s="111">
        <f t="shared" si="5"/>
        <v>6.8789424826935691E-7</v>
      </c>
      <c r="I15" s="111">
        <f>G15/(Table112345[[#This Row],[b (mm)]]*Table112345[[#This Row],[h]]^2)</f>
        <v>9.2245316297476427E-4</v>
      </c>
      <c r="J15" s="111">
        <f t="shared" si="6"/>
        <v>0.18573586491977861</v>
      </c>
      <c r="K15" s="111">
        <f t="shared" si="7"/>
        <v>3.64721288587002E-7</v>
      </c>
      <c r="L15" s="111">
        <f>E15/(Table112345[[#This Row],[b (mm)]]*AE15)</f>
        <v>4.1139474657787644E-4</v>
      </c>
      <c r="M15" s="111">
        <f>Table112345[[#This Row],[M (KN.mm)]]/(Table112345[[#This Row],[b (mm)]]*Table112345[[#This Row],[d (mm)]])</f>
        <v>0.64975686274509803</v>
      </c>
      <c r="N15" s="111">
        <f>Table112345[[#This Row],[M (KN.mm)]]/(Table112345[[#This Row],[b (mm)]]*Table112345[[#This Row],[h (mm)]])</f>
        <v>0.56361888257758097</v>
      </c>
      <c r="O15" s="111">
        <f>Table112345[[#This Row],[M (KN.mm)]]/(Table112345[[#This Row],[b (mm)]]*Table112345[[#This Row],[h (mm)]]*Table112345[[#This Row],[L(mm)]])</f>
        <v>1.7824759094800155E-4</v>
      </c>
      <c r="P15" s="111">
        <f>Table112345[[#This Row],[M (KN.mm)]]/(Table112345[[#This Row],[b (mm)]]*Table112345[[#This Row],[d (mm)]]*Table112345[[#This Row],[L(mm)]])</f>
        <v>2.0548920390420558E-4</v>
      </c>
      <c r="Q15" s="111">
        <f>Table112345[[#This Row],[M (KN.mm)]]/(Table112345[[#This Row],[b (mm)]]*Table112345[[#This Row],[h (mm)]]*Table112345[[#This Row],[L(mm)]]*Table112345[[#This Row],[fc (Mpa)]])</f>
        <v>2.6966352639637154E-6</v>
      </c>
      <c r="R15" s="111">
        <f>Table112345[[#This Row],[M (KN.mm)]]/(Table112345[[#This Row],[b (mm)]]*Table112345[[#This Row],[h (mm)]]*Table112345[[#This Row],[L(mm)]]/2)</f>
        <v>3.5649518189600311E-4</v>
      </c>
      <c r="S15" s="111">
        <f>Table112345[[#This Row],[M (KN.mm)]]/(Table112345[[#This Row],[a (mm)]]*Table112345[[#This Row],[b (mm)]]*Table112345[[#This Row],[h (mm)]]*Table112345[[#This Row],[L(mm)]]/2)</f>
        <v>2.2571557673547112E-7</v>
      </c>
      <c r="T15" s="111">
        <f>Table112345[[#This Row],[M (KN.mm)]]/(Table112345[[#This Row],[a (mm)]]^2*Table112345[[#This Row],[b (mm)]]*Table112345[[#This Row],[h (mm)]])</f>
        <v>2.2594423630415337E-7</v>
      </c>
      <c r="U15" s="111">
        <f>Table112345[[#This Row],[M (KN.mm)]]/(Table112345[[#This Row],[b (mm)]]*Table112345[[#This Row],[d (mm)]]*Table112345[[#This Row],[pho (%)]])</f>
        <v>0.51980549019607847</v>
      </c>
      <c r="V15" s="111">
        <f>E15*224.8/(2*SQRT(Table112345[[#This Row],[fc (Mpa)]]*145.037)*Table112345[[#This Row],[b (mm)]]*Table112345[[#This Row],[d (mm)]]*(1/25.4)^2)</f>
        <v>0.30468589682389113</v>
      </c>
      <c r="W15" s="111">
        <f>Table112345[[#This Row],[M (KN.mm)]]/$G$21</f>
        <v>0.48827374086889647</v>
      </c>
      <c r="X15" s="111">
        <f>Table112345[[#This Row],[V/(2*sqrt(fc) bd)]]</f>
        <v>0.30468589682389113</v>
      </c>
      <c r="Y15" s="110">
        <f>Table112345[[#This Row],[a (mm)]]</f>
        <v>1579.4</v>
      </c>
      <c r="Z15" s="110">
        <f>Table112345[[#This Row],[width]]*Table112345[[#This Row],[h]]^2</f>
        <v>114236226</v>
      </c>
      <c r="AA15" s="110">
        <f>Table112345[[#This Row],[b (mm)]]</f>
        <v>306</v>
      </c>
      <c r="AB15" s="110">
        <f>Table112345[[#This Row],[a]]/Table112345[[#This Row],[h (mm)]]</f>
        <v>2.5849427168576105</v>
      </c>
      <c r="AC15" s="110">
        <f>Table112345[[#This Row],[h (mm)]]</f>
        <v>611</v>
      </c>
      <c r="AD15" s="111">
        <f>2.98*Table112345[[#This Row],[d (mm)]]</f>
        <v>1579.4</v>
      </c>
      <c r="AE15" s="160">
        <v>530</v>
      </c>
      <c r="AF15" s="160">
        <v>611</v>
      </c>
      <c r="AG15" s="160">
        <v>306</v>
      </c>
      <c r="AH15" s="160">
        <v>66.099999999999994</v>
      </c>
      <c r="AI15" s="160">
        <v>2039</v>
      </c>
      <c r="AJ15" s="160">
        <v>1.25</v>
      </c>
      <c r="AK15" s="160">
        <v>525</v>
      </c>
      <c r="AL15" s="111">
        <f>(1/3-0.21*(MIN(Table112345[[#This Row],[b (mm)]],AF15)/MAX(Table112345[[#This Row],[b (mm)]],AF15))*(MIN(Table112345[[#This Row],[b (mm)]],AF15)^4/(12*MAX(Table112345[[#This Row],[b (mm)]],AF15)^4)))*MAX(Table112345[[#This Row],[b (mm)]],AF15)*MIN(Table112345[[#This Row],[b (mm)]],AF15)^3</f>
        <v>5825930185.1099443</v>
      </c>
      <c r="AM15" s="111">
        <f>Table112345[[#This Row],[b (mm)]]*AF15^3/12</f>
        <v>5816527840.5</v>
      </c>
      <c r="AN15" s="160">
        <v>3162</v>
      </c>
      <c r="AP15" s="107"/>
    </row>
    <row r="16" spans="1:44" x14ac:dyDescent="0.3">
      <c r="A16" s="153" t="s">
        <v>96</v>
      </c>
      <c r="B16" s="161">
        <v>4</v>
      </c>
      <c r="C16" s="111">
        <v>15</v>
      </c>
      <c r="D16" s="111">
        <f>Table112345[[#This Row],[a (mm)]]/Table112345[[#This Row],[d (mm)]]</f>
        <v>2.98</v>
      </c>
      <c r="E16" s="160">
        <v>77.84</v>
      </c>
      <c r="F16" s="137">
        <f>Table112345[[#This Row],[d (mm)]]</f>
        <v>530</v>
      </c>
      <c r="G16" s="111">
        <f t="shared" si="4"/>
        <v>122940.49600000001</v>
      </c>
      <c r="H16" s="111">
        <f t="shared" si="5"/>
        <v>8.0254328964758311E-7</v>
      </c>
      <c r="I16" s="111">
        <f>G16/(Table112345[[#This Row],[b (mm)]]*Table112345[[#This Row],[h]]^2)</f>
        <v>1.0761953568038918E-3</v>
      </c>
      <c r="J16" s="111">
        <f t="shared" si="6"/>
        <v>0.2166918424064084</v>
      </c>
      <c r="K16" s="111">
        <f t="shared" si="7"/>
        <v>4.2550817001816905E-7</v>
      </c>
      <c r="L16" s="111">
        <f>E16/(Table112345[[#This Row],[b (mm)]]*AE16)</f>
        <v>4.7996053767418917E-4</v>
      </c>
      <c r="M16" s="111">
        <f>Table112345[[#This Row],[M (KN.mm)]]/(Table112345[[#This Row],[b (mm)]]*Table112345[[#This Row],[d (mm)]])</f>
        <v>0.75804967320261452</v>
      </c>
      <c r="N16" s="111">
        <f>Table112345[[#This Row],[M (KN.mm)]]/(Table112345[[#This Row],[b (mm)]]*Table112345[[#This Row],[h (mm)]])</f>
        <v>0.65755536300717787</v>
      </c>
      <c r="O16" s="111">
        <f>Table112345[[#This Row],[M (KN.mm)]]/(Table112345[[#This Row],[b (mm)]]*Table112345[[#This Row],[h (mm)]]*Table112345[[#This Row],[L(mm)]])</f>
        <v>2.0795552277266851E-4</v>
      </c>
      <c r="P16" s="111">
        <f>Table112345[[#This Row],[M (KN.mm)]]/(Table112345[[#This Row],[b (mm)]]*Table112345[[#This Row],[d (mm)]]*Table112345[[#This Row],[L(mm)]])</f>
        <v>2.3973740455490654E-4</v>
      </c>
      <c r="Q16" s="111">
        <f>Table112345[[#This Row],[M (KN.mm)]]/(Table112345[[#This Row],[b (mm)]]*Table112345[[#This Row],[h (mm)]]*Table112345[[#This Row],[L(mm)]]*Table112345[[#This Row],[fc (Mpa)]])</f>
        <v>3.1460744746243346E-6</v>
      </c>
      <c r="R16" s="111">
        <f>Table112345[[#This Row],[M (KN.mm)]]/(Table112345[[#This Row],[b (mm)]]*Table112345[[#This Row],[h (mm)]]*Table112345[[#This Row],[L(mm)]]/2)</f>
        <v>4.1591104554533702E-4</v>
      </c>
      <c r="S16" s="111">
        <f>Table112345[[#This Row],[M (KN.mm)]]/(Table112345[[#This Row],[a (mm)]]*Table112345[[#This Row],[b (mm)]]*Table112345[[#This Row],[h (mm)]]*Table112345[[#This Row],[L(mm)]]/2)</f>
        <v>2.6333483952471631E-7</v>
      </c>
      <c r="T16" s="111">
        <f>Table112345[[#This Row],[M (KN.mm)]]/(Table112345[[#This Row],[a (mm)]]^2*Table112345[[#This Row],[b (mm)]]*Table112345[[#This Row],[h (mm)]])</f>
        <v>2.6360160902151227E-7</v>
      </c>
      <c r="U16" s="111">
        <f>Table112345[[#This Row],[M (KN.mm)]]/(Table112345[[#This Row],[b (mm)]]*Table112345[[#This Row],[d (mm)]]*Table112345[[#This Row],[pho (%)]])</f>
        <v>0.60643973856209155</v>
      </c>
      <c r="V16" s="111">
        <f>E16*224.8/(2*SQRT(Table112345[[#This Row],[fc (Mpa)]]*145.037)*Table112345[[#This Row],[b (mm)]]*Table112345[[#This Row],[d (mm)]]*(1/25.4)^2)</f>
        <v>0.35546687962787299</v>
      </c>
      <c r="W16" s="111">
        <f>Table112345[[#This Row],[M (KN.mm)]]/$G$21</f>
        <v>0.56965269768037929</v>
      </c>
      <c r="X16" s="111">
        <f>Table112345[[#This Row],[V/(2*sqrt(fc) bd)]]</f>
        <v>0.35546687962787299</v>
      </c>
      <c r="Y16" s="110">
        <f>Table112345[[#This Row],[a (mm)]]</f>
        <v>1579.4</v>
      </c>
      <c r="Z16" s="110">
        <f>Table112345[[#This Row],[width]]*Table112345[[#This Row],[h]]^2</f>
        <v>114236226</v>
      </c>
      <c r="AA16" s="110">
        <f>Table112345[[#This Row],[b (mm)]]</f>
        <v>306</v>
      </c>
      <c r="AB16" s="110">
        <f>Table112345[[#This Row],[a]]/Table112345[[#This Row],[h (mm)]]</f>
        <v>2.5849427168576105</v>
      </c>
      <c r="AC16" s="110">
        <f>Table112345[[#This Row],[h (mm)]]</f>
        <v>611</v>
      </c>
      <c r="AD16" s="111">
        <f>2.98*Table112345[[#This Row],[d (mm)]]</f>
        <v>1579.4</v>
      </c>
      <c r="AE16" s="160">
        <v>530</v>
      </c>
      <c r="AF16" s="160">
        <v>611</v>
      </c>
      <c r="AG16" s="160">
        <v>306</v>
      </c>
      <c r="AH16" s="160">
        <v>66.099999999999994</v>
      </c>
      <c r="AI16" s="160">
        <v>2039</v>
      </c>
      <c r="AJ16" s="160">
        <v>1.25</v>
      </c>
      <c r="AK16" s="160">
        <v>525</v>
      </c>
      <c r="AL16" s="111">
        <f>(1/3-0.21*(MIN(Table112345[[#This Row],[b (mm)]],AF16)/MAX(Table112345[[#This Row],[b (mm)]],AF16))*(MIN(Table112345[[#This Row],[b (mm)]],AF16)^4/(12*MAX(Table112345[[#This Row],[b (mm)]],AF16)^4)))*MAX(Table112345[[#This Row],[b (mm)]],AF16)*MIN(Table112345[[#This Row],[b (mm)]],AF16)^3</f>
        <v>5825930185.1099443</v>
      </c>
      <c r="AM16" s="111">
        <f>Table112345[[#This Row],[b (mm)]]*AF16^3/12</f>
        <v>5816527840.5</v>
      </c>
      <c r="AN16" s="160">
        <v>3162</v>
      </c>
      <c r="AP16" s="107"/>
    </row>
    <row r="17" spans="1:49" x14ac:dyDescent="0.3">
      <c r="A17" s="153" t="s">
        <v>96</v>
      </c>
      <c r="B17" s="161">
        <v>5</v>
      </c>
      <c r="C17" s="111">
        <v>16</v>
      </c>
      <c r="D17" s="111">
        <f>Table112345[[#This Row],[a (mm)]]/Table112345[[#This Row],[d (mm)]]</f>
        <v>2.98</v>
      </c>
      <c r="E17" s="160">
        <v>88.960000000000008</v>
      </c>
      <c r="F17" s="137">
        <f>Table112345[[#This Row],[d (mm)]]</f>
        <v>530</v>
      </c>
      <c r="G17" s="111">
        <f t="shared" si="4"/>
        <v>140503.42400000003</v>
      </c>
      <c r="H17" s="111">
        <f t="shared" si="5"/>
        <v>9.1719233102580931E-7</v>
      </c>
      <c r="I17" s="111">
        <f>G17/(Table112345[[#This Row],[b (mm)]]*Table112345[[#This Row],[h]]^2)</f>
        <v>1.2299375506330192E-3</v>
      </c>
      <c r="J17" s="111">
        <f t="shared" si="6"/>
        <v>0.24764781989303819</v>
      </c>
      <c r="K17" s="111">
        <f t="shared" si="7"/>
        <v>4.862950514493361E-7</v>
      </c>
      <c r="L17" s="111">
        <f>E17/(Table112345[[#This Row],[b (mm)]]*AE17)</f>
        <v>5.4852632877050195E-4</v>
      </c>
      <c r="M17" s="111">
        <f>Table112345[[#This Row],[M (KN.mm)]]/(Table112345[[#This Row],[b (mm)]]*Table112345[[#This Row],[d (mm)]])</f>
        <v>0.86634248366013089</v>
      </c>
      <c r="N17" s="111">
        <f>Table112345[[#This Row],[M (KN.mm)]]/(Table112345[[#This Row],[b (mm)]]*Table112345[[#This Row],[h (mm)]])</f>
        <v>0.75149184343677478</v>
      </c>
      <c r="O17" s="111">
        <f>Table112345[[#This Row],[M (KN.mm)]]/(Table112345[[#This Row],[b (mm)]]*Table112345[[#This Row],[h (mm)]]*Table112345[[#This Row],[L(mm)]])</f>
        <v>2.3766345459733546E-4</v>
      </c>
      <c r="P17" s="111">
        <f>Table112345[[#This Row],[M (KN.mm)]]/(Table112345[[#This Row],[b (mm)]]*Table112345[[#This Row],[d (mm)]]*Table112345[[#This Row],[L(mm)]])</f>
        <v>2.739856052056075E-4</v>
      </c>
      <c r="Q17" s="111">
        <f>Table112345[[#This Row],[M (KN.mm)]]/(Table112345[[#This Row],[b (mm)]]*Table112345[[#This Row],[h (mm)]]*Table112345[[#This Row],[L(mm)]]*Table112345[[#This Row],[fc (Mpa)]])</f>
        <v>3.5955136852849543E-6</v>
      </c>
      <c r="R17" s="111">
        <f>Table112345[[#This Row],[M (KN.mm)]]/(Table112345[[#This Row],[b (mm)]]*Table112345[[#This Row],[h (mm)]]*Table112345[[#This Row],[L(mm)]]/2)</f>
        <v>4.7532690919467092E-4</v>
      </c>
      <c r="S17" s="111">
        <f>Table112345[[#This Row],[M (KN.mm)]]/(Table112345[[#This Row],[a (mm)]]*Table112345[[#This Row],[b (mm)]]*Table112345[[#This Row],[h (mm)]]*Table112345[[#This Row],[L(mm)]]/2)</f>
        <v>3.0095410231396156E-7</v>
      </c>
      <c r="T17" s="111">
        <f>Table112345[[#This Row],[M (KN.mm)]]/(Table112345[[#This Row],[a (mm)]]^2*Table112345[[#This Row],[b (mm)]]*Table112345[[#This Row],[h (mm)]])</f>
        <v>3.0125898173887123E-7</v>
      </c>
      <c r="U17" s="111">
        <f>Table112345[[#This Row],[M (KN.mm)]]/(Table112345[[#This Row],[b (mm)]]*Table112345[[#This Row],[d (mm)]]*Table112345[[#This Row],[pho (%)]])</f>
        <v>0.69307398692810473</v>
      </c>
      <c r="V17" s="111">
        <f>E17*224.8/(2*SQRT(Table112345[[#This Row],[fc (Mpa)]]*145.037)*Table112345[[#This Row],[b (mm)]]*Table112345[[#This Row],[d (mm)]]*(1/25.4)^2)</f>
        <v>0.4062478624318549</v>
      </c>
      <c r="W17" s="111">
        <f>Table112345[[#This Row],[M (KN.mm)]]/$G$21</f>
        <v>0.65103165449186207</v>
      </c>
      <c r="X17" s="111">
        <f>Table112345[[#This Row],[V/(2*sqrt(fc) bd)]]</f>
        <v>0.4062478624318549</v>
      </c>
      <c r="Y17" s="110">
        <f>Table112345[[#This Row],[a (mm)]]</f>
        <v>1579.4</v>
      </c>
      <c r="Z17" s="110">
        <f>Table112345[[#This Row],[width]]*Table112345[[#This Row],[h]]^2</f>
        <v>114236226</v>
      </c>
      <c r="AA17" s="110">
        <f>Table112345[[#This Row],[b (mm)]]</f>
        <v>306</v>
      </c>
      <c r="AB17" s="110">
        <f>Table112345[[#This Row],[a]]/Table112345[[#This Row],[h (mm)]]</f>
        <v>2.5849427168576105</v>
      </c>
      <c r="AC17" s="110">
        <f>Table112345[[#This Row],[h (mm)]]</f>
        <v>611</v>
      </c>
      <c r="AD17" s="111">
        <f>2.98*Table112345[[#This Row],[d (mm)]]</f>
        <v>1579.4</v>
      </c>
      <c r="AE17" s="160">
        <v>530</v>
      </c>
      <c r="AF17" s="160">
        <v>611</v>
      </c>
      <c r="AG17" s="160">
        <v>306</v>
      </c>
      <c r="AH17" s="160">
        <v>66.099999999999994</v>
      </c>
      <c r="AI17" s="160">
        <v>2039</v>
      </c>
      <c r="AJ17" s="160">
        <v>1.25</v>
      </c>
      <c r="AK17" s="160">
        <v>525</v>
      </c>
      <c r="AL17" s="111">
        <f>(1/3-0.21*(MIN(Table112345[[#This Row],[b (mm)]],AF17)/MAX(Table112345[[#This Row],[b (mm)]],AF17))*(MIN(Table112345[[#This Row],[b (mm)]],AF17)^4/(12*MAX(Table112345[[#This Row],[b (mm)]],AF17)^4)))*MAX(Table112345[[#This Row],[b (mm)]],AF17)*MIN(Table112345[[#This Row],[b (mm)]],AF17)^3</f>
        <v>5825930185.1099443</v>
      </c>
      <c r="AM17" s="111">
        <f>Table112345[[#This Row],[b (mm)]]*AF17^3/12</f>
        <v>5816527840.5</v>
      </c>
      <c r="AN17" s="160">
        <v>3162</v>
      </c>
      <c r="AP17" s="107"/>
    </row>
    <row r="18" spans="1:49" s="129" customFormat="1" x14ac:dyDescent="0.3">
      <c r="A18" s="153" t="s">
        <v>96</v>
      </c>
      <c r="B18" s="161">
        <v>6</v>
      </c>
      <c r="C18" s="111">
        <v>17</v>
      </c>
      <c r="D18" s="111">
        <f>Table112345[[#This Row],[a (mm)]]/Table112345[[#This Row],[d (mm)]]</f>
        <v>2.98</v>
      </c>
      <c r="E18" s="160">
        <v>100.08000000000001</v>
      </c>
      <c r="F18" s="137">
        <f>Table112345[[#This Row],[d (mm)]]</f>
        <v>530</v>
      </c>
      <c r="G18" s="111">
        <f t="shared" si="4"/>
        <v>158066.35200000004</v>
      </c>
      <c r="H18" s="111">
        <f t="shared" si="5"/>
        <v>1.0318413724040355E-6</v>
      </c>
      <c r="I18" s="111">
        <f>G18/(Table112345[[#This Row],[b (mm)]]*Table112345[[#This Row],[h]]^2)</f>
        <v>1.3836797444621467E-3</v>
      </c>
      <c r="J18" s="111">
        <f t="shared" si="6"/>
        <v>0.27860379737966801</v>
      </c>
      <c r="K18" s="111">
        <f t="shared" si="7"/>
        <v>5.4708193288050316E-7</v>
      </c>
      <c r="L18" s="111">
        <f>E18/(Table112345[[#This Row],[b (mm)]]*AE18)</f>
        <v>6.1709211986681468E-4</v>
      </c>
      <c r="M18" s="111">
        <f>Table112345[[#This Row],[M (KN.mm)]]/(Table112345[[#This Row],[b (mm)]]*Table112345[[#This Row],[d (mm)]])</f>
        <v>0.97463529411764727</v>
      </c>
      <c r="N18" s="111">
        <f>Table112345[[#This Row],[M (KN.mm)]]/(Table112345[[#This Row],[b (mm)]]*Table112345[[#This Row],[h (mm)]])</f>
        <v>0.84542832386637168</v>
      </c>
      <c r="O18" s="111">
        <f>Table112345[[#This Row],[M (KN.mm)]]/(Table112345[[#This Row],[b (mm)]]*Table112345[[#This Row],[h (mm)]]*Table112345[[#This Row],[L(mm)]])</f>
        <v>2.6737138642200244E-4</v>
      </c>
      <c r="P18" s="111">
        <f>Table112345[[#This Row],[M (KN.mm)]]/(Table112345[[#This Row],[b (mm)]]*Table112345[[#This Row],[d (mm)]]*Table112345[[#This Row],[L(mm)]])</f>
        <v>3.0823380585630843E-4</v>
      </c>
      <c r="Q18" s="111">
        <f>Table112345[[#This Row],[M (KN.mm)]]/(Table112345[[#This Row],[b (mm)]]*Table112345[[#This Row],[h (mm)]]*Table112345[[#This Row],[L(mm)]]*Table112345[[#This Row],[fc (Mpa)]])</f>
        <v>4.0449528959455744E-6</v>
      </c>
      <c r="R18" s="111">
        <f>Table112345[[#This Row],[M (KN.mm)]]/(Table112345[[#This Row],[b (mm)]]*Table112345[[#This Row],[h (mm)]]*Table112345[[#This Row],[L(mm)]]/2)</f>
        <v>5.3474277284400488E-4</v>
      </c>
      <c r="S18" s="111">
        <f>Table112345[[#This Row],[M (KN.mm)]]/(Table112345[[#This Row],[a (mm)]]*Table112345[[#This Row],[b (mm)]]*Table112345[[#This Row],[h (mm)]]*Table112345[[#This Row],[L(mm)]]/2)</f>
        <v>3.3857336510320675E-7</v>
      </c>
      <c r="T18" s="111">
        <f>Table112345[[#This Row],[M (KN.mm)]]/(Table112345[[#This Row],[a (mm)]]^2*Table112345[[#This Row],[b (mm)]]*Table112345[[#This Row],[h (mm)]])</f>
        <v>3.3891635445623013E-7</v>
      </c>
      <c r="U18" s="111">
        <f>Table112345[[#This Row],[M (KN.mm)]]/(Table112345[[#This Row],[b (mm)]]*Table112345[[#This Row],[d (mm)]]*Table112345[[#This Row],[pho (%)]])</f>
        <v>0.77970823529411781</v>
      </c>
      <c r="V18" s="111">
        <f>E18*224.8/(2*SQRT(Table112345[[#This Row],[fc (Mpa)]]*145.037)*Table112345[[#This Row],[b (mm)]]*Table112345[[#This Row],[d (mm)]]*(1/25.4)^2)</f>
        <v>0.45702884523583676</v>
      </c>
      <c r="W18" s="111">
        <f>Table112345[[#This Row],[M (KN.mm)]]/$G$21</f>
        <v>0.73241061130334495</v>
      </c>
      <c r="X18" s="111">
        <f>Table112345[[#This Row],[V/(2*sqrt(fc) bd)]]</f>
        <v>0.45702884523583676</v>
      </c>
      <c r="Y18" s="110">
        <f>Table112345[[#This Row],[a (mm)]]</f>
        <v>1579.4</v>
      </c>
      <c r="Z18" s="110">
        <f>Table112345[[#This Row],[width]]*Table112345[[#This Row],[h]]^2</f>
        <v>114236226</v>
      </c>
      <c r="AA18" s="110">
        <f>Table112345[[#This Row],[b (mm)]]</f>
        <v>306</v>
      </c>
      <c r="AB18" s="110">
        <f>Table112345[[#This Row],[a]]/Table112345[[#This Row],[h (mm)]]</f>
        <v>2.5849427168576105</v>
      </c>
      <c r="AC18" s="110">
        <f>Table112345[[#This Row],[h (mm)]]</f>
        <v>611</v>
      </c>
      <c r="AD18" s="111">
        <f>2.98*Table112345[[#This Row],[d (mm)]]</f>
        <v>1579.4</v>
      </c>
      <c r="AE18" s="160">
        <v>530</v>
      </c>
      <c r="AF18" s="160">
        <v>611</v>
      </c>
      <c r="AG18" s="160">
        <v>306</v>
      </c>
      <c r="AH18" s="160">
        <v>66.099999999999994</v>
      </c>
      <c r="AI18" s="160">
        <v>2039</v>
      </c>
      <c r="AJ18" s="160">
        <v>1.25</v>
      </c>
      <c r="AK18" s="160">
        <v>525</v>
      </c>
      <c r="AL18" s="111">
        <f>(1/3-0.21*(MIN(Table112345[[#This Row],[b (mm)]],AF18)/MAX(Table112345[[#This Row],[b (mm)]],AF18))*(MIN(Table112345[[#This Row],[b (mm)]],AF18)^4/(12*MAX(Table112345[[#This Row],[b (mm)]],AF18)^4)))*MAX(Table112345[[#This Row],[b (mm)]],AF18)*MIN(Table112345[[#This Row],[b (mm)]],AF18)^3</f>
        <v>5825930185.1099443</v>
      </c>
      <c r="AM18" s="111">
        <f>Table112345[[#This Row],[b (mm)]]*AF18^3/12</f>
        <v>5816527840.5</v>
      </c>
      <c r="AN18" s="160">
        <v>3162</v>
      </c>
      <c r="AO18"/>
      <c r="AP18" s="128"/>
      <c r="AQ18" s="138"/>
      <c r="AR18" s="1"/>
      <c r="AV18"/>
      <c r="AW18"/>
    </row>
    <row r="19" spans="1:49" s="129" customFormat="1" x14ac:dyDescent="0.3">
      <c r="A19" s="153" t="s">
        <v>96</v>
      </c>
      <c r="B19" s="161">
        <v>7</v>
      </c>
      <c r="C19" s="111">
        <v>18</v>
      </c>
      <c r="D19" s="111">
        <f>Table112345[[#This Row],[a (mm)]]/Table112345[[#This Row],[d (mm)]]</f>
        <v>2.98</v>
      </c>
      <c r="E19" s="160">
        <v>111.20000000000002</v>
      </c>
      <c r="F19" s="137">
        <f>Table112345[[#This Row],[d (mm)]]</f>
        <v>530</v>
      </c>
      <c r="G19" s="111">
        <f t="shared" si="4"/>
        <v>175629.28000000003</v>
      </c>
      <c r="H19" s="111">
        <f t="shared" si="5"/>
        <v>1.1464904137822616E-6</v>
      </c>
      <c r="I19" s="111">
        <f>G19/(Table112345[[#This Row],[b (mm)]]*Table112345[[#This Row],[h]]^2)</f>
        <v>1.5374219382912741E-3</v>
      </c>
      <c r="J19" s="111">
        <f t="shared" si="6"/>
        <v>0.30955977486629771</v>
      </c>
      <c r="K19" s="111">
        <f t="shared" si="7"/>
        <v>6.078688143116701E-7</v>
      </c>
      <c r="L19" s="111">
        <f>E19/(Table112345[[#This Row],[b (mm)]]*AE19)</f>
        <v>6.8565791096312752E-4</v>
      </c>
      <c r="M19" s="111">
        <f>Table112345[[#This Row],[M (KN.mm)]]/(Table112345[[#This Row],[b (mm)]]*Table112345[[#This Row],[d (mm)]])</f>
        <v>1.0829281045751635</v>
      </c>
      <c r="N19" s="111">
        <f>Table112345[[#This Row],[M (KN.mm)]]/(Table112345[[#This Row],[b (mm)]]*Table112345[[#This Row],[h (mm)]])</f>
        <v>0.93936480429596836</v>
      </c>
      <c r="O19" s="111">
        <f>Table112345[[#This Row],[M (KN.mm)]]/(Table112345[[#This Row],[b (mm)]]*Table112345[[#This Row],[h (mm)]]*Table112345[[#This Row],[L(mm)]])</f>
        <v>2.9707931824666931E-4</v>
      </c>
      <c r="P19" s="111">
        <f>Table112345[[#This Row],[M (KN.mm)]]/(Table112345[[#This Row],[b (mm)]]*Table112345[[#This Row],[d (mm)]]*Table112345[[#This Row],[L(mm)]])</f>
        <v>3.4248200650700936E-4</v>
      </c>
      <c r="Q19" s="111">
        <f>Table112345[[#This Row],[M (KN.mm)]]/(Table112345[[#This Row],[b (mm)]]*Table112345[[#This Row],[h (mm)]]*Table112345[[#This Row],[L(mm)]]*Table112345[[#This Row],[fc (Mpa)]])</f>
        <v>4.4943921066061932E-6</v>
      </c>
      <c r="R19" s="111">
        <f>Table112345[[#This Row],[M (KN.mm)]]/(Table112345[[#This Row],[b (mm)]]*Table112345[[#This Row],[h (mm)]]*Table112345[[#This Row],[L(mm)]]/2)</f>
        <v>5.9415863649333862E-4</v>
      </c>
      <c r="S19" s="111">
        <f>Table112345[[#This Row],[M (KN.mm)]]/(Table112345[[#This Row],[a (mm)]]*Table112345[[#This Row],[b (mm)]]*Table112345[[#This Row],[h (mm)]]*Table112345[[#This Row],[L(mm)]]/2)</f>
        <v>3.761926278924519E-7</v>
      </c>
      <c r="T19" s="111">
        <f>Table112345[[#This Row],[M (KN.mm)]]/(Table112345[[#This Row],[a (mm)]]^2*Table112345[[#This Row],[b (mm)]]*Table112345[[#This Row],[h (mm)]])</f>
        <v>3.7657372717358898E-7</v>
      </c>
      <c r="U19" s="111">
        <f>Table112345[[#This Row],[M (KN.mm)]]/(Table112345[[#This Row],[b (mm)]]*Table112345[[#This Row],[d (mm)]]*Table112345[[#This Row],[pho (%)]])</f>
        <v>0.86634248366013089</v>
      </c>
      <c r="V19" s="111">
        <f>E19*224.8/(2*SQRT(Table112345[[#This Row],[fc (Mpa)]]*145.037)*Table112345[[#This Row],[b (mm)]]*Table112345[[#This Row],[d (mm)]]*(1/25.4)^2)</f>
        <v>0.50780982803981867</v>
      </c>
      <c r="W19" s="111">
        <f>Table112345[[#This Row],[M (KN.mm)]]/$G$21</f>
        <v>0.81378956811482761</v>
      </c>
      <c r="X19" s="111">
        <f>Table112345[[#This Row],[V/(2*sqrt(fc) bd)]]</f>
        <v>0.50780982803981867</v>
      </c>
      <c r="Y19" s="110">
        <f>Table112345[[#This Row],[a (mm)]]</f>
        <v>1579.4</v>
      </c>
      <c r="Z19" s="110">
        <f>Table112345[[#This Row],[width]]*Table112345[[#This Row],[h]]^2</f>
        <v>114236226</v>
      </c>
      <c r="AA19" s="110">
        <f>Table112345[[#This Row],[b (mm)]]</f>
        <v>306</v>
      </c>
      <c r="AB19" s="110">
        <f>Table112345[[#This Row],[a]]/Table112345[[#This Row],[h (mm)]]</f>
        <v>2.5849427168576105</v>
      </c>
      <c r="AC19" s="110">
        <f>Table112345[[#This Row],[h (mm)]]</f>
        <v>611</v>
      </c>
      <c r="AD19" s="111">
        <f>2.98*Table112345[[#This Row],[d (mm)]]</f>
        <v>1579.4</v>
      </c>
      <c r="AE19" s="160">
        <v>530</v>
      </c>
      <c r="AF19" s="160">
        <v>611</v>
      </c>
      <c r="AG19" s="160">
        <v>306</v>
      </c>
      <c r="AH19" s="160">
        <v>66.099999999999994</v>
      </c>
      <c r="AI19" s="160">
        <v>2039</v>
      </c>
      <c r="AJ19" s="160">
        <v>1.25</v>
      </c>
      <c r="AK19" s="160">
        <v>525</v>
      </c>
      <c r="AL19" s="111">
        <f>(1/3-0.21*(MIN(Table112345[[#This Row],[b (mm)]],AF19)/MAX(Table112345[[#This Row],[b (mm)]],AF19))*(MIN(Table112345[[#This Row],[b (mm)]],AF19)^4/(12*MAX(Table112345[[#This Row],[b (mm)]],AF19)^4)))*MAX(Table112345[[#This Row],[b (mm)]],AF19)*MIN(Table112345[[#This Row],[b (mm)]],AF19)^3</f>
        <v>5825930185.1099443</v>
      </c>
      <c r="AM19" s="111">
        <f>Table112345[[#This Row],[b (mm)]]*AF19^3/12</f>
        <v>5816527840.5</v>
      </c>
      <c r="AN19" s="160">
        <v>3162</v>
      </c>
      <c r="AO19"/>
      <c r="AP19" s="128"/>
      <c r="AQ19" s="138"/>
      <c r="AR19" s="1"/>
      <c r="AV19"/>
      <c r="AW19"/>
    </row>
    <row r="20" spans="1:49" s="129" customFormat="1" x14ac:dyDescent="0.3">
      <c r="A20" s="153" t="s">
        <v>96</v>
      </c>
      <c r="B20" s="161">
        <v>8</v>
      </c>
      <c r="C20" s="111">
        <v>19</v>
      </c>
      <c r="D20" s="111">
        <f>Table112345[[#This Row],[a (mm)]]/Table112345[[#This Row],[d (mm)]]</f>
        <v>2.98</v>
      </c>
      <c r="E20" s="160">
        <v>122.32000000000001</v>
      </c>
      <c r="F20" s="137">
        <f>Table112345[[#This Row],[d (mm)]]</f>
        <v>530</v>
      </c>
      <c r="G20" s="111">
        <f t="shared" si="4"/>
        <v>193192.20800000001</v>
      </c>
      <c r="H20" s="111">
        <f t="shared" si="5"/>
        <v>1.2611394551604877E-6</v>
      </c>
      <c r="I20" s="111">
        <f>G20/(Table112345[[#This Row],[b (mm)]]*Table112345[[#This Row],[h]]^2)</f>
        <v>1.6911641321204012E-3</v>
      </c>
      <c r="J20" s="111">
        <f t="shared" si="6"/>
        <v>0.34051575235292747</v>
      </c>
      <c r="K20" s="111">
        <f t="shared" si="7"/>
        <v>6.6865569574283705E-7</v>
      </c>
      <c r="L20" s="111">
        <f>E20/(Table112345[[#This Row],[b (mm)]]*AE20)</f>
        <v>7.5422370205944014E-4</v>
      </c>
      <c r="M20" s="111">
        <f>Table112345[[#This Row],[M (KN.mm)]]/(Table112345[[#This Row],[b (mm)]]*Table112345[[#This Row],[d (mm)]])</f>
        <v>1.1912209150326798</v>
      </c>
      <c r="N20" s="111">
        <f>Table112345[[#This Row],[M (KN.mm)]]/(Table112345[[#This Row],[b (mm)]]*Table112345[[#This Row],[h (mm)]])</f>
        <v>1.0333012847255652</v>
      </c>
      <c r="O20" s="111">
        <f>Table112345[[#This Row],[M (KN.mm)]]/(Table112345[[#This Row],[b (mm)]]*Table112345[[#This Row],[h (mm)]]*Table112345[[#This Row],[L(mm)]])</f>
        <v>3.2678725007133624E-4</v>
      </c>
      <c r="P20" s="111">
        <f>Table112345[[#This Row],[M (KN.mm)]]/(Table112345[[#This Row],[b (mm)]]*Table112345[[#This Row],[d (mm)]]*Table112345[[#This Row],[L(mm)]])</f>
        <v>3.7673020715771024E-4</v>
      </c>
      <c r="Q20" s="111">
        <f>Table112345[[#This Row],[M (KN.mm)]]/(Table112345[[#This Row],[b (mm)]]*Table112345[[#This Row],[h (mm)]]*Table112345[[#This Row],[L(mm)]]*Table112345[[#This Row],[fc (Mpa)]])</f>
        <v>4.943831317266812E-6</v>
      </c>
      <c r="R20" s="111">
        <f>Table112345[[#This Row],[M (KN.mm)]]/(Table112345[[#This Row],[b (mm)]]*Table112345[[#This Row],[h (mm)]]*Table112345[[#This Row],[L(mm)]]/2)</f>
        <v>6.5357450014267248E-4</v>
      </c>
      <c r="S20" s="111">
        <f>Table112345[[#This Row],[M (KN.mm)]]/(Table112345[[#This Row],[a (mm)]]*Table112345[[#This Row],[b (mm)]]*Table112345[[#This Row],[h (mm)]]*Table112345[[#This Row],[L(mm)]]/2)</f>
        <v>4.1381189068169704E-7</v>
      </c>
      <c r="T20" s="111">
        <f>Table112345[[#This Row],[M (KN.mm)]]/(Table112345[[#This Row],[a (mm)]]^2*Table112345[[#This Row],[b (mm)]]*Table112345[[#This Row],[h (mm)]])</f>
        <v>4.1423109989094789E-7</v>
      </c>
      <c r="U20" s="111">
        <f>Table112345[[#This Row],[M (KN.mm)]]/(Table112345[[#This Row],[b (mm)]]*Table112345[[#This Row],[d (mm)]]*Table112345[[#This Row],[pho (%)]])</f>
        <v>0.95297673202614386</v>
      </c>
      <c r="V20" s="111">
        <f>E20*224.8/(2*SQRT(Table112345[[#This Row],[fc (Mpa)]]*145.037)*Table112345[[#This Row],[b (mm)]]*Table112345[[#This Row],[d (mm)]]*(1/25.4)^2)</f>
        <v>0.55859081084380047</v>
      </c>
      <c r="W20" s="111">
        <f>Table112345[[#This Row],[M (KN.mm)]]/$G$21</f>
        <v>0.89516852492631027</v>
      </c>
      <c r="X20" s="111">
        <f>Table112345[[#This Row],[V/(2*sqrt(fc) bd)]]</f>
        <v>0.55859081084380047</v>
      </c>
      <c r="Y20" s="110">
        <f>Table112345[[#This Row],[a (mm)]]</f>
        <v>1579.4</v>
      </c>
      <c r="Z20" s="110">
        <f>Table112345[[#This Row],[width]]*Table112345[[#This Row],[h]]^2</f>
        <v>114236226</v>
      </c>
      <c r="AA20" s="110">
        <f>Table112345[[#This Row],[b (mm)]]</f>
        <v>306</v>
      </c>
      <c r="AB20" s="110">
        <f>Table112345[[#This Row],[a]]/Table112345[[#This Row],[h (mm)]]</f>
        <v>2.5849427168576105</v>
      </c>
      <c r="AC20" s="110">
        <f>Table112345[[#This Row],[h (mm)]]</f>
        <v>611</v>
      </c>
      <c r="AD20" s="111">
        <f>2.98*Table112345[[#This Row],[d (mm)]]</f>
        <v>1579.4</v>
      </c>
      <c r="AE20" s="160">
        <v>530</v>
      </c>
      <c r="AF20" s="160">
        <v>611</v>
      </c>
      <c r="AG20" s="160">
        <v>306</v>
      </c>
      <c r="AH20" s="160">
        <v>66.099999999999994</v>
      </c>
      <c r="AI20" s="160">
        <v>2039</v>
      </c>
      <c r="AJ20" s="160">
        <v>1.25</v>
      </c>
      <c r="AK20" s="160">
        <v>525</v>
      </c>
      <c r="AL20" s="111">
        <f>(1/3-0.21*(MIN(Table112345[[#This Row],[b (mm)]],AF20)/MAX(Table112345[[#This Row],[b (mm)]],AF20))*(MIN(Table112345[[#This Row],[b (mm)]],AF20)^4/(12*MAX(Table112345[[#This Row],[b (mm)]],AF20)^4)))*MAX(Table112345[[#This Row],[b (mm)]],AF20)*MIN(Table112345[[#This Row],[b (mm)]],AF20)^3</f>
        <v>5825930185.1099443</v>
      </c>
      <c r="AM20" s="111">
        <f>Table112345[[#This Row],[b (mm)]]*AF20^3/12</f>
        <v>5816527840.5</v>
      </c>
      <c r="AN20" s="160">
        <v>3162</v>
      </c>
      <c r="AO20"/>
      <c r="AP20" s="128"/>
      <c r="AQ20" s="138"/>
      <c r="AR20" s="1"/>
      <c r="AV20"/>
      <c r="AW20"/>
    </row>
    <row r="21" spans="1:49" s="129" customFormat="1" x14ac:dyDescent="0.3">
      <c r="A21" s="153" t="s">
        <v>96</v>
      </c>
      <c r="B21" s="161" t="s">
        <v>93</v>
      </c>
      <c r="C21" s="111">
        <v>20</v>
      </c>
      <c r="D21" s="111">
        <f>Table112345[[#This Row],[a (mm)]]/Table112345[[#This Row],[d (mm)]]</f>
        <v>2.98</v>
      </c>
      <c r="E21" s="166">
        <v>136.64466141732285</v>
      </c>
      <c r="F21" s="137">
        <f>Table112345[[#This Row],[d (mm)]]</f>
        <v>530</v>
      </c>
      <c r="G21" s="111">
        <f t="shared" si="4"/>
        <v>215816.57824251972</v>
      </c>
      <c r="H21" s="111">
        <f t="shared" si="5"/>
        <v>1.4088290864162185E-6</v>
      </c>
      <c r="I21" s="111">
        <f>G21/(Table112345[[#This Row],[b (mm)]]*Table112345[[#This Row],[h]]^2)</f>
        <v>1.8892131314152459E-3</v>
      </c>
      <c r="J21" s="111">
        <f t="shared" si="6"/>
        <v>0.38039290130420805</v>
      </c>
      <c r="K21" s="111">
        <f t="shared" si="7"/>
        <v>7.4696068631086015E-7</v>
      </c>
      <c r="L21" s="111">
        <f>E21/(Table112345[[#This Row],[b (mm)]]*AE21)</f>
        <v>8.4254939830634391E-4</v>
      </c>
      <c r="M21" s="111">
        <f>Table112345[[#This Row],[M (KN.mm)]]/(Table112345[[#This Row],[b (mm)]]*Table112345[[#This Row],[d (mm)]])</f>
        <v>1.3307225196850396</v>
      </c>
      <c r="N21" s="111">
        <f>Table112345[[#This Row],[M (KN.mm)]]/(Table112345[[#This Row],[b (mm)]]*Table112345[[#This Row],[h (mm)]])</f>
        <v>1.1543092232947152</v>
      </c>
      <c r="O21" s="111">
        <f>Table112345[[#This Row],[M (KN.mm)]]/(Table112345[[#This Row],[b (mm)]]*Table112345[[#This Row],[h (mm)]]*Table112345[[#This Row],[L(mm)]])</f>
        <v>3.6505668035885996E-4</v>
      </c>
      <c r="P21" s="111">
        <f>Table112345[[#This Row],[M (KN.mm)]]/(Table112345[[#This Row],[b (mm)]]*Table112345[[#This Row],[d (mm)]]*Table112345[[#This Row],[L(mm)]])</f>
        <v>4.208483616967235E-4</v>
      </c>
      <c r="Q21" s="111">
        <f>Table112345[[#This Row],[M (KN.mm)]]/(Table112345[[#This Row],[b (mm)]]*Table112345[[#This Row],[h (mm)]]*Table112345[[#This Row],[L(mm)]]*Table112345[[#This Row],[fc (Mpa)]])</f>
        <v>5.5227939539918301E-6</v>
      </c>
      <c r="R21" s="111">
        <f>Table112345[[#This Row],[M (KN.mm)]]/(Table112345[[#This Row],[b (mm)]]*Table112345[[#This Row],[h (mm)]]*Table112345[[#This Row],[L(mm)]]/2)</f>
        <v>7.3011336071771992E-4</v>
      </c>
      <c r="S21" s="111">
        <f>Table112345[[#This Row],[M (KN.mm)]]/(Table112345[[#This Row],[a (mm)]]*Table112345[[#This Row],[b (mm)]]*Table112345[[#This Row],[h (mm)]]*Table112345[[#This Row],[L(mm)]]/2)</f>
        <v>4.6227261030626807E-7</v>
      </c>
      <c r="T21" s="111">
        <f>Table112345[[#This Row],[M (KN.mm)]]/(Table112345[[#This Row],[a (mm)]]^2*Table112345[[#This Row],[b (mm)]]*Table112345[[#This Row],[h (mm)]])</f>
        <v>4.6274091230480555E-7</v>
      </c>
      <c r="U21" s="111">
        <f>Table112345[[#This Row],[M (KN.mm)]]/(Table112345[[#This Row],[b (mm)]]*Table112345[[#This Row],[d (mm)]]*Table112345[[#This Row],[pho (%)]])</f>
        <v>1.0645780157480318</v>
      </c>
      <c r="V21" s="111">
        <f>E21*224.8/(2*SQRT(Table112345[[#This Row],[fc (Mpa)]]*145.037)*Table112345[[#This Row],[b (mm)]]*Table112345[[#This Row],[d (mm)]]*(1/25.4)^2)</f>
        <v>0.62400631310152832</v>
      </c>
      <c r="W21" s="111">
        <f>Table112345[[#This Row],[M (KN.mm)]]/$G$21</f>
        <v>1</v>
      </c>
      <c r="X21" s="111">
        <f>Table112345[[#This Row],[V/(2*sqrt(fc) bd)]]</f>
        <v>0.62400631310152832</v>
      </c>
      <c r="Y21" s="110">
        <f>Table112345[[#This Row],[a (mm)]]</f>
        <v>1579.4</v>
      </c>
      <c r="Z21" s="110">
        <f>Table112345[[#This Row],[width]]*Table112345[[#This Row],[h]]^2</f>
        <v>114236226</v>
      </c>
      <c r="AA21" s="110">
        <f>Table112345[[#This Row],[b (mm)]]</f>
        <v>306</v>
      </c>
      <c r="AB21" s="110">
        <f>Table112345[[#This Row],[a]]/Table112345[[#This Row],[h (mm)]]</f>
        <v>2.5849427168576105</v>
      </c>
      <c r="AC21" s="110">
        <f>Table112345[[#This Row],[h (mm)]]</f>
        <v>611</v>
      </c>
      <c r="AD21" s="111">
        <f>2.98*Table112345[[#This Row],[d (mm)]]</f>
        <v>1579.4</v>
      </c>
      <c r="AE21" s="160">
        <v>530</v>
      </c>
      <c r="AF21" s="160">
        <v>611</v>
      </c>
      <c r="AG21" s="160">
        <v>306</v>
      </c>
      <c r="AH21" s="160">
        <v>66.099999999999994</v>
      </c>
      <c r="AI21" s="160">
        <v>2039</v>
      </c>
      <c r="AJ21" s="160">
        <v>1.25</v>
      </c>
      <c r="AK21" s="160">
        <v>525</v>
      </c>
      <c r="AL21" s="111">
        <f>(1/3-0.21*(MIN(Table112345[[#This Row],[b (mm)]],AF21)/MAX(Table112345[[#This Row],[b (mm)]],AF21))*(MIN(Table112345[[#This Row],[b (mm)]],AF21)^4/(12*MAX(Table112345[[#This Row],[b (mm)]],AF21)^4)))*MAX(Table112345[[#This Row],[b (mm)]],AF21)*MIN(Table112345[[#This Row],[b (mm)]],AF21)^3</f>
        <v>5825930185.1099443</v>
      </c>
      <c r="AM21" s="111">
        <f>Table112345[[#This Row],[b (mm)]]*AF21^3/12</f>
        <v>5816527840.5</v>
      </c>
      <c r="AN21" s="160">
        <v>3162</v>
      </c>
      <c r="AO21"/>
      <c r="AP21" s="128"/>
      <c r="AQ21" s="138"/>
      <c r="AR21" s="1"/>
      <c r="AV21"/>
      <c r="AW21"/>
    </row>
    <row r="22" spans="1:49" s="129" customFormat="1" ht="16.5" customHeight="1" x14ac:dyDescent="0.3">
      <c r="A22" s="153" t="s">
        <v>96</v>
      </c>
      <c r="B22" s="161" t="s">
        <v>94</v>
      </c>
      <c r="C22" s="111">
        <v>21</v>
      </c>
      <c r="D22" s="111">
        <f>Table112345[[#This Row],[a (mm)]]/Table112345[[#This Row],[d (mm)]]</f>
        <v>2.98</v>
      </c>
      <c r="E22" s="166">
        <v>136.64466141732285</v>
      </c>
      <c r="F22" s="137">
        <f>Table112345[[#This Row],[d (mm)]]</f>
        <v>530</v>
      </c>
      <c r="G22" s="111">
        <f t="shared" si="4"/>
        <v>215816.57824251972</v>
      </c>
      <c r="H22" s="111">
        <f t="shared" si="5"/>
        <v>1.4088290864162185E-6</v>
      </c>
      <c r="I22" s="111">
        <f>G22/(Table112345[[#This Row],[b (mm)]]*Table112345[[#This Row],[h]]^2)</f>
        <v>1.8892131314152459E-3</v>
      </c>
      <c r="J22" s="111">
        <f t="shared" si="6"/>
        <v>0.38039290130420805</v>
      </c>
      <c r="K22" s="111">
        <f t="shared" si="7"/>
        <v>7.4696068631086015E-7</v>
      </c>
      <c r="L22" s="111">
        <f>E22/(Table112345[[#This Row],[b (mm)]]*AE22)</f>
        <v>8.4254939830634391E-4</v>
      </c>
      <c r="M22" s="111">
        <f>Table112345[[#This Row],[M (KN.mm)]]/(Table112345[[#This Row],[b (mm)]]*Table112345[[#This Row],[d (mm)]])</f>
        <v>1.3307225196850396</v>
      </c>
      <c r="N22" s="111">
        <f>Table112345[[#This Row],[M (KN.mm)]]/(Table112345[[#This Row],[b (mm)]]*Table112345[[#This Row],[h (mm)]])</f>
        <v>1.1543092232947152</v>
      </c>
      <c r="O22" s="111">
        <f>Table112345[[#This Row],[M (KN.mm)]]/(Table112345[[#This Row],[b (mm)]]*Table112345[[#This Row],[h (mm)]]*Table112345[[#This Row],[L(mm)]])</f>
        <v>3.6505668035885996E-4</v>
      </c>
      <c r="P22" s="111">
        <f>Table112345[[#This Row],[M (KN.mm)]]/(Table112345[[#This Row],[b (mm)]]*Table112345[[#This Row],[d (mm)]]*Table112345[[#This Row],[L(mm)]])</f>
        <v>4.208483616967235E-4</v>
      </c>
      <c r="Q22" s="111">
        <f>Table112345[[#This Row],[M (KN.mm)]]/(Table112345[[#This Row],[b (mm)]]*Table112345[[#This Row],[h (mm)]]*Table112345[[#This Row],[L(mm)]]*Table112345[[#This Row],[fc (Mpa)]])</f>
        <v>5.5227939539918301E-6</v>
      </c>
      <c r="R22" s="111">
        <f>Table112345[[#This Row],[M (KN.mm)]]/(Table112345[[#This Row],[b (mm)]]*Table112345[[#This Row],[h (mm)]]*Table112345[[#This Row],[L(mm)]]/2)</f>
        <v>7.3011336071771992E-4</v>
      </c>
      <c r="S22" s="111">
        <f>Table112345[[#This Row],[M (KN.mm)]]/(Table112345[[#This Row],[a (mm)]]*Table112345[[#This Row],[b (mm)]]*Table112345[[#This Row],[h (mm)]]*Table112345[[#This Row],[L(mm)]]/2)</f>
        <v>4.6227261030626807E-7</v>
      </c>
      <c r="T22" s="111">
        <f>Table112345[[#This Row],[M (KN.mm)]]/(Table112345[[#This Row],[a (mm)]]^2*Table112345[[#This Row],[b (mm)]]*Table112345[[#This Row],[h (mm)]])</f>
        <v>4.6274091230480555E-7</v>
      </c>
      <c r="U22" s="111">
        <f>Table112345[[#This Row],[M (KN.mm)]]/(Table112345[[#This Row],[b (mm)]]*Table112345[[#This Row],[d (mm)]]*Table112345[[#This Row],[pho (%)]])</f>
        <v>1.0645780157480318</v>
      </c>
      <c r="V22" s="111">
        <f>E22*224.8/(2*SQRT(Table112345[[#This Row],[fc (Mpa)]]*145.037)*Table112345[[#This Row],[b (mm)]]*Table112345[[#This Row],[d (mm)]]*(1/25.4)^2)</f>
        <v>0.62400631310152832</v>
      </c>
      <c r="W22" s="111">
        <f>Table112345[[#This Row],[M (KN.mm)]]/$G$21</f>
        <v>1</v>
      </c>
      <c r="X22" s="111">
        <f>Table112345[[#This Row],[V/(2*sqrt(fc) bd)]]</f>
        <v>0.62400631310152832</v>
      </c>
      <c r="Y22" s="110">
        <f>Table112345[[#This Row],[a (mm)]]</f>
        <v>1579.4</v>
      </c>
      <c r="Z22" s="110">
        <f>Table112345[[#This Row],[width]]*Table112345[[#This Row],[h]]^2</f>
        <v>114236226</v>
      </c>
      <c r="AA22" s="110">
        <f>Table112345[[#This Row],[b (mm)]]</f>
        <v>306</v>
      </c>
      <c r="AB22" s="110">
        <f>Table112345[[#This Row],[a]]/Table112345[[#This Row],[h (mm)]]</f>
        <v>2.5849427168576105</v>
      </c>
      <c r="AC22" s="110">
        <f>Table112345[[#This Row],[h (mm)]]</f>
        <v>611</v>
      </c>
      <c r="AD22" s="111">
        <f>2.98*Table112345[[#This Row],[d (mm)]]</f>
        <v>1579.4</v>
      </c>
      <c r="AE22" s="160">
        <v>530</v>
      </c>
      <c r="AF22" s="160">
        <v>611</v>
      </c>
      <c r="AG22" s="160">
        <v>306</v>
      </c>
      <c r="AH22" s="160">
        <v>66.099999999999994</v>
      </c>
      <c r="AI22" s="160">
        <v>2039</v>
      </c>
      <c r="AJ22" s="160">
        <v>1.25</v>
      </c>
      <c r="AK22" s="160">
        <v>525</v>
      </c>
      <c r="AL22" s="111">
        <f>(1/3-0.21*(MIN(Table112345[[#This Row],[b (mm)]],AF22)/MAX(Table112345[[#This Row],[b (mm)]],AF22))*(MIN(Table112345[[#This Row],[b (mm)]],AF22)^4/(12*MAX(Table112345[[#This Row],[b (mm)]],AF22)^4)))*MAX(Table112345[[#This Row],[b (mm)]],AF22)*MIN(Table112345[[#This Row],[b (mm)]],AF22)^3</f>
        <v>5825930185.1099443</v>
      </c>
      <c r="AM22" s="111">
        <f>Table112345[[#This Row],[b (mm)]]*AF22^3/12</f>
        <v>5816527840.5</v>
      </c>
      <c r="AN22" s="160">
        <v>3162</v>
      </c>
      <c r="AO22"/>
      <c r="AP22" s="138"/>
      <c r="AQ22" s="138"/>
      <c r="AR22" s="1"/>
      <c r="AV22"/>
      <c r="AW22"/>
    </row>
    <row r="23" spans="1:49" s="129" customFormat="1" x14ac:dyDescent="0.3">
      <c r="A23" s="154" t="s">
        <v>97</v>
      </c>
      <c r="B23" s="162">
        <v>1</v>
      </c>
      <c r="C23" s="111">
        <v>22</v>
      </c>
      <c r="D23" s="111">
        <f>Table112345[[#This Row],[a (mm)]]/Table112345[[#This Row],[d (mm)]]</f>
        <v>2.98</v>
      </c>
      <c r="E23" s="160">
        <v>62.272000000000006</v>
      </c>
      <c r="F23" s="137">
        <f>Table112345[[#This Row],[d (mm)]]</f>
        <v>681</v>
      </c>
      <c r="G23" s="111">
        <f t="shared" ref="G23:G32" si="8">E23*AD23</f>
        <v>126373.55136</v>
      </c>
      <c r="H23" s="111">
        <f t="shared" ref="H23:H32" si="9">G23/($AQ$5*AM23*0.001)</f>
        <v>4.2668757934076043E-7</v>
      </c>
      <c r="I23" s="111">
        <f>G23/(Table112345[[#This Row],[b (mm)]]*Table112345[[#This Row],[h]]^2)</f>
        <v>7.1358614341272397E-4</v>
      </c>
      <c r="J23" s="111">
        <f t="shared" ref="J23:J32" si="10">G23/(AI23*AK23*AE23*0.001)</f>
        <v>0.13694991605320933</v>
      </c>
      <c r="K23" s="111">
        <f t="shared" ref="K23:K32" si="11">E23/($AQ$4*AL23*0.001)</f>
        <v>2.7533678589460842E-7</v>
      </c>
      <c r="L23" s="111">
        <f>E23/(Table112345[[#This Row],[b (mm)]]*AE23)</f>
        <v>2.998098264365326E-4</v>
      </c>
      <c r="M23" s="111">
        <f>Table112345[[#This Row],[M (KN.mm)]]/(Table112345[[#This Row],[b (mm)]]*Table112345[[#This Row],[d (mm)]])</f>
        <v>0.60842806557377049</v>
      </c>
      <c r="N23" s="111">
        <f>Table112345[[#This Row],[M (KN.mm)]]/(Table112345[[#This Row],[b (mm)]]*Table112345[[#This Row],[h (mm)]])</f>
        <v>0.54375264128049572</v>
      </c>
      <c r="O23" s="111">
        <f>Table112345[[#This Row],[M (KN.mm)]]/(Table112345[[#This Row],[b (mm)]]*Table112345[[#This Row],[h (mm)]]*Table112345[[#This Row],[L(mm)]])</f>
        <v>1.3379740188988574E-4</v>
      </c>
      <c r="P23" s="111">
        <f>Table112345[[#This Row],[M (KN.mm)]]/(Table112345[[#This Row],[b (mm)]]*Table112345[[#This Row],[d (mm)]]*Table112345[[#This Row],[L(mm)]])</f>
        <v>1.4971163030850652E-4</v>
      </c>
      <c r="Q23" s="111">
        <f>Table112345[[#This Row],[M (KN.mm)]]/(Table112345[[#This Row],[b (mm)]]*Table112345[[#This Row],[h (mm)]]*Table112345[[#This Row],[L(mm)]]*Table112345[[#This Row],[fc (Mpa)]])</f>
        <v>2.0584215675367038E-6</v>
      </c>
      <c r="R23" s="111">
        <f>Table112345[[#This Row],[M (KN.mm)]]/(Table112345[[#This Row],[b (mm)]]*Table112345[[#This Row],[h (mm)]]*Table112345[[#This Row],[L(mm)]]/2)</f>
        <v>2.6759480377977149E-4</v>
      </c>
      <c r="S23" s="111">
        <f>Table112345[[#This Row],[M (KN.mm)]]/(Table112345[[#This Row],[a (mm)]]*Table112345[[#This Row],[b (mm)]]*Table112345[[#This Row],[h (mm)]]*Table112345[[#This Row],[L(mm)]]/2)</f>
        <v>1.3186037301036352E-7</v>
      </c>
      <c r="T23" s="111">
        <f>Table112345[[#This Row],[M (KN.mm)]]/(Table112345[[#This Row],[a (mm)]]^2*Table112345[[#This Row],[b (mm)]]*Table112345[[#This Row],[h (mm)]])</f>
        <v>1.3203060932750824E-7</v>
      </c>
      <c r="U23" s="111">
        <f>Table112345[[#This Row],[M (KN.mm)]]/(Table112345[[#This Row],[b (mm)]]*Table112345[[#This Row],[d (mm)]]*Table112345[[#This Row],[pho (%)]])</f>
        <v>0.49066779481755679</v>
      </c>
      <c r="V23" s="111">
        <f>E23*224.8/(2*SQRT(Table112345[[#This Row],[fc (Mpa)]]*145.037)*Table112345[[#This Row],[b (mm)]]*Table112345[[#This Row],[d (mm)]]*(1/25.4)^2)</f>
        <v>0.2239151739043822</v>
      </c>
      <c r="W23" s="111">
        <f>Table112345[[#This Row],[M (KN.mm)]]/$G$31</f>
        <v>0.42396423248882265</v>
      </c>
      <c r="X23" s="111">
        <f>Table112345[[#This Row],[V/(2*sqrt(fc) bd)]]</f>
        <v>0.2239151739043822</v>
      </c>
      <c r="Y23" s="110">
        <f>Table112345[[#This Row],[a (mm)]]</f>
        <v>2029.3799999999999</v>
      </c>
      <c r="Z23" s="110">
        <f>Table112345[[#This Row],[width]]*Table112345[[#This Row],[h]]^2</f>
        <v>177096420</v>
      </c>
      <c r="AA23" s="110">
        <f>Table112345[[#This Row],[b (mm)]]</f>
        <v>305</v>
      </c>
      <c r="AB23" s="110">
        <f>Table112345[[#This Row],[a]]/Table112345[[#This Row],[h (mm)]]</f>
        <v>2.6632283464566928</v>
      </c>
      <c r="AC23" s="110">
        <f>Table112345[[#This Row],[h (mm)]]</f>
        <v>762</v>
      </c>
      <c r="AD23" s="111">
        <f>2.98*Table112345[[#This Row],[d (mm)]]</f>
        <v>2029.3799999999999</v>
      </c>
      <c r="AE23" s="160">
        <v>681</v>
      </c>
      <c r="AF23" s="160">
        <v>762</v>
      </c>
      <c r="AG23" s="160">
        <v>305</v>
      </c>
      <c r="AH23" s="160">
        <v>65</v>
      </c>
      <c r="AI23" s="160">
        <v>2581</v>
      </c>
      <c r="AJ23" s="160">
        <v>1.24</v>
      </c>
      <c r="AK23" s="160">
        <v>525</v>
      </c>
      <c r="AL23" s="111">
        <f>(1/3-0.21*(MIN(Table112345[[#This Row],[b (mm)]],AF23)/MAX(Table112345[[#This Row],[b (mm)]],AF23))*(MIN(Table112345[[#This Row],[b (mm)]],AF23)^4/(12*MAX(Table112345[[#This Row],[b (mm)]],AF23)^4)))*MAX(Table112345[[#This Row],[b (mm)]],AF23)*MIN(Table112345[[#This Row],[b (mm)]],AF23)^3</f>
        <v>7202759729.0792322</v>
      </c>
      <c r="AM23" s="111">
        <f>Table112345[[#This Row],[b (mm)]]*AF23^3/12</f>
        <v>11245622670</v>
      </c>
      <c r="AN23" s="160">
        <v>4064</v>
      </c>
      <c r="AO23"/>
      <c r="AP23" s="138"/>
      <c r="AQ23" s="138"/>
      <c r="AR23" s="1"/>
      <c r="AV23"/>
      <c r="AW23"/>
    </row>
    <row r="24" spans="1:49" s="129" customFormat="1" x14ac:dyDescent="0.3">
      <c r="A24" s="154" t="s">
        <v>97</v>
      </c>
      <c r="B24" s="162">
        <v>2</v>
      </c>
      <c r="C24" s="111">
        <v>23</v>
      </c>
      <c r="D24" s="111">
        <f>Table112345[[#This Row],[a (mm)]]/Table112345[[#This Row],[d (mm)]]</f>
        <v>2.98</v>
      </c>
      <c r="E24" s="160">
        <v>66.72</v>
      </c>
      <c r="F24" s="137">
        <f>Table112345[[#This Row],[d (mm)]]</f>
        <v>681</v>
      </c>
      <c r="G24" s="111">
        <f t="shared" si="8"/>
        <v>135400.23359999998</v>
      </c>
      <c r="H24" s="111">
        <f t="shared" si="9"/>
        <v>4.5716526357938613E-7</v>
      </c>
      <c r="I24" s="111">
        <f>G24/(Table112345[[#This Row],[b (mm)]]*Table112345[[#This Row],[h]]^2)</f>
        <v>7.6455658222791844E-4</v>
      </c>
      <c r="J24" s="111">
        <f t="shared" si="10"/>
        <v>0.14673205291415284</v>
      </c>
      <c r="K24" s="111">
        <f t="shared" si="11"/>
        <v>2.9500369917279473E-7</v>
      </c>
      <c r="L24" s="111">
        <f>E24/(Table112345[[#This Row],[b (mm)]]*AE24)</f>
        <v>3.2122481403914203E-4</v>
      </c>
      <c r="M24" s="111">
        <f>Table112345[[#This Row],[M (KN.mm)]]/(Table112345[[#This Row],[b (mm)]]*Table112345[[#This Row],[d (mm)]])</f>
        <v>0.65188721311475395</v>
      </c>
      <c r="N24" s="111">
        <f>Table112345[[#This Row],[M (KN.mm)]]/(Table112345[[#This Row],[b (mm)]]*Table112345[[#This Row],[h (mm)]])</f>
        <v>0.58259211565767388</v>
      </c>
      <c r="O24" s="111">
        <f>Table112345[[#This Row],[M (KN.mm)]]/(Table112345[[#This Row],[b (mm)]]*Table112345[[#This Row],[h (mm)]]*Table112345[[#This Row],[L(mm)]])</f>
        <v>1.4335435916773469E-4</v>
      </c>
      <c r="P24" s="111">
        <f>Table112345[[#This Row],[M (KN.mm)]]/(Table112345[[#This Row],[b (mm)]]*Table112345[[#This Row],[d (mm)]]*Table112345[[#This Row],[L(mm)]])</f>
        <v>1.6040531818768553E-4</v>
      </c>
      <c r="Q24" s="111">
        <f>Table112345[[#This Row],[M (KN.mm)]]/(Table112345[[#This Row],[b (mm)]]*Table112345[[#This Row],[h (mm)]]*Table112345[[#This Row],[L(mm)]]*Table112345[[#This Row],[fc (Mpa)]])</f>
        <v>2.2054516795036107E-6</v>
      </c>
      <c r="R24" s="111">
        <f>Table112345[[#This Row],[M (KN.mm)]]/(Table112345[[#This Row],[b (mm)]]*Table112345[[#This Row],[h (mm)]]*Table112345[[#This Row],[L(mm)]]/2)</f>
        <v>2.8670871833546939E-4</v>
      </c>
      <c r="S24" s="111">
        <f>Table112345[[#This Row],[M (KN.mm)]]/(Table112345[[#This Row],[a (mm)]]*Table112345[[#This Row],[b (mm)]]*Table112345[[#This Row],[h (mm)]]*Table112345[[#This Row],[L(mm)]]/2)</f>
        <v>1.4127897108253233E-7</v>
      </c>
      <c r="T24" s="111">
        <f>Table112345[[#This Row],[M (KN.mm)]]/(Table112345[[#This Row],[a (mm)]]^2*Table112345[[#This Row],[b (mm)]]*Table112345[[#This Row],[h (mm)]])</f>
        <v>1.4146136713661594E-7</v>
      </c>
      <c r="U24" s="111">
        <f>Table112345[[#This Row],[M (KN.mm)]]/(Table112345[[#This Row],[b (mm)]]*Table112345[[#This Row],[d (mm)]]*Table112345[[#This Row],[pho (%)]])</f>
        <v>0.52571549444738219</v>
      </c>
      <c r="V24" s="111">
        <f>E24*224.8/(2*SQRT(Table112345[[#This Row],[fc (Mpa)]]*145.037)*Table112345[[#This Row],[b (mm)]]*Table112345[[#This Row],[d (mm)]]*(1/25.4)^2)</f>
        <v>0.23990911489755234</v>
      </c>
      <c r="W24" s="111">
        <f>Table112345[[#This Row],[M (KN.mm)]]/$G$31</f>
        <v>0.4542473919523099</v>
      </c>
      <c r="X24" s="111">
        <f>Table112345[[#This Row],[V/(2*sqrt(fc) bd)]]</f>
        <v>0.23990911489755234</v>
      </c>
      <c r="Y24" s="110">
        <f>Table112345[[#This Row],[a (mm)]]</f>
        <v>2029.3799999999999</v>
      </c>
      <c r="Z24" s="110">
        <f>Table112345[[#This Row],[width]]*Table112345[[#This Row],[h]]^2</f>
        <v>177096420</v>
      </c>
      <c r="AA24" s="110">
        <f>Table112345[[#This Row],[b (mm)]]</f>
        <v>305</v>
      </c>
      <c r="AB24" s="110">
        <f>Table112345[[#This Row],[a]]/Table112345[[#This Row],[h (mm)]]</f>
        <v>2.6632283464566928</v>
      </c>
      <c r="AC24" s="110">
        <f>Table112345[[#This Row],[h (mm)]]</f>
        <v>762</v>
      </c>
      <c r="AD24" s="111">
        <f>2.98*Table112345[[#This Row],[d (mm)]]</f>
        <v>2029.3799999999999</v>
      </c>
      <c r="AE24" s="160">
        <v>681</v>
      </c>
      <c r="AF24" s="160">
        <v>762</v>
      </c>
      <c r="AG24" s="160">
        <v>305</v>
      </c>
      <c r="AH24" s="160">
        <v>65</v>
      </c>
      <c r="AI24" s="160">
        <v>2581</v>
      </c>
      <c r="AJ24" s="160">
        <v>1.24</v>
      </c>
      <c r="AK24" s="160">
        <v>525</v>
      </c>
      <c r="AL24" s="111">
        <f>(1/3-0.21*(MIN(Table112345[[#This Row],[b (mm)]],AF24)/MAX(Table112345[[#This Row],[b (mm)]],AF24))*(MIN(Table112345[[#This Row],[b (mm)]],AF24)^4/(12*MAX(Table112345[[#This Row],[b (mm)]],AF24)^4)))*MAX(Table112345[[#This Row],[b (mm)]],AF24)*MIN(Table112345[[#This Row],[b (mm)]],AF24)^3</f>
        <v>7202759729.0792322</v>
      </c>
      <c r="AM24" s="111">
        <f>Table112345[[#This Row],[b (mm)]]*AF24^3/12</f>
        <v>11245622670</v>
      </c>
      <c r="AN24" s="160">
        <v>4064</v>
      </c>
      <c r="AO24"/>
      <c r="AP24" s="138"/>
      <c r="AQ24" s="138"/>
      <c r="AR24" s="1"/>
      <c r="AV24"/>
      <c r="AW24"/>
    </row>
    <row r="25" spans="1:49" s="129" customFormat="1" x14ac:dyDescent="0.3">
      <c r="A25" s="154" t="s">
        <v>97</v>
      </c>
      <c r="B25" s="162">
        <v>3</v>
      </c>
      <c r="C25" s="111">
        <v>24</v>
      </c>
      <c r="D25" s="111">
        <f>Table112345[[#This Row],[a (mm)]]/Table112345[[#This Row],[d (mm)]]</f>
        <v>2.98</v>
      </c>
      <c r="E25" s="160">
        <v>77.84</v>
      </c>
      <c r="F25" s="137">
        <f>Table112345[[#This Row],[d (mm)]]</f>
        <v>681</v>
      </c>
      <c r="G25" s="111">
        <f t="shared" si="8"/>
        <v>157966.93919999999</v>
      </c>
      <c r="H25" s="111">
        <f t="shared" si="9"/>
        <v>5.3335947417595056E-7</v>
      </c>
      <c r="I25" s="111">
        <f>G25/(Table112345[[#This Row],[b (mm)]]*Table112345[[#This Row],[h]]^2)</f>
        <v>8.9198267926590496E-4</v>
      </c>
      <c r="J25" s="111">
        <f t="shared" si="10"/>
        <v>0.17118739506651168</v>
      </c>
      <c r="K25" s="111">
        <f t="shared" si="11"/>
        <v>3.441709823682605E-7</v>
      </c>
      <c r="L25" s="111">
        <f>E25/(Table112345[[#This Row],[b (mm)]]*AE25)</f>
        <v>3.7476228304566574E-4</v>
      </c>
      <c r="M25" s="111">
        <f>Table112345[[#This Row],[M (KN.mm)]]/(Table112345[[#This Row],[b (mm)]]*Table112345[[#This Row],[d (mm)]])</f>
        <v>0.76053508196721309</v>
      </c>
      <c r="N25" s="111">
        <f>Table112345[[#This Row],[M (KN.mm)]]/(Table112345[[#This Row],[b (mm)]]*Table112345[[#This Row],[h (mm)]])</f>
        <v>0.67969080160061957</v>
      </c>
      <c r="O25" s="111">
        <f>Table112345[[#This Row],[M (KN.mm)]]/(Table112345[[#This Row],[b (mm)]]*Table112345[[#This Row],[h (mm)]]*Table112345[[#This Row],[L(mm)]])</f>
        <v>1.6724675236235717E-4</v>
      </c>
      <c r="P25" s="111">
        <f>Table112345[[#This Row],[M (KN.mm)]]/(Table112345[[#This Row],[b (mm)]]*Table112345[[#This Row],[d (mm)]]*Table112345[[#This Row],[L(mm)]])</f>
        <v>1.8713953788563313E-4</v>
      </c>
      <c r="Q25" s="111">
        <f>Table112345[[#This Row],[M (KN.mm)]]/(Table112345[[#This Row],[b (mm)]]*Table112345[[#This Row],[h (mm)]]*Table112345[[#This Row],[L(mm)]]*Table112345[[#This Row],[fc (Mpa)]])</f>
        <v>2.5730269594208795E-6</v>
      </c>
      <c r="R25" s="111">
        <f>Table112345[[#This Row],[M (KN.mm)]]/(Table112345[[#This Row],[b (mm)]]*Table112345[[#This Row],[h (mm)]]*Table112345[[#This Row],[L(mm)]]/2)</f>
        <v>3.3449350472471433E-4</v>
      </c>
      <c r="S25" s="111">
        <f>Table112345[[#This Row],[M (KN.mm)]]/(Table112345[[#This Row],[a (mm)]]*Table112345[[#This Row],[b (mm)]]*Table112345[[#This Row],[h (mm)]]*Table112345[[#This Row],[L(mm)]]/2)</f>
        <v>1.6482546626295441E-7</v>
      </c>
      <c r="T25" s="111">
        <f>Table112345[[#This Row],[M (KN.mm)]]/(Table112345[[#This Row],[a (mm)]]^2*Table112345[[#This Row],[b (mm)]]*Table112345[[#This Row],[h (mm)]])</f>
        <v>1.6503826165938528E-7</v>
      </c>
      <c r="U25" s="111">
        <f>Table112345[[#This Row],[M (KN.mm)]]/(Table112345[[#This Row],[b (mm)]]*Table112345[[#This Row],[d (mm)]]*Table112345[[#This Row],[pho (%)]])</f>
        <v>0.61333474352194606</v>
      </c>
      <c r="V25" s="111">
        <f>E25*224.8/(2*SQRT(Table112345[[#This Row],[fc (Mpa)]]*145.037)*Table112345[[#This Row],[b (mm)]]*Table112345[[#This Row],[d (mm)]]*(1/25.4)^2)</f>
        <v>0.27989396738047773</v>
      </c>
      <c r="W25" s="111">
        <f>Table112345[[#This Row],[M (KN.mm)]]/$G$31</f>
        <v>0.52995529061102831</v>
      </c>
      <c r="X25" s="111">
        <f>Table112345[[#This Row],[V/(2*sqrt(fc) bd)]]</f>
        <v>0.27989396738047773</v>
      </c>
      <c r="Y25" s="110">
        <f>Table112345[[#This Row],[a (mm)]]</f>
        <v>2029.3799999999999</v>
      </c>
      <c r="Z25" s="110">
        <f>Table112345[[#This Row],[width]]*Table112345[[#This Row],[h]]^2</f>
        <v>177096420</v>
      </c>
      <c r="AA25" s="110">
        <f>Table112345[[#This Row],[b (mm)]]</f>
        <v>305</v>
      </c>
      <c r="AB25" s="110">
        <f>Table112345[[#This Row],[a]]/Table112345[[#This Row],[h (mm)]]</f>
        <v>2.6632283464566928</v>
      </c>
      <c r="AC25" s="110">
        <f>Table112345[[#This Row],[h (mm)]]</f>
        <v>762</v>
      </c>
      <c r="AD25" s="111">
        <f>2.98*Table112345[[#This Row],[d (mm)]]</f>
        <v>2029.3799999999999</v>
      </c>
      <c r="AE25" s="160">
        <v>681</v>
      </c>
      <c r="AF25" s="160">
        <v>762</v>
      </c>
      <c r="AG25" s="160">
        <v>305</v>
      </c>
      <c r="AH25" s="160">
        <v>65</v>
      </c>
      <c r="AI25" s="160">
        <v>2581</v>
      </c>
      <c r="AJ25" s="160">
        <v>1.24</v>
      </c>
      <c r="AK25" s="160">
        <v>525</v>
      </c>
      <c r="AL25" s="111">
        <f>(1/3-0.21*(MIN(Table112345[[#This Row],[b (mm)]],AF25)/MAX(Table112345[[#This Row],[b (mm)]],AF25))*(MIN(Table112345[[#This Row],[b (mm)]],AF25)^4/(12*MAX(Table112345[[#This Row],[b (mm)]],AF25)^4)))*MAX(Table112345[[#This Row],[b (mm)]],AF25)*MIN(Table112345[[#This Row],[b (mm)]],AF25)^3</f>
        <v>7202759729.0792322</v>
      </c>
      <c r="AM25" s="111">
        <f>Table112345[[#This Row],[b (mm)]]*AF25^3/12</f>
        <v>11245622670</v>
      </c>
      <c r="AN25" s="160">
        <v>4064</v>
      </c>
      <c r="AO25"/>
      <c r="AP25" s="138"/>
      <c r="AQ25" s="138"/>
      <c r="AR25" s="1"/>
      <c r="AV25"/>
      <c r="AW25"/>
    </row>
    <row r="26" spans="1:49" s="129" customFormat="1" x14ac:dyDescent="0.3">
      <c r="A26" s="154" t="s">
        <v>97</v>
      </c>
      <c r="B26" s="162">
        <v>4</v>
      </c>
      <c r="C26" s="111">
        <v>25</v>
      </c>
      <c r="D26" s="111">
        <f>Table112345[[#This Row],[a (mm)]]/Table112345[[#This Row],[d (mm)]]</f>
        <v>2.98</v>
      </c>
      <c r="E26" s="160">
        <v>88.960000000000008</v>
      </c>
      <c r="F26" s="137">
        <f>Table112345[[#This Row],[d (mm)]]</f>
        <v>681</v>
      </c>
      <c r="G26" s="111">
        <f t="shared" si="8"/>
        <v>180533.64480000001</v>
      </c>
      <c r="H26" s="111">
        <f t="shared" si="9"/>
        <v>6.0955368477251498E-7</v>
      </c>
      <c r="I26" s="111">
        <f>G26/(Table112345[[#This Row],[b (mm)]]*Table112345[[#This Row],[h]]^2)</f>
        <v>1.0194087763038915E-3</v>
      </c>
      <c r="J26" s="111">
        <f t="shared" si="10"/>
        <v>0.19564273721887052</v>
      </c>
      <c r="K26" s="111">
        <f t="shared" si="11"/>
        <v>3.9333826556372632E-7</v>
      </c>
      <c r="L26" s="111">
        <f>E26/(Table112345[[#This Row],[b (mm)]]*AE26)</f>
        <v>4.2829975205218944E-4</v>
      </c>
      <c r="M26" s="111">
        <f>Table112345[[#This Row],[M (KN.mm)]]/(Table112345[[#This Row],[b (mm)]]*Table112345[[#This Row],[d (mm)]])</f>
        <v>0.86918295081967223</v>
      </c>
      <c r="N26" s="111">
        <f>Table112345[[#This Row],[M (KN.mm)]]/(Table112345[[#This Row],[b (mm)]]*Table112345[[#This Row],[h (mm)]])</f>
        <v>0.77678948754356525</v>
      </c>
      <c r="O26" s="111">
        <f>Table112345[[#This Row],[M (KN.mm)]]/(Table112345[[#This Row],[b (mm)]]*Table112345[[#This Row],[h (mm)]]*Table112345[[#This Row],[L(mm)]])</f>
        <v>1.9113914555697964E-4</v>
      </c>
      <c r="P26" s="111">
        <f>Table112345[[#This Row],[M (KN.mm)]]/(Table112345[[#This Row],[b (mm)]]*Table112345[[#This Row],[d (mm)]]*Table112345[[#This Row],[L(mm)]])</f>
        <v>2.1387375758358075E-4</v>
      </c>
      <c r="Q26" s="111">
        <f>Table112345[[#This Row],[M (KN.mm)]]/(Table112345[[#This Row],[b (mm)]]*Table112345[[#This Row],[h (mm)]]*Table112345[[#This Row],[L(mm)]]*Table112345[[#This Row],[fc (Mpa)]])</f>
        <v>2.9406022393381483E-6</v>
      </c>
      <c r="R26" s="111">
        <f>Table112345[[#This Row],[M (KN.mm)]]/(Table112345[[#This Row],[b (mm)]]*Table112345[[#This Row],[h (mm)]]*Table112345[[#This Row],[L(mm)]]/2)</f>
        <v>3.8227829111395927E-4</v>
      </c>
      <c r="S26" s="111">
        <f>Table112345[[#This Row],[M (KN.mm)]]/(Table112345[[#This Row],[a (mm)]]*Table112345[[#This Row],[b (mm)]]*Table112345[[#This Row],[h (mm)]]*Table112345[[#This Row],[L(mm)]]/2)</f>
        <v>1.8837196144337649E-7</v>
      </c>
      <c r="T26" s="111">
        <f>Table112345[[#This Row],[M (KN.mm)]]/(Table112345[[#This Row],[a (mm)]]^2*Table112345[[#This Row],[b (mm)]]*Table112345[[#This Row],[h (mm)]])</f>
        <v>1.8861515618215463E-7</v>
      </c>
      <c r="U26" s="111">
        <f>Table112345[[#This Row],[M (KN.mm)]]/(Table112345[[#This Row],[b (mm)]]*Table112345[[#This Row],[d (mm)]]*Table112345[[#This Row],[pho (%)]])</f>
        <v>0.70095399259650981</v>
      </c>
      <c r="V26" s="111">
        <f>E26*224.8/(2*SQRT(Table112345[[#This Row],[fc (Mpa)]]*145.037)*Table112345[[#This Row],[b (mm)]]*Table112345[[#This Row],[d (mm)]]*(1/25.4)^2)</f>
        <v>0.31987881986340316</v>
      </c>
      <c r="W26" s="111">
        <f>Table112345[[#This Row],[M (KN.mm)]]/$G$31</f>
        <v>0.60566318926974672</v>
      </c>
      <c r="X26" s="111">
        <f>Table112345[[#This Row],[V/(2*sqrt(fc) bd)]]</f>
        <v>0.31987881986340316</v>
      </c>
      <c r="Y26" s="110">
        <f>Table112345[[#This Row],[a (mm)]]</f>
        <v>2029.3799999999999</v>
      </c>
      <c r="Z26" s="110">
        <f>Table112345[[#This Row],[width]]*Table112345[[#This Row],[h]]^2</f>
        <v>177096420</v>
      </c>
      <c r="AA26" s="110">
        <f>Table112345[[#This Row],[b (mm)]]</f>
        <v>305</v>
      </c>
      <c r="AB26" s="110">
        <f>Table112345[[#This Row],[a]]/Table112345[[#This Row],[h (mm)]]</f>
        <v>2.6632283464566928</v>
      </c>
      <c r="AC26" s="110">
        <f>Table112345[[#This Row],[h (mm)]]</f>
        <v>762</v>
      </c>
      <c r="AD26" s="111">
        <f>2.98*Table112345[[#This Row],[d (mm)]]</f>
        <v>2029.3799999999999</v>
      </c>
      <c r="AE26" s="160">
        <v>681</v>
      </c>
      <c r="AF26" s="160">
        <v>762</v>
      </c>
      <c r="AG26" s="160">
        <v>305</v>
      </c>
      <c r="AH26" s="160">
        <v>65</v>
      </c>
      <c r="AI26" s="160">
        <v>2581</v>
      </c>
      <c r="AJ26" s="160">
        <v>1.24</v>
      </c>
      <c r="AK26" s="160">
        <v>525</v>
      </c>
      <c r="AL26" s="111">
        <f>(1/3-0.21*(MIN(Table112345[[#This Row],[b (mm)]],AF26)/MAX(Table112345[[#This Row],[b (mm)]],AF26))*(MIN(Table112345[[#This Row],[b (mm)]],AF26)^4/(12*MAX(Table112345[[#This Row],[b (mm)]],AF26)^4)))*MAX(Table112345[[#This Row],[b (mm)]],AF26)*MIN(Table112345[[#This Row],[b (mm)]],AF26)^3</f>
        <v>7202759729.0792322</v>
      </c>
      <c r="AM26" s="111">
        <f>Table112345[[#This Row],[b (mm)]]*AF26^3/12</f>
        <v>11245622670</v>
      </c>
      <c r="AN26" s="160">
        <v>4064</v>
      </c>
      <c r="AO26"/>
      <c r="AP26" s="138"/>
      <c r="AQ26" s="138"/>
      <c r="AR26" s="1"/>
      <c r="AV26"/>
      <c r="AW26"/>
    </row>
    <row r="27" spans="1:49" s="129" customFormat="1" x14ac:dyDescent="0.3">
      <c r="A27" s="154" t="s">
        <v>97</v>
      </c>
      <c r="B27" s="162">
        <v>5</v>
      </c>
      <c r="C27" s="111">
        <v>26</v>
      </c>
      <c r="D27" s="111">
        <f>Table112345[[#This Row],[a (mm)]]/Table112345[[#This Row],[d (mm)]]</f>
        <v>2.98</v>
      </c>
      <c r="E27" s="160">
        <v>100.08000000000001</v>
      </c>
      <c r="F27" s="137">
        <f>Table112345[[#This Row],[d (mm)]]</f>
        <v>681</v>
      </c>
      <c r="G27" s="111">
        <f t="shared" si="8"/>
        <v>203100.35040000002</v>
      </c>
      <c r="H27" s="111">
        <f t="shared" si="9"/>
        <v>6.8574789536907941E-7</v>
      </c>
      <c r="I27" s="111">
        <f>G27/(Table112345[[#This Row],[b (mm)]]*Table112345[[#This Row],[h]]^2)</f>
        <v>1.146834873341878E-3</v>
      </c>
      <c r="J27" s="111">
        <f t="shared" si="10"/>
        <v>0.22009807937122933</v>
      </c>
      <c r="K27" s="111">
        <f t="shared" si="11"/>
        <v>4.4250554875919214E-7</v>
      </c>
      <c r="L27" s="111">
        <f>E27/(Table112345[[#This Row],[b (mm)]]*AE27)</f>
        <v>4.8183722105871315E-4</v>
      </c>
      <c r="M27" s="111">
        <f>Table112345[[#This Row],[M (KN.mm)]]/(Table112345[[#This Row],[b (mm)]]*Table112345[[#This Row],[d (mm)]])</f>
        <v>0.97783081967213126</v>
      </c>
      <c r="N27" s="111">
        <f>Table112345[[#This Row],[M (KN.mm)]]/(Table112345[[#This Row],[b (mm)]]*Table112345[[#This Row],[h (mm)]])</f>
        <v>0.87388817348651104</v>
      </c>
      <c r="O27" s="111">
        <f>Table112345[[#This Row],[M (KN.mm)]]/(Table112345[[#This Row],[b (mm)]]*Table112345[[#This Row],[h (mm)]]*Table112345[[#This Row],[L(mm)]])</f>
        <v>2.1503153875160211E-4</v>
      </c>
      <c r="P27" s="111">
        <f>Table112345[[#This Row],[M (KN.mm)]]/(Table112345[[#This Row],[b (mm)]]*Table112345[[#This Row],[d (mm)]]*Table112345[[#This Row],[L(mm)]])</f>
        <v>2.4060797728152838E-4</v>
      </c>
      <c r="Q27" s="111">
        <f>Table112345[[#This Row],[M (KN.mm)]]/(Table112345[[#This Row],[b (mm)]]*Table112345[[#This Row],[h (mm)]]*Table112345[[#This Row],[L(mm)]]*Table112345[[#This Row],[fc (Mpa)]])</f>
        <v>3.3081775192554171E-6</v>
      </c>
      <c r="R27" s="111">
        <f>Table112345[[#This Row],[M (KN.mm)]]/(Table112345[[#This Row],[b (mm)]]*Table112345[[#This Row],[h (mm)]]*Table112345[[#This Row],[L(mm)]]/2)</f>
        <v>4.3006307750320422E-4</v>
      </c>
      <c r="S27" s="111">
        <f>Table112345[[#This Row],[M (KN.mm)]]/(Table112345[[#This Row],[a (mm)]]*Table112345[[#This Row],[b (mm)]]*Table112345[[#This Row],[h (mm)]]*Table112345[[#This Row],[L(mm)]]/2)</f>
        <v>2.1191845662379854E-7</v>
      </c>
      <c r="T27" s="111">
        <f>Table112345[[#This Row],[M (KN.mm)]]/(Table112345[[#This Row],[a (mm)]]^2*Table112345[[#This Row],[b (mm)]]*Table112345[[#This Row],[h (mm)]])</f>
        <v>2.1219205070492397E-7</v>
      </c>
      <c r="U27" s="111">
        <f>Table112345[[#This Row],[M (KN.mm)]]/(Table112345[[#This Row],[b (mm)]]*Table112345[[#This Row],[d (mm)]]*Table112345[[#This Row],[pho (%)]])</f>
        <v>0.78857324167107357</v>
      </c>
      <c r="V27" s="111">
        <f>E27*224.8/(2*SQRT(Table112345[[#This Row],[fc (Mpa)]]*145.037)*Table112345[[#This Row],[b (mm)]]*Table112345[[#This Row],[d (mm)]]*(1/25.4)^2)</f>
        <v>0.35986367234632854</v>
      </c>
      <c r="W27" s="111">
        <f>Table112345[[#This Row],[M (KN.mm)]]/$G$31</f>
        <v>0.68137108792846501</v>
      </c>
      <c r="X27" s="111">
        <f>Table112345[[#This Row],[V/(2*sqrt(fc) bd)]]</f>
        <v>0.35986367234632854</v>
      </c>
      <c r="Y27" s="110">
        <f>Table112345[[#This Row],[a (mm)]]</f>
        <v>2029.3799999999999</v>
      </c>
      <c r="Z27" s="110">
        <f>Table112345[[#This Row],[width]]*Table112345[[#This Row],[h]]^2</f>
        <v>177096420</v>
      </c>
      <c r="AA27" s="110">
        <f>Table112345[[#This Row],[b (mm)]]</f>
        <v>305</v>
      </c>
      <c r="AB27" s="110">
        <f>Table112345[[#This Row],[a]]/Table112345[[#This Row],[h (mm)]]</f>
        <v>2.6632283464566928</v>
      </c>
      <c r="AC27" s="110">
        <f>Table112345[[#This Row],[h (mm)]]</f>
        <v>762</v>
      </c>
      <c r="AD27" s="111">
        <f>2.98*Table112345[[#This Row],[d (mm)]]</f>
        <v>2029.3799999999999</v>
      </c>
      <c r="AE27" s="160">
        <v>681</v>
      </c>
      <c r="AF27" s="160">
        <v>762</v>
      </c>
      <c r="AG27" s="160">
        <v>305</v>
      </c>
      <c r="AH27" s="160">
        <v>65</v>
      </c>
      <c r="AI27" s="160">
        <v>2581</v>
      </c>
      <c r="AJ27" s="160">
        <v>1.24</v>
      </c>
      <c r="AK27" s="160">
        <v>525</v>
      </c>
      <c r="AL27" s="111">
        <f>(1/3-0.21*(MIN(Table112345[[#This Row],[b (mm)]],AF27)/MAX(Table112345[[#This Row],[b (mm)]],AF27))*(MIN(Table112345[[#This Row],[b (mm)]],AF27)^4/(12*MAX(Table112345[[#This Row],[b (mm)]],AF27)^4)))*MAX(Table112345[[#This Row],[b (mm)]],AF27)*MIN(Table112345[[#This Row],[b (mm)]],AF27)^3</f>
        <v>7202759729.0792322</v>
      </c>
      <c r="AM27" s="111">
        <f>Table112345[[#This Row],[b (mm)]]*AF27^3/12</f>
        <v>11245622670</v>
      </c>
      <c r="AN27" s="160">
        <v>4064</v>
      </c>
      <c r="AO27"/>
      <c r="AP27" s="138"/>
      <c r="AQ27" s="138"/>
      <c r="AR27" s="1"/>
      <c r="AV27"/>
      <c r="AW27"/>
    </row>
    <row r="28" spans="1:49" s="129" customFormat="1" x14ac:dyDescent="0.3">
      <c r="A28" s="154" t="s">
        <v>97</v>
      </c>
      <c r="B28" s="162">
        <v>6</v>
      </c>
      <c r="C28" s="111">
        <v>27</v>
      </c>
      <c r="D28" s="111">
        <f>Table112345[[#This Row],[a (mm)]]/Table112345[[#This Row],[d (mm)]]</f>
        <v>2.98</v>
      </c>
      <c r="E28" s="160">
        <v>111.20000000000002</v>
      </c>
      <c r="F28" s="137">
        <f>Table112345[[#This Row],[d (mm)]]</f>
        <v>681</v>
      </c>
      <c r="G28" s="111">
        <f t="shared" si="8"/>
        <v>225667.05600000001</v>
      </c>
      <c r="H28" s="111">
        <f t="shared" si="9"/>
        <v>7.6194210596564373E-7</v>
      </c>
      <c r="I28" s="111">
        <f>G28/(Table112345[[#This Row],[b (mm)]]*Table112345[[#This Row],[h]]^2)</f>
        <v>1.2742609703798643E-3</v>
      </c>
      <c r="J28" s="111">
        <f t="shared" si="10"/>
        <v>0.24455342152358814</v>
      </c>
      <c r="K28" s="111">
        <f t="shared" si="11"/>
        <v>4.9167283195465791E-7</v>
      </c>
      <c r="L28" s="111">
        <f>E28/(Table112345[[#This Row],[b (mm)]]*AE28)</f>
        <v>5.3537469006523686E-4</v>
      </c>
      <c r="M28" s="111">
        <f>Table112345[[#This Row],[M (KN.mm)]]/(Table112345[[#This Row],[b (mm)]]*Table112345[[#This Row],[d (mm)]])</f>
        <v>1.0864786885245903</v>
      </c>
      <c r="N28" s="111">
        <f>Table112345[[#This Row],[M (KN.mm)]]/(Table112345[[#This Row],[b (mm)]]*Table112345[[#This Row],[h (mm)]])</f>
        <v>0.97098685942945662</v>
      </c>
      <c r="O28" s="111">
        <f>Table112345[[#This Row],[M (KN.mm)]]/(Table112345[[#This Row],[b (mm)]]*Table112345[[#This Row],[h (mm)]]*Table112345[[#This Row],[L(mm)]])</f>
        <v>2.3892393194622455E-4</v>
      </c>
      <c r="P28" s="111">
        <f>Table112345[[#This Row],[M (KN.mm)]]/(Table112345[[#This Row],[b (mm)]]*Table112345[[#This Row],[d (mm)]]*Table112345[[#This Row],[L(mm)]])</f>
        <v>2.6734219697947592E-4</v>
      </c>
      <c r="Q28" s="111">
        <f>Table112345[[#This Row],[M (KN.mm)]]/(Table112345[[#This Row],[b (mm)]]*Table112345[[#This Row],[h (mm)]]*Table112345[[#This Row],[L(mm)]]*Table112345[[#This Row],[fc (Mpa)]])</f>
        <v>3.6757527991726855E-6</v>
      </c>
      <c r="R28" s="111">
        <f>Table112345[[#This Row],[M (KN.mm)]]/(Table112345[[#This Row],[b (mm)]]*Table112345[[#This Row],[h (mm)]]*Table112345[[#This Row],[L(mm)]]/2)</f>
        <v>4.7784786389244911E-4</v>
      </c>
      <c r="S28" s="111">
        <f>Table112345[[#This Row],[M (KN.mm)]]/(Table112345[[#This Row],[a (mm)]]*Table112345[[#This Row],[b (mm)]]*Table112345[[#This Row],[h (mm)]]*Table112345[[#This Row],[L(mm)]]/2)</f>
        <v>2.354649518042206E-7</v>
      </c>
      <c r="T28" s="111">
        <f>Table112345[[#This Row],[M (KN.mm)]]/(Table112345[[#This Row],[a (mm)]]^2*Table112345[[#This Row],[b (mm)]]*Table112345[[#This Row],[h (mm)]])</f>
        <v>2.3576894522769329E-7</v>
      </c>
      <c r="U28" s="111">
        <f>Table112345[[#This Row],[M (KN.mm)]]/(Table112345[[#This Row],[b (mm)]]*Table112345[[#This Row],[d (mm)]]*Table112345[[#This Row],[pho (%)]])</f>
        <v>0.87619249074563721</v>
      </c>
      <c r="V28" s="111">
        <f>E28*224.8/(2*SQRT(Table112345[[#This Row],[fc (Mpa)]]*145.037)*Table112345[[#This Row],[b (mm)]]*Table112345[[#This Row],[d (mm)]]*(1/25.4)^2)</f>
        <v>0.39984852482925398</v>
      </c>
      <c r="W28" s="111">
        <f>Table112345[[#This Row],[M (KN.mm)]]/$G$31</f>
        <v>0.75707898658718331</v>
      </c>
      <c r="X28" s="111">
        <f>Table112345[[#This Row],[V/(2*sqrt(fc) bd)]]</f>
        <v>0.39984852482925398</v>
      </c>
      <c r="Y28" s="110">
        <f>Table112345[[#This Row],[a (mm)]]</f>
        <v>2029.3799999999999</v>
      </c>
      <c r="Z28" s="110">
        <f>Table112345[[#This Row],[width]]*Table112345[[#This Row],[h]]^2</f>
        <v>177096420</v>
      </c>
      <c r="AA28" s="110">
        <f>Table112345[[#This Row],[b (mm)]]</f>
        <v>305</v>
      </c>
      <c r="AB28" s="110">
        <f>Table112345[[#This Row],[a]]/Table112345[[#This Row],[h (mm)]]</f>
        <v>2.6632283464566928</v>
      </c>
      <c r="AC28" s="110">
        <f>Table112345[[#This Row],[h (mm)]]</f>
        <v>762</v>
      </c>
      <c r="AD28" s="111">
        <f>2.98*Table112345[[#This Row],[d (mm)]]</f>
        <v>2029.3799999999999</v>
      </c>
      <c r="AE28" s="160">
        <v>681</v>
      </c>
      <c r="AF28" s="160">
        <v>762</v>
      </c>
      <c r="AG28" s="160">
        <v>305</v>
      </c>
      <c r="AH28" s="160">
        <v>65</v>
      </c>
      <c r="AI28" s="160">
        <v>2581</v>
      </c>
      <c r="AJ28" s="160">
        <v>1.24</v>
      </c>
      <c r="AK28" s="160">
        <v>525</v>
      </c>
      <c r="AL28" s="111">
        <f>(1/3-0.21*(MIN(Table112345[[#This Row],[b (mm)]],AF28)/MAX(Table112345[[#This Row],[b (mm)]],AF28))*(MIN(Table112345[[#This Row],[b (mm)]],AF28)^4/(12*MAX(Table112345[[#This Row],[b (mm)]],AF28)^4)))*MAX(Table112345[[#This Row],[b (mm)]],AF28)*MIN(Table112345[[#This Row],[b (mm)]],AF28)^3</f>
        <v>7202759729.0792322</v>
      </c>
      <c r="AM28" s="111">
        <f>Table112345[[#This Row],[b (mm)]]*AF28^3/12</f>
        <v>11245622670</v>
      </c>
      <c r="AN28" s="160">
        <v>4064</v>
      </c>
      <c r="AO28"/>
      <c r="AP28" s="138"/>
      <c r="AQ28" s="138"/>
      <c r="AR28" s="1"/>
      <c r="AV28"/>
      <c r="AW28"/>
    </row>
    <row r="29" spans="1:49" s="129" customFormat="1" x14ac:dyDescent="0.3">
      <c r="A29" s="154" t="s">
        <v>97</v>
      </c>
      <c r="B29" s="162">
        <v>7</v>
      </c>
      <c r="C29" s="111">
        <v>28</v>
      </c>
      <c r="D29" s="111">
        <f>Table112345[[#This Row],[a (mm)]]/Table112345[[#This Row],[d (mm)]]</f>
        <v>2.98</v>
      </c>
      <c r="E29" s="160">
        <v>122.32000000000001</v>
      </c>
      <c r="F29" s="137">
        <f>Table112345[[#This Row],[d (mm)]]</f>
        <v>681</v>
      </c>
      <c r="G29" s="111">
        <f t="shared" si="8"/>
        <v>248233.7616</v>
      </c>
      <c r="H29" s="111">
        <f t="shared" si="9"/>
        <v>8.3813631656220805E-7</v>
      </c>
      <c r="I29" s="111">
        <f>G29/(Table112345[[#This Row],[b (mm)]]*Table112345[[#This Row],[h]]^2)</f>
        <v>1.4016870674178506E-3</v>
      </c>
      <c r="J29" s="111">
        <f t="shared" si="10"/>
        <v>0.26900876367594695</v>
      </c>
      <c r="K29" s="111">
        <f t="shared" si="11"/>
        <v>5.4084011515012368E-7</v>
      </c>
      <c r="L29" s="111">
        <f>E29/(Table112345[[#This Row],[b (mm)]]*AE29)</f>
        <v>5.8891215907176046E-4</v>
      </c>
      <c r="M29" s="111">
        <f>Table112345[[#This Row],[M (KN.mm)]]/(Table112345[[#This Row],[b (mm)]]*Table112345[[#This Row],[d (mm)]])</f>
        <v>1.1951265573770491</v>
      </c>
      <c r="N29" s="111">
        <f>Table112345[[#This Row],[M (KN.mm)]]/(Table112345[[#This Row],[b (mm)]]*Table112345[[#This Row],[h (mm)]])</f>
        <v>1.0680855453724023</v>
      </c>
      <c r="O29" s="111">
        <f>Table112345[[#This Row],[M (KN.mm)]]/(Table112345[[#This Row],[b (mm)]]*Table112345[[#This Row],[h (mm)]]*Table112345[[#This Row],[L(mm)]])</f>
        <v>2.62816325140847E-4</v>
      </c>
      <c r="P29" s="111">
        <f>Table112345[[#This Row],[M (KN.mm)]]/(Table112345[[#This Row],[b (mm)]]*Table112345[[#This Row],[d (mm)]]*Table112345[[#This Row],[L(mm)]])</f>
        <v>2.9407641667742352E-4</v>
      </c>
      <c r="Q29" s="111">
        <f>Table112345[[#This Row],[M (KN.mm)]]/(Table112345[[#This Row],[b (mm)]]*Table112345[[#This Row],[h (mm)]]*Table112345[[#This Row],[L(mm)]]*Table112345[[#This Row],[fc (Mpa)]])</f>
        <v>4.0433280790899538E-6</v>
      </c>
      <c r="R29" s="111">
        <f>Table112345[[#This Row],[M (KN.mm)]]/(Table112345[[#This Row],[b (mm)]]*Table112345[[#This Row],[h (mm)]]*Table112345[[#This Row],[L(mm)]]/2)</f>
        <v>5.25632650281694E-4</v>
      </c>
      <c r="S29" s="111">
        <f>Table112345[[#This Row],[M (KN.mm)]]/(Table112345[[#This Row],[a (mm)]]*Table112345[[#This Row],[b (mm)]]*Table112345[[#This Row],[h (mm)]]*Table112345[[#This Row],[L(mm)]]/2)</f>
        <v>2.5901144698464265E-7</v>
      </c>
      <c r="T29" s="111">
        <f>Table112345[[#This Row],[M (KN.mm)]]/(Table112345[[#This Row],[a (mm)]]^2*Table112345[[#This Row],[b (mm)]]*Table112345[[#This Row],[h (mm)]])</f>
        <v>2.5934583975046261E-7</v>
      </c>
      <c r="U29" s="111">
        <f>Table112345[[#This Row],[M (KN.mm)]]/(Table112345[[#This Row],[b (mm)]]*Table112345[[#This Row],[d (mm)]]*Table112345[[#This Row],[pho (%)]])</f>
        <v>0.96381173982020085</v>
      </c>
      <c r="V29" s="111">
        <f>E29*224.8/(2*SQRT(Table112345[[#This Row],[fc (Mpa)]]*145.037)*Table112345[[#This Row],[b (mm)]]*Table112345[[#This Row],[d (mm)]]*(1/25.4)^2)</f>
        <v>0.43983337731217936</v>
      </c>
      <c r="W29" s="111">
        <f>Table112345[[#This Row],[M (KN.mm)]]/$G$31</f>
        <v>0.83278688524590161</v>
      </c>
      <c r="X29" s="111">
        <f>Table112345[[#This Row],[V/(2*sqrt(fc) bd)]]</f>
        <v>0.43983337731217936</v>
      </c>
      <c r="Y29" s="110">
        <f>Table112345[[#This Row],[a (mm)]]</f>
        <v>2029.3799999999999</v>
      </c>
      <c r="Z29" s="110">
        <f>Table112345[[#This Row],[width]]*Table112345[[#This Row],[h]]^2</f>
        <v>177096420</v>
      </c>
      <c r="AA29" s="110">
        <f>Table112345[[#This Row],[b (mm)]]</f>
        <v>305</v>
      </c>
      <c r="AB29" s="110">
        <f>Table112345[[#This Row],[a]]/Table112345[[#This Row],[h (mm)]]</f>
        <v>2.6632283464566928</v>
      </c>
      <c r="AC29" s="110">
        <f>Table112345[[#This Row],[h (mm)]]</f>
        <v>762</v>
      </c>
      <c r="AD29" s="111">
        <f>2.98*Table112345[[#This Row],[d (mm)]]</f>
        <v>2029.3799999999999</v>
      </c>
      <c r="AE29" s="160">
        <v>681</v>
      </c>
      <c r="AF29" s="160">
        <v>762</v>
      </c>
      <c r="AG29" s="160">
        <v>305</v>
      </c>
      <c r="AH29" s="160">
        <v>65</v>
      </c>
      <c r="AI29" s="160">
        <v>2581</v>
      </c>
      <c r="AJ29" s="160">
        <v>1.24</v>
      </c>
      <c r="AK29" s="160">
        <v>525</v>
      </c>
      <c r="AL29" s="111">
        <f>(1/3-0.21*(MIN(Table112345[[#This Row],[b (mm)]],AF29)/MAX(Table112345[[#This Row],[b (mm)]],AF29))*(MIN(Table112345[[#This Row],[b (mm)]],AF29)^4/(12*MAX(Table112345[[#This Row],[b (mm)]],AF29)^4)))*MAX(Table112345[[#This Row],[b (mm)]],AF29)*MIN(Table112345[[#This Row],[b (mm)]],AF29)^3</f>
        <v>7202759729.0792322</v>
      </c>
      <c r="AM29" s="111">
        <f>Table112345[[#This Row],[b (mm)]]*AF29^3/12</f>
        <v>11245622670</v>
      </c>
      <c r="AN29" s="160">
        <v>4064</v>
      </c>
      <c r="AO29"/>
      <c r="AP29" s="138"/>
      <c r="AQ29" s="138"/>
      <c r="AR29" s="1"/>
      <c r="AV29"/>
      <c r="AW29"/>
    </row>
    <row r="30" spans="1:49" s="129" customFormat="1" x14ac:dyDescent="0.3">
      <c r="A30" s="154" t="s">
        <v>97</v>
      </c>
      <c r="B30" s="162">
        <v>8</v>
      </c>
      <c r="C30" s="111">
        <v>29</v>
      </c>
      <c r="D30" s="111">
        <f>Table112345[[#This Row],[a (mm)]]/Table112345[[#This Row],[d (mm)]]</f>
        <v>2.98</v>
      </c>
      <c r="E30" s="160">
        <v>133.44</v>
      </c>
      <c r="F30" s="137">
        <f>Table112345[[#This Row],[d (mm)]]</f>
        <v>681</v>
      </c>
      <c r="G30" s="111">
        <f t="shared" si="8"/>
        <v>270800.46719999996</v>
      </c>
      <c r="H30" s="111">
        <f t="shared" si="9"/>
        <v>9.1433052715877226E-7</v>
      </c>
      <c r="I30" s="111">
        <f>G30/(Table112345[[#This Row],[b (mm)]]*Table112345[[#This Row],[h]]^2)</f>
        <v>1.5291131644558369E-3</v>
      </c>
      <c r="J30" s="111">
        <f t="shared" si="10"/>
        <v>0.29346410582830568</v>
      </c>
      <c r="K30" s="111">
        <f t="shared" si="11"/>
        <v>5.9000739834558945E-7</v>
      </c>
      <c r="L30" s="111">
        <f>E30/(Table112345[[#This Row],[b (mm)]]*AE30)</f>
        <v>6.4244962807828406E-4</v>
      </c>
      <c r="M30" s="111">
        <f>Table112345[[#This Row],[M (KN.mm)]]/(Table112345[[#This Row],[b (mm)]]*Table112345[[#This Row],[d (mm)]])</f>
        <v>1.3037744262295079</v>
      </c>
      <c r="N30" s="111">
        <f>Table112345[[#This Row],[M (KN.mm)]]/(Table112345[[#This Row],[b (mm)]]*Table112345[[#This Row],[h (mm)]])</f>
        <v>1.1651842313153478</v>
      </c>
      <c r="O30" s="111">
        <f>Table112345[[#This Row],[M (KN.mm)]]/(Table112345[[#This Row],[b (mm)]]*Table112345[[#This Row],[h (mm)]]*Table112345[[#This Row],[L(mm)]])</f>
        <v>2.8670871833546939E-4</v>
      </c>
      <c r="P30" s="111">
        <f>Table112345[[#This Row],[M (KN.mm)]]/(Table112345[[#This Row],[b (mm)]]*Table112345[[#This Row],[d (mm)]]*Table112345[[#This Row],[L(mm)]])</f>
        <v>3.2081063637537106E-4</v>
      </c>
      <c r="Q30" s="111">
        <f>Table112345[[#This Row],[M (KN.mm)]]/(Table112345[[#This Row],[b (mm)]]*Table112345[[#This Row],[h (mm)]]*Table112345[[#This Row],[L(mm)]]*Table112345[[#This Row],[fc (Mpa)]])</f>
        <v>4.4109033590072214E-6</v>
      </c>
      <c r="R30" s="111">
        <f>Table112345[[#This Row],[M (KN.mm)]]/(Table112345[[#This Row],[b (mm)]]*Table112345[[#This Row],[h (mm)]]*Table112345[[#This Row],[L(mm)]]/2)</f>
        <v>5.7341743667093878E-4</v>
      </c>
      <c r="S30" s="111">
        <f>Table112345[[#This Row],[M (KN.mm)]]/(Table112345[[#This Row],[a (mm)]]*Table112345[[#This Row],[b (mm)]]*Table112345[[#This Row],[h (mm)]]*Table112345[[#This Row],[L(mm)]]/2)</f>
        <v>2.8255794216506465E-7</v>
      </c>
      <c r="T30" s="111">
        <f>Table112345[[#This Row],[M (KN.mm)]]/(Table112345[[#This Row],[a (mm)]]^2*Table112345[[#This Row],[b (mm)]]*Table112345[[#This Row],[h (mm)]])</f>
        <v>2.8292273427323188E-7</v>
      </c>
      <c r="U30" s="111">
        <f>Table112345[[#This Row],[M (KN.mm)]]/(Table112345[[#This Row],[b (mm)]]*Table112345[[#This Row],[d (mm)]]*Table112345[[#This Row],[pho (%)]])</f>
        <v>1.0514309888947644</v>
      </c>
      <c r="V30" s="111">
        <f>E30*224.8/(2*SQRT(Table112345[[#This Row],[fc (Mpa)]]*145.037)*Table112345[[#This Row],[b (mm)]]*Table112345[[#This Row],[d (mm)]]*(1/25.4)^2)</f>
        <v>0.47981822979510469</v>
      </c>
      <c r="W30" s="111">
        <f>Table112345[[#This Row],[M (KN.mm)]]/$G$31</f>
        <v>0.9084947839046198</v>
      </c>
      <c r="X30" s="111">
        <f>Table112345[[#This Row],[V/(2*sqrt(fc) bd)]]</f>
        <v>0.47981822979510469</v>
      </c>
      <c r="Y30" s="110">
        <f>Table112345[[#This Row],[a (mm)]]</f>
        <v>2029.3799999999999</v>
      </c>
      <c r="Z30" s="110">
        <f>Table112345[[#This Row],[width]]*Table112345[[#This Row],[h]]^2</f>
        <v>177096420</v>
      </c>
      <c r="AA30" s="110">
        <f>Table112345[[#This Row],[b (mm)]]</f>
        <v>305</v>
      </c>
      <c r="AB30" s="110">
        <f>Table112345[[#This Row],[a]]/Table112345[[#This Row],[h (mm)]]</f>
        <v>2.6632283464566928</v>
      </c>
      <c r="AC30" s="110">
        <f>Table112345[[#This Row],[h (mm)]]</f>
        <v>762</v>
      </c>
      <c r="AD30" s="111">
        <f>2.98*Table112345[[#This Row],[d (mm)]]</f>
        <v>2029.3799999999999</v>
      </c>
      <c r="AE30" s="160">
        <v>681</v>
      </c>
      <c r="AF30" s="160">
        <v>762</v>
      </c>
      <c r="AG30" s="160">
        <v>305</v>
      </c>
      <c r="AH30" s="160">
        <v>65</v>
      </c>
      <c r="AI30" s="160">
        <v>2581</v>
      </c>
      <c r="AJ30" s="160">
        <v>1.24</v>
      </c>
      <c r="AK30" s="160">
        <v>525</v>
      </c>
      <c r="AL30" s="111">
        <f>(1/3-0.21*(MIN(Table112345[[#This Row],[b (mm)]],AF30)/MAX(Table112345[[#This Row],[b (mm)]],AF30))*(MIN(Table112345[[#This Row],[b (mm)]],AF30)^4/(12*MAX(Table112345[[#This Row],[b (mm)]],AF30)^4)))*MAX(Table112345[[#This Row],[b (mm)]],AF30)*MIN(Table112345[[#This Row],[b (mm)]],AF30)^3</f>
        <v>7202759729.0792322</v>
      </c>
      <c r="AM30" s="111">
        <f>Table112345[[#This Row],[b (mm)]]*AF30^3/12</f>
        <v>11245622670</v>
      </c>
      <c r="AN30" s="160">
        <v>4064</v>
      </c>
      <c r="AO30"/>
      <c r="AP30" s="138"/>
      <c r="AQ30" s="138"/>
      <c r="AR30" s="1"/>
      <c r="AV30"/>
      <c r="AW30"/>
    </row>
    <row r="31" spans="1:49" x14ac:dyDescent="0.3">
      <c r="A31" s="154" t="s">
        <v>97</v>
      </c>
      <c r="B31" s="162" t="s">
        <v>93</v>
      </c>
      <c r="C31" s="111">
        <v>30</v>
      </c>
      <c r="D31" s="111">
        <f>Table112345[[#This Row],[a (mm)]]/Table112345[[#This Row],[d (mm)]]</f>
        <v>2.98</v>
      </c>
      <c r="E31" s="166">
        <v>146.88031496062993</v>
      </c>
      <c r="F31" s="137">
        <f>Table112345[[#This Row],[d (mm)]]</f>
        <v>681</v>
      </c>
      <c r="G31" s="111">
        <f>E31*AD31</f>
        <v>298075.97357480315</v>
      </c>
      <c r="H31" s="111">
        <f t="shared" si="9"/>
        <v>1.0064235297302105E-6</v>
      </c>
      <c r="I31" s="111">
        <f>G31/(Table112345[[#This Row],[b (mm)]]*Table112345[[#This Row],[h]]^2)</f>
        <v>1.6831281715056869E-3</v>
      </c>
      <c r="J31" s="111">
        <f t="shared" si="10"/>
        <v>0.3230223343352906</v>
      </c>
      <c r="K31" s="111">
        <f t="shared" si="11"/>
        <v>6.4943399653853439E-7</v>
      </c>
      <c r="L31" s="111">
        <f>E31/(Table112345[[#This Row],[b (mm)]]*AE31)</f>
        <v>7.0715830124758639E-4</v>
      </c>
      <c r="M31" s="111">
        <f>Table112345[[#This Row],[M (KN.mm)]]/(Table112345[[#This Row],[b (mm)]]*Table112345[[#This Row],[d (mm)]])</f>
        <v>1.4350929133858268</v>
      </c>
      <c r="N31" s="111">
        <f>Table112345[[#This Row],[M (KN.mm)]]/(Table112345[[#This Row],[b (mm)]]*Table112345[[#This Row],[h (mm)]])</f>
        <v>1.2825436666873333</v>
      </c>
      <c r="O31" s="111">
        <f>Table112345[[#This Row],[M (KN.mm)]]/(Table112345[[#This Row],[b (mm)]]*Table112345[[#This Row],[h (mm)]]*Table112345[[#This Row],[L(mm)]])</f>
        <v>3.1558653215731628E-4</v>
      </c>
      <c r="P31" s="111">
        <f>Table112345[[#This Row],[M (KN.mm)]]/(Table112345[[#This Row],[b (mm)]]*Table112345[[#This Row],[d (mm)]]*Table112345[[#This Row],[L(mm)]])</f>
        <v>3.5312325624651251E-4</v>
      </c>
      <c r="Q31" s="111">
        <f>Table112345[[#This Row],[M (KN.mm)]]/(Table112345[[#This Row],[b (mm)]]*Table112345[[#This Row],[h (mm)]]*Table112345[[#This Row],[L(mm)]]*Table112345[[#This Row],[fc (Mpa)]])</f>
        <v>4.8551774178048662E-6</v>
      </c>
      <c r="R31" s="111">
        <f>Table112345[[#This Row],[M (KN.mm)]]/(Table112345[[#This Row],[b (mm)]]*Table112345[[#This Row],[h (mm)]]*Table112345[[#This Row],[L(mm)]]/2)</f>
        <v>6.3117306431463257E-4</v>
      </c>
      <c r="S31" s="111">
        <f>Table112345[[#This Row],[M (KN.mm)]]/(Table112345[[#This Row],[a (mm)]]*Table112345[[#This Row],[b (mm)]]*Table112345[[#This Row],[h (mm)]]*Table112345[[#This Row],[L(mm)]]/2)</f>
        <v>3.110176824028189E-7</v>
      </c>
      <c r="T31" s="111">
        <f>Table112345[[#This Row],[M (KN.mm)]]/(Table112345[[#This Row],[a (mm)]]^2*Table112345[[#This Row],[b (mm)]]*Table112345[[#This Row],[h (mm)]])</f>
        <v>3.1141921702319328E-7</v>
      </c>
      <c r="U31" s="111">
        <f>Table112345[[#This Row],[M (KN.mm)]]/(Table112345[[#This Row],[b (mm)]]*Table112345[[#This Row],[d (mm)]]*Table112345[[#This Row],[pho (%)]])</f>
        <v>1.1573329946659894</v>
      </c>
      <c r="V31" s="111">
        <f>E31*224.8/(2*SQRT(Table112345[[#This Row],[fc (Mpa)]]*145.037)*Table112345[[#This Row],[b (mm)]]*Table112345[[#This Row],[d (mm)]]*(1/25.4)^2)</f>
        <v>0.5281463782685617</v>
      </c>
      <c r="W31" s="111">
        <f>Table112345[[#This Row],[M (KN.mm)]]/$G$31</f>
        <v>1</v>
      </c>
      <c r="X31" s="111">
        <f>Table112345[[#This Row],[V/(2*sqrt(fc) bd)]]</f>
        <v>0.5281463782685617</v>
      </c>
      <c r="Y31" s="110">
        <f>Table112345[[#This Row],[a (mm)]]</f>
        <v>2029.3799999999999</v>
      </c>
      <c r="Z31" s="110">
        <f>Table112345[[#This Row],[width]]*Table112345[[#This Row],[h]]^2</f>
        <v>177096420</v>
      </c>
      <c r="AA31" s="110">
        <f>Table112345[[#This Row],[b (mm)]]</f>
        <v>305</v>
      </c>
      <c r="AB31" s="110">
        <f>Table112345[[#This Row],[a]]/Table112345[[#This Row],[h (mm)]]</f>
        <v>2.6632283464566928</v>
      </c>
      <c r="AC31" s="110">
        <f>Table112345[[#This Row],[h (mm)]]</f>
        <v>762</v>
      </c>
      <c r="AD31" s="111">
        <f>2.98*Table112345[[#This Row],[d (mm)]]</f>
        <v>2029.3799999999999</v>
      </c>
      <c r="AE31" s="160">
        <v>681</v>
      </c>
      <c r="AF31" s="160">
        <v>762</v>
      </c>
      <c r="AG31" s="160">
        <v>305</v>
      </c>
      <c r="AH31" s="160">
        <v>65</v>
      </c>
      <c r="AI31" s="160">
        <v>2581</v>
      </c>
      <c r="AJ31" s="160">
        <v>1.24</v>
      </c>
      <c r="AK31" s="160">
        <v>525</v>
      </c>
      <c r="AL31" s="111">
        <f>(1/3-0.21*(MIN(Table112345[[#This Row],[b (mm)]],AF31)/MAX(Table112345[[#This Row],[b (mm)]],AF31))*(MIN(Table112345[[#This Row],[b (mm)]],AF31)^4/(12*MAX(Table112345[[#This Row],[b (mm)]],AF31)^4)))*MAX(Table112345[[#This Row],[b (mm)]],AF31)*MIN(Table112345[[#This Row],[b (mm)]],AF31)^3</f>
        <v>7202759729.0792322</v>
      </c>
      <c r="AM31" s="111">
        <f>Table112345[[#This Row],[b (mm)]]*AF31^3/12</f>
        <v>11245622670</v>
      </c>
      <c r="AN31" s="160">
        <v>4064</v>
      </c>
      <c r="AP31" s="1"/>
    </row>
    <row r="32" spans="1:49" x14ac:dyDescent="0.3">
      <c r="A32" s="154" t="s">
        <v>97</v>
      </c>
      <c r="B32" s="162" t="s">
        <v>94</v>
      </c>
      <c r="C32" s="111">
        <v>31</v>
      </c>
      <c r="D32" s="111">
        <f>Table112345[[#This Row],[a (mm)]]/Table112345[[#This Row],[d (mm)]]</f>
        <v>2.98</v>
      </c>
      <c r="E32" s="166">
        <v>146.88031496062993</v>
      </c>
      <c r="F32" s="137">
        <f>Table112345[[#This Row],[d (mm)]]</f>
        <v>681</v>
      </c>
      <c r="G32" s="111">
        <f t="shared" si="8"/>
        <v>298075.97357480315</v>
      </c>
      <c r="H32" s="111">
        <f t="shared" si="9"/>
        <v>1.0064235297302105E-6</v>
      </c>
      <c r="I32" s="111">
        <f>G32/(Table112345[[#This Row],[b (mm)]]*Table112345[[#This Row],[h]]^2)</f>
        <v>1.6831281715056869E-3</v>
      </c>
      <c r="J32" s="111">
        <f t="shared" si="10"/>
        <v>0.3230223343352906</v>
      </c>
      <c r="K32" s="111">
        <f t="shared" si="11"/>
        <v>6.4943399653853439E-7</v>
      </c>
      <c r="L32" s="111">
        <f>E32/(Table112345[[#This Row],[b (mm)]]*AE32)</f>
        <v>7.0715830124758639E-4</v>
      </c>
      <c r="M32" s="111">
        <f>Table112345[[#This Row],[M (KN.mm)]]/(Table112345[[#This Row],[b (mm)]]*Table112345[[#This Row],[d (mm)]])</f>
        <v>1.4350929133858268</v>
      </c>
      <c r="N32" s="111">
        <f>Table112345[[#This Row],[M (KN.mm)]]/(Table112345[[#This Row],[b (mm)]]*Table112345[[#This Row],[h (mm)]])</f>
        <v>1.2825436666873333</v>
      </c>
      <c r="O32" s="111">
        <f>Table112345[[#This Row],[M (KN.mm)]]/(Table112345[[#This Row],[b (mm)]]*Table112345[[#This Row],[h (mm)]]*Table112345[[#This Row],[L(mm)]])</f>
        <v>3.1558653215731628E-4</v>
      </c>
      <c r="P32" s="111">
        <f>Table112345[[#This Row],[M (KN.mm)]]/(Table112345[[#This Row],[b (mm)]]*Table112345[[#This Row],[d (mm)]]*Table112345[[#This Row],[L(mm)]])</f>
        <v>3.5312325624651251E-4</v>
      </c>
      <c r="Q32" s="111">
        <f>Table112345[[#This Row],[M (KN.mm)]]/(Table112345[[#This Row],[b (mm)]]*Table112345[[#This Row],[h (mm)]]*Table112345[[#This Row],[L(mm)]]*Table112345[[#This Row],[fc (Mpa)]])</f>
        <v>4.8551774178048662E-6</v>
      </c>
      <c r="R32" s="111">
        <f>Table112345[[#This Row],[M (KN.mm)]]/(Table112345[[#This Row],[b (mm)]]*Table112345[[#This Row],[h (mm)]]*Table112345[[#This Row],[L(mm)]]/2)</f>
        <v>6.3117306431463257E-4</v>
      </c>
      <c r="S32" s="111">
        <f>Table112345[[#This Row],[M (KN.mm)]]/(Table112345[[#This Row],[a (mm)]]*Table112345[[#This Row],[b (mm)]]*Table112345[[#This Row],[h (mm)]]*Table112345[[#This Row],[L(mm)]]/2)</f>
        <v>3.110176824028189E-7</v>
      </c>
      <c r="T32" s="111">
        <f>Table112345[[#This Row],[M (KN.mm)]]/(Table112345[[#This Row],[a (mm)]]^2*Table112345[[#This Row],[b (mm)]]*Table112345[[#This Row],[h (mm)]])</f>
        <v>3.1141921702319328E-7</v>
      </c>
      <c r="U32" s="111">
        <f>Table112345[[#This Row],[M (KN.mm)]]/(Table112345[[#This Row],[b (mm)]]*Table112345[[#This Row],[d (mm)]]*Table112345[[#This Row],[pho (%)]])</f>
        <v>1.1573329946659894</v>
      </c>
      <c r="V32" s="111">
        <f>E32*224.8/(2*SQRT(Table112345[[#This Row],[fc (Mpa)]]*145.037)*Table112345[[#This Row],[b (mm)]]*Table112345[[#This Row],[d (mm)]]*(1/25.4)^2)</f>
        <v>0.5281463782685617</v>
      </c>
      <c r="W32" s="111">
        <f>Table112345[[#This Row],[M (KN.mm)]]/$G$31</f>
        <v>1</v>
      </c>
      <c r="X32" s="111">
        <f>Table112345[[#This Row],[V/(2*sqrt(fc) bd)]]</f>
        <v>0.5281463782685617</v>
      </c>
      <c r="Y32" s="110">
        <f>Table112345[[#This Row],[a (mm)]]</f>
        <v>2029.3799999999999</v>
      </c>
      <c r="Z32" s="110">
        <f>Table112345[[#This Row],[width]]*Table112345[[#This Row],[h]]^2</f>
        <v>177096420</v>
      </c>
      <c r="AA32" s="110">
        <f>Table112345[[#This Row],[b (mm)]]</f>
        <v>305</v>
      </c>
      <c r="AB32" s="110">
        <f>Table112345[[#This Row],[a]]/Table112345[[#This Row],[h (mm)]]</f>
        <v>2.6632283464566928</v>
      </c>
      <c r="AC32" s="110">
        <f>Table112345[[#This Row],[h (mm)]]</f>
        <v>762</v>
      </c>
      <c r="AD32" s="111">
        <f>2.98*Table112345[[#This Row],[d (mm)]]</f>
        <v>2029.3799999999999</v>
      </c>
      <c r="AE32" s="160">
        <v>681</v>
      </c>
      <c r="AF32" s="160">
        <v>762</v>
      </c>
      <c r="AG32" s="160">
        <v>305</v>
      </c>
      <c r="AH32" s="160">
        <v>65</v>
      </c>
      <c r="AI32" s="160">
        <v>2581</v>
      </c>
      <c r="AJ32" s="160">
        <v>1.24</v>
      </c>
      <c r="AK32" s="160">
        <v>525</v>
      </c>
      <c r="AL32" s="111">
        <f>(1/3-0.21*(MIN(Table112345[[#This Row],[b (mm)]],AF32)/MAX(Table112345[[#This Row],[b (mm)]],AF32))*(MIN(Table112345[[#This Row],[b (mm)]],AF32)^4/(12*MAX(Table112345[[#This Row],[b (mm)]],AF32)^4)))*MAX(Table112345[[#This Row],[b (mm)]],AF32)*MIN(Table112345[[#This Row],[b (mm)]],AF32)^3</f>
        <v>7202759729.0792322</v>
      </c>
      <c r="AM32" s="111">
        <f>Table112345[[#This Row],[b (mm)]]*AF32^3/12</f>
        <v>11245622670</v>
      </c>
      <c r="AN32" s="160">
        <v>4064</v>
      </c>
      <c r="AP32" s="1"/>
    </row>
    <row r="33" spans="1:47" x14ac:dyDescent="0.3">
      <c r="A33" s="155" t="s">
        <v>98</v>
      </c>
      <c r="B33" s="163">
        <v>1</v>
      </c>
      <c r="C33" s="111">
        <v>32</v>
      </c>
      <c r="D33" s="111">
        <f>Table112345[[#This Row],[a (mm)]]/Table112345[[#This Row],[d (mm)]]</f>
        <v>3</v>
      </c>
      <c r="E33" s="160">
        <v>56.044800000000002</v>
      </c>
      <c r="F33" s="137">
        <f>Table112345[[#This Row],[d (mm)]]</f>
        <v>822</v>
      </c>
      <c r="G33" s="111">
        <f t="shared" ref="G33:G53" si="12">E33*AD33</f>
        <v>138206.4768</v>
      </c>
      <c r="H33" s="111">
        <f t="shared" ref="H33:H53" si="13">G33/($AQ$5*AM33*0.001)</f>
        <v>2.6951748559986098E-7</v>
      </c>
      <c r="I33" s="111">
        <f>G33/(Table112345[[#This Row],[b (mm)]]*Table112345[[#This Row],[h]]^2)</f>
        <v>5.406479716699344E-4</v>
      </c>
      <c r="J33" s="111">
        <f t="shared" ref="J33:J53" si="14">G33/(AI33*AK33*AE33*0.001)</f>
        <v>9.772841013121758E-2</v>
      </c>
      <c r="K33" s="111">
        <f t="shared" ref="K33:K53" si="15">E33/($AQ$4*AL33*0.001)</f>
        <v>2.0450897215964618E-7</v>
      </c>
      <c r="L33" s="111">
        <f>E33/(Table112345[[#This Row],[b (mm)]]*AE33)</f>
        <v>2.2281379705166738E-4</v>
      </c>
      <c r="M33" s="111">
        <f>Table112345[[#This Row],[M (KN.mm)]]/(Table112345[[#This Row],[b (mm)]]*Table112345[[#This Row],[d (mm)]])</f>
        <v>0.54945882352941178</v>
      </c>
      <c r="N33" s="111">
        <f>Table112345[[#This Row],[M (KN.mm)]]/(Table112345[[#This Row],[b (mm)]]*Table112345[[#This Row],[h (mm)]])</f>
        <v>0.49415224610632003</v>
      </c>
      <c r="O33" s="111">
        <f>Table112345[[#This Row],[M (KN.mm)]]/(Table112345[[#This Row],[b (mm)]]*Table112345[[#This Row],[h (mm)]]*Table112345[[#This Row],[L(mm)]])</f>
        <v>1.002744005897565E-4</v>
      </c>
      <c r="P33" s="111">
        <f>Table112345[[#This Row],[M (KN.mm)]]/(Table112345[[#This Row],[b (mm)]]*Table112345[[#This Row],[d (mm)]]*Table112345[[#This Row],[L(mm)]])</f>
        <v>1.1149732620320856E-4</v>
      </c>
      <c r="Q33" s="111">
        <f>Table112345[[#This Row],[M (KN.mm)]]/(Table112345[[#This Row],[b (mm)]]*Table112345[[#This Row],[h (mm)]]*Table112345[[#This Row],[L(mm)]]*Table112345[[#This Row],[fc (Mpa)]])</f>
        <v>1.3405668528042313E-6</v>
      </c>
      <c r="R33" s="111">
        <f>Table112345[[#This Row],[M (KN.mm)]]/(Table112345[[#This Row],[b (mm)]]*Table112345[[#This Row],[h (mm)]]*Table112345[[#This Row],[L(mm)]]/2)</f>
        <v>2.00548801179513E-4</v>
      </c>
      <c r="S33" s="111">
        <f>Table112345[[#This Row],[M (KN.mm)]]/(Table112345[[#This Row],[a (mm)]]*Table112345[[#This Row],[b (mm)]]*Table112345[[#This Row],[h (mm)]]*Table112345[[#This Row],[L(mm)]]/2)</f>
        <v>8.132554792356569E-8</v>
      </c>
      <c r="T33" s="111">
        <f>Table112345[[#This Row],[M (KN.mm)]]/(Table112345[[#This Row],[a (mm)]]^2*Table112345[[#This Row],[b (mm)]]*Table112345[[#This Row],[h (mm)]])</f>
        <v>8.1259590463773669E-8</v>
      </c>
      <c r="U33" s="111">
        <f>Table112345[[#This Row],[M (KN.mm)]]/(Table112345[[#This Row],[b (mm)]]*Table112345[[#This Row],[d (mm)]]*Table112345[[#This Row],[pho (%)]])</f>
        <v>0.42266063348416288</v>
      </c>
      <c r="V33" s="111">
        <f>E33*224.8/(2*SQRT(Table112345[[#This Row],[fc (Mpa)]]*145.037)*Table112345[[#This Row],[b (mm)]]*Table112345[[#This Row],[d (mm)]]*(1/25.4)^2)</f>
        <v>0.15512636684825601</v>
      </c>
      <c r="W33" s="111">
        <f>Table112345[[#This Row],[M (KN.mm)]]/$G$41</f>
        <v>0.34862745098039211</v>
      </c>
      <c r="X33" s="111">
        <f>Table112345[[#This Row],[V/(2*sqrt(fc) bd)]]</f>
        <v>0.15512636684825601</v>
      </c>
      <c r="Y33" s="110">
        <f>Table112345[[#This Row],[a (mm)]]</f>
        <v>2466</v>
      </c>
      <c r="Z33" s="110">
        <f>Table112345[[#This Row],[width]]*Table112345[[#This Row],[h]]^2</f>
        <v>255631176</v>
      </c>
      <c r="AA33" s="110">
        <f>Table112345[[#This Row],[b (mm)]]</f>
        <v>306</v>
      </c>
      <c r="AB33" s="110">
        <f>Table112345[[#This Row],[a]]/Table112345[[#This Row],[h (mm)]]</f>
        <v>2.6980306345733043</v>
      </c>
      <c r="AC33" s="110">
        <f>Table112345[[#This Row],[h (mm)]]</f>
        <v>914</v>
      </c>
      <c r="AD33" s="111">
        <f>3*Table112345[[#This Row],[d (mm)]]</f>
        <v>2466</v>
      </c>
      <c r="AE33" s="160">
        <v>822</v>
      </c>
      <c r="AF33" s="160">
        <v>914</v>
      </c>
      <c r="AG33" s="160">
        <v>306</v>
      </c>
      <c r="AH33" s="160">
        <v>74.8</v>
      </c>
      <c r="AI33" s="160">
        <v>3277</v>
      </c>
      <c r="AJ33" s="160">
        <v>1.3</v>
      </c>
      <c r="AK33" s="160">
        <v>525</v>
      </c>
      <c r="AL33" s="111">
        <f>(1/3-0.21*(MIN(Table112345[[#This Row],[b (mm)]],AF33)/MAX(Table112345[[#This Row],[b (mm)]],AF33))*(MIN(Table112345[[#This Row],[b (mm)]],AF33)^4/(12*MAX(Table112345[[#This Row],[b (mm)]],AF33)^4)))*MAX(Table112345[[#This Row],[b (mm)]],AF33)*MIN(Table112345[[#This Row],[b (mm)]],AF33)^3</f>
        <v>8727569373.5573311</v>
      </c>
      <c r="AM33" s="111">
        <f>Table112345[[#This Row],[b (mm)]]*AF33^3/12</f>
        <v>19470574572</v>
      </c>
      <c r="AN33" s="160">
        <v>4928</v>
      </c>
      <c r="AP33" s="1"/>
    </row>
    <row r="34" spans="1:47" x14ac:dyDescent="0.3">
      <c r="A34" s="155" t="s">
        <v>98</v>
      </c>
      <c r="B34" s="163">
        <v>2</v>
      </c>
      <c r="C34" s="111">
        <v>33</v>
      </c>
      <c r="D34" s="111">
        <f>Table112345[[#This Row],[a (mm)]]/Table112345[[#This Row],[d (mm)]]</f>
        <v>3</v>
      </c>
      <c r="E34" s="160">
        <v>66.72</v>
      </c>
      <c r="F34" s="137">
        <f>Table112345[[#This Row],[d (mm)]]</f>
        <v>822</v>
      </c>
      <c r="G34" s="111">
        <f t="shared" si="12"/>
        <v>164531.51999999999</v>
      </c>
      <c r="H34" s="111">
        <f t="shared" si="13"/>
        <v>3.2085414952364401E-7</v>
      </c>
      <c r="I34" s="111">
        <f>G34/(Table112345[[#This Row],[b (mm)]]*Table112345[[#This Row],[h]]^2)</f>
        <v>6.4362853770230275E-4</v>
      </c>
      <c r="J34" s="111">
        <f t="shared" si="14"/>
        <v>0.11634334539430663</v>
      </c>
      <c r="K34" s="111">
        <f t="shared" si="15"/>
        <v>2.4346306209481684E-7</v>
      </c>
      <c r="L34" s="111">
        <f>E34/(Table112345[[#This Row],[b (mm)]]*AE34)</f>
        <v>2.65254520299604E-4</v>
      </c>
      <c r="M34" s="111">
        <f>Table112345[[#This Row],[M (KN.mm)]]/(Table112345[[#This Row],[b (mm)]]*Table112345[[#This Row],[d (mm)]])</f>
        <v>0.65411764705882347</v>
      </c>
      <c r="N34" s="111">
        <f>Table112345[[#This Row],[M (KN.mm)]]/(Table112345[[#This Row],[b (mm)]]*Table112345[[#This Row],[h (mm)]])</f>
        <v>0.58827648345990469</v>
      </c>
      <c r="O34" s="111">
        <f>Table112345[[#This Row],[M (KN.mm)]]/(Table112345[[#This Row],[b (mm)]]*Table112345[[#This Row],[h (mm)]]*Table112345[[#This Row],[L(mm)]])</f>
        <v>1.1937428641637677E-4</v>
      </c>
      <c r="P34" s="111">
        <f>Table112345[[#This Row],[M (KN.mm)]]/(Table112345[[#This Row],[b (mm)]]*Table112345[[#This Row],[d (mm)]]*Table112345[[#This Row],[L(mm)]])</f>
        <v>1.3273491214667684E-4</v>
      </c>
      <c r="Q34" s="111">
        <f>Table112345[[#This Row],[M (KN.mm)]]/(Table112345[[#This Row],[b (mm)]]*Table112345[[#This Row],[h (mm)]]*Table112345[[#This Row],[L(mm)]]*Table112345[[#This Row],[fc (Mpa)]])</f>
        <v>1.5959129200050372E-6</v>
      </c>
      <c r="R34" s="111">
        <f>Table112345[[#This Row],[M (KN.mm)]]/(Table112345[[#This Row],[b (mm)]]*Table112345[[#This Row],[h (mm)]]*Table112345[[#This Row],[L(mm)]]/2)</f>
        <v>2.3874857283275353E-4</v>
      </c>
      <c r="S34" s="111">
        <f>Table112345[[#This Row],[M (KN.mm)]]/(Table112345[[#This Row],[a (mm)]]*Table112345[[#This Row],[b (mm)]]*Table112345[[#This Row],[h (mm)]]*Table112345[[#This Row],[L(mm)]]/2)</f>
        <v>9.681612848043534E-8</v>
      </c>
      <c r="T34" s="111">
        <f>Table112345[[#This Row],[M (KN.mm)]]/(Table112345[[#This Row],[a (mm)]]^2*Table112345[[#This Row],[b (mm)]]*Table112345[[#This Row],[h (mm)]])</f>
        <v>9.6737607694968636E-8</v>
      </c>
      <c r="U34" s="111">
        <f>Table112345[[#This Row],[M (KN.mm)]]/(Table112345[[#This Row],[b (mm)]]*Table112345[[#This Row],[d (mm)]]*Table112345[[#This Row],[pho (%)]])</f>
        <v>0.50316742081447952</v>
      </c>
      <c r="V34" s="111">
        <f>E34*224.8/(2*SQRT(Table112345[[#This Row],[fc (Mpa)]]*145.037)*Table112345[[#This Row],[b (mm)]]*Table112345[[#This Row],[d (mm)]]*(1/25.4)^2)</f>
        <v>0.18467424624792381</v>
      </c>
      <c r="W34" s="111">
        <f>Table112345[[#This Row],[M (KN.mm)]]/$G$41</f>
        <v>0.415032679738562</v>
      </c>
      <c r="X34" s="111">
        <f>Table112345[[#This Row],[V/(2*sqrt(fc) bd)]]</f>
        <v>0.18467424624792381</v>
      </c>
      <c r="Y34" s="110">
        <f>Table112345[[#This Row],[a (mm)]]</f>
        <v>2466</v>
      </c>
      <c r="Z34" s="110">
        <f>Table112345[[#This Row],[width]]*Table112345[[#This Row],[h]]^2</f>
        <v>255631176</v>
      </c>
      <c r="AA34" s="110">
        <f>Table112345[[#This Row],[b (mm)]]</f>
        <v>306</v>
      </c>
      <c r="AB34" s="110">
        <f>Table112345[[#This Row],[a]]/Table112345[[#This Row],[h (mm)]]</f>
        <v>2.6980306345733043</v>
      </c>
      <c r="AC34" s="110">
        <f>Table112345[[#This Row],[h (mm)]]</f>
        <v>914</v>
      </c>
      <c r="AD34" s="111">
        <f>3*Table112345[[#This Row],[d (mm)]]</f>
        <v>2466</v>
      </c>
      <c r="AE34" s="160">
        <v>822</v>
      </c>
      <c r="AF34" s="160">
        <v>914</v>
      </c>
      <c r="AG34" s="160">
        <v>306</v>
      </c>
      <c r="AH34" s="160">
        <v>74.8</v>
      </c>
      <c r="AI34" s="160">
        <v>3277</v>
      </c>
      <c r="AJ34" s="160">
        <v>1.3</v>
      </c>
      <c r="AK34" s="160">
        <v>525</v>
      </c>
      <c r="AL34" s="111">
        <f>(1/3-0.21*(MIN(Table112345[[#This Row],[b (mm)]],AF34)/MAX(Table112345[[#This Row],[b (mm)]],AF34))*(MIN(Table112345[[#This Row],[b (mm)]],AF34)^4/(12*MAX(Table112345[[#This Row],[b (mm)]],AF34)^4)))*MAX(Table112345[[#This Row],[b (mm)]],AF34)*MIN(Table112345[[#This Row],[b (mm)]],AF34)^3</f>
        <v>8727569373.5573311</v>
      </c>
      <c r="AM34" s="111">
        <f>Table112345[[#This Row],[b (mm)]]*AF34^3/12</f>
        <v>19470574572</v>
      </c>
      <c r="AN34" s="160">
        <v>4928</v>
      </c>
      <c r="AP34" s="1"/>
    </row>
    <row r="35" spans="1:47" x14ac:dyDescent="0.3">
      <c r="A35" s="155" t="s">
        <v>98</v>
      </c>
      <c r="B35" s="163">
        <v>3</v>
      </c>
      <c r="C35" s="111">
        <v>34</v>
      </c>
      <c r="D35" s="111">
        <f>Table112345[[#This Row],[a (mm)]]/Table112345[[#This Row],[d (mm)]]</f>
        <v>3</v>
      </c>
      <c r="E35" s="160">
        <v>77.84</v>
      </c>
      <c r="F35" s="137">
        <f>Table112345[[#This Row],[d (mm)]]</f>
        <v>822</v>
      </c>
      <c r="G35" s="111">
        <f t="shared" si="12"/>
        <v>191953.44</v>
      </c>
      <c r="H35" s="111">
        <f t="shared" si="13"/>
        <v>3.7432984111091806E-7</v>
      </c>
      <c r="I35" s="111">
        <f>G35/(Table112345[[#This Row],[b (mm)]]*Table112345[[#This Row],[h]]^2)</f>
        <v>7.508999606526866E-4</v>
      </c>
      <c r="J35" s="111">
        <f t="shared" si="14"/>
        <v>0.13573390296002441</v>
      </c>
      <c r="K35" s="111">
        <f t="shared" si="15"/>
        <v>2.8404023911061966E-7</v>
      </c>
      <c r="L35" s="111">
        <f>E35/(Table112345[[#This Row],[b (mm)]]*AE35)</f>
        <v>3.0946360701620472E-4</v>
      </c>
      <c r="M35" s="111">
        <f>Table112345[[#This Row],[M (KN.mm)]]/(Table112345[[#This Row],[b (mm)]]*Table112345[[#This Row],[d (mm)]])</f>
        <v>0.76313725490196083</v>
      </c>
      <c r="N35" s="111">
        <f>Table112345[[#This Row],[M (KN.mm)]]/(Table112345[[#This Row],[b (mm)]]*Table112345[[#This Row],[h (mm)]])</f>
        <v>0.68632256403655556</v>
      </c>
      <c r="O35" s="111">
        <f>Table112345[[#This Row],[M (KN.mm)]]/(Table112345[[#This Row],[b (mm)]]*Table112345[[#This Row],[h (mm)]]*Table112345[[#This Row],[L(mm)]])</f>
        <v>1.3927000081910624E-4</v>
      </c>
      <c r="P35" s="111">
        <f>Table112345[[#This Row],[M (KN.mm)]]/(Table112345[[#This Row],[b (mm)]]*Table112345[[#This Row],[d (mm)]]*Table112345[[#This Row],[L(mm)]])</f>
        <v>1.5485739750445632E-4</v>
      </c>
      <c r="Q35" s="111">
        <f>Table112345[[#This Row],[M (KN.mm)]]/(Table112345[[#This Row],[b (mm)]]*Table112345[[#This Row],[h (mm)]]*Table112345[[#This Row],[L(mm)]]*Table112345[[#This Row],[fc (Mpa)]])</f>
        <v>1.8618984066725436E-6</v>
      </c>
      <c r="R35" s="111">
        <f>Table112345[[#This Row],[M (KN.mm)]]/(Table112345[[#This Row],[b (mm)]]*Table112345[[#This Row],[h (mm)]]*Table112345[[#This Row],[L(mm)]]/2)</f>
        <v>2.7854000163821249E-4</v>
      </c>
      <c r="S35" s="111">
        <f>Table112345[[#This Row],[M (KN.mm)]]/(Table112345[[#This Row],[a (mm)]]*Table112345[[#This Row],[b (mm)]]*Table112345[[#This Row],[h (mm)]]*Table112345[[#This Row],[L(mm)]]/2)</f>
        <v>1.1295214989384123E-7</v>
      </c>
      <c r="T35" s="111">
        <f>Table112345[[#This Row],[M (KN.mm)]]/(Table112345[[#This Row],[a (mm)]]^2*Table112345[[#This Row],[b (mm)]]*Table112345[[#This Row],[h (mm)]])</f>
        <v>1.1286054231079676E-7</v>
      </c>
      <c r="U35" s="111">
        <f>Table112345[[#This Row],[M (KN.mm)]]/(Table112345[[#This Row],[b (mm)]]*Table112345[[#This Row],[d (mm)]]*Table112345[[#This Row],[pho (%)]])</f>
        <v>0.58702865761689282</v>
      </c>
      <c r="V35" s="111">
        <f>E35*224.8/(2*SQRT(Table112345[[#This Row],[fc (Mpa)]]*145.037)*Table112345[[#This Row],[b (mm)]]*Table112345[[#This Row],[d (mm)]]*(1/25.4)^2)</f>
        <v>0.21545328728924446</v>
      </c>
      <c r="W35" s="111">
        <f>Table112345[[#This Row],[M (KN.mm)]]/$G$41</f>
        <v>0.48420479302832237</v>
      </c>
      <c r="X35" s="111">
        <f>Table112345[[#This Row],[V/(2*sqrt(fc) bd)]]</f>
        <v>0.21545328728924446</v>
      </c>
      <c r="Y35" s="110">
        <f>Table112345[[#This Row],[a (mm)]]</f>
        <v>2466</v>
      </c>
      <c r="Z35" s="110">
        <f>Table112345[[#This Row],[width]]*Table112345[[#This Row],[h]]^2</f>
        <v>255631176</v>
      </c>
      <c r="AA35" s="110">
        <f>Table112345[[#This Row],[b (mm)]]</f>
        <v>306</v>
      </c>
      <c r="AB35" s="110">
        <f>Table112345[[#This Row],[a]]/Table112345[[#This Row],[h (mm)]]</f>
        <v>2.6980306345733043</v>
      </c>
      <c r="AC35" s="110">
        <f>Table112345[[#This Row],[h (mm)]]</f>
        <v>914</v>
      </c>
      <c r="AD35" s="111">
        <f>3*Table112345[[#This Row],[d (mm)]]</f>
        <v>2466</v>
      </c>
      <c r="AE35" s="160">
        <v>822</v>
      </c>
      <c r="AF35" s="160">
        <v>914</v>
      </c>
      <c r="AG35" s="160">
        <v>306</v>
      </c>
      <c r="AH35" s="160">
        <v>74.8</v>
      </c>
      <c r="AI35" s="160">
        <v>3277</v>
      </c>
      <c r="AJ35" s="160">
        <v>1.3</v>
      </c>
      <c r="AK35" s="160">
        <v>525</v>
      </c>
      <c r="AL35" s="111">
        <f>(1/3-0.21*(MIN(Table112345[[#This Row],[b (mm)]],AF35)/MAX(Table112345[[#This Row],[b (mm)]],AF35))*(MIN(Table112345[[#This Row],[b (mm)]],AF35)^4/(12*MAX(Table112345[[#This Row],[b (mm)]],AF35)^4)))*MAX(Table112345[[#This Row],[b (mm)]],AF35)*MIN(Table112345[[#This Row],[b (mm)]],AF35)^3</f>
        <v>8727569373.5573311</v>
      </c>
      <c r="AM35" s="111">
        <f>Table112345[[#This Row],[b (mm)]]*AF35^3/12</f>
        <v>19470574572</v>
      </c>
      <c r="AN35" s="160">
        <v>4928</v>
      </c>
      <c r="AP35" s="1"/>
    </row>
    <row r="36" spans="1:47" x14ac:dyDescent="0.3">
      <c r="A36" s="155" t="s">
        <v>98</v>
      </c>
      <c r="B36" s="163">
        <v>4</v>
      </c>
      <c r="C36" s="111">
        <v>35</v>
      </c>
      <c r="D36" s="111">
        <f>Table112345[[#This Row],[a (mm)]]/Table112345[[#This Row],[d (mm)]]</f>
        <v>3</v>
      </c>
      <c r="E36" s="160">
        <v>88.960000000000008</v>
      </c>
      <c r="F36" s="137">
        <f>Table112345[[#This Row],[d (mm)]]</f>
        <v>822</v>
      </c>
      <c r="G36" s="111">
        <f t="shared" si="12"/>
        <v>219375.36000000002</v>
      </c>
      <c r="H36" s="111">
        <f t="shared" si="13"/>
        <v>4.2780553269819212E-7</v>
      </c>
      <c r="I36" s="111">
        <f>G36/(Table112345[[#This Row],[b (mm)]]*Table112345[[#This Row],[h]]^2)</f>
        <v>8.5817138360307044E-4</v>
      </c>
      <c r="J36" s="111">
        <f t="shared" si="14"/>
        <v>0.15512446052574219</v>
      </c>
      <c r="K36" s="111">
        <f t="shared" si="15"/>
        <v>3.2461741612642253E-7</v>
      </c>
      <c r="L36" s="111">
        <f>E36/(Table112345[[#This Row],[b (mm)]]*AE36)</f>
        <v>3.5367269373280538E-4</v>
      </c>
      <c r="M36" s="111">
        <f>Table112345[[#This Row],[M (KN.mm)]]/(Table112345[[#This Row],[b (mm)]]*Table112345[[#This Row],[d (mm)]])</f>
        <v>0.87215686274509807</v>
      </c>
      <c r="N36" s="111">
        <f>Table112345[[#This Row],[M (KN.mm)]]/(Table112345[[#This Row],[b (mm)]]*Table112345[[#This Row],[h (mm)]])</f>
        <v>0.78436864461320643</v>
      </c>
      <c r="O36" s="111">
        <f>Table112345[[#This Row],[M (KN.mm)]]/(Table112345[[#This Row],[b (mm)]]*Table112345[[#This Row],[h (mm)]]*Table112345[[#This Row],[L(mm)]])</f>
        <v>1.5916571522183571E-4</v>
      </c>
      <c r="P36" s="111">
        <f>Table112345[[#This Row],[M (KN.mm)]]/(Table112345[[#This Row],[b (mm)]]*Table112345[[#This Row],[d (mm)]]*Table112345[[#This Row],[L(mm)]])</f>
        <v>1.7697988286223581E-4</v>
      </c>
      <c r="Q36" s="111">
        <f>Table112345[[#This Row],[M (KN.mm)]]/(Table112345[[#This Row],[b (mm)]]*Table112345[[#This Row],[h (mm)]]*Table112345[[#This Row],[L(mm)]]*Table112345[[#This Row],[fc (Mpa)]])</f>
        <v>2.1278838933400497E-6</v>
      </c>
      <c r="R36" s="111">
        <f>Table112345[[#This Row],[M (KN.mm)]]/(Table112345[[#This Row],[b (mm)]]*Table112345[[#This Row],[h (mm)]]*Table112345[[#This Row],[L(mm)]]/2)</f>
        <v>3.1833143044367141E-4</v>
      </c>
      <c r="S36" s="111">
        <f>Table112345[[#This Row],[M (KN.mm)]]/(Table112345[[#This Row],[a (mm)]]*Table112345[[#This Row],[b (mm)]]*Table112345[[#This Row],[h (mm)]]*Table112345[[#This Row],[L(mm)]]/2)</f>
        <v>1.2908817130724713E-7</v>
      </c>
      <c r="T36" s="111">
        <f>Table112345[[#This Row],[M (KN.mm)]]/(Table112345[[#This Row],[a (mm)]]^2*Table112345[[#This Row],[b (mm)]]*Table112345[[#This Row],[h (mm)]])</f>
        <v>1.2898347692662487E-7</v>
      </c>
      <c r="U36" s="111">
        <f>Table112345[[#This Row],[M (KN.mm)]]/(Table112345[[#This Row],[b (mm)]]*Table112345[[#This Row],[d (mm)]]*Table112345[[#This Row],[pho (%)]])</f>
        <v>0.67088989441930613</v>
      </c>
      <c r="V36" s="111">
        <f>E36*224.8/(2*SQRT(Table112345[[#This Row],[fc (Mpa)]]*145.037)*Table112345[[#This Row],[b (mm)]]*Table112345[[#This Row],[d (mm)]]*(1/25.4)^2)</f>
        <v>0.2462323283305651</v>
      </c>
      <c r="W36" s="111">
        <f>Table112345[[#This Row],[M (KN.mm)]]/$G$41</f>
        <v>0.55337690631808278</v>
      </c>
      <c r="X36" s="111">
        <f>Table112345[[#This Row],[V/(2*sqrt(fc) bd)]]</f>
        <v>0.2462323283305651</v>
      </c>
      <c r="Y36" s="110">
        <f>Table112345[[#This Row],[a (mm)]]</f>
        <v>2466</v>
      </c>
      <c r="Z36" s="110">
        <f>Table112345[[#This Row],[width]]*Table112345[[#This Row],[h]]^2</f>
        <v>255631176</v>
      </c>
      <c r="AA36" s="110">
        <f>Table112345[[#This Row],[b (mm)]]</f>
        <v>306</v>
      </c>
      <c r="AB36" s="110">
        <f>Table112345[[#This Row],[a]]/Table112345[[#This Row],[h (mm)]]</f>
        <v>2.6980306345733043</v>
      </c>
      <c r="AC36" s="110">
        <f>Table112345[[#This Row],[h (mm)]]</f>
        <v>914</v>
      </c>
      <c r="AD36" s="111">
        <f>3*Table112345[[#This Row],[d (mm)]]</f>
        <v>2466</v>
      </c>
      <c r="AE36" s="160">
        <v>822</v>
      </c>
      <c r="AF36" s="160">
        <v>914</v>
      </c>
      <c r="AG36" s="160">
        <v>306</v>
      </c>
      <c r="AH36" s="160">
        <v>74.8</v>
      </c>
      <c r="AI36" s="160">
        <v>3277</v>
      </c>
      <c r="AJ36" s="160">
        <v>1.3</v>
      </c>
      <c r="AK36" s="160">
        <v>525</v>
      </c>
      <c r="AL36" s="111">
        <f>(1/3-0.21*(MIN(Table112345[[#This Row],[b (mm)]],AF36)/MAX(Table112345[[#This Row],[b (mm)]],AF36))*(MIN(Table112345[[#This Row],[b (mm)]],AF36)^4/(12*MAX(Table112345[[#This Row],[b (mm)]],AF36)^4)))*MAX(Table112345[[#This Row],[b (mm)]],AF36)*MIN(Table112345[[#This Row],[b (mm)]],AF36)^3</f>
        <v>8727569373.5573311</v>
      </c>
      <c r="AM36" s="111">
        <f>Table112345[[#This Row],[b (mm)]]*AF36^3/12</f>
        <v>19470574572</v>
      </c>
      <c r="AN36" s="160">
        <v>4928</v>
      </c>
      <c r="AP36" s="1"/>
    </row>
    <row r="37" spans="1:47" x14ac:dyDescent="0.3">
      <c r="A37" s="155" t="s">
        <v>98</v>
      </c>
      <c r="B37" s="163">
        <v>5</v>
      </c>
      <c r="C37" s="111">
        <v>36</v>
      </c>
      <c r="D37" s="111">
        <f>Table112345[[#This Row],[a (mm)]]/Table112345[[#This Row],[d (mm)]]</f>
        <v>3</v>
      </c>
      <c r="E37" s="160">
        <v>100.08000000000001</v>
      </c>
      <c r="F37" s="137">
        <f>Table112345[[#This Row],[d (mm)]]</f>
        <v>822</v>
      </c>
      <c r="G37" s="111">
        <f t="shared" si="12"/>
        <v>246797.28000000003</v>
      </c>
      <c r="H37" s="111">
        <f t="shared" si="13"/>
        <v>4.8128122428546612E-7</v>
      </c>
      <c r="I37" s="111">
        <f>G37/(Table112345[[#This Row],[b (mm)]]*Table112345[[#This Row],[h]]^2)</f>
        <v>9.6544280655345429E-4</v>
      </c>
      <c r="J37" s="111">
        <f t="shared" si="14"/>
        <v>0.17451501809145997</v>
      </c>
      <c r="K37" s="111">
        <f t="shared" si="15"/>
        <v>3.6519459314222534E-7</v>
      </c>
      <c r="L37" s="111">
        <f>E37/(Table112345[[#This Row],[b (mm)]]*AE37)</f>
        <v>3.978817804494061E-4</v>
      </c>
      <c r="M37" s="111">
        <f>Table112345[[#This Row],[M (KN.mm)]]/(Table112345[[#This Row],[b (mm)]]*Table112345[[#This Row],[d (mm)]])</f>
        <v>0.98117647058823543</v>
      </c>
      <c r="N37" s="111">
        <f>Table112345[[#This Row],[M (KN.mm)]]/(Table112345[[#This Row],[b (mm)]]*Table112345[[#This Row],[h (mm)]])</f>
        <v>0.8824147251898572</v>
      </c>
      <c r="O37" s="111">
        <f>Table112345[[#This Row],[M (KN.mm)]]/(Table112345[[#This Row],[b (mm)]]*Table112345[[#This Row],[h (mm)]]*Table112345[[#This Row],[L(mm)]])</f>
        <v>1.7906142962456517E-4</v>
      </c>
      <c r="P37" s="111">
        <f>Table112345[[#This Row],[M (KN.mm)]]/(Table112345[[#This Row],[b (mm)]]*Table112345[[#This Row],[d (mm)]]*Table112345[[#This Row],[L(mm)]])</f>
        <v>1.9910236822001529E-4</v>
      </c>
      <c r="Q37" s="111">
        <f>Table112345[[#This Row],[M (KN.mm)]]/(Table112345[[#This Row],[b (mm)]]*Table112345[[#This Row],[h (mm)]]*Table112345[[#This Row],[L(mm)]]*Table112345[[#This Row],[fc (Mpa)]])</f>
        <v>2.3938693800075563E-6</v>
      </c>
      <c r="R37" s="111">
        <f>Table112345[[#This Row],[M (KN.mm)]]/(Table112345[[#This Row],[b (mm)]]*Table112345[[#This Row],[h (mm)]]*Table112345[[#This Row],[L(mm)]]/2)</f>
        <v>3.5812285924913034E-4</v>
      </c>
      <c r="S37" s="111">
        <f>Table112345[[#This Row],[M (KN.mm)]]/(Table112345[[#This Row],[a (mm)]]*Table112345[[#This Row],[b (mm)]]*Table112345[[#This Row],[h (mm)]]*Table112345[[#This Row],[L(mm)]]/2)</f>
        <v>1.4522419272065302E-7</v>
      </c>
      <c r="T37" s="111">
        <f>Table112345[[#This Row],[M (KN.mm)]]/(Table112345[[#This Row],[a (mm)]]^2*Table112345[[#This Row],[b (mm)]]*Table112345[[#This Row],[h (mm)]])</f>
        <v>1.4510641154245299E-7</v>
      </c>
      <c r="U37" s="111">
        <f>Table112345[[#This Row],[M (KN.mm)]]/(Table112345[[#This Row],[b (mm)]]*Table112345[[#This Row],[d (mm)]]*Table112345[[#This Row],[pho (%)]])</f>
        <v>0.75475113122171944</v>
      </c>
      <c r="V37" s="111">
        <f>E37*224.8/(2*SQRT(Table112345[[#This Row],[fc (Mpa)]]*145.037)*Table112345[[#This Row],[b (mm)]]*Table112345[[#This Row],[d (mm)]]*(1/25.4)^2)</f>
        <v>0.27701136937188575</v>
      </c>
      <c r="W37" s="111">
        <f>Table112345[[#This Row],[M (KN.mm)]]/$G$41</f>
        <v>0.62254901960784315</v>
      </c>
      <c r="X37" s="111">
        <f>Table112345[[#This Row],[V/(2*sqrt(fc) bd)]]</f>
        <v>0.27701136937188575</v>
      </c>
      <c r="Y37" s="110">
        <f>Table112345[[#This Row],[a (mm)]]</f>
        <v>2466</v>
      </c>
      <c r="Z37" s="110">
        <f>Table112345[[#This Row],[width]]*Table112345[[#This Row],[h]]^2</f>
        <v>255631176</v>
      </c>
      <c r="AA37" s="110">
        <f>Table112345[[#This Row],[b (mm)]]</f>
        <v>306</v>
      </c>
      <c r="AB37" s="110">
        <f>Table112345[[#This Row],[a]]/Table112345[[#This Row],[h (mm)]]</f>
        <v>2.6980306345733043</v>
      </c>
      <c r="AC37" s="110">
        <f>Table112345[[#This Row],[h (mm)]]</f>
        <v>914</v>
      </c>
      <c r="AD37" s="111">
        <f>3*Table112345[[#This Row],[d (mm)]]</f>
        <v>2466</v>
      </c>
      <c r="AE37" s="160">
        <v>822</v>
      </c>
      <c r="AF37" s="160">
        <v>914</v>
      </c>
      <c r="AG37" s="160">
        <v>306</v>
      </c>
      <c r="AH37" s="160">
        <v>74.8</v>
      </c>
      <c r="AI37" s="160">
        <v>3277</v>
      </c>
      <c r="AJ37" s="160">
        <v>1.3</v>
      </c>
      <c r="AK37" s="160">
        <v>525</v>
      </c>
      <c r="AL37" s="111">
        <f>(1/3-0.21*(MIN(Table112345[[#This Row],[b (mm)]],AF37)/MAX(Table112345[[#This Row],[b (mm)]],AF37))*(MIN(Table112345[[#This Row],[b (mm)]],AF37)^4/(12*MAX(Table112345[[#This Row],[b (mm)]],AF37)^4)))*MAX(Table112345[[#This Row],[b (mm)]],AF37)*MIN(Table112345[[#This Row],[b (mm)]],AF37)^3</f>
        <v>8727569373.5573311</v>
      </c>
      <c r="AM37" s="111">
        <f>Table112345[[#This Row],[b (mm)]]*AF37^3/12</f>
        <v>19470574572</v>
      </c>
      <c r="AN37" s="160">
        <v>4928</v>
      </c>
      <c r="AP37" s="1"/>
    </row>
    <row r="38" spans="1:47" x14ac:dyDescent="0.3">
      <c r="A38" s="155" t="s">
        <v>98</v>
      </c>
      <c r="B38" s="163">
        <v>6</v>
      </c>
      <c r="C38" s="111">
        <v>37</v>
      </c>
      <c r="D38" s="111">
        <f>Table112345[[#This Row],[a (mm)]]/Table112345[[#This Row],[d (mm)]]</f>
        <v>3</v>
      </c>
      <c r="E38" s="160">
        <v>111.20000000000002</v>
      </c>
      <c r="F38" s="137">
        <f>Table112345[[#This Row],[d (mm)]]</f>
        <v>822</v>
      </c>
      <c r="G38" s="111">
        <f t="shared" si="12"/>
        <v>274219.20000000007</v>
      </c>
      <c r="H38" s="111">
        <f t="shared" si="13"/>
        <v>5.3475691587274022E-7</v>
      </c>
      <c r="I38" s="111">
        <f>G38/(Table112345[[#This Row],[b (mm)]]*Table112345[[#This Row],[h]]^2)</f>
        <v>1.0727142295038382E-3</v>
      </c>
      <c r="J38" s="111">
        <f t="shared" si="14"/>
        <v>0.19390557565717778</v>
      </c>
      <c r="K38" s="111">
        <f t="shared" si="15"/>
        <v>4.0577177015802816E-7</v>
      </c>
      <c r="L38" s="111">
        <f>E38/(Table112345[[#This Row],[b (mm)]]*AE38)</f>
        <v>4.4209086716600677E-4</v>
      </c>
      <c r="M38" s="111">
        <f>Table112345[[#This Row],[M (KN.mm)]]/(Table112345[[#This Row],[b (mm)]]*Table112345[[#This Row],[d (mm)]])</f>
        <v>1.0901960784313729</v>
      </c>
      <c r="N38" s="111">
        <f>Table112345[[#This Row],[M (KN.mm)]]/(Table112345[[#This Row],[b (mm)]]*Table112345[[#This Row],[h (mm)]])</f>
        <v>0.98046080576650818</v>
      </c>
      <c r="O38" s="111">
        <f>Table112345[[#This Row],[M (KN.mm)]]/(Table112345[[#This Row],[b (mm)]]*Table112345[[#This Row],[h (mm)]]*Table112345[[#This Row],[L(mm)]])</f>
        <v>1.9895714402729469E-4</v>
      </c>
      <c r="P38" s="111">
        <f>Table112345[[#This Row],[M (KN.mm)]]/(Table112345[[#This Row],[b (mm)]]*Table112345[[#This Row],[d (mm)]]*Table112345[[#This Row],[L(mm)]])</f>
        <v>2.212248535777948E-4</v>
      </c>
      <c r="Q38" s="111">
        <f>Table112345[[#This Row],[M (KN.mm)]]/(Table112345[[#This Row],[b (mm)]]*Table112345[[#This Row],[h (mm)]]*Table112345[[#This Row],[L(mm)]]*Table112345[[#This Row],[fc (Mpa)]])</f>
        <v>2.6598548666750629E-6</v>
      </c>
      <c r="R38" s="111">
        <f>Table112345[[#This Row],[M (KN.mm)]]/(Table112345[[#This Row],[b (mm)]]*Table112345[[#This Row],[h (mm)]]*Table112345[[#This Row],[L(mm)]]/2)</f>
        <v>3.9791428805458938E-4</v>
      </c>
      <c r="S38" s="111">
        <f>Table112345[[#This Row],[M (KN.mm)]]/(Table112345[[#This Row],[a (mm)]]*Table112345[[#This Row],[b (mm)]]*Table112345[[#This Row],[h (mm)]]*Table112345[[#This Row],[L(mm)]]/2)</f>
        <v>1.6136021413405894E-7</v>
      </c>
      <c r="T38" s="111">
        <f>Table112345[[#This Row],[M (KN.mm)]]/(Table112345[[#This Row],[a (mm)]]^2*Table112345[[#This Row],[b (mm)]]*Table112345[[#This Row],[h (mm)]])</f>
        <v>1.6122934615828111E-7</v>
      </c>
      <c r="U38" s="111">
        <f>Table112345[[#This Row],[M (KN.mm)]]/(Table112345[[#This Row],[b (mm)]]*Table112345[[#This Row],[d (mm)]]*Table112345[[#This Row],[pho (%)]])</f>
        <v>0.83861236802413286</v>
      </c>
      <c r="V38" s="111">
        <f>E38*224.8/(2*SQRT(Table112345[[#This Row],[fc (Mpa)]]*145.037)*Table112345[[#This Row],[b (mm)]]*Table112345[[#This Row],[d (mm)]]*(1/25.4)^2)</f>
        <v>0.30779041041320643</v>
      </c>
      <c r="W38" s="111">
        <f>Table112345[[#This Row],[M (KN.mm)]]/$G$41</f>
        <v>0.69172113289760351</v>
      </c>
      <c r="X38" s="111">
        <f>Table112345[[#This Row],[V/(2*sqrt(fc) bd)]]</f>
        <v>0.30779041041320643</v>
      </c>
      <c r="Y38" s="110">
        <f>Table112345[[#This Row],[a (mm)]]</f>
        <v>2466</v>
      </c>
      <c r="Z38" s="110">
        <f>Table112345[[#This Row],[width]]*Table112345[[#This Row],[h]]^2</f>
        <v>255631176</v>
      </c>
      <c r="AA38" s="110">
        <f>Table112345[[#This Row],[b (mm)]]</f>
        <v>306</v>
      </c>
      <c r="AB38" s="110">
        <f>Table112345[[#This Row],[a]]/Table112345[[#This Row],[h (mm)]]</f>
        <v>2.6980306345733043</v>
      </c>
      <c r="AC38" s="110">
        <f>Table112345[[#This Row],[h (mm)]]</f>
        <v>914</v>
      </c>
      <c r="AD38" s="111">
        <f>3*Table112345[[#This Row],[d (mm)]]</f>
        <v>2466</v>
      </c>
      <c r="AE38" s="160">
        <v>822</v>
      </c>
      <c r="AF38" s="160">
        <v>914</v>
      </c>
      <c r="AG38" s="160">
        <v>306</v>
      </c>
      <c r="AH38" s="160">
        <v>74.8</v>
      </c>
      <c r="AI38" s="160">
        <v>3277</v>
      </c>
      <c r="AJ38" s="160">
        <v>1.3</v>
      </c>
      <c r="AK38" s="160">
        <v>525</v>
      </c>
      <c r="AL38" s="111">
        <f>(1/3-0.21*(MIN(Table112345[[#This Row],[b (mm)]],AF38)/MAX(Table112345[[#This Row],[b (mm)]],AF38))*(MIN(Table112345[[#This Row],[b (mm)]],AF38)^4/(12*MAX(Table112345[[#This Row],[b (mm)]],AF38)^4)))*MAX(Table112345[[#This Row],[b (mm)]],AF38)*MIN(Table112345[[#This Row],[b (mm)]],AF38)^3</f>
        <v>8727569373.5573311</v>
      </c>
      <c r="AM38" s="111">
        <f>Table112345[[#This Row],[b (mm)]]*AF38^3/12</f>
        <v>19470574572</v>
      </c>
      <c r="AN38" s="160">
        <v>4928</v>
      </c>
      <c r="AP38" s="139"/>
      <c r="AQ38" s="139"/>
      <c r="AR38" s="139"/>
      <c r="AS38" s="139"/>
      <c r="AT38" s="139"/>
      <c r="AU38" s="139"/>
    </row>
    <row r="39" spans="1:47" x14ac:dyDescent="0.3">
      <c r="A39" s="155" t="s">
        <v>98</v>
      </c>
      <c r="B39" s="163">
        <v>7</v>
      </c>
      <c r="C39" s="111">
        <v>38</v>
      </c>
      <c r="D39" s="111">
        <f>Table112345[[#This Row],[a (mm)]]/Table112345[[#This Row],[d (mm)]]</f>
        <v>3</v>
      </c>
      <c r="E39" s="160">
        <v>122.32000000000001</v>
      </c>
      <c r="F39" s="137">
        <f>Table112345[[#This Row],[d (mm)]]</f>
        <v>822</v>
      </c>
      <c r="G39" s="111">
        <f t="shared" si="12"/>
        <v>301641.12</v>
      </c>
      <c r="H39" s="111">
        <f t="shared" si="13"/>
        <v>5.8823260746001412E-7</v>
      </c>
      <c r="I39" s="111">
        <f>G39/(Table112345[[#This Row],[b (mm)]]*Table112345[[#This Row],[h]]^2)</f>
        <v>1.1799856524542217E-3</v>
      </c>
      <c r="J39" s="111">
        <f t="shared" si="14"/>
        <v>0.21329613322289548</v>
      </c>
      <c r="K39" s="111">
        <f t="shared" si="15"/>
        <v>4.4634894717383092E-7</v>
      </c>
      <c r="L39" s="111">
        <f>E39/(Table112345[[#This Row],[b (mm)]]*AE39)</f>
        <v>4.8629995388260744E-4</v>
      </c>
      <c r="M39" s="111">
        <f>Table112345[[#This Row],[M (KN.mm)]]/(Table112345[[#This Row],[b (mm)]]*Table112345[[#This Row],[d (mm)]])</f>
        <v>1.1992156862745098</v>
      </c>
      <c r="N39" s="111">
        <f>Table112345[[#This Row],[M (KN.mm)]]/(Table112345[[#This Row],[b (mm)]]*Table112345[[#This Row],[h (mm)]])</f>
        <v>1.0785068863431586</v>
      </c>
      <c r="O39" s="111">
        <f>Table112345[[#This Row],[M (KN.mm)]]/(Table112345[[#This Row],[b (mm)]]*Table112345[[#This Row],[h (mm)]]*Table112345[[#This Row],[L(mm)]])</f>
        <v>2.188528584300241E-4</v>
      </c>
      <c r="P39" s="111">
        <f>Table112345[[#This Row],[M (KN.mm)]]/(Table112345[[#This Row],[b (mm)]]*Table112345[[#This Row],[d (mm)]]*Table112345[[#This Row],[L(mm)]])</f>
        <v>2.4334733893557423E-4</v>
      </c>
      <c r="Q39" s="111">
        <f>Table112345[[#This Row],[M (KN.mm)]]/(Table112345[[#This Row],[b (mm)]]*Table112345[[#This Row],[h (mm)]]*Table112345[[#This Row],[L(mm)]]*Table112345[[#This Row],[fc (Mpa)]])</f>
        <v>2.9258403533425682E-6</v>
      </c>
      <c r="R39" s="111">
        <f>Table112345[[#This Row],[M (KN.mm)]]/(Table112345[[#This Row],[b (mm)]]*Table112345[[#This Row],[h (mm)]]*Table112345[[#This Row],[L(mm)]]/2)</f>
        <v>4.3770571686004819E-4</v>
      </c>
      <c r="S39" s="111">
        <f>Table112345[[#This Row],[M (KN.mm)]]/(Table112345[[#This Row],[a (mm)]]*Table112345[[#This Row],[b (mm)]]*Table112345[[#This Row],[h (mm)]]*Table112345[[#This Row],[L(mm)]]/2)</f>
        <v>1.7749623554746479E-7</v>
      </c>
      <c r="T39" s="111">
        <f>Table112345[[#This Row],[M (KN.mm)]]/(Table112345[[#This Row],[a (mm)]]^2*Table112345[[#This Row],[b (mm)]]*Table112345[[#This Row],[h (mm)]])</f>
        <v>1.7735228077410918E-7</v>
      </c>
      <c r="U39" s="111">
        <f>Table112345[[#This Row],[M (KN.mm)]]/(Table112345[[#This Row],[b (mm)]]*Table112345[[#This Row],[d (mm)]]*Table112345[[#This Row],[pho (%)]])</f>
        <v>0.92247360482654595</v>
      </c>
      <c r="V39" s="111">
        <f>E39*224.8/(2*SQRT(Table112345[[#This Row],[fc (Mpa)]]*145.037)*Table112345[[#This Row],[b (mm)]]*Table112345[[#This Row],[d (mm)]]*(1/25.4)^2)</f>
        <v>0.33856945145452705</v>
      </c>
      <c r="W39" s="111">
        <f>Table112345[[#This Row],[M (KN.mm)]]/$G$41</f>
        <v>0.76089324618736365</v>
      </c>
      <c r="X39" s="111">
        <f>Table112345[[#This Row],[V/(2*sqrt(fc) bd)]]</f>
        <v>0.33856945145452705</v>
      </c>
      <c r="Y39" s="110">
        <f>Table112345[[#This Row],[a (mm)]]</f>
        <v>2466</v>
      </c>
      <c r="Z39" s="110">
        <f>Table112345[[#This Row],[width]]*Table112345[[#This Row],[h]]^2</f>
        <v>255631176</v>
      </c>
      <c r="AA39" s="110">
        <f>Table112345[[#This Row],[b (mm)]]</f>
        <v>306</v>
      </c>
      <c r="AB39" s="110">
        <f>Table112345[[#This Row],[a]]/Table112345[[#This Row],[h (mm)]]</f>
        <v>2.6980306345733043</v>
      </c>
      <c r="AC39" s="110">
        <f>Table112345[[#This Row],[h (mm)]]</f>
        <v>914</v>
      </c>
      <c r="AD39" s="111">
        <f>3*Table112345[[#This Row],[d (mm)]]</f>
        <v>2466</v>
      </c>
      <c r="AE39" s="160">
        <v>822</v>
      </c>
      <c r="AF39" s="160">
        <v>914</v>
      </c>
      <c r="AG39" s="160">
        <v>306</v>
      </c>
      <c r="AH39" s="160">
        <v>74.8</v>
      </c>
      <c r="AI39" s="160">
        <v>3277</v>
      </c>
      <c r="AJ39" s="160">
        <v>1.3</v>
      </c>
      <c r="AK39" s="160">
        <v>525</v>
      </c>
      <c r="AL39" s="111">
        <f>(1/3-0.21*(MIN(Table112345[[#This Row],[b (mm)]],AF39)/MAX(Table112345[[#This Row],[b (mm)]],AF39))*(MIN(Table112345[[#This Row],[b (mm)]],AF39)^4/(12*MAX(Table112345[[#This Row],[b (mm)]],AF39)^4)))*MAX(Table112345[[#This Row],[b (mm)]],AF39)*MIN(Table112345[[#This Row],[b (mm)]],AF39)^3</f>
        <v>8727569373.5573311</v>
      </c>
      <c r="AM39" s="111">
        <f>Table112345[[#This Row],[b (mm)]]*AF39^3/12</f>
        <v>19470574572</v>
      </c>
      <c r="AN39" s="160">
        <v>4928</v>
      </c>
      <c r="AP39" s="139"/>
      <c r="AQ39" s="139"/>
      <c r="AR39" s="139"/>
      <c r="AS39" s="139"/>
      <c r="AT39" s="139"/>
      <c r="AU39" s="139"/>
    </row>
    <row r="40" spans="1:47" x14ac:dyDescent="0.3">
      <c r="A40" s="155" t="s">
        <v>98</v>
      </c>
      <c r="B40" s="163">
        <v>8</v>
      </c>
      <c r="C40" s="111">
        <v>39</v>
      </c>
      <c r="D40" s="111">
        <f>Table112345[[#This Row],[a (mm)]]/Table112345[[#This Row],[d (mm)]]</f>
        <v>3</v>
      </c>
      <c r="E40" s="160">
        <v>133.44</v>
      </c>
      <c r="F40" s="137">
        <f>Table112345[[#This Row],[d (mm)]]</f>
        <v>822</v>
      </c>
      <c r="G40" s="111">
        <f t="shared" si="12"/>
        <v>329063.03999999998</v>
      </c>
      <c r="H40" s="111">
        <f t="shared" si="13"/>
        <v>6.4170829904728801E-7</v>
      </c>
      <c r="I40" s="111">
        <f>G40/(Table112345[[#This Row],[b (mm)]]*Table112345[[#This Row],[h]]^2)</f>
        <v>1.2872570754046055E-3</v>
      </c>
      <c r="J40" s="111">
        <f t="shared" si="14"/>
        <v>0.23268669078861326</v>
      </c>
      <c r="K40" s="111">
        <f t="shared" si="15"/>
        <v>4.8692612418963369E-7</v>
      </c>
      <c r="L40" s="111">
        <f>E40/(Table112345[[#This Row],[b (mm)]]*AE40)</f>
        <v>5.30509040599208E-4</v>
      </c>
      <c r="M40" s="111">
        <f>Table112345[[#This Row],[M (KN.mm)]]/(Table112345[[#This Row],[b (mm)]]*Table112345[[#This Row],[d (mm)]])</f>
        <v>1.3082352941176469</v>
      </c>
      <c r="N40" s="111">
        <f>Table112345[[#This Row],[M (KN.mm)]]/(Table112345[[#This Row],[b (mm)]]*Table112345[[#This Row],[h (mm)]])</f>
        <v>1.1765529669198094</v>
      </c>
      <c r="O40" s="111">
        <f>Table112345[[#This Row],[M (KN.mm)]]/(Table112345[[#This Row],[b (mm)]]*Table112345[[#This Row],[h (mm)]]*Table112345[[#This Row],[L(mm)]])</f>
        <v>2.3874857283275353E-4</v>
      </c>
      <c r="P40" s="111">
        <f>Table112345[[#This Row],[M (KN.mm)]]/(Table112345[[#This Row],[b (mm)]]*Table112345[[#This Row],[d (mm)]]*Table112345[[#This Row],[L(mm)]])</f>
        <v>2.6546982429335368E-4</v>
      </c>
      <c r="Q40" s="111">
        <f>Table112345[[#This Row],[M (KN.mm)]]/(Table112345[[#This Row],[b (mm)]]*Table112345[[#This Row],[h (mm)]]*Table112345[[#This Row],[L(mm)]]*Table112345[[#This Row],[fc (Mpa)]])</f>
        <v>3.1918258400100744E-6</v>
      </c>
      <c r="R40" s="111">
        <f>Table112345[[#This Row],[M (KN.mm)]]/(Table112345[[#This Row],[b (mm)]]*Table112345[[#This Row],[h (mm)]]*Table112345[[#This Row],[L(mm)]]/2)</f>
        <v>4.7749714566550707E-4</v>
      </c>
      <c r="S40" s="111">
        <f>Table112345[[#This Row],[M (KN.mm)]]/(Table112345[[#This Row],[a (mm)]]*Table112345[[#This Row],[b (mm)]]*Table112345[[#This Row],[h (mm)]]*Table112345[[#This Row],[L(mm)]]/2)</f>
        <v>1.9363225696087068E-7</v>
      </c>
      <c r="T40" s="111">
        <f>Table112345[[#This Row],[M (KN.mm)]]/(Table112345[[#This Row],[a (mm)]]^2*Table112345[[#This Row],[b (mm)]]*Table112345[[#This Row],[h (mm)]])</f>
        <v>1.9347521538993727E-7</v>
      </c>
      <c r="U40" s="111">
        <f>Table112345[[#This Row],[M (KN.mm)]]/(Table112345[[#This Row],[b (mm)]]*Table112345[[#This Row],[d (mm)]]*Table112345[[#This Row],[pho (%)]])</f>
        <v>1.006334841628959</v>
      </c>
      <c r="V40" s="111">
        <f>E40*224.8/(2*SQRT(Table112345[[#This Row],[fc (Mpa)]]*145.037)*Table112345[[#This Row],[b (mm)]]*Table112345[[#This Row],[d (mm)]]*(1/25.4)^2)</f>
        <v>0.36934849249584761</v>
      </c>
      <c r="W40" s="111">
        <f>Table112345[[#This Row],[M (KN.mm)]]/$G$41</f>
        <v>0.83006535947712401</v>
      </c>
      <c r="X40" s="111">
        <f>Table112345[[#This Row],[V/(2*sqrt(fc) bd)]]</f>
        <v>0.36934849249584761</v>
      </c>
      <c r="Y40" s="110">
        <f>Table112345[[#This Row],[a (mm)]]</f>
        <v>2466</v>
      </c>
      <c r="Z40" s="110">
        <f>Table112345[[#This Row],[width]]*Table112345[[#This Row],[h]]^2</f>
        <v>255631176</v>
      </c>
      <c r="AA40" s="110">
        <f>Table112345[[#This Row],[b (mm)]]</f>
        <v>306</v>
      </c>
      <c r="AB40" s="110">
        <f>Table112345[[#This Row],[a]]/Table112345[[#This Row],[h (mm)]]</f>
        <v>2.6980306345733043</v>
      </c>
      <c r="AC40" s="110">
        <f>Table112345[[#This Row],[h (mm)]]</f>
        <v>914</v>
      </c>
      <c r="AD40" s="111">
        <f>3*Table112345[[#This Row],[d (mm)]]</f>
        <v>2466</v>
      </c>
      <c r="AE40" s="160">
        <v>822</v>
      </c>
      <c r="AF40" s="160">
        <v>914</v>
      </c>
      <c r="AG40" s="160">
        <v>306</v>
      </c>
      <c r="AH40" s="160">
        <v>74.8</v>
      </c>
      <c r="AI40" s="160">
        <v>3277</v>
      </c>
      <c r="AJ40" s="160">
        <v>1.3</v>
      </c>
      <c r="AK40" s="160">
        <v>525</v>
      </c>
      <c r="AL40" s="111">
        <f>(1/3-0.21*(MIN(Table112345[[#This Row],[b (mm)]],AF40)/MAX(Table112345[[#This Row],[b (mm)]],AF40))*(MIN(Table112345[[#This Row],[b (mm)]],AF40)^4/(12*MAX(Table112345[[#This Row],[b (mm)]],AF40)^4)))*MAX(Table112345[[#This Row],[b (mm)]],AF40)*MIN(Table112345[[#This Row],[b (mm)]],AF40)^3</f>
        <v>8727569373.5573311</v>
      </c>
      <c r="AM40" s="111">
        <f>Table112345[[#This Row],[b (mm)]]*AF40^3/12</f>
        <v>19470574572</v>
      </c>
      <c r="AN40" s="160">
        <v>4928</v>
      </c>
      <c r="AP40" s="139"/>
      <c r="AQ40" s="139"/>
      <c r="AR40" s="139"/>
      <c r="AS40" s="139"/>
      <c r="AT40" s="139"/>
      <c r="AU40" s="139"/>
    </row>
    <row r="41" spans="1:47" x14ac:dyDescent="0.3">
      <c r="A41" s="155" t="s">
        <v>98</v>
      </c>
      <c r="B41" s="163" t="s">
        <v>93</v>
      </c>
      <c r="C41" s="111">
        <v>40</v>
      </c>
      <c r="D41" s="111">
        <f>Table112345[[#This Row],[a (mm)]]/Table112345[[#This Row],[d (mm)]]</f>
        <v>3</v>
      </c>
      <c r="E41" s="166">
        <v>160.75842519685042</v>
      </c>
      <c r="F41" s="137">
        <f>Table112345[[#This Row],[d (mm)]]</f>
        <v>822</v>
      </c>
      <c r="G41" s="111">
        <f t="shared" si="12"/>
        <v>396430.27653543313</v>
      </c>
      <c r="H41" s="111">
        <f t="shared" si="13"/>
        <v>7.7308165160815038E-7</v>
      </c>
      <c r="I41" s="111">
        <f>G41/(Table112345[[#This Row],[b (mm)]]*Table112345[[#This Row],[h]]^2)</f>
        <v>1.5507900199756275E-3</v>
      </c>
      <c r="J41" s="111">
        <f t="shared" si="14"/>
        <v>0.28032333614691207</v>
      </c>
      <c r="K41" s="111">
        <f t="shared" si="15"/>
        <v>5.8661178740955886E-7</v>
      </c>
      <c r="L41" s="111">
        <f>E41/(Table112345[[#This Row],[b (mm)]]*AE41)</f>
        <v>6.3911719064314052E-4</v>
      </c>
      <c r="M41" s="111">
        <f>Table112345[[#This Row],[M (KN.mm)]]/(Table112345[[#This Row],[b (mm)]]*Table112345[[#This Row],[d (mm)]])</f>
        <v>1.5760629921259846</v>
      </c>
      <c r="N41" s="111">
        <f>Table112345[[#This Row],[M (KN.mm)]]/(Table112345[[#This Row],[b (mm)]]*Table112345[[#This Row],[h (mm)]])</f>
        <v>1.4174220782577236</v>
      </c>
      <c r="O41" s="111">
        <f>Table112345[[#This Row],[M (KN.mm)]]/(Table112345[[#This Row],[b (mm)]]*Table112345[[#This Row],[h (mm)]]*Table112345[[#This Row],[L(mm)]])</f>
        <v>2.8762623341268737E-4</v>
      </c>
      <c r="P41" s="111">
        <f>Table112345[[#This Row],[M (KN.mm)]]/(Table112345[[#This Row],[b (mm)]]*Table112345[[#This Row],[d (mm)]]*Table112345[[#This Row],[L(mm)]])</f>
        <v>3.1981797729829233E-4</v>
      </c>
      <c r="Q41" s="111">
        <f>Table112345[[#This Row],[M (KN.mm)]]/(Table112345[[#This Row],[b (mm)]]*Table112345[[#This Row],[h (mm)]]*Table112345[[#This Row],[L(mm)]]*Table112345[[#This Row],[fc (Mpa)]])</f>
        <v>3.8452705001696179E-6</v>
      </c>
      <c r="R41" s="111">
        <f>Table112345[[#This Row],[M (KN.mm)]]/(Table112345[[#This Row],[b (mm)]]*Table112345[[#This Row],[h (mm)]]*Table112345[[#This Row],[L(mm)]]/2)</f>
        <v>5.7525246682537474E-4</v>
      </c>
      <c r="S41" s="111">
        <f>Table112345[[#This Row],[M (KN.mm)]]/(Table112345[[#This Row],[a (mm)]]*Table112345[[#This Row],[b (mm)]]*Table112345[[#This Row],[h (mm)]]*Table112345[[#This Row],[L(mm)]]/2)</f>
        <v>2.3327350641742693E-7</v>
      </c>
      <c r="T41" s="111">
        <f>Table112345[[#This Row],[M (KN.mm)]]/(Table112345[[#This Row],[a (mm)]]^2*Table112345[[#This Row],[b (mm)]]*Table112345[[#This Row],[h (mm)]])</f>
        <v>2.3308431460362527E-7</v>
      </c>
      <c r="U41" s="111">
        <f>Table112345[[#This Row],[M (KN.mm)]]/(Table112345[[#This Row],[b (mm)]]*Table112345[[#This Row],[d (mm)]]*Table112345[[#This Row],[pho (%)]])</f>
        <v>1.2123561477892186</v>
      </c>
      <c r="V41" s="111">
        <f>E41*224.8/(2*SQRT(Table112345[[#This Row],[fc (Mpa)]]*145.037)*Table112345[[#This Row],[b (mm)]]*Table112345[[#This Row],[d (mm)]]*(1/25.4)^2)</f>
        <v>0.44496314450287161</v>
      </c>
      <c r="W41" s="111">
        <f>Table112345[[#This Row],[M (KN.mm)]]/$G$41</f>
        <v>1</v>
      </c>
      <c r="X41" s="111">
        <f>Table112345[[#This Row],[V/(2*sqrt(fc) bd)]]</f>
        <v>0.44496314450287161</v>
      </c>
      <c r="Y41" s="110">
        <f>Table112345[[#This Row],[a (mm)]]</f>
        <v>2466</v>
      </c>
      <c r="Z41" s="110">
        <f>Table112345[[#This Row],[width]]*Table112345[[#This Row],[h]]^2</f>
        <v>255631176</v>
      </c>
      <c r="AA41" s="110">
        <f>Table112345[[#This Row],[b (mm)]]</f>
        <v>306</v>
      </c>
      <c r="AB41" s="110">
        <f>Table112345[[#This Row],[a]]/Table112345[[#This Row],[h (mm)]]</f>
        <v>2.6980306345733043</v>
      </c>
      <c r="AC41" s="110">
        <f>Table112345[[#This Row],[h (mm)]]</f>
        <v>914</v>
      </c>
      <c r="AD41" s="111">
        <f>3*Table112345[[#This Row],[d (mm)]]</f>
        <v>2466</v>
      </c>
      <c r="AE41" s="160">
        <v>822</v>
      </c>
      <c r="AF41" s="160">
        <v>914</v>
      </c>
      <c r="AG41" s="160">
        <v>306</v>
      </c>
      <c r="AH41" s="160">
        <v>74.8</v>
      </c>
      <c r="AI41" s="160">
        <v>3277</v>
      </c>
      <c r="AJ41" s="160">
        <v>1.3</v>
      </c>
      <c r="AK41" s="160">
        <v>525</v>
      </c>
      <c r="AL41" s="111">
        <f>(1/3-0.21*(MIN(Table112345[[#This Row],[b (mm)]],AF41)/MAX(Table112345[[#This Row],[b (mm)]],AF41))*(MIN(Table112345[[#This Row],[b (mm)]],AF41)^4/(12*MAX(Table112345[[#This Row],[b (mm)]],AF41)^4)))*MAX(Table112345[[#This Row],[b (mm)]],AF41)*MIN(Table112345[[#This Row],[b (mm)]],AF41)^3</f>
        <v>8727569373.5573311</v>
      </c>
      <c r="AM41" s="111">
        <f>Table112345[[#This Row],[b (mm)]]*AF41^3/12</f>
        <v>19470574572</v>
      </c>
      <c r="AN41" s="160">
        <v>4928</v>
      </c>
      <c r="AP41" s="139"/>
      <c r="AQ41" s="139"/>
      <c r="AR41" s="139"/>
      <c r="AS41" s="139"/>
      <c r="AT41" s="139"/>
      <c r="AU41" s="139"/>
    </row>
    <row r="42" spans="1:47" x14ac:dyDescent="0.3">
      <c r="A42" s="155" t="s">
        <v>98</v>
      </c>
      <c r="B42" s="163" t="s">
        <v>94</v>
      </c>
      <c r="C42" s="111">
        <v>41</v>
      </c>
      <c r="D42" s="111">
        <f>Table112345[[#This Row],[a (mm)]]/Table112345[[#This Row],[d (mm)]]</f>
        <v>3</v>
      </c>
      <c r="E42" s="166">
        <v>160.75842519685042</v>
      </c>
      <c r="F42" s="137">
        <f>Table112345[[#This Row],[d (mm)]]</f>
        <v>822</v>
      </c>
      <c r="G42" s="111">
        <f t="shared" si="12"/>
        <v>396430.27653543313</v>
      </c>
      <c r="H42" s="111">
        <f t="shared" si="13"/>
        <v>7.7308165160815038E-7</v>
      </c>
      <c r="I42" s="111">
        <f>G42/(Table112345[[#This Row],[b (mm)]]*Table112345[[#This Row],[h]]^2)</f>
        <v>1.5507900199756275E-3</v>
      </c>
      <c r="J42" s="111">
        <f t="shared" si="14"/>
        <v>0.28032333614691207</v>
      </c>
      <c r="K42" s="111">
        <f t="shared" si="15"/>
        <v>5.8661178740955886E-7</v>
      </c>
      <c r="L42" s="111">
        <f>E42/(Table112345[[#This Row],[b (mm)]]*AE42)</f>
        <v>6.3911719064314052E-4</v>
      </c>
      <c r="M42" s="111">
        <f>Table112345[[#This Row],[M (KN.mm)]]/(Table112345[[#This Row],[b (mm)]]*Table112345[[#This Row],[d (mm)]])</f>
        <v>1.5760629921259846</v>
      </c>
      <c r="N42" s="111">
        <f>Table112345[[#This Row],[M (KN.mm)]]/(Table112345[[#This Row],[b (mm)]]*Table112345[[#This Row],[h (mm)]])</f>
        <v>1.4174220782577236</v>
      </c>
      <c r="O42" s="111">
        <f>Table112345[[#This Row],[M (KN.mm)]]/(Table112345[[#This Row],[b (mm)]]*Table112345[[#This Row],[h (mm)]]*Table112345[[#This Row],[L(mm)]])</f>
        <v>2.8762623341268737E-4</v>
      </c>
      <c r="P42" s="111">
        <f>Table112345[[#This Row],[M (KN.mm)]]/(Table112345[[#This Row],[b (mm)]]*Table112345[[#This Row],[d (mm)]]*Table112345[[#This Row],[L(mm)]])</f>
        <v>3.1981797729829233E-4</v>
      </c>
      <c r="Q42" s="111">
        <f>Table112345[[#This Row],[M (KN.mm)]]/(Table112345[[#This Row],[b (mm)]]*Table112345[[#This Row],[h (mm)]]*Table112345[[#This Row],[L(mm)]]*Table112345[[#This Row],[fc (Mpa)]])</f>
        <v>3.8452705001696179E-6</v>
      </c>
      <c r="R42" s="111">
        <f>Table112345[[#This Row],[M (KN.mm)]]/(Table112345[[#This Row],[b (mm)]]*Table112345[[#This Row],[h (mm)]]*Table112345[[#This Row],[L(mm)]]/2)</f>
        <v>5.7525246682537474E-4</v>
      </c>
      <c r="S42" s="111">
        <f>Table112345[[#This Row],[M (KN.mm)]]/(Table112345[[#This Row],[a (mm)]]*Table112345[[#This Row],[b (mm)]]*Table112345[[#This Row],[h (mm)]]*Table112345[[#This Row],[L(mm)]]/2)</f>
        <v>2.3327350641742693E-7</v>
      </c>
      <c r="T42" s="111">
        <f>Table112345[[#This Row],[M (KN.mm)]]/(Table112345[[#This Row],[a (mm)]]^2*Table112345[[#This Row],[b (mm)]]*Table112345[[#This Row],[h (mm)]])</f>
        <v>2.3308431460362527E-7</v>
      </c>
      <c r="U42" s="111">
        <f>Table112345[[#This Row],[M (KN.mm)]]/(Table112345[[#This Row],[b (mm)]]*Table112345[[#This Row],[d (mm)]]*Table112345[[#This Row],[pho (%)]])</f>
        <v>1.2123561477892186</v>
      </c>
      <c r="V42" s="111">
        <f>E42*224.8/(2*SQRT(Table112345[[#This Row],[fc (Mpa)]]*145.037)*Table112345[[#This Row],[b (mm)]]*Table112345[[#This Row],[d (mm)]]*(1/25.4)^2)</f>
        <v>0.44496314450287161</v>
      </c>
      <c r="W42" s="111">
        <f>Table112345[[#This Row],[M (KN.mm)]]/$G$41</f>
        <v>1</v>
      </c>
      <c r="X42" s="111">
        <f>Table112345[[#This Row],[V/(2*sqrt(fc) bd)]]</f>
        <v>0.44496314450287161</v>
      </c>
      <c r="Y42" s="110">
        <f>Table112345[[#This Row],[a (mm)]]</f>
        <v>2466</v>
      </c>
      <c r="Z42" s="110">
        <f>Table112345[[#This Row],[width]]*Table112345[[#This Row],[h]]^2</f>
        <v>255631176</v>
      </c>
      <c r="AA42" s="110">
        <f>Table112345[[#This Row],[b (mm)]]</f>
        <v>306</v>
      </c>
      <c r="AB42" s="110">
        <f>Table112345[[#This Row],[a]]/Table112345[[#This Row],[h (mm)]]</f>
        <v>2.6980306345733043</v>
      </c>
      <c r="AC42" s="110">
        <f>Table112345[[#This Row],[h (mm)]]</f>
        <v>914</v>
      </c>
      <c r="AD42" s="111">
        <f>3*Table112345[[#This Row],[d (mm)]]</f>
        <v>2466</v>
      </c>
      <c r="AE42" s="160">
        <v>822</v>
      </c>
      <c r="AF42" s="160">
        <v>914</v>
      </c>
      <c r="AG42" s="160">
        <v>306</v>
      </c>
      <c r="AH42" s="160">
        <v>74.8</v>
      </c>
      <c r="AI42" s="160">
        <v>3277</v>
      </c>
      <c r="AJ42" s="160">
        <v>1.3</v>
      </c>
      <c r="AK42" s="160">
        <v>525</v>
      </c>
      <c r="AL42" s="111">
        <f>(1/3-0.21*(MIN(Table112345[[#This Row],[b (mm)]],AF42)/MAX(Table112345[[#This Row],[b (mm)]],AF42))*(MIN(Table112345[[#This Row],[b (mm)]],AF42)^4/(12*MAX(Table112345[[#This Row],[b (mm)]],AF42)^4)))*MAX(Table112345[[#This Row],[b (mm)]],AF42)*MIN(Table112345[[#This Row],[b (mm)]],AF42)^3</f>
        <v>8727569373.5573311</v>
      </c>
      <c r="AM42" s="111">
        <f>Table112345[[#This Row],[b (mm)]]*AF42^3/12</f>
        <v>19470574572</v>
      </c>
      <c r="AN42" s="160">
        <v>4928</v>
      </c>
      <c r="AP42" s="139"/>
      <c r="AQ42" s="139"/>
      <c r="AR42" s="139"/>
      <c r="AS42" s="139"/>
      <c r="AT42" s="139"/>
      <c r="AU42" s="139"/>
    </row>
    <row r="43" spans="1:47" x14ac:dyDescent="0.3">
      <c r="A43" s="156" t="s">
        <v>99</v>
      </c>
      <c r="B43" s="164">
        <v>1</v>
      </c>
      <c r="C43" s="111">
        <v>42</v>
      </c>
      <c r="D43" s="111">
        <f>Table112345[[#This Row],[a (mm)]]/Table112345[[#This Row],[d (mm)]]</f>
        <v>2.99</v>
      </c>
      <c r="E43" s="160">
        <v>20.016000000000002</v>
      </c>
      <c r="F43" s="137">
        <f>Table112345[[#This Row],[d (mm)]]</f>
        <v>233</v>
      </c>
      <c r="G43" s="111">
        <f t="shared" si="12"/>
        <v>13944.546720000002</v>
      </c>
      <c r="H43" s="111">
        <f t="shared" si="13"/>
        <v>1.1031318143203191E-6</v>
      </c>
      <c r="I43" s="111">
        <f>G43/(Table112345[[#This Row],[b (mm)]]*Table112345[[#This Row],[h]]^2)</f>
        <v>7.3842889948276536E-4</v>
      </c>
      <c r="J43" s="111">
        <f t="shared" si="14"/>
        <v>0.18999314285714289</v>
      </c>
      <c r="K43" s="111">
        <f t="shared" si="15"/>
        <v>7.5469105486049738E-7</v>
      </c>
      <c r="L43" s="111">
        <f>E43/(Table112345[[#This Row],[b (mm)]]*AE43)</f>
        <v>4.2318019408444155E-4</v>
      </c>
      <c r="M43" s="111">
        <f>Table112345[[#This Row],[M (KN.mm)]]/(Table112345[[#This Row],[b (mm)]]*Table112345[[#This Row],[d (mm)]])</f>
        <v>0.29481694581280793</v>
      </c>
      <c r="N43" s="111">
        <f>Table112345[[#This Row],[M (KN.mm)]]/(Table112345[[#This Row],[b (mm)]]*Table112345[[#This Row],[h (mm)]])</f>
        <v>0.22522081434224342</v>
      </c>
      <c r="O43" s="111">
        <f>Table112345[[#This Row],[M (KN.mm)]]/(Table112345[[#This Row],[b (mm)]]*Table112345[[#This Row],[h (mm)]]*Table112345[[#This Row],[L(mm)]])</f>
        <v>1.6121747626502751E-4</v>
      </c>
      <c r="P43" s="111">
        <f>Table112345[[#This Row],[M (KN.mm)]]/(Table112345[[#This Row],[b (mm)]]*Table112345[[#This Row],[d (mm)]]*Table112345[[#This Row],[L(mm)]])</f>
        <v>2.1103575219241799E-4</v>
      </c>
      <c r="Q43" s="111">
        <f>Table112345[[#This Row],[M (KN.mm)]]/(Table112345[[#This Row],[b (mm)]]*Table112345[[#This Row],[h (mm)]]*Table112345[[#This Row],[L(mm)]]*Table112345[[#This Row],[fc (Mpa)]])</f>
        <v>2.3501089834552118E-6</v>
      </c>
      <c r="R43" s="111">
        <f>Table112345[[#This Row],[M (KN.mm)]]/(Table112345[[#This Row],[b (mm)]]*Table112345[[#This Row],[h (mm)]]*Table112345[[#This Row],[L(mm)]]/2)</f>
        <v>3.2243495253005502E-4</v>
      </c>
      <c r="S43" s="111">
        <f>Table112345[[#This Row],[M (KN.mm)]]/(Table112345[[#This Row],[a (mm)]]*Table112345[[#This Row],[b (mm)]]*Table112345[[#This Row],[h (mm)]]*Table112345[[#This Row],[L(mm)]]/2)</f>
        <v>4.6282307624851793E-7</v>
      </c>
      <c r="T43" s="111">
        <f>Table112345[[#This Row],[M (KN.mm)]]/(Table112345[[#This Row],[a (mm)]]^2*Table112345[[#This Row],[b (mm)]]*Table112345[[#This Row],[h (mm)]])</f>
        <v>4.6403881143093542E-7</v>
      </c>
      <c r="U43" s="111">
        <f>Table112345[[#This Row],[M (KN.mm)]]/(Table112345[[#This Row],[b (mm)]]*Table112345[[#This Row],[d (mm)]]*Table112345[[#This Row],[pho (%)]])</f>
        <v>0.23398170302603805</v>
      </c>
      <c r="V43" s="111">
        <f>E43*224.8/(2*SQRT(Table112345[[#This Row],[fc (Mpa)]]*145.037)*Table112345[[#This Row],[b (mm)]]*Table112345[[#This Row],[d (mm)]]*(1/25.4)^2)</f>
        <v>0.30765049344442885</v>
      </c>
      <c r="W43" s="111">
        <f>Table112345[[#This Row],[M (KN.mm)]]/$G$52</f>
        <v>0.34124496193461712</v>
      </c>
      <c r="X43" s="111">
        <f>Table112345[[#This Row],[V/(2*sqrt(fc) bd)]]</f>
        <v>0.30765049344442885</v>
      </c>
      <c r="Y43" s="110">
        <f>Table112345[[#This Row],[a (mm)]]</f>
        <v>696.67000000000007</v>
      </c>
      <c r="Z43" s="110">
        <f>Table112345[[#This Row],[width]]*Table112345[[#This Row],[h]]^2</f>
        <v>18884075</v>
      </c>
      <c r="AA43" s="110">
        <f>Table112345[[#This Row],[b (mm)]]</f>
        <v>203</v>
      </c>
      <c r="AB43" s="110">
        <f>Table112345[[#This Row],[a]]/Table112345[[#This Row],[h (mm)]]</f>
        <v>2.2841639344262297</v>
      </c>
      <c r="AC43" s="110">
        <f>Table112345[[#This Row],[h (mm)]]</f>
        <v>305</v>
      </c>
      <c r="AD43" s="111">
        <f>2.99*Table112345[[#This Row],[d (mm)]]</f>
        <v>696.67000000000007</v>
      </c>
      <c r="AE43" s="160">
        <v>233</v>
      </c>
      <c r="AF43" s="160">
        <v>305</v>
      </c>
      <c r="AG43" s="160">
        <v>203</v>
      </c>
      <c r="AH43" s="160">
        <v>68.599999999999994</v>
      </c>
      <c r="AI43" s="160">
        <v>600</v>
      </c>
      <c r="AJ43" s="160">
        <v>1.26</v>
      </c>
      <c r="AK43" s="160">
        <v>525</v>
      </c>
      <c r="AL43" s="111">
        <f>(1/3-0.21*(MIN(Table112345[[#This Row],[b (mm)]],AF43)/MAX(Table112345[[#This Row],[b (mm)]],AF43))*(MIN(Table112345[[#This Row],[b (mm)]],AF43)^4/(12*MAX(Table112345[[#This Row],[b (mm)]],AF43)^4)))*MAX(Table112345[[#This Row],[b (mm)]],AF43)*MIN(Table112345[[#This Row],[b (mm)]],AF43)^3</f>
        <v>844653219.61076438</v>
      </c>
      <c r="AM43" s="111">
        <f>Table112345[[#This Row],[b (mm)]]*AF43^3/12</f>
        <v>479970239.58333331</v>
      </c>
      <c r="AN43" s="160">
        <v>1397</v>
      </c>
      <c r="AP43" s="139"/>
      <c r="AQ43" s="139"/>
      <c r="AR43" s="139"/>
      <c r="AS43" s="139"/>
      <c r="AT43" s="139"/>
      <c r="AU43" s="139"/>
    </row>
    <row r="44" spans="1:47" x14ac:dyDescent="0.3">
      <c r="A44" s="156" t="s">
        <v>99</v>
      </c>
      <c r="B44" s="164">
        <v>2</v>
      </c>
      <c r="C44" s="111">
        <v>43</v>
      </c>
      <c r="D44" s="111">
        <f>Table112345[[#This Row],[a (mm)]]/Table112345[[#This Row],[d (mm)]]</f>
        <v>2.99</v>
      </c>
      <c r="E44" s="160">
        <v>22.240000000000002</v>
      </c>
      <c r="F44" s="137">
        <f>Table112345[[#This Row],[d (mm)]]</f>
        <v>233</v>
      </c>
      <c r="G44" s="111">
        <f t="shared" si="12"/>
        <v>15493.940800000002</v>
      </c>
      <c r="H44" s="111">
        <f t="shared" si="13"/>
        <v>1.2257020159114657E-6</v>
      </c>
      <c r="I44" s="111">
        <f>G44/(Table112345[[#This Row],[b (mm)]]*Table112345[[#This Row],[h]]^2)</f>
        <v>8.2047655498085033E-4</v>
      </c>
      <c r="J44" s="111">
        <f t="shared" si="14"/>
        <v>0.2111034920634921</v>
      </c>
      <c r="K44" s="111">
        <f t="shared" si="15"/>
        <v>8.3854561651166378E-7</v>
      </c>
      <c r="L44" s="111">
        <f>E44/(Table112345[[#This Row],[b (mm)]]*AE44)</f>
        <v>4.7020021564937953E-4</v>
      </c>
      <c r="M44" s="111">
        <f>Table112345[[#This Row],[M (KN.mm)]]/(Table112345[[#This Row],[b (mm)]]*Table112345[[#This Row],[d (mm)]])</f>
        <v>0.32757438423645324</v>
      </c>
      <c r="N44" s="111">
        <f>Table112345[[#This Row],[M (KN.mm)]]/(Table112345[[#This Row],[b (mm)]]*Table112345[[#This Row],[h (mm)]])</f>
        <v>0.25024534926915937</v>
      </c>
      <c r="O44" s="111">
        <f>Table112345[[#This Row],[M (KN.mm)]]/(Table112345[[#This Row],[b (mm)]]*Table112345[[#This Row],[h (mm)]]*Table112345[[#This Row],[L(mm)]])</f>
        <v>1.791305291833639E-4</v>
      </c>
      <c r="P44" s="111">
        <f>Table112345[[#This Row],[M (KN.mm)]]/(Table112345[[#This Row],[b (mm)]]*Table112345[[#This Row],[d (mm)]]*Table112345[[#This Row],[L(mm)]])</f>
        <v>2.3448416910268666E-4</v>
      </c>
      <c r="Q44" s="111">
        <f>Table112345[[#This Row],[M (KN.mm)]]/(Table112345[[#This Row],[b (mm)]]*Table112345[[#This Row],[h (mm)]]*Table112345[[#This Row],[L(mm)]]*Table112345[[#This Row],[fc (Mpa)]])</f>
        <v>2.6112322038391243E-6</v>
      </c>
      <c r="R44" s="111">
        <f>Table112345[[#This Row],[M (KN.mm)]]/(Table112345[[#This Row],[b (mm)]]*Table112345[[#This Row],[h (mm)]]*Table112345[[#This Row],[L(mm)]]/2)</f>
        <v>3.5826105836672781E-4</v>
      </c>
      <c r="S44" s="111">
        <f>Table112345[[#This Row],[M (KN.mm)]]/(Table112345[[#This Row],[a (mm)]]*Table112345[[#This Row],[b (mm)]]*Table112345[[#This Row],[h (mm)]]*Table112345[[#This Row],[L(mm)]]/2)</f>
        <v>5.1424786249835328E-7</v>
      </c>
      <c r="T44" s="111">
        <f>Table112345[[#This Row],[M (KN.mm)]]/(Table112345[[#This Row],[a (mm)]]^2*Table112345[[#This Row],[b (mm)]]*Table112345[[#This Row],[h (mm)]])</f>
        <v>5.1559867936770596E-7</v>
      </c>
      <c r="U44" s="111">
        <f>Table112345[[#This Row],[M (KN.mm)]]/(Table112345[[#This Row],[b (mm)]]*Table112345[[#This Row],[d (mm)]]*Table112345[[#This Row],[pho (%)]])</f>
        <v>0.25997967002893113</v>
      </c>
      <c r="V44" s="111">
        <f>E44*224.8/(2*SQRT(Table112345[[#This Row],[fc (Mpa)]]*145.037)*Table112345[[#This Row],[b (mm)]]*Table112345[[#This Row],[d (mm)]]*(1/25.4)^2)</f>
        <v>0.34183388160492095</v>
      </c>
      <c r="W44" s="111">
        <f>Table112345[[#This Row],[M (KN.mm)]]/$G$52</f>
        <v>0.37916106881624123</v>
      </c>
      <c r="X44" s="111">
        <f>Table112345[[#This Row],[V/(2*sqrt(fc) bd)]]</f>
        <v>0.34183388160492095</v>
      </c>
      <c r="Y44" s="110">
        <f>Table112345[[#This Row],[a (mm)]]</f>
        <v>696.67000000000007</v>
      </c>
      <c r="Z44" s="110">
        <f>Table112345[[#This Row],[width]]*Table112345[[#This Row],[h]]^2</f>
        <v>18884075</v>
      </c>
      <c r="AA44" s="110">
        <f>Table112345[[#This Row],[b (mm)]]</f>
        <v>203</v>
      </c>
      <c r="AB44" s="110">
        <f>Table112345[[#This Row],[a]]/Table112345[[#This Row],[h (mm)]]</f>
        <v>2.2841639344262297</v>
      </c>
      <c r="AC44" s="110">
        <f>Table112345[[#This Row],[h (mm)]]</f>
        <v>305</v>
      </c>
      <c r="AD44" s="111">
        <f>2.99*Table112345[[#This Row],[d (mm)]]</f>
        <v>696.67000000000007</v>
      </c>
      <c r="AE44" s="160">
        <v>233</v>
      </c>
      <c r="AF44" s="160">
        <v>305</v>
      </c>
      <c r="AG44" s="160">
        <v>203</v>
      </c>
      <c r="AH44" s="160">
        <v>68.599999999999994</v>
      </c>
      <c r="AI44" s="160">
        <v>600</v>
      </c>
      <c r="AJ44" s="160">
        <v>1.26</v>
      </c>
      <c r="AK44" s="160">
        <v>525</v>
      </c>
      <c r="AL44" s="111">
        <f>(1/3-0.21*(MIN(Table112345[[#This Row],[b (mm)]],AF44)/MAX(Table112345[[#This Row],[b (mm)]],AF44))*(MIN(Table112345[[#This Row],[b (mm)]],AF44)^4/(12*MAX(Table112345[[#This Row],[b (mm)]],AF44)^4)))*MAX(Table112345[[#This Row],[b (mm)]],AF44)*MIN(Table112345[[#This Row],[b (mm)]],AF44)^3</f>
        <v>844653219.61076438</v>
      </c>
      <c r="AM44" s="111">
        <f>Table112345[[#This Row],[b (mm)]]*AF44^3/12</f>
        <v>479970239.58333331</v>
      </c>
      <c r="AN44" s="160">
        <v>1397</v>
      </c>
      <c r="AP44" s="139"/>
      <c r="AQ44" s="139"/>
      <c r="AR44" s="139"/>
      <c r="AS44" s="139"/>
      <c r="AT44" s="139"/>
      <c r="AU44" s="139"/>
    </row>
    <row r="45" spans="1:47" x14ac:dyDescent="0.3">
      <c r="A45" s="156" t="s">
        <v>99</v>
      </c>
      <c r="B45" s="164">
        <v>3</v>
      </c>
      <c r="C45" s="111">
        <v>44</v>
      </c>
      <c r="D45" s="111">
        <f>Table112345[[#This Row],[a (mm)]]/Table112345[[#This Row],[d (mm)]]</f>
        <v>2.99</v>
      </c>
      <c r="E45" s="160">
        <v>26.688000000000002</v>
      </c>
      <c r="F45" s="137">
        <f>Table112345[[#This Row],[d (mm)]]</f>
        <v>233</v>
      </c>
      <c r="G45" s="111">
        <f t="shared" si="12"/>
        <v>18592.728960000004</v>
      </c>
      <c r="H45" s="111">
        <f t="shared" si="13"/>
        <v>1.4708424190937589E-6</v>
      </c>
      <c r="I45" s="111">
        <f>G45/(Table112345[[#This Row],[b (mm)]]*Table112345[[#This Row],[h]]^2)</f>
        <v>9.8457186597702062E-4</v>
      </c>
      <c r="J45" s="111">
        <f t="shared" si="14"/>
        <v>0.25332419047619054</v>
      </c>
      <c r="K45" s="111">
        <f t="shared" si="15"/>
        <v>1.0062547398139966E-6</v>
      </c>
      <c r="L45" s="111">
        <f>E45/(Table112345[[#This Row],[b (mm)]]*AE45)</f>
        <v>5.6424025877925544E-4</v>
      </c>
      <c r="M45" s="111">
        <f>Table112345[[#This Row],[M (KN.mm)]]/(Table112345[[#This Row],[b (mm)]]*Table112345[[#This Row],[d (mm)]])</f>
        <v>0.39308926108374392</v>
      </c>
      <c r="N45" s="111">
        <f>Table112345[[#This Row],[M (KN.mm)]]/(Table112345[[#This Row],[b (mm)]]*Table112345[[#This Row],[h (mm)]])</f>
        <v>0.30029441912299126</v>
      </c>
      <c r="O45" s="111">
        <f>Table112345[[#This Row],[M (KN.mm)]]/(Table112345[[#This Row],[b (mm)]]*Table112345[[#This Row],[h (mm)]]*Table112345[[#This Row],[L(mm)]])</f>
        <v>2.149566350200367E-4</v>
      </c>
      <c r="P45" s="111">
        <f>Table112345[[#This Row],[M (KN.mm)]]/(Table112345[[#This Row],[b (mm)]]*Table112345[[#This Row],[d (mm)]]*Table112345[[#This Row],[L(mm)]])</f>
        <v>2.8138100292322398E-4</v>
      </c>
      <c r="Q45" s="111">
        <f>Table112345[[#This Row],[M (KN.mm)]]/(Table112345[[#This Row],[b (mm)]]*Table112345[[#This Row],[h (mm)]]*Table112345[[#This Row],[L(mm)]]*Table112345[[#This Row],[fc (Mpa)]])</f>
        <v>3.1334786446069493E-6</v>
      </c>
      <c r="R45" s="111">
        <f>Table112345[[#This Row],[M (KN.mm)]]/(Table112345[[#This Row],[b (mm)]]*Table112345[[#This Row],[h (mm)]]*Table112345[[#This Row],[L(mm)]]/2)</f>
        <v>4.2991327004007339E-4</v>
      </c>
      <c r="S45" s="111">
        <f>Table112345[[#This Row],[M (KN.mm)]]/(Table112345[[#This Row],[a (mm)]]*Table112345[[#This Row],[b (mm)]]*Table112345[[#This Row],[h (mm)]]*Table112345[[#This Row],[L(mm)]]/2)</f>
        <v>6.1709743499802398E-7</v>
      </c>
      <c r="T45" s="111">
        <f>Table112345[[#This Row],[M (KN.mm)]]/(Table112345[[#This Row],[a (mm)]]^2*Table112345[[#This Row],[b (mm)]]*Table112345[[#This Row],[h (mm)]])</f>
        <v>6.1871841524124726E-7</v>
      </c>
      <c r="U45" s="111">
        <f>Table112345[[#This Row],[M (KN.mm)]]/(Table112345[[#This Row],[b (mm)]]*Table112345[[#This Row],[d (mm)]]*Table112345[[#This Row],[pho (%)]])</f>
        <v>0.31197560403471741</v>
      </c>
      <c r="V45" s="111">
        <f>E45*224.8/(2*SQRT(Table112345[[#This Row],[fc (Mpa)]]*145.037)*Table112345[[#This Row],[b (mm)]]*Table112345[[#This Row],[d (mm)]]*(1/25.4)^2)</f>
        <v>0.41020065792590521</v>
      </c>
      <c r="W45" s="111">
        <f>Table112345[[#This Row],[M (KN.mm)]]/$G$52</f>
        <v>0.45499328257948951</v>
      </c>
      <c r="X45" s="111">
        <f>Table112345[[#This Row],[V/(2*sqrt(fc) bd)]]</f>
        <v>0.41020065792590521</v>
      </c>
      <c r="Y45" s="110">
        <f>Table112345[[#This Row],[a (mm)]]</f>
        <v>696.67000000000007</v>
      </c>
      <c r="Z45" s="110">
        <f>Table112345[[#This Row],[width]]*Table112345[[#This Row],[h]]^2</f>
        <v>18884075</v>
      </c>
      <c r="AA45" s="110">
        <f>Table112345[[#This Row],[b (mm)]]</f>
        <v>203</v>
      </c>
      <c r="AB45" s="110">
        <f>Table112345[[#This Row],[a]]/Table112345[[#This Row],[h (mm)]]</f>
        <v>2.2841639344262297</v>
      </c>
      <c r="AC45" s="110">
        <f>Table112345[[#This Row],[h (mm)]]</f>
        <v>305</v>
      </c>
      <c r="AD45" s="111">
        <f>2.99*Table112345[[#This Row],[d (mm)]]</f>
        <v>696.67000000000007</v>
      </c>
      <c r="AE45" s="160">
        <v>233</v>
      </c>
      <c r="AF45" s="160">
        <v>305</v>
      </c>
      <c r="AG45" s="160">
        <v>203</v>
      </c>
      <c r="AH45" s="160">
        <v>68.599999999999994</v>
      </c>
      <c r="AI45" s="160">
        <v>600</v>
      </c>
      <c r="AJ45" s="160">
        <v>1.26</v>
      </c>
      <c r="AK45" s="160">
        <v>525</v>
      </c>
      <c r="AL45" s="111">
        <f>(1/3-0.21*(MIN(Table112345[[#This Row],[b (mm)]],AF45)/MAX(Table112345[[#This Row],[b (mm)]],AF45))*(MIN(Table112345[[#This Row],[b (mm)]],AF45)^4/(12*MAX(Table112345[[#This Row],[b (mm)]],AF45)^4)))*MAX(Table112345[[#This Row],[b (mm)]],AF45)*MIN(Table112345[[#This Row],[b (mm)]],AF45)^3</f>
        <v>844653219.61076438</v>
      </c>
      <c r="AM45" s="111">
        <f>Table112345[[#This Row],[b (mm)]]*AF45^3/12</f>
        <v>479970239.58333331</v>
      </c>
      <c r="AN45" s="160">
        <v>1397</v>
      </c>
      <c r="AP45" s="139"/>
      <c r="AQ45" s="139"/>
      <c r="AR45" s="139"/>
      <c r="AS45" s="139"/>
      <c r="AT45" s="139"/>
      <c r="AU45" s="139"/>
    </row>
    <row r="46" spans="1:47" x14ac:dyDescent="0.3">
      <c r="A46" s="156" t="s">
        <v>99</v>
      </c>
      <c r="B46" s="164">
        <v>4</v>
      </c>
      <c r="C46" s="111">
        <v>45</v>
      </c>
      <c r="D46" s="111">
        <f>Table112345[[#This Row],[a (mm)]]/Table112345[[#This Row],[d (mm)]]</f>
        <v>2.99</v>
      </c>
      <c r="E46" s="160">
        <v>31.136000000000003</v>
      </c>
      <c r="F46" s="137">
        <f>Table112345[[#This Row],[d (mm)]]</f>
        <v>233</v>
      </c>
      <c r="G46" s="111">
        <f t="shared" si="12"/>
        <v>21691.517120000004</v>
      </c>
      <c r="H46" s="111">
        <f t="shared" si="13"/>
        <v>1.715982822276052E-6</v>
      </c>
      <c r="I46" s="111">
        <f>G46/(Table112345[[#This Row],[b (mm)]]*Table112345[[#This Row],[h]]^2)</f>
        <v>1.1486671769731906E-3</v>
      </c>
      <c r="J46" s="111">
        <f t="shared" si="14"/>
        <v>0.29554488888888897</v>
      </c>
      <c r="K46" s="111">
        <f t="shared" si="15"/>
        <v>1.1739638631163294E-6</v>
      </c>
      <c r="L46" s="111">
        <f>E46/(Table112345[[#This Row],[b (mm)]]*AE46)</f>
        <v>6.5828030190913129E-4</v>
      </c>
      <c r="M46" s="111">
        <f>Table112345[[#This Row],[M (KN.mm)]]/(Table112345[[#This Row],[b (mm)]]*Table112345[[#This Row],[d (mm)]])</f>
        <v>0.45860413793103455</v>
      </c>
      <c r="N46" s="111">
        <f>Table112345[[#This Row],[M (KN.mm)]]/(Table112345[[#This Row],[b (mm)]]*Table112345[[#This Row],[h (mm)]])</f>
        <v>0.3503434889768231</v>
      </c>
      <c r="O46" s="111">
        <f>Table112345[[#This Row],[M (KN.mm)]]/(Table112345[[#This Row],[b (mm)]]*Table112345[[#This Row],[h (mm)]]*Table112345[[#This Row],[L(mm)]])</f>
        <v>2.5078274085670949E-4</v>
      </c>
      <c r="P46" s="111">
        <f>Table112345[[#This Row],[M (KN.mm)]]/(Table112345[[#This Row],[b (mm)]]*Table112345[[#This Row],[d (mm)]]*Table112345[[#This Row],[L(mm)]])</f>
        <v>3.2827783674376133E-4</v>
      </c>
      <c r="Q46" s="111">
        <f>Table112345[[#This Row],[M (KN.mm)]]/(Table112345[[#This Row],[b (mm)]]*Table112345[[#This Row],[h (mm)]]*Table112345[[#This Row],[L(mm)]]*Table112345[[#This Row],[fc (Mpa)]])</f>
        <v>3.6557250853747742E-6</v>
      </c>
      <c r="R46" s="111">
        <f>Table112345[[#This Row],[M (KN.mm)]]/(Table112345[[#This Row],[b (mm)]]*Table112345[[#This Row],[h (mm)]]*Table112345[[#This Row],[L(mm)]]/2)</f>
        <v>5.0156548171341898E-4</v>
      </c>
      <c r="S46" s="111">
        <f>Table112345[[#This Row],[M (KN.mm)]]/(Table112345[[#This Row],[a (mm)]]*Table112345[[#This Row],[b (mm)]]*Table112345[[#This Row],[h (mm)]]*Table112345[[#This Row],[L(mm)]]/2)</f>
        <v>7.1994700749769457E-7</v>
      </c>
      <c r="T46" s="111">
        <f>Table112345[[#This Row],[M (KN.mm)]]/(Table112345[[#This Row],[a (mm)]]^2*Table112345[[#This Row],[b (mm)]]*Table112345[[#This Row],[h (mm)]])</f>
        <v>7.2183815111478845E-7</v>
      </c>
      <c r="U46" s="111">
        <f>Table112345[[#This Row],[M (KN.mm)]]/(Table112345[[#This Row],[b (mm)]]*Table112345[[#This Row],[d (mm)]]*Table112345[[#This Row],[pho (%)]])</f>
        <v>0.36397153804050364</v>
      </c>
      <c r="V46" s="111">
        <f>E46*224.8/(2*SQRT(Table112345[[#This Row],[fc (Mpa)]]*145.037)*Table112345[[#This Row],[b (mm)]]*Table112345[[#This Row],[d (mm)]]*(1/25.4)^2)</f>
        <v>0.47856743424688936</v>
      </c>
      <c r="W46" s="111">
        <f>Table112345[[#This Row],[M (KN.mm)]]/$G$52</f>
        <v>0.53082549634273768</v>
      </c>
      <c r="X46" s="111">
        <f>Table112345[[#This Row],[V/(2*sqrt(fc) bd)]]</f>
        <v>0.47856743424688936</v>
      </c>
      <c r="Y46" s="110">
        <f>Table112345[[#This Row],[a (mm)]]</f>
        <v>696.67000000000007</v>
      </c>
      <c r="Z46" s="110">
        <f>Table112345[[#This Row],[width]]*Table112345[[#This Row],[h]]^2</f>
        <v>18884075</v>
      </c>
      <c r="AA46" s="110">
        <f>Table112345[[#This Row],[b (mm)]]</f>
        <v>203</v>
      </c>
      <c r="AB46" s="110">
        <f>Table112345[[#This Row],[a]]/Table112345[[#This Row],[h (mm)]]</f>
        <v>2.2841639344262297</v>
      </c>
      <c r="AC46" s="110">
        <f>Table112345[[#This Row],[h (mm)]]</f>
        <v>305</v>
      </c>
      <c r="AD46" s="111">
        <f>2.99*Table112345[[#This Row],[d (mm)]]</f>
        <v>696.67000000000007</v>
      </c>
      <c r="AE46" s="160">
        <v>233</v>
      </c>
      <c r="AF46" s="160">
        <v>305</v>
      </c>
      <c r="AG46" s="160">
        <v>203</v>
      </c>
      <c r="AH46" s="160">
        <v>68.599999999999994</v>
      </c>
      <c r="AI46" s="160">
        <v>600</v>
      </c>
      <c r="AJ46" s="160">
        <v>1.26</v>
      </c>
      <c r="AK46" s="160">
        <v>525</v>
      </c>
      <c r="AL46" s="111">
        <f>(1/3-0.21*(MIN(Table112345[[#This Row],[b (mm)]],AF46)/MAX(Table112345[[#This Row],[b (mm)]],AF46))*(MIN(Table112345[[#This Row],[b (mm)]],AF46)^4/(12*MAX(Table112345[[#This Row],[b (mm)]],AF46)^4)))*MAX(Table112345[[#This Row],[b (mm)]],AF46)*MIN(Table112345[[#This Row],[b (mm)]],AF46)^3</f>
        <v>844653219.61076438</v>
      </c>
      <c r="AM46" s="111">
        <f>Table112345[[#This Row],[b (mm)]]*AF46^3/12</f>
        <v>479970239.58333331</v>
      </c>
      <c r="AN46" s="160">
        <v>1397</v>
      </c>
      <c r="AP46" s="139"/>
      <c r="AQ46" s="139"/>
      <c r="AR46" s="139"/>
      <c r="AS46" s="139"/>
      <c r="AT46" s="139"/>
      <c r="AU46" s="139"/>
    </row>
    <row r="47" spans="1:47" x14ac:dyDescent="0.3">
      <c r="A47" s="156" t="s">
        <v>99</v>
      </c>
      <c r="B47" s="164">
        <v>5</v>
      </c>
      <c r="C47" s="111">
        <v>46</v>
      </c>
      <c r="D47" s="111">
        <f>Table112345[[#This Row],[a (mm)]]/Table112345[[#This Row],[d (mm)]]</f>
        <v>2.99</v>
      </c>
      <c r="E47" s="160">
        <v>35.584000000000003</v>
      </c>
      <c r="F47" s="137">
        <f>Table112345[[#This Row],[d (mm)]]</f>
        <v>233</v>
      </c>
      <c r="G47" s="111">
        <f t="shared" si="12"/>
        <v>24790.305280000004</v>
      </c>
      <c r="H47" s="111">
        <f t="shared" si="13"/>
        <v>1.9611232254583452E-6</v>
      </c>
      <c r="I47" s="111">
        <f>G47/(Table112345[[#This Row],[b (mm)]]*Table112345[[#This Row],[h]]^2)</f>
        <v>1.3127624879693608E-3</v>
      </c>
      <c r="J47" s="111">
        <f t="shared" si="14"/>
        <v>0.33776558730158734</v>
      </c>
      <c r="K47" s="111">
        <f t="shared" si="15"/>
        <v>1.3416729864186622E-6</v>
      </c>
      <c r="L47" s="111">
        <f>E47/(Table112345[[#This Row],[b (mm)]]*AE47)</f>
        <v>7.5232034503900725E-4</v>
      </c>
      <c r="M47" s="111">
        <f>Table112345[[#This Row],[M (KN.mm)]]/(Table112345[[#This Row],[b (mm)]]*Table112345[[#This Row],[d (mm)]])</f>
        <v>0.52411901477832523</v>
      </c>
      <c r="N47" s="111">
        <f>Table112345[[#This Row],[M (KN.mm)]]/(Table112345[[#This Row],[b (mm)]]*Table112345[[#This Row],[h (mm)]])</f>
        <v>0.400392558830655</v>
      </c>
      <c r="O47" s="111">
        <f>Table112345[[#This Row],[M (KN.mm)]]/(Table112345[[#This Row],[b (mm)]]*Table112345[[#This Row],[h (mm)]]*Table112345[[#This Row],[L(mm)]])</f>
        <v>2.8660884669338223E-4</v>
      </c>
      <c r="P47" s="111">
        <f>Table112345[[#This Row],[M (KN.mm)]]/(Table112345[[#This Row],[b (mm)]]*Table112345[[#This Row],[d (mm)]]*Table112345[[#This Row],[L(mm)]])</f>
        <v>3.7517467056429862E-4</v>
      </c>
      <c r="Q47" s="111">
        <f>Table112345[[#This Row],[M (KN.mm)]]/(Table112345[[#This Row],[b (mm)]]*Table112345[[#This Row],[h (mm)]]*Table112345[[#This Row],[L(mm)]]*Table112345[[#This Row],[fc (Mpa)]])</f>
        <v>4.1779715261425987E-6</v>
      </c>
      <c r="R47" s="111">
        <f>Table112345[[#This Row],[M (KN.mm)]]/(Table112345[[#This Row],[b (mm)]]*Table112345[[#This Row],[h (mm)]]*Table112345[[#This Row],[L(mm)]]/2)</f>
        <v>5.7321769338676445E-4</v>
      </c>
      <c r="S47" s="111">
        <f>Table112345[[#This Row],[M (KN.mm)]]/(Table112345[[#This Row],[a (mm)]]*Table112345[[#This Row],[b (mm)]]*Table112345[[#This Row],[h (mm)]]*Table112345[[#This Row],[L(mm)]]/2)</f>
        <v>8.2279657999736527E-7</v>
      </c>
      <c r="T47" s="111">
        <f>Table112345[[#This Row],[M (KN.mm)]]/(Table112345[[#This Row],[a (mm)]]^2*Table112345[[#This Row],[b (mm)]]*Table112345[[#This Row],[h (mm)]])</f>
        <v>8.2495788698832964E-7</v>
      </c>
      <c r="U47" s="111">
        <f>Table112345[[#This Row],[M (KN.mm)]]/(Table112345[[#This Row],[b (mm)]]*Table112345[[#This Row],[d (mm)]]*Table112345[[#This Row],[pho (%)]])</f>
        <v>0.41596747204628987</v>
      </c>
      <c r="V47" s="111">
        <f>E47*224.8/(2*SQRT(Table112345[[#This Row],[fc (Mpa)]]*145.037)*Table112345[[#This Row],[b (mm)]]*Table112345[[#This Row],[d (mm)]]*(1/25.4)^2)</f>
        <v>0.5469342105678735</v>
      </c>
      <c r="W47" s="111">
        <f>Table112345[[#This Row],[M (KN.mm)]]/$G$52</f>
        <v>0.60665771010598601</v>
      </c>
      <c r="X47" s="111">
        <f>Table112345[[#This Row],[V/(2*sqrt(fc) bd)]]</f>
        <v>0.5469342105678735</v>
      </c>
      <c r="Y47" s="110">
        <f>Table112345[[#This Row],[a (mm)]]</f>
        <v>696.67000000000007</v>
      </c>
      <c r="Z47" s="110">
        <f>Table112345[[#This Row],[width]]*Table112345[[#This Row],[h]]^2</f>
        <v>18884075</v>
      </c>
      <c r="AA47" s="110">
        <f>Table112345[[#This Row],[b (mm)]]</f>
        <v>203</v>
      </c>
      <c r="AB47" s="110">
        <f>Table112345[[#This Row],[a]]/Table112345[[#This Row],[h (mm)]]</f>
        <v>2.2841639344262297</v>
      </c>
      <c r="AC47" s="110">
        <f>Table112345[[#This Row],[h (mm)]]</f>
        <v>305</v>
      </c>
      <c r="AD47" s="111">
        <f>2.99*Table112345[[#This Row],[d (mm)]]</f>
        <v>696.67000000000007</v>
      </c>
      <c r="AE47" s="160">
        <v>233</v>
      </c>
      <c r="AF47" s="160">
        <v>305</v>
      </c>
      <c r="AG47" s="160">
        <v>203</v>
      </c>
      <c r="AH47" s="160">
        <v>68.599999999999994</v>
      </c>
      <c r="AI47" s="160">
        <v>600</v>
      </c>
      <c r="AJ47" s="160">
        <v>1.26</v>
      </c>
      <c r="AK47" s="160">
        <v>525</v>
      </c>
      <c r="AL47" s="111">
        <f>(1/3-0.21*(MIN(Table112345[[#This Row],[b (mm)]],AF47)/MAX(Table112345[[#This Row],[b (mm)]],AF47))*(MIN(Table112345[[#This Row],[b (mm)]],AF47)^4/(12*MAX(Table112345[[#This Row],[b (mm)]],AF47)^4)))*MAX(Table112345[[#This Row],[b (mm)]],AF47)*MIN(Table112345[[#This Row],[b (mm)]],AF47)^3</f>
        <v>844653219.61076438</v>
      </c>
      <c r="AM47" s="111">
        <f>Table112345[[#This Row],[b (mm)]]*AF47^3/12</f>
        <v>479970239.58333331</v>
      </c>
      <c r="AN47" s="160">
        <v>1397</v>
      </c>
      <c r="AP47" s="139"/>
      <c r="AQ47" s="139"/>
      <c r="AR47" s="139"/>
      <c r="AS47" s="139"/>
      <c r="AT47" s="139"/>
      <c r="AU47" s="139"/>
    </row>
    <row r="48" spans="1:47" x14ac:dyDescent="0.3">
      <c r="A48" s="156" t="s">
        <v>99</v>
      </c>
      <c r="B48" s="164">
        <v>6</v>
      </c>
      <c r="C48" s="111">
        <v>47</v>
      </c>
      <c r="D48" s="111">
        <f>Table112345[[#This Row],[a (mm)]]/Table112345[[#This Row],[d (mm)]]</f>
        <v>2.99</v>
      </c>
      <c r="E48" s="160">
        <v>40.032000000000004</v>
      </c>
      <c r="F48" s="137">
        <f>Table112345[[#This Row],[d (mm)]]</f>
        <v>233</v>
      </c>
      <c r="G48" s="111">
        <f t="shared" si="12"/>
        <v>27889.093440000004</v>
      </c>
      <c r="H48" s="111">
        <f t="shared" si="13"/>
        <v>2.2062636286406383E-6</v>
      </c>
      <c r="I48" s="111">
        <f>G48/(Table112345[[#This Row],[b (mm)]]*Table112345[[#This Row],[h]]^2)</f>
        <v>1.4768577989655307E-3</v>
      </c>
      <c r="J48" s="111">
        <f t="shared" si="14"/>
        <v>0.37998628571428578</v>
      </c>
      <c r="K48" s="111">
        <f t="shared" si="15"/>
        <v>1.5093821097209948E-6</v>
      </c>
      <c r="L48" s="111">
        <f>E48/(Table112345[[#This Row],[b (mm)]]*AE48)</f>
        <v>8.463603881688831E-4</v>
      </c>
      <c r="M48" s="111">
        <f>Table112345[[#This Row],[M (KN.mm)]]/(Table112345[[#This Row],[b (mm)]]*Table112345[[#This Row],[d (mm)]])</f>
        <v>0.58963389162561586</v>
      </c>
      <c r="N48" s="111">
        <f>Table112345[[#This Row],[M (KN.mm)]]/(Table112345[[#This Row],[b (mm)]]*Table112345[[#This Row],[h (mm)]])</f>
        <v>0.45044162868448684</v>
      </c>
      <c r="O48" s="111">
        <f>Table112345[[#This Row],[M (KN.mm)]]/(Table112345[[#This Row],[b (mm)]]*Table112345[[#This Row],[h (mm)]]*Table112345[[#This Row],[L(mm)]])</f>
        <v>3.2243495253005502E-4</v>
      </c>
      <c r="P48" s="111">
        <f>Table112345[[#This Row],[M (KN.mm)]]/(Table112345[[#This Row],[b (mm)]]*Table112345[[#This Row],[d (mm)]]*Table112345[[#This Row],[L(mm)]])</f>
        <v>4.2207150438483597E-4</v>
      </c>
      <c r="Q48" s="111">
        <f>Table112345[[#This Row],[M (KN.mm)]]/(Table112345[[#This Row],[b (mm)]]*Table112345[[#This Row],[h (mm)]]*Table112345[[#This Row],[L(mm)]]*Table112345[[#This Row],[fc (Mpa)]])</f>
        <v>4.7002179669104237E-6</v>
      </c>
      <c r="R48" s="111">
        <f>Table112345[[#This Row],[M (KN.mm)]]/(Table112345[[#This Row],[b (mm)]]*Table112345[[#This Row],[h (mm)]]*Table112345[[#This Row],[L(mm)]]/2)</f>
        <v>6.4486990506011004E-4</v>
      </c>
      <c r="S48" s="111">
        <f>Table112345[[#This Row],[M (KN.mm)]]/(Table112345[[#This Row],[a (mm)]]*Table112345[[#This Row],[b (mm)]]*Table112345[[#This Row],[h (mm)]]*Table112345[[#This Row],[L(mm)]]/2)</f>
        <v>9.2564615249703586E-7</v>
      </c>
      <c r="T48" s="111">
        <f>Table112345[[#This Row],[M (KN.mm)]]/(Table112345[[#This Row],[a (mm)]]^2*Table112345[[#This Row],[b (mm)]]*Table112345[[#This Row],[h (mm)]])</f>
        <v>9.2807762286187083E-7</v>
      </c>
      <c r="U48" s="111">
        <f>Table112345[[#This Row],[M (KN.mm)]]/(Table112345[[#This Row],[b (mm)]]*Table112345[[#This Row],[d (mm)]]*Table112345[[#This Row],[pho (%)]])</f>
        <v>0.46796340605207609</v>
      </c>
      <c r="V48" s="111">
        <f>E48*224.8/(2*SQRT(Table112345[[#This Row],[fc (Mpa)]]*145.037)*Table112345[[#This Row],[b (mm)]]*Table112345[[#This Row],[d (mm)]]*(1/25.4)^2)</f>
        <v>0.6153009868888577</v>
      </c>
      <c r="W48" s="111">
        <f>Table112345[[#This Row],[M (KN.mm)]]/$G$52</f>
        <v>0.68248992386923424</v>
      </c>
      <c r="X48" s="111">
        <f>Table112345[[#This Row],[V/(2*sqrt(fc) bd)]]</f>
        <v>0.6153009868888577</v>
      </c>
      <c r="Y48" s="110">
        <f>Table112345[[#This Row],[a (mm)]]</f>
        <v>696.67000000000007</v>
      </c>
      <c r="Z48" s="110">
        <f>Table112345[[#This Row],[width]]*Table112345[[#This Row],[h]]^2</f>
        <v>18884075</v>
      </c>
      <c r="AA48" s="110">
        <f>Table112345[[#This Row],[b (mm)]]</f>
        <v>203</v>
      </c>
      <c r="AB48" s="110">
        <f>Table112345[[#This Row],[a]]/Table112345[[#This Row],[h (mm)]]</f>
        <v>2.2841639344262297</v>
      </c>
      <c r="AC48" s="110">
        <f>Table112345[[#This Row],[h (mm)]]</f>
        <v>305</v>
      </c>
      <c r="AD48" s="111">
        <f>2.99*Table112345[[#This Row],[d (mm)]]</f>
        <v>696.67000000000007</v>
      </c>
      <c r="AE48" s="160">
        <v>233</v>
      </c>
      <c r="AF48" s="160">
        <v>305</v>
      </c>
      <c r="AG48" s="160">
        <v>203</v>
      </c>
      <c r="AH48" s="160">
        <v>68.599999999999994</v>
      </c>
      <c r="AI48" s="160">
        <v>600</v>
      </c>
      <c r="AJ48" s="160">
        <v>1.26</v>
      </c>
      <c r="AK48" s="160">
        <v>525</v>
      </c>
      <c r="AL48" s="111">
        <f>(1/3-0.21*(MIN(Table112345[[#This Row],[b (mm)]],AF48)/MAX(Table112345[[#This Row],[b (mm)]],AF48))*(MIN(Table112345[[#This Row],[b (mm)]],AF48)^4/(12*MAX(Table112345[[#This Row],[b (mm)]],AF48)^4)))*MAX(Table112345[[#This Row],[b (mm)]],AF48)*MIN(Table112345[[#This Row],[b (mm)]],AF48)^3</f>
        <v>844653219.61076438</v>
      </c>
      <c r="AM48" s="111">
        <f>Table112345[[#This Row],[b (mm)]]*AF48^3/12</f>
        <v>479970239.58333331</v>
      </c>
      <c r="AN48" s="160">
        <v>1397</v>
      </c>
      <c r="AP48" s="139"/>
      <c r="AQ48" s="139"/>
      <c r="AR48" s="139"/>
      <c r="AS48" s="139"/>
      <c r="AT48" s="139"/>
      <c r="AU48" s="139"/>
    </row>
    <row r="49" spans="1:49" x14ac:dyDescent="0.3">
      <c r="A49" s="156" t="s">
        <v>99</v>
      </c>
      <c r="B49" s="164">
        <v>7</v>
      </c>
      <c r="C49" s="111">
        <v>48</v>
      </c>
      <c r="D49" s="111">
        <f>Table112345[[#This Row],[a (mm)]]/Table112345[[#This Row],[d (mm)]]</f>
        <v>2.99</v>
      </c>
      <c r="E49" s="160">
        <v>44.480000000000004</v>
      </c>
      <c r="F49" s="137">
        <f>Table112345[[#This Row],[d (mm)]]</f>
        <v>233</v>
      </c>
      <c r="G49" s="111">
        <f t="shared" si="12"/>
        <v>30987.881600000004</v>
      </c>
      <c r="H49" s="111">
        <f t="shared" si="13"/>
        <v>2.4514040318229313E-6</v>
      </c>
      <c r="I49" s="111">
        <f>G49/(Table112345[[#This Row],[b (mm)]]*Table112345[[#This Row],[h]]^2)</f>
        <v>1.6409531099617007E-3</v>
      </c>
      <c r="J49" s="111">
        <f t="shared" si="14"/>
        <v>0.42220698412698421</v>
      </c>
      <c r="K49" s="111">
        <f t="shared" si="15"/>
        <v>1.6770912330233276E-6</v>
      </c>
      <c r="L49" s="111">
        <f>E49/(Table112345[[#This Row],[b (mm)]]*AE49)</f>
        <v>9.4040043129875906E-4</v>
      </c>
      <c r="M49" s="111">
        <f>Table112345[[#This Row],[M (KN.mm)]]/(Table112345[[#This Row],[b (mm)]]*Table112345[[#This Row],[d (mm)]])</f>
        <v>0.65514876847290648</v>
      </c>
      <c r="N49" s="111">
        <f>Table112345[[#This Row],[M (KN.mm)]]/(Table112345[[#This Row],[b (mm)]]*Table112345[[#This Row],[h (mm)]])</f>
        <v>0.50049069853831873</v>
      </c>
      <c r="O49" s="111">
        <f>Table112345[[#This Row],[M (KN.mm)]]/(Table112345[[#This Row],[b (mm)]]*Table112345[[#This Row],[h (mm)]]*Table112345[[#This Row],[L(mm)]])</f>
        <v>3.5826105836672781E-4</v>
      </c>
      <c r="P49" s="111">
        <f>Table112345[[#This Row],[M (KN.mm)]]/(Table112345[[#This Row],[b (mm)]]*Table112345[[#This Row],[d (mm)]]*Table112345[[#This Row],[L(mm)]])</f>
        <v>4.6896833820537332E-4</v>
      </c>
      <c r="Q49" s="111">
        <f>Table112345[[#This Row],[M (KN.mm)]]/(Table112345[[#This Row],[b (mm)]]*Table112345[[#This Row],[h (mm)]]*Table112345[[#This Row],[L(mm)]]*Table112345[[#This Row],[fc (Mpa)]])</f>
        <v>5.2224644076782486E-6</v>
      </c>
      <c r="R49" s="111">
        <f>Table112345[[#This Row],[M (KN.mm)]]/(Table112345[[#This Row],[b (mm)]]*Table112345[[#This Row],[h (mm)]]*Table112345[[#This Row],[L(mm)]]/2)</f>
        <v>7.1652211673345562E-4</v>
      </c>
      <c r="S49" s="111">
        <f>Table112345[[#This Row],[M (KN.mm)]]/(Table112345[[#This Row],[a (mm)]]*Table112345[[#This Row],[b (mm)]]*Table112345[[#This Row],[h (mm)]]*Table112345[[#This Row],[L(mm)]]/2)</f>
        <v>1.0284957249967066E-6</v>
      </c>
      <c r="T49" s="111">
        <f>Table112345[[#This Row],[M (KN.mm)]]/(Table112345[[#This Row],[a (mm)]]^2*Table112345[[#This Row],[b (mm)]]*Table112345[[#This Row],[h (mm)]])</f>
        <v>1.0311973587354119E-6</v>
      </c>
      <c r="U49" s="111">
        <f>Table112345[[#This Row],[M (KN.mm)]]/(Table112345[[#This Row],[b (mm)]]*Table112345[[#This Row],[d (mm)]]*Table112345[[#This Row],[pho (%)]])</f>
        <v>0.51995934005786226</v>
      </c>
      <c r="V49" s="111">
        <f>E49*224.8/(2*SQRT(Table112345[[#This Row],[fc (Mpa)]]*145.037)*Table112345[[#This Row],[b (mm)]]*Table112345[[#This Row],[d (mm)]]*(1/25.4)^2)</f>
        <v>0.68366776320984191</v>
      </c>
      <c r="W49" s="111">
        <f>Table112345[[#This Row],[M (KN.mm)]]/$G$52</f>
        <v>0.75832213763248246</v>
      </c>
      <c r="X49" s="111">
        <f>Table112345[[#This Row],[V/(2*sqrt(fc) bd)]]</f>
        <v>0.68366776320984191</v>
      </c>
      <c r="Y49" s="110">
        <f>Table112345[[#This Row],[a (mm)]]</f>
        <v>696.67000000000007</v>
      </c>
      <c r="Z49" s="110">
        <f>Table112345[[#This Row],[width]]*Table112345[[#This Row],[h]]^2</f>
        <v>18884075</v>
      </c>
      <c r="AA49" s="110">
        <f>Table112345[[#This Row],[b (mm)]]</f>
        <v>203</v>
      </c>
      <c r="AB49" s="110">
        <f>Table112345[[#This Row],[a]]/Table112345[[#This Row],[h (mm)]]</f>
        <v>2.2841639344262297</v>
      </c>
      <c r="AC49" s="110">
        <f>Table112345[[#This Row],[h (mm)]]</f>
        <v>305</v>
      </c>
      <c r="AD49" s="111">
        <f>2.99*Table112345[[#This Row],[d (mm)]]</f>
        <v>696.67000000000007</v>
      </c>
      <c r="AE49" s="160">
        <v>233</v>
      </c>
      <c r="AF49" s="160">
        <v>305</v>
      </c>
      <c r="AG49" s="160">
        <v>203</v>
      </c>
      <c r="AH49" s="160">
        <v>68.599999999999994</v>
      </c>
      <c r="AI49" s="160">
        <v>600</v>
      </c>
      <c r="AJ49" s="160">
        <v>1.26</v>
      </c>
      <c r="AK49" s="160">
        <v>525</v>
      </c>
      <c r="AL49" s="111">
        <f>(1/3-0.21*(MIN(Table112345[[#This Row],[b (mm)]],AF49)/MAX(Table112345[[#This Row],[b (mm)]],AF49))*(MIN(Table112345[[#This Row],[b (mm)]],AF49)^4/(12*MAX(Table112345[[#This Row],[b (mm)]],AF49)^4)))*MAX(Table112345[[#This Row],[b (mm)]],AF49)*MIN(Table112345[[#This Row],[b (mm)]],AF49)^3</f>
        <v>844653219.61076438</v>
      </c>
      <c r="AM49" s="111">
        <f>Table112345[[#This Row],[b (mm)]]*AF49^3/12</f>
        <v>479970239.58333331</v>
      </c>
      <c r="AN49" s="160">
        <v>1397</v>
      </c>
      <c r="AP49" s="139"/>
      <c r="AQ49" s="139"/>
      <c r="AR49" s="139"/>
      <c r="AS49" s="139"/>
      <c r="AT49" s="139"/>
      <c r="AU49" s="139"/>
    </row>
    <row r="50" spans="1:49" x14ac:dyDescent="0.3">
      <c r="A50" s="156" t="s">
        <v>99</v>
      </c>
      <c r="B50" s="164">
        <v>8</v>
      </c>
      <c r="C50" s="111">
        <v>49</v>
      </c>
      <c r="D50" s="111">
        <f>Table112345[[#This Row],[a (mm)]]/Table112345[[#This Row],[d (mm)]]</f>
        <v>2.99</v>
      </c>
      <c r="E50" s="160">
        <v>48.928000000000004</v>
      </c>
      <c r="F50" s="137">
        <f>Table112345[[#This Row],[d (mm)]]</f>
        <v>233</v>
      </c>
      <c r="G50" s="111">
        <f t="shared" si="12"/>
        <v>34086.669760000004</v>
      </c>
      <c r="H50" s="111">
        <f t="shared" si="13"/>
        <v>2.6965444350052244E-6</v>
      </c>
      <c r="I50" s="111">
        <f>G50/(Table112345[[#This Row],[b (mm)]]*Table112345[[#This Row],[h]]^2)</f>
        <v>1.8050484209578708E-3</v>
      </c>
      <c r="J50" s="111">
        <f t="shared" si="14"/>
        <v>0.46442768253968258</v>
      </c>
      <c r="K50" s="111">
        <f t="shared" si="15"/>
        <v>1.8448003563256604E-6</v>
      </c>
      <c r="L50" s="111">
        <f>E50/(Table112345[[#This Row],[b (mm)]]*AE50)</f>
        <v>1.034440474428635E-3</v>
      </c>
      <c r="M50" s="111">
        <f>Table112345[[#This Row],[M (KN.mm)]]/(Table112345[[#This Row],[b (mm)]]*Table112345[[#This Row],[d (mm)]])</f>
        <v>0.72066364532019711</v>
      </c>
      <c r="N50" s="111">
        <f>Table112345[[#This Row],[M (KN.mm)]]/(Table112345[[#This Row],[b (mm)]]*Table112345[[#This Row],[h (mm)]])</f>
        <v>0.55053976839215057</v>
      </c>
      <c r="O50" s="111">
        <f>Table112345[[#This Row],[M (KN.mm)]]/(Table112345[[#This Row],[b (mm)]]*Table112345[[#This Row],[h (mm)]]*Table112345[[#This Row],[L(mm)]])</f>
        <v>3.9408716420340055E-4</v>
      </c>
      <c r="P50" s="111">
        <f>Table112345[[#This Row],[M (KN.mm)]]/(Table112345[[#This Row],[b (mm)]]*Table112345[[#This Row],[d (mm)]]*Table112345[[#This Row],[L(mm)]])</f>
        <v>5.1586517202591067E-4</v>
      </c>
      <c r="Q50" s="111">
        <f>Table112345[[#This Row],[M (KN.mm)]]/(Table112345[[#This Row],[b (mm)]]*Table112345[[#This Row],[h (mm)]]*Table112345[[#This Row],[L(mm)]]*Table112345[[#This Row],[fc (Mpa)]])</f>
        <v>5.7447108484460736E-6</v>
      </c>
      <c r="R50" s="111">
        <f>Table112345[[#This Row],[M (KN.mm)]]/(Table112345[[#This Row],[b (mm)]]*Table112345[[#This Row],[h (mm)]]*Table112345[[#This Row],[L(mm)]]/2)</f>
        <v>7.8817432840680109E-4</v>
      </c>
      <c r="S50" s="111">
        <f>Table112345[[#This Row],[M (KN.mm)]]/(Table112345[[#This Row],[a (mm)]]*Table112345[[#This Row],[b (mm)]]*Table112345[[#This Row],[h (mm)]]*Table112345[[#This Row],[L(mm)]]/2)</f>
        <v>1.1313452974963772E-6</v>
      </c>
      <c r="T50" s="111">
        <f>Table112345[[#This Row],[M (KN.mm)]]/(Table112345[[#This Row],[a (mm)]]^2*Table112345[[#This Row],[b (mm)]]*Table112345[[#This Row],[h (mm)]])</f>
        <v>1.1343170946089532E-6</v>
      </c>
      <c r="U50" s="111">
        <f>Table112345[[#This Row],[M (KN.mm)]]/(Table112345[[#This Row],[b (mm)]]*Table112345[[#This Row],[d (mm)]]*Table112345[[#This Row],[pho (%)]])</f>
        <v>0.57195527406364854</v>
      </c>
      <c r="V50" s="111">
        <f>E50*224.8/(2*SQRT(Table112345[[#This Row],[fc (Mpa)]]*145.037)*Table112345[[#This Row],[b (mm)]]*Table112345[[#This Row],[d (mm)]]*(1/25.4)^2)</f>
        <v>0.75203453953082611</v>
      </c>
      <c r="W50" s="111">
        <f>Table112345[[#This Row],[M (KN.mm)]]/$G$52</f>
        <v>0.83415435139573069</v>
      </c>
      <c r="X50" s="111">
        <f>Table112345[[#This Row],[V/(2*sqrt(fc) bd)]]</f>
        <v>0.75203453953082611</v>
      </c>
      <c r="Y50" s="110">
        <f>Table112345[[#This Row],[a (mm)]]</f>
        <v>696.67000000000007</v>
      </c>
      <c r="Z50" s="110">
        <f>Table112345[[#This Row],[width]]*Table112345[[#This Row],[h]]^2</f>
        <v>18884075</v>
      </c>
      <c r="AA50" s="110">
        <f>Table112345[[#This Row],[b (mm)]]</f>
        <v>203</v>
      </c>
      <c r="AB50" s="110">
        <f>Table112345[[#This Row],[a]]/Table112345[[#This Row],[h (mm)]]</f>
        <v>2.2841639344262297</v>
      </c>
      <c r="AC50" s="110">
        <f>Table112345[[#This Row],[h (mm)]]</f>
        <v>305</v>
      </c>
      <c r="AD50" s="111">
        <f>2.99*Table112345[[#This Row],[d (mm)]]</f>
        <v>696.67000000000007</v>
      </c>
      <c r="AE50" s="160">
        <v>233</v>
      </c>
      <c r="AF50" s="160">
        <v>305</v>
      </c>
      <c r="AG50" s="160">
        <v>203</v>
      </c>
      <c r="AH50" s="160">
        <v>68.599999999999994</v>
      </c>
      <c r="AI50" s="160">
        <v>600</v>
      </c>
      <c r="AJ50" s="160">
        <v>1.26</v>
      </c>
      <c r="AK50" s="160">
        <v>525</v>
      </c>
      <c r="AL50" s="111">
        <f>(1/3-0.21*(MIN(Table112345[[#This Row],[b (mm)]],AF50)/MAX(Table112345[[#This Row],[b (mm)]],AF50))*(MIN(Table112345[[#This Row],[b (mm)]],AF50)^4/(12*MAX(Table112345[[#This Row],[b (mm)]],AF50)^4)))*MAX(Table112345[[#This Row],[b (mm)]],AF50)*MIN(Table112345[[#This Row],[b (mm)]],AF50)^3</f>
        <v>844653219.61076438</v>
      </c>
      <c r="AM50" s="111">
        <f>Table112345[[#This Row],[b (mm)]]*AF50^3/12</f>
        <v>479970239.58333331</v>
      </c>
      <c r="AN50" s="160">
        <v>1397</v>
      </c>
      <c r="AP50" s="139"/>
      <c r="AQ50" s="139"/>
      <c r="AR50" s="139"/>
      <c r="AS50" s="139"/>
      <c r="AT50" s="139"/>
      <c r="AU50" s="139"/>
    </row>
    <row r="51" spans="1:49" x14ac:dyDescent="0.3">
      <c r="A51" s="156" t="s">
        <v>99</v>
      </c>
      <c r="B51" s="164">
        <v>9</v>
      </c>
      <c r="C51" s="111">
        <v>50</v>
      </c>
      <c r="D51" s="111">
        <f>Table112345[[#This Row],[a (mm)]]/Table112345[[#This Row],[d (mm)]]</f>
        <v>2.99</v>
      </c>
      <c r="E51" s="160">
        <v>53.376000000000005</v>
      </c>
      <c r="F51" s="137">
        <f>Table112345[[#This Row],[d (mm)]]</f>
        <v>233</v>
      </c>
      <c r="G51" s="111">
        <f t="shared" si="12"/>
        <v>37185.457920000008</v>
      </c>
      <c r="H51" s="111">
        <f t="shared" si="13"/>
        <v>2.9416848381875178E-6</v>
      </c>
      <c r="I51" s="111">
        <f>G51/(Table112345[[#This Row],[b (mm)]]*Table112345[[#This Row],[h]]^2)</f>
        <v>1.9691437319540412E-3</v>
      </c>
      <c r="J51" s="111">
        <f t="shared" si="14"/>
        <v>0.50664838095238107</v>
      </c>
      <c r="K51" s="111">
        <f t="shared" si="15"/>
        <v>2.0125094796279932E-6</v>
      </c>
      <c r="L51" s="111">
        <f>E51/(Table112345[[#This Row],[b (mm)]]*AE51)</f>
        <v>1.1284805175585109E-3</v>
      </c>
      <c r="M51" s="111">
        <f>Table112345[[#This Row],[M (KN.mm)]]/(Table112345[[#This Row],[b (mm)]]*Table112345[[#This Row],[d (mm)]])</f>
        <v>0.78617852216748785</v>
      </c>
      <c r="N51" s="111">
        <f>Table112345[[#This Row],[M (KN.mm)]]/(Table112345[[#This Row],[b (mm)]]*Table112345[[#This Row],[h (mm)]])</f>
        <v>0.60058883824598253</v>
      </c>
      <c r="O51" s="111">
        <f>Table112345[[#This Row],[M (KN.mm)]]/(Table112345[[#This Row],[b (mm)]]*Table112345[[#This Row],[h (mm)]]*Table112345[[#This Row],[L(mm)]])</f>
        <v>4.2991327004007339E-4</v>
      </c>
      <c r="P51" s="111">
        <f>Table112345[[#This Row],[M (KN.mm)]]/(Table112345[[#This Row],[b (mm)]]*Table112345[[#This Row],[d (mm)]]*Table112345[[#This Row],[L(mm)]])</f>
        <v>5.6276200584644796E-4</v>
      </c>
      <c r="Q51" s="111">
        <f>Table112345[[#This Row],[M (KN.mm)]]/(Table112345[[#This Row],[b (mm)]]*Table112345[[#This Row],[h (mm)]]*Table112345[[#This Row],[L(mm)]]*Table112345[[#This Row],[fc (Mpa)]])</f>
        <v>6.2669572892138985E-6</v>
      </c>
      <c r="R51" s="111">
        <f>Table112345[[#This Row],[M (KN.mm)]]/(Table112345[[#This Row],[b (mm)]]*Table112345[[#This Row],[h (mm)]]*Table112345[[#This Row],[L(mm)]]/2)</f>
        <v>8.5982654008014679E-4</v>
      </c>
      <c r="S51" s="111">
        <f>Table112345[[#This Row],[M (KN.mm)]]/(Table112345[[#This Row],[a (mm)]]*Table112345[[#This Row],[b (mm)]]*Table112345[[#This Row],[h (mm)]]*Table112345[[#This Row],[L(mm)]]/2)</f>
        <v>1.234194869996048E-6</v>
      </c>
      <c r="T51" s="111">
        <f>Table112345[[#This Row],[M (KN.mm)]]/(Table112345[[#This Row],[a (mm)]]^2*Table112345[[#This Row],[b (mm)]]*Table112345[[#This Row],[h (mm)]])</f>
        <v>1.2374368304824945E-6</v>
      </c>
      <c r="U51" s="111">
        <f>Table112345[[#This Row],[M (KN.mm)]]/(Table112345[[#This Row],[b (mm)]]*Table112345[[#This Row],[d (mm)]]*Table112345[[#This Row],[pho (%)]])</f>
        <v>0.62395120806943483</v>
      </c>
      <c r="V51" s="111">
        <f>E51*224.8/(2*SQRT(Table112345[[#This Row],[fc (Mpa)]]*145.037)*Table112345[[#This Row],[b (mm)]]*Table112345[[#This Row],[d (mm)]]*(1/25.4)^2)</f>
        <v>0.82040131585181042</v>
      </c>
      <c r="W51" s="111">
        <f>Table112345[[#This Row],[M (KN.mm)]]/$G$52</f>
        <v>0.90998656515897902</v>
      </c>
      <c r="X51" s="111">
        <f>Table112345[[#This Row],[V/(2*sqrt(fc) bd)]]</f>
        <v>0.82040131585181042</v>
      </c>
      <c r="Y51" s="110">
        <f>Table112345[[#This Row],[a (mm)]]</f>
        <v>696.67000000000007</v>
      </c>
      <c r="Z51" s="110">
        <f>Table112345[[#This Row],[width]]*Table112345[[#This Row],[h]]^2</f>
        <v>18884075</v>
      </c>
      <c r="AA51" s="110">
        <f>Table112345[[#This Row],[b (mm)]]</f>
        <v>203</v>
      </c>
      <c r="AB51" s="110">
        <f>Table112345[[#This Row],[a]]/Table112345[[#This Row],[h (mm)]]</f>
        <v>2.2841639344262297</v>
      </c>
      <c r="AC51" s="110">
        <f>Table112345[[#This Row],[h (mm)]]</f>
        <v>305</v>
      </c>
      <c r="AD51" s="111">
        <f>2.99*Table112345[[#This Row],[d (mm)]]</f>
        <v>696.67000000000007</v>
      </c>
      <c r="AE51" s="160">
        <v>233</v>
      </c>
      <c r="AF51" s="160">
        <v>305</v>
      </c>
      <c r="AG51" s="160">
        <v>203</v>
      </c>
      <c r="AH51" s="160">
        <v>68.599999999999994</v>
      </c>
      <c r="AI51" s="160">
        <v>600</v>
      </c>
      <c r="AJ51" s="160">
        <v>1.26</v>
      </c>
      <c r="AK51" s="160">
        <v>525</v>
      </c>
      <c r="AL51" s="111">
        <f>(1/3-0.21*(MIN(Table112345[[#This Row],[b (mm)]],AF51)/MAX(Table112345[[#This Row],[b (mm)]],AF51))*(MIN(Table112345[[#This Row],[b (mm)]],AF51)^4/(12*MAX(Table112345[[#This Row],[b (mm)]],AF51)^4)))*MAX(Table112345[[#This Row],[b (mm)]],AF51)*MIN(Table112345[[#This Row],[b (mm)]],AF51)^3</f>
        <v>844653219.61076438</v>
      </c>
      <c r="AM51" s="111">
        <f>Table112345[[#This Row],[b (mm)]]*AF51^3/12</f>
        <v>479970239.58333331</v>
      </c>
      <c r="AN51" s="160">
        <v>1397</v>
      </c>
      <c r="AP51" s="139"/>
      <c r="AQ51" s="139"/>
      <c r="AR51" s="139"/>
      <c r="AS51" s="139"/>
      <c r="AT51" s="139"/>
      <c r="AU51" s="139"/>
    </row>
    <row r="52" spans="1:49" x14ac:dyDescent="0.3">
      <c r="A52" s="156" t="s">
        <v>99</v>
      </c>
      <c r="B52" s="164" t="s">
        <v>93</v>
      </c>
      <c r="C52" s="111">
        <v>51</v>
      </c>
      <c r="D52" s="111">
        <f>Table112345[[#This Row],[a (mm)]]/Table112345[[#This Row],[d (mm)]]</f>
        <v>2.99</v>
      </c>
      <c r="E52" s="166">
        <v>58.65581102362205</v>
      </c>
      <c r="F52" s="137">
        <f>Table112345[[#This Row],[d (mm)]]</f>
        <v>233</v>
      </c>
      <c r="G52" s="111">
        <f t="shared" si="12"/>
        <v>40863.743865826778</v>
      </c>
      <c r="H52" s="111">
        <f t="shared" si="13"/>
        <v>3.2326684270042948E-6</v>
      </c>
      <c r="I52" s="111">
        <f>G52/(Table112345[[#This Row],[b (mm)]]*Table112345[[#This Row],[h]]^2)</f>
        <v>2.1639261581955578E-3</v>
      </c>
      <c r="J52" s="111">
        <f t="shared" si="14"/>
        <v>0.55676468241469823</v>
      </c>
      <c r="K52" s="111">
        <f t="shared" si="15"/>
        <v>2.2115815295321399E-6</v>
      </c>
      <c r="L52" s="111">
        <f>E52/(Table112345[[#This Row],[b (mm)]]*AE52)</f>
        <v>1.2401067892264541E-3</v>
      </c>
      <c r="M52" s="111">
        <f>Table112345[[#This Row],[M (KN.mm)]]/(Table112345[[#This Row],[b (mm)]]*Table112345[[#This Row],[d (mm)]])</f>
        <v>0.86394519685039384</v>
      </c>
      <c r="N52" s="111">
        <f>Table112345[[#This Row],[M (KN.mm)]]/(Table112345[[#This Row],[b (mm)]]*Table112345[[#This Row],[h (mm)]])</f>
        <v>0.65999747824964516</v>
      </c>
      <c r="O52" s="111">
        <f>Table112345[[#This Row],[M (KN.mm)]]/(Table112345[[#This Row],[b (mm)]]*Table112345[[#This Row],[h (mm)]]*Table112345[[#This Row],[L(mm)]])</f>
        <v>4.7243913976352552E-4</v>
      </c>
      <c r="P52" s="111">
        <f>Table112345[[#This Row],[M (KN.mm)]]/(Table112345[[#This Row],[b (mm)]]*Table112345[[#This Row],[d (mm)]]*Table112345[[#This Row],[L(mm)]])</f>
        <v>6.1842891685783376E-4</v>
      </c>
      <c r="Q52" s="111">
        <f>Table112345[[#This Row],[M (KN.mm)]]/(Table112345[[#This Row],[b (mm)]]*Table112345[[#This Row],[h (mm)]]*Table112345[[#This Row],[L(mm)]]*Table112345[[#This Row],[fc (Mpa)]])</f>
        <v>6.8868679265820056E-6</v>
      </c>
      <c r="R52" s="111">
        <f>Table112345[[#This Row],[M (KN.mm)]]/(Table112345[[#This Row],[b (mm)]]*Table112345[[#This Row],[h (mm)]]*Table112345[[#This Row],[L(mm)]]/2)</f>
        <v>9.4487827952705104E-4</v>
      </c>
      <c r="S52" s="111">
        <f>Table112345[[#This Row],[M (KN.mm)]]/(Table112345[[#This Row],[a (mm)]]*Table112345[[#This Row],[b (mm)]]*Table112345[[#This Row],[h (mm)]]*Table112345[[#This Row],[L(mm)]]/2)</f>
        <v>1.3562781223923104E-6</v>
      </c>
      <c r="T52" s="111">
        <f>Table112345[[#This Row],[M (KN.mm)]]/(Table112345[[#This Row],[a (mm)]]^2*Table112345[[#This Row],[b (mm)]]*Table112345[[#This Row],[h (mm)]])</f>
        <v>1.3598407689308121E-6</v>
      </c>
      <c r="U52" s="111">
        <f>Table112345[[#This Row],[M (KN.mm)]]/(Table112345[[#This Row],[b (mm)]]*Table112345[[#This Row],[d (mm)]]*Table112345[[#This Row],[pho (%)]])</f>
        <v>0.6856707911511063</v>
      </c>
      <c r="V52" s="111">
        <f>E52*224.8/(2*SQRT(Table112345[[#This Row],[fc (Mpa)]]*145.037)*Table112345[[#This Row],[b (mm)]]*Table112345[[#This Row],[d (mm)]]*(1/25.4)^2)</f>
        <v>0.90155321766589192</v>
      </c>
      <c r="W52" s="111">
        <f>Table112345[[#This Row],[M (KN.mm)]]/$G$52</f>
        <v>1</v>
      </c>
      <c r="X52" s="111">
        <f>Table112345[[#This Row],[V/(2*sqrt(fc) bd)]]</f>
        <v>0.90155321766589192</v>
      </c>
      <c r="Y52" s="110">
        <f>Table112345[[#This Row],[a (mm)]]</f>
        <v>696.67000000000007</v>
      </c>
      <c r="Z52" s="110">
        <f>Table112345[[#This Row],[width]]*Table112345[[#This Row],[h]]^2</f>
        <v>18884075</v>
      </c>
      <c r="AA52" s="110">
        <f>Table112345[[#This Row],[b (mm)]]</f>
        <v>203</v>
      </c>
      <c r="AB52" s="110">
        <f>Table112345[[#This Row],[a]]/Table112345[[#This Row],[h (mm)]]</f>
        <v>2.2841639344262297</v>
      </c>
      <c r="AC52" s="110">
        <f>Table112345[[#This Row],[h (mm)]]</f>
        <v>305</v>
      </c>
      <c r="AD52" s="111">
        <f>2.99*Table112345[[#This Row],[d (mm)]]</f>
        <v>696.67000000000007</v>
      </c>
      <c r="AE52" s="160">
        <v>233</v>
      </c>
      <c r="AF52" s="160">
        <v>305</v>
      </c>
      <c r="AG52" s="160">
        <v>203</v>
      </c>
      <c r="AH52" s="160">
        <v>68.599999999999994</v>
      </c>
      <c r="AI52" s="160">
        <v>600</v>
      </c>
      <c r="AJ52" s="160">
        <v>1.26</v>
      </c>
      <c r="AK52" s="160">
        <v>525</v>
      </c>
      <c r="AL52" s="111">
        <f>(1/3-0.21*(MIN(Table112345[[#This Row],[b (mm)]],AF52)/MAX(Table112345[[#This Row],[b (mm)]],AF52))*(MIN(Table112345[[#This Row],[b (mm)]],AF52)^4/(12*MAX(Table112345[[#This Row],[b (mm)]],AF52)^4)))*MAX(Table112345[[#This Row],[b (mm)]],AF52)*MIN(Table112345[[#This Row],[b (mm)]],AF52)^3</f>
        <v>844653219.61076438</v>
      </c>
      <c r="AM52" s="111">
        <f>Table112345[[#This Row],[b (mm)]]*AF52^3/12</f>
        <v>479970239.58333331</v>
      </c>
      <c r="AN52" s="160">
        <v>1397</v>
      </c>
      <c r="AP52" s="139"/>
      <c r="AQ52" s="139"/>
      <c r="AR52" s="139"/>
      <c r="AS52" s="139"/>
      <c r="AT52" s="139"/>
      <c r="AU52" s="139"/>
    </row>
    <row r="53" spans="1:49" x14ac:dyDescent="0.3">
      <c r="A53" s="156" t="s">
        <v>99</v>
      </c>
      <c r="B53" s="164" t="s">
        <v>94</v>
      </c>
      <c r="C53" s="111">
        <v>52</v>
      </c>
      <c r="D53" s="111">
        <f>Table112345[[#This Row],[a (mm)]]/Table112345[[#This Row],[d (mm)]]</f>
        <v>2.99</v>
      </c>
      <c r="E53" s="166">
        <v>58.65581102362205</v>
      </c>
      <c r="F53" s="137">
        <f>Table112345[[#This Row],[d (mm)]]</f>
        <v>233</v>
      </c>
      <c r="G53" s="111">
        <f t="shared" si="12"/>
        <v>40863.743865826778</v>
      </c>
      <c r="H53" s="111">
        <f t="shared" si="13"/>
        <v>3.2326684270042948E-6</v>
      </c>
      <c r="I53" s="111">
        <f>G53/(Table112345[[#This Row],[b (mm)]]*Table112345[[#This Row],[h]]^2)</f>
        <v>2.1639261581955578E-3</v>
      </c>
      <c r="J53" s="111">
        <f t="shared" si="14"/>
        <v>0.55676468241469823</v>
      </c>
      <c r="K53" s="111">
        <f t="shared" si="15"/>
        <v>2.2115815295321399E-6</v>
      </c>
      <c r="L53" s="111">
        <f>E53/(Table112345[[#This Row],[b (mm)]]*AE53)</f>
        <v>1.2401067892264541E-3</v>
      </c>
      <c r="M53" s="111">
        <f>Table112345[[#This Row],[M (KN.mm)]]/(Table112345[[#This Row],[b (mm)]]*Table112345[[#This Row],[d (mm)]])</f>
        <v>0.86394519685039384</v>
      </c>
      <c r="N53" s="111">
        <f>Table112345[[#This Row],[M (KN.mm)]]/(Table112345[[#This Row],[b (mm)]]*Table112345[[#This Row],[h (mm)]])</f>
        <v>0.65999747824964516</v>
      </c>
      <c r="O53" s="111">
        <f>Table112345[[#This Row],[M (KN.mm)]]/(Table112345[[#This Row],[b (mm)]]*Table112345[[#This Row],[h (mm)]]*Table112345[[#This Row],[L(mm)]])</f>
        <v>4.7243913976352552E-4</v>
      </c>
      <c r="P53" s="111">
        <f>Table112345[[#This Row],[M (KN.mm)]]/(Table112345[[#This Row],[b (mm)]]*Table112345[[#This Row],[d (mm)]]*Table112345[[#This Row],[L(mm)]])</f>
        <v>6.1842891685783376E-4</v>
      </c>
      <c r="Q53" s="111">
        <f>Table112345[[#This Row],[M (KN.mm)]]/(Table112345[[#This Row],[b (mm)]]*Table112345[[#This Row],[h (mm)]]*Table112345[[#This Row],[L(mm)]]*Table112345[[#This Row],[fc (Mpa)]])</f>
        <v>6.8868679265820056E-6</v>
      </c>
      <c r="R53" s="111">
        <f>Table112345[[#This Row],[M (KN.mm)]]/(Table112345[[#This Row],[b (mm)]]*Table112345[[#This Row],[h (mm)]]*Table112345[[#This Row],[L(mm)]]/2)</f>
        <v>9.4487827952705104E-4</v>
      </c>
      <c r="S53" s="111">
        <f>Table112345[[#This Row],[M (KN.mm)]]/(Table112345[[#This Row],[a (mm)]]*Table112345[[#This Row],[b (mm)]]*Table112345[[#This Row],[h (mm)]]*Table112345[[#This Row],[L(mm)]]/2)</f>
        <v>1.3562781223923104E-6</v>
      </c>
      <c r="T53" s="111">
        <f>Table112345[[#This Row],[M (KN.mm)]]/(Table112345[[#This Row],[a (mm)]]^2*Table112345[[#This Row],[b (mm)]]*Table112345[[#This Row],[h (mm)]])</f>
        <v>1.3598407689308121E-6</v>
      </c>
      <c r="U53" s="111">
        <f>Table112345[[#This Row],[M (KN.mm)]]/(Table112345[[#This Row],[b (mm)]]*Table112345[[#This Row],[d (mm)]]*Table112345[[#This Row],[pho (%)]])</f>
        <v>0.6856707911511063</v>
      </c>
      <c r="V53" s="111">
        <f>E53*224.8/(2*SQRT(Table112345[[#This Row],[fc (Mpa)]]*145.037)*Table112345[[#This Row],[b (mm)]]*Table112345[[#This Row],[d (mm)]]*(1/25.4)^2)</f>
        <v>0.90155321766589192</v>
      </c>
      <c r="W53" s="111">
        <f>Table112345[[#This Row],[M (KN.mm)]]/$G$52</f>
        <v>1</v>
      </c>
      <c r="X53" s="111">
        <f>Table112345[[#This Row],[V/(2*sqrt(fc) bd)]]</f>
        <v>0.90155321766589192</v>
      </c>
      <c r="Y53" s="110">
        <f>Table112345[[#This Row],[a (mm)]]</f>
        <v>696.67000000000007</v>
      </c>
      <c r="Z53" s="110">
        <f>Table112345[[#This Row],[width]]*Table112345[[#This Row],[h]]^2</f>
        <v>18884075</v>
      </c>
      <c r="AA53" s="110">
        <f>Table112345[[#This Row],[b (mm)]]</f>
        <v>203</v>
      </c>
      <c r="AB53" s="110">
        <f>Table112345[[#This Row],[a]]/Table112345[[#This Row],[h (mm)]]</f>
        <v>2.2841639344262297</v>
      </c>
      <c r="AC53" s="110">
        <f>Table112345[[#This Row],[h (mm)]]</f>
        <v>305</v>
      </c>
      <c r="AD53" s="111">
        <f>2.99*Table112345[[#This Row],[d (mm)]]</f>
        <v>696.67000000000007</v>
      </c>
      <c r="AE53" s="160">
        <v>233</v>
      </c>
      <c r="AF53" s="160">
        <v>305</v>
      </c>
      <c r="AG53" s="160">
        <v>203</v>
      </c>
      <c r="AH53" s="160">
        <v>68.599999999999994</v>
      </c>
      <c r="AI53" s="160">
        <v>600</v>
      </c>
      <c r="AJ53" s="160">
        <v>1.26</v>
      </c>
      <c r="AK53" s="160">
        <v>525</v>
      </c>
      <c r="AL53" s="111">
        <f>(1/3-0.21*(MIN(Table112345[[#This Row],[b (mm)]],AF53)/MAX(Table112345[[#This Row],[b (mm)]],AF53))*(MIN(Table112345[[#This Row],[b (mm)]],AF53)^4/(12*MAX(Table112345[[#This Row],[b (mm)]],AF53)^4)))*MAX(Table112345[[#This Row],[b (mm)]],AF53)*MIN(Table112345[[#This Row],[b (mm)]],AF53)^3</f>
        <v>844653219.61076438</v>
      </c>
      <c r="AM53" s="111">
        <f>Table112345[[#This Row],[b (mm)]]*AF53^3/12</f>
        <v>479970239.58333331</v>
      </c>
      <c r="AN53" s="160">
        <v>1397</v>
      </c>
      <c r="AP53" s="139"/>
      <c r="AQ53" s="139"/>
      <c r="AR53" s="139"/>
      <c r="AS53" s="139"/>
      <c r="AT53" s="139"/>
      <c r="AU53" s="139"/>
    </row>
    <row r="54" spans="1:49" x14ac:dyDescent="0.3">
      <c r="A54" s="157" t="s">
        <v>100</v>
      </c>
      <c r="B54" s="146">
        <v>1</v>
      </c>
      <c r="C54" s="111">
        <v>53</v>
      </c>
      <c r="D54" s="111">
        <f>Table112345[[#This Row],[a (mm)]]/Table112345[[#This Row],[d (mm)]]</f>
        <v>2.99</v>
      </c>
      <c r="E54" s="111">
        <v>55.600000000000009</v>
      </c>
      <c r="F54" s="137">
        <f>Table112345[[#This Row],[d (mm)]]</f>
        <v>529</v>
      </c>
      <c r="G54" s="135">
        <f t="shared" ref="G54:G63" si="16">E54*AD54</f>
        <v>87943.076000000015</v>
      </c>
      <c r="H54" s="135">
        <f t="shared" ref="H54:H63" si="17">G54/($AQ$5*AM54*0.001)</f>
        <v>4.3696767922465741E-7</v>
      </c>
      <c r="I54" s="111">
        <f>G54/(Table112345[[#This Row],[b (mm)]]*Table112345[[#This Row],[h]]^2)</f>
        <v>5.8308830424915825E-4</v>
      </c>
      <c r="J54" s="135">
        <f t="shared" ref="J54:J63" si="18">G54/(AI54*AK54*AE54*0.001)</f>
        <v>0.12268703529455179</v>
      </c>
      <c r="K54" s="135">
        <f t="shared" ref="K54:K63" si="19">E54/($AQ$4*AL54*0.001)</f>
        <v>1.2956749745022778E-7</v>
      </c>
      <c r="L54" s="135">
        <f>E54/(Table112345[[#This Row],[b (mm)]]*AE54)</f>
        <v>2.5760776900552286E-4</v>
      </c>
      <c r="M54" s="135">
        <f>Table112345[[#This Row],[M (KN.mm)]]/(Table112345[[#This Row],[b (mm)]]*Table112345[[#This Row],[d (mm)]])</f>
        <v>0.40746078431372557</v>
      </c>
      <c r="N54" s="135">
        <f>Table112345[[#This Row],[M (KN.mm)]]/(Table112345[[#This Row],[b (mm)]]*Table112345[[#This Row],[h (mm)]])</f>
        <v>0.35451768898348818</v>
      </c>
      <c r="O54" s="144">
        <f>Table112345[[#This Row],[M (KN.mm)]]/(Table112345[[#This Row],[b (mm)]]*Table112345[[#This Row],[h (mm)]]*Table112345[[#This Row],[L(mm)]])</f>
        <v>1.121181812091993E-4</v>
      </c>
      <c r="P54" s="144">
        <f>Table112345[[#This Row],[M (KN.mm)]]/(Table112345[[#This Row],[b (mm)]]*Table112345[[#This Row],[d (mm)]]*Table112345[[#This Row],[L(mm)]])</f>
        <v>1.2886172811945779E-4</v>
      </c>
      <c r="Q54" s="144">
        <f>Table112345[[#This Row],[M (KN.mm)]]/(Table112345[[#This Row],[b (mm)]]*Table112345[[#This Row],[h (mm)]]*Table112345[[#This Row],[L(mm)]]*Table112345[[#This Row],[fc (Mpa)]])</f>
        <v>1.7302188458209768E-6</v>
      </c>
      <c r="R54" s="144">
        <f>Table112345[[#This Row],[M (KN.mm)]]/(Table112345[[#This Row],[b (mm)]]*Table112345[[#This Row],[h (mm)]]*Table112345[[#This Row],[L(mm)]]/2)</f>
        <v>2.2423636241839859E-4</v>
      </c>
      <c r="S54" s="144">
        <f>Table112345[[#This Row],[M (KN.mm)]]/(Table112345[[#This Row],[a (mm)]]*Table112345[[#This Row],[b (mm)]]*Table112345[[#This Row],[h (mm)]]*Table112345[[#This Row],[L(mm)]]/2)</f>
        <v>1.4176831556884547E-7</v>
      </c>
      <c r="T54" s="144">
        <f>Table112345[[#This Row],[M (KN.mm)]]/(Table112345[[#This Row],[a (mm)]]^2*Table112345[[#This Row],[b (mm)]]*Table112345[[#This Row],[h (mm)]])</f>
        <v>1.4170467842673102E-7</v>
      </c>
      <c r="U54" s="144">
        <f>Table112345[[#This Row],[M (KN.mm)]]/(Table112345[[#This Row],[b (mm)]]*Table112345[[#This Row],[d (mm)]]*Table112345[[#This Row],[pho (%)]])</f>
        <v>0.33955065359477132</v>
      </c>
      <c r="V54" s="111">
        <f>E54*224.8/(2*SQRT(Table112345[[#This Row],[fc (Mpa)]]*145.037)*Table112345[[#This Row],[b (mm)]]*Table112345[[#This Row],[d (mm)]]*(1/25.4)^2)</f>
        <v>0.19269293598712878</v>
      </c>
      <c r="W54" s="111">
        <f>Table112345[[#This Row],[M (KN.mm)]]/$G$62</f>
        <v>0.36194710442316463</v>
      </c>
      <c r="X54" s="111">
        <f>Table112345[[#This Row],[V/(2*sqrt(fc) bd)]]</f>
        <v>0.19269293598712878</v>
      </c>
      <c r="Y54" s="110">
        <f>Table112345[[#This Row],[a (mm)]]</f>
        <v>1581.71</v>
      </c>
      <c r="Z54" s="110">
        <f>Table112345[[#This Row],[width]]*Table112345[[#This Row],[h]]^2</f>
        <v>150822912</v>
      </c>
      <c r="AA54" s="110">
        <f>Table112345[[#This Row],[b (mm)]]</f>
        <v>408</v>
      </c>
      <c r="AB54" s="110">
        <f>Table112345[[#This Row],[a]]/Table112345[[#This Row],[h (mm)]]</f>
        <v>2.601496710526316</v>
      </c>
      <c r="AC54" s="110">
        <f>Table112345[[#This Row],[h (mm)]]</f>
        <v>608</v>
      </c>
      <c r="AD54" s="111">
        <f>2.99*Table112345[[#This Row],[d (mm)]]</f>
        <v>1581.71</v>
      </c>
      <c r="AE54" s="160">
        <v>529</v>
      </c>
      <c r="AF54" s="160">
        <v>608</v>
      </c>
      <c r="AG54" s="160">
        <v>408</v>
      </c>
      <c r="AH54" s="160">
        <v>64.8</v>
      </c>
      <c r="AI54" s="160">
        <v>2581</v>
      </c>
      <c r="AJ54" s="160">
        <v>1.2</v>
      </c>
      <c r="AK54" s="160">
        <v>525</v>
      </c>
      <c r="AL54" s="111">
        <f>(1/3-0.21*(MIN(Table112345[[#This Row],[b (mm)]],AF54)/MAX(Table112345[[#This Row],[b (mm)]],AF54))*(MIN(Table112345[[#This Row],[b (mm)]],AF54)^4/(12*MAX(Table112345[[#This Row],[b (mm)]],AF54)^4)))*MAX(Table112345[[#This Row],[b (mm)]],AF54)*MIN(Table112345[[#This Row],[b (mm)]],AF54)^3</f>
        <v>13666240930.700037</v>
      </c>
      <c r="AM54" s="111">
        <f>Table112345[[#This Row],[b (mm)]]*AF54^3/12</f>
        <v>7641694208</v>
      </c>
      <c r="AN54" s="160">
        <v>3162</v>
      </c>
      <c r="AP54" s="126"/>
      <c r="AQ54" s="139"/>
      <c r="AR54" s="139"/>
      <c r="AS54" s="105"/>
      <c r="AT54" s="105"/>
      <c r="AU54" s="105"/>
    </row>
    <row r="55" spans="1:49" x14ac:dyDescent="0.3">
      <c r="A55" s="157" t="s">
        <v>100</v>
      </c>
      <c r="B55" s="146">
        <v>2</v>
      </c>
      <c r="C55" s="111">
        <v>54</v>
      </c>
      <c r="D55" s="111">
        <f>Table112345[[#This Row],[a (mm)]]/Table112345[[#This Row],[d (mm)]]</f>
        <v>2.99</v>
      </c>
      <c r="E55" s="111">
        <v>66.72</v>
      </c>
      <c r="F55" s="137">
        <f>Table112345[[#This Row],[d (mm)]]</f>
        <v>529</v>
      </c>
      <c r="G55" s="135">
        <f t="shared" si="16"/>
        <v>105531.6912</v>
      </c>
      <c r="H55" s="135">
        <f t="shared" si="17"/>
        <v>5.2436121506958887E-7</v>
      </c>
      <c r="I55" s="111">
        <f>G55/(Table112345[[#This Row],[b (mm)]]*Table112345[[#This Row],[h]]^2)</f>
        <v>6.9970596509898978E-4</v>
      </c>
      <c r="J55" s="135">
        <f t="shared" si="18"/>
        <v>0.14722444235346213</v>
      </c>
      <c r="K55" s="135">
        <f t="shared" si="19"/>
        <v>1.554809969402733E-7</v>
      </c>
      <c r="L55" s="135">
        <f>E55/(Table112345[[#This Row],[b (mm)]]*AE55)</f>
        <v>3.0912932280662735E-4</v>
      </c>
      <c r="M55" s="135">
        <f>Table112345[[#This Row],[M (KN.mm)]]/(Table112345[[#This Row],[b (mm)]]*Table112345[[#This Row],[d (mm)]])</f>
        <v>0.48895294117647059</v>
      </c>
      <c r="N55" s="135">
        <f>Table112345[[#This Row],[M (KN.mm)]]/(Table112345[[#This Row],[b (mm)]]*Table112345[[#This Row],[h (mm)]])</f>
        <v>0.42542122678018579</v>
      </c>
      <c r="O55" s="145">
        <f>Table112345[[#This Row],[M (KN.mm)]]/(Table112345[[#This Row],[b (mm)]]*Table112345[[#This Row],[h (mm)]]*Table112345[[#This Row],[L(mm)]])</f>
        <v>1.3454181745103914E-4</v>
      </c>
      <c r="P55" s="145">
        <f>Table112345[[#This Row],[M (KN.mm)]]/(Table112345[[#This Row],[b (mm)]]*Table112345[[#This Row],[d (mm)]]*Table112345[[#This Row],[L(mm)]])</f>
        <v>1.5463407374334933E-4</v>
      </c>
      <c r="Q55" s="145">
        <f>Table112345[[#This Row],[M (KN.mm)]]/(Table112345[[#This Row],[b (mm)]]*Table112345[[#This Row],[h (mm)]]*Table112345[[#This Row],[L(mm)]]*Table112345[[#This Row],[fc (Mpa)]])</f>
        <v>2.0762626149851718E-6</v>
      </c>
      <c r="R55" s="145">
        <f>Table112345[[#This Row],[M (KN.mm)]]/(Table112345[[#This Row],[b (mm)]]*Table112345[[#This Row],[h (mm)]]*Table112345[[#This Row],[L(mm)]]/2)</f>
        <v>2.6908363490207827E-4</v>
      </c>
      <c r="S55" s="145">
        <f>Table112345[[#This Row],[M (KN.mm)]]/(Table112345[[#This Row],[a (mm)]]*Table112345[[#This Row],[b (mm)]]*Table112345[[#This Row],[h (mm)]]*Table112345[[#This Row],[L(mm)]]/2)</f>
        <v>1.7012197868261453E-7</v>
      </c>
      <c r="T55" s="145">
        <f>Table112345[[#This Row],[M (KN.mm)]]/(Table112345[[#This Row],[a (mm)]]^2*Table112345[[#This Row],[b (mm)]]*Table112345[[#This Row],[h (mm)]])</f>
        <v>1.7004561411207719E-7</v>
      </c>
      <c r="U55" s="145">
        <f>Table112345[[#This Row],[M (KN.mm)]]/(Table112345[[#This Row],[b (mm)]]*Table112345[[#This Row],[d (mm)]]*Table112345[[#This Row],[pho (%)]])</f>
        <v>0.40746078431372551</v>
      </c>
      <c r="V55" s="111">
        <f>E55*224.8/(2*SQRT(Table112345[[#This Row],[fc (Mpa)]]*145.037)*Table112345[[#This Row],[b (mm)]]*Table112345[[#This Row],[d (mm)]]*(1/25.4)^2)</f>
        <v>0.23123152318455448</v>
      </c>
      <c r="W55" s="111">
        <f>Table112345[[#This Row],[M (KN.mm)]]/$G$62</f>
        <v>0.43433652530779748</v>
      </c>
      <c r="X55" s="111">
        <f>Table112345[[#This Row],[V/(2*sqrt(fc) bd)]]</f>
        <v>0.23123152318455448</v>
      </c>
      <c r="Y55" s="110">
        <f>Table112345[[#This Row],[a (mm)]]</f>
        <v>1581.71</v>
      </c>
      <c r="Z55" s="110">
        <f>Table112345[[#This Row],[width]]*Table112345[[#This Row],[h]]^2</f>
        <v>150822912</v>
      </c>
      <c r="AA55" s="110">
        <f>Table112345[[#This Row],[b (mm)]]</f>
        <v>408</v>
      </c>
      <c r="AB55" s="110">
        <f>Table112345[[#This Row],[a]]/Table112345[[#This Row],[h (mm)]]</f>
        <v>2.601496710526316</v>
      </c>
      <c r="AC55" s="110">
        <f>Table112345[[#This Row],[h (mm)]]</f>
        <v>608</v>
      </c>
      <c r="AD55" s="111">
        <f>2.99*Table112345[[#This Row],[d (mm)]]</f>
        <v>1581.71</v>
      </c>
      <c r="AE55" s="160">
        <v>529</v>
      </c>
      <c r="AF55" s="160">
        <v>608</v>
      </c>
      <c r="AG55" s="160">
        <v>408</v>
      </c>
      <c r="AH55" s="160">
        <v>64.8</v>
      </c>
      <c r="AI55" s="160">
        <v>2581</v>
      </c>
      <c r="AJ55" s="160">
        <v>1.2</v>
      </c>
      <c r="AK55" s="160">
        <v>525</v>
      </c>
      <c r="AL55" s="111">
        <f>(1/3-0.21*(MIN(Table112345[[#This Row],[b (mm)]],AF55)/MAX(Table112345[[#This Row],[b (mm)]],AF55))*(MIN(Table112345[[#This Row],[b (mm)]],AF55)^4/(12*MAX(Table112345[[#This Row],[b (mm)]],AF55)^4)))*MAX(Table112345[[#This Row],[b (mm)]],AF55)*MIN(Table112345[[#This Row],[b (mm)]],AF55)^3</f>
        <v>13666240930.700037</v>
      </c>
      <c r="AM55" s="111">
        <f>Table112345[[#This Row],[b (mm)]]*AF55^3/12</f>
        <v>7641694208</v>
      </c>
      <c r="AN55" s="160">
        <v>3162</v>
      </c>
      <c r="AP55" s="126"/>
      <c r="AQ55" s="139"/>
      <c r="AR55" s="139"/>
      <c r="AS55" s="105"/>
      <c r="AT55" s="105"/>
      <c r="AU55" s="105"/>
    </row>
    <row r="56" spans="1:49" x14ac:dyDescent="0.3">
      <c r="A56" s="157" t="s">
        <v>100</v>
      </c>
      <c r="B56" s="146">
        <v>3</v>
      </c>
      <c r="C56" s="111">
        <v>55</v>
      </c>
      <c r="D56" s="111">
        <f>Table112345[[#This Row],[a (mm)]]/Table112345[[#This Row],[d (mm)]]</f>
        <v>2.99</v>
      </c>
      <c r="E56" s="111">
        <v>77.84</v>
      </c>
      <c r="F56" s="137">
        <f>Table112345[[#This Row],[d (mm)]]</f>
        <v>529</v>
      </c>
      <c r="G56" s="135">
        <f t="shared" si="16"/>
        <v>123120.3064</v>
      </c>
      <c r="H56" s="135">
        <f t="shared" si="17"/>
        <v>6.1175475091452028E-7</v>
      </c>
      <c r="I56" s="111">
        <f>G56/(Table112345[[#This Row],[b (mm)]]*Table112345[[#This Row],[h]]^2)</f>
        <v>8.163236259488214E-4</v>
      </c>
      <c r="J56" s="135">
        <f t="shared" si="18"/>
        <v>0.17176184941237246</v>
      </c>
      <c r="K56" s="135">
        <f t="shared" si="19"/>
        <v>1.8139449643031888E-7</v>
      </c>
      <c r="L56" s="135">
        <f>E56/(Table112345[[#This Row],[b (mm)]]*AE56)</f>
        <v>3.6065087660773194E-4</v>
      </c>
      <c r="M56" s="135">
        <f>Table112345[[#This Row],[M (KN.mm)]]/(Table112345[[#This Row],[b (mm)]]*Table112345[[#This Row],[d (mm)]])</f>
        <v>0.57044509803921573</v>
      </c>
      <c r="N56" s="135">
        <f>Table112345[[#This Row],[M (KN.mm)]]/(Table112345[[#This Row],[b (mm)]]*Table112345[[#This Row],[h (mm)]])</f>
        <v>0.4963247645768834</v>
      </c>
      <c r="O56" s="145">
        <f>Table112345[[#This Row],[M (KN.mm)]]/(Table112345[[#This Row],[b (mm)]]*Table112345[[#This Row],[h (mm)]]*Table112345[[#This Row],[L(mm)]])</f>
        <v>1.5696545369287899E-4</v>
      </c>
      <c r="P56" s="145">
        <f>Table112345[[#This Row],[M (KN.mm)]]/(Table112345[[#This Row],[b (mm)]]*Table112345[[#This Row],[d (mm)]]*Table112345[[#This Row],[L(mm)]])</f>
        <v>1.8040641936724089E-4</v>
      </c>
      <c r="Q56" s="145">
        <f>Table112345[[#This Row],[M (KN.mm)]]/(Table112345[[#This Row],[b (mm)]]*Table112345[[#This Row],[h (mm)]]*Table112345[[#This Row],[L(mm)]]*Table112345[[#This Row],[fc (Mpa)]])</f>
        <v>2.422306384149367E-6</v>
      </c>
      <c r="R56" s="145">
        <f>Table112345[[#This Row],[M (KN.mm)]]/(Table112345[[#This Row],[b (mm)]]*Table112345[[#This Row],[h (mm)]]*Table112345[[#This Row],[L(mm)]]/2)</f>
        <v>3.1393090738575797E-4</v>
      </c>
      <c r="S56" s="145">
        <f>Table112345[[#This Row],[M (KN.mm)]]/(Table112345[[#This Row],[a (mm)]]*Table112345[[#This Row],[b (mm)]]*Table112345[[#This Row],[h (mm)]]*Table112345[[#This Row],[L(mm)]]/2)</f>
        <v>1.9847564179638361E-7</v>
      </c>
      <c r="T56" s="145">
        <f>Table112345[[#This Row],[M (KN.mm)]]/(Table112345[[#This Row],[a (mm)]]^2*Table112345[[#This Row],[b (mm)]]*Table112345[[#This Row],[h (mm)]])</f>
        <v>1.9838654979742339E-7</v>
      </c>
      <c r="U56" s="145">
        <f>Table112345[[#This Row],[M (KN.mm)]]/(Table112345[[#This Row],[b (mm)]]*Table112345[[#This Row],[d (mm)]]*Table112345[[#This Row],[pho (%)]])</f>
        <v>0.47537091503267975</v>
      </c>
      <c r="V56" s="111">
        <f>E56*224.8/(2*SQRT(Table112345[[#This Row],[fc (Mpa)]]*145.037)*Table112345[[#This Row],[b (mm)]]*Table112345[[#This Row],[d (mm)]]*(1/25.4)^2)</f>
        <v>0.26977011038198023</v>
      </c>
      <c r="W56" s="111">
        <f>Table112345[[#This Row],[M (KN.mm)]]/$G$62</f>
        <v>0.50672594619243039</v>
      </c>
      <c r="X56" s="111">
        <f>Table112345[[#This Row],[V/(2*sqrt(fc) bd)]]</f>
        <v>0.26977011038198023</v>
      </c>
      <c r="Y56" s="110">
        <f>Table112345[[#This Row],[a (mm)]]</f>
        <v>1581.71</v>
      </c>
      <c r="Z56" s="110">
        <f>Table112345[[#This Row],[width]]*Table112345[[#This Row],[h]]^2</f>
        <v>150822912</v>
      </c>
      <c r="AA56" s="110">
        <f>Table112345[[#This Row],[b (mm)]]</f>
        <v>408</v>
      </c>
      <c r="AB56" s="110">
        <f>Table112345[[#This Row],[a]]/Table112345[[#This Row],[h (mm)]]</f>
        <v>2.601496710526316</v>
      </c>
      <c r="AC56" s="110">
        <f>Table112345[[#This Row],[h (mm)]]</f>
        <v>608</v>
      </c>
      <c r="AD56" s="111">
        <f>2.99*Table112345[[#This Row],[d (mm)]]</f>
        <v>1581.71</v>
      </c>
      <c r="AE56" s="160">
        <v>529</v>
      </c>
      <c r="AF56" s="160">
        <v>608</v>
      </c>
      <c r="AG56" s="160">
        <v>408</v>
      </c>
      <c r="AH56" s="160">
        <v>64.8</v>
      </c>
      <c r="AI56" s="160">
        <v>2581</v>
      </c>
      <c r="AJ56" s="160">
        <v>1.2</v>
      </c>
      <c r="AK56" s="160">
        <v>525</v>
      </c>
      <c r="AL56" s="111">
        <f>(1/3-0.21*(MIN(Table112345[[#This Row],[b (mm)]],AF56)/MAX(Table112345[[#This Row],[b (mm)]],AF56))*(MIN(Table112345[[#This Row],[b (mm)]],AF56)^4/(12*MAX(Table112345[[#This Row],[b (mm)]],AF56)^4)))*MAX(Table112345[[#This Row],[b (mm)]],AF56)*MIN(Table112345[[#This Row],[b (mm)]],AF56)^3</f>
        <v>13666240930.700037</v>
      </c>
      <c r="AM56" s="111">
        <f>Table112345[[#This Row],[b (mm)]]*AF56^3/12</f>
        <v>7641694208</v>
      </c>
      <c r="AN56" s="160">
        <v>3162</v>
      </c>
      <c r="AP56" s="126"/>
      <c r="AQ56" s="139"/>
      <c r="AR56" s="139"/>
      <c r="AS56" s="105"/>
      <c r="AT56" s="105"/>
      <c r="AU56" s="105"/>
    </row>
    <row r="57" spans="1:49" x14ac:dyDescent="0.3">
      <c r="A57" s="157" t="s">
        <v>100</v>
      </c>
      <c r="B57" s="146">
        <v>4</v>
      </c>
      <c r="C57" s="111">
        <v>56</v>
      </c>
      <c r="D57" s="111">
        <f>Table112345[[#This Row],[a (mm)]]/Table112345[[#This Row],[d (mm)]]</f>
        <v>2.99</v>
      </c>
      <c r="E57" s="111">
        <v>88.960000000000008</v>
      </c>
      <c r="F57" s="137">
        <f>Table112345[[#This Row],[d (mm)]]</f>
        <v>529</v>
      </c>
      <c r="G57" s="135">
        <f t="shared" si="16"/>
        <v>140708.9216</v>
      </c>
      <c r="H57" s="135">
        <f t="shared" si="17"/>
        <v>6.9914828675945179E-7</v>
      </c>
      <c r="I57" s="111">
        <f>G57/(Table112345[[#This Row],[b (mm)]]*Table112345[[#This Row],[h]]^2)</f>
        <v>9.3294128679865303E-4</v>
      </c>
      <c r="J57" s="135">
        <f t="shared" si="18"/>
        <v>0.19629925647128282</v>
      </c>
      <c r="K57" s="135">
        <f t="shared" si="19"/>
        <v>2.0730799592036443E-7</v>
      </c>
      <c r="L57" s="135">
        <f>E57/(Table112345[[#This Row],[b (mm)]]*AE57)</f>
        <v>4.1217243040883654E-4</v>
      </c>
      <c r="M57" s="135">
        <f>Table112345[[#This Row],[M (KN.mm)]]/(Table112345[[#This Row],[b (mm)]]*Table112345[[#This Row],[d (mm)]])</f>
        <v>0.65193725490196075</v>
      </c>
      <c r="N57" s="135">
        <f>Table112345[[#This Row],[M (KN.mm)]]/(Table112345[[#This Row],[b (mm)]]*Table112345[[#This Row],[h (mm)]])</f>
        <v>0.56722830237358102</v>
      </c>
      <c r="O57" s="145">
        <f>Table112345[[#This Row],[M (KN.mm)]]/(Table112345[[#This Row],[b (mm)]]*Table112345[[#This Row],[h (mm)]]*Table112345[[#This Row],[L(mm)]])</f>
        <v>1.7938908993471887E-4</v>
      </c>
      <c r="P57" s="145">
        <f>Table112345[[#This Row],[M (KN.mm)]]/(Table112345[[#This Row],[b (mm)]]*Table112345[[#This Row],[d (mm)]]*Table112345[[#This Row],[L(mm)]])</f>
        <v>2.0617876499113246E-4</v>
      </c>
      <c r="Q57" s="145">
        <f>Table112345[[#This Row],[M (KN.mm)]]/(Table112345[[#This Row],[b (mm)]]*Table112345[[#This Row],[h (mm)]]*Table112345[[#This Row],[L(mm)]]*Table112345[[#This Row],[fc (Mpa)]])</f>
        <v>2.7683501533135627E-6</v>
      </c>
      <c r="R57" s="145">
        <f>Table112345[[#This Row],[M (KN.mm)]]/(Table112345[[#This Row],[b (mm)]]*Table112345[[#This Row],[h (mm)]]*Table112345[[#This Row],[L(mm)]]/2)</f>
        <v>3.5877817986943773E-4</v>
      </c>
      <c r="S57" s="145">
        <f>Table112345[[#This Row],[M (KN.mm)]]/(Table112345[[#This Row],[a (mm)]]*Table112345[[#This Row],[b (mm)]]*Table112345[[#This Row],[h (mm)]]*Table112345[[#This Row],[L(mm)]]/2)</f>
        <v>2.2682930491015269E-7</v>
      </c>
      <c r="T57" s="145">
        <f>Table112345[[#This Row],[M (KN.mm)]]/(Table112345[[#This Row],[a (mm)]]^2*Table112345[[#This Row],[b (mm)]]*Table112345[[#This Row],[h (mm)]])</f>
        <v>2.2672748548276961E-7</v>
      </c>
      <c r="U57" s="145">
        <f>Table112345[[#This Row],[M (KN.mm)]]/(Table112345[[#This Row],[b (mm)]]*Table112345[[#This Row],[d (mm)]]*Table112345[[#This Row],[pho (%)]])</f>
        <v>0.54328104575163405</v>
      </c>
      <c r="V57" s="111">
        <f>E57*224.8/(2*SQRT(Table112345[[#This Row],[fc (Mpa)]]*145.037)*Table112345[[#This Row],[b (mm)]]*Table112345[[#This Row],[d (mm)]]*(1/25.4)^2)</f>
        <v>0.30830869757940599</v>
      </c>
      <c r="W57" s="111">
        <f>Table112345[[#This Row],[M (KN.mm)]]/$G$62</f>
        <v>0.57911536707706335</v>
      </c>
      <c r="X57" s="111">
        <f>Table112345[[#This Row],[V/(2*sqrt(fc) bd)]]</f>
        <v>0.30830869757940599</v>
      </c>
      <c r="Y57" s="110">
        <f>Table112345[[#This Row],[a (mm)]]</f>
        <v>1581.71</v>
      </c>
      <c r="Z57" s="110">
        <f>Table112345[[#This Row],[width]]*Table112345[[#This Row],[h]]^2</f>
        <v>150822912</v>
      </c>
      <c r="AA57" s="110">
        <f>Table112345[[#This Row],[b (mm)]]</f>
        <v>408</v>
      </c>
      <c r="AB57" s="110">
        <f>Table112345[[#This Row],[a]]/Table112345[[#This Row],[h (mm)]]</f>
        <v>2.601496710526316</v>
      </c>
      <c r="AC57" s="110">
        <f>Table112345[[#This Row],[h (mm)]]</f>
        <v>608</v>
      </c>
      <c r="AD57" s="111">
        <f>2.99*Table112345[[#This Row],[d (mm)]]</f>
        <v>1581.71</v>
      </c>
      <c r="AE57" s="160">
        <v>529</v>
      </c>
      <c r="AF57" s="160">
        <v>608</v>
      </c>
      <c r="AG57" s="160">
        <v>408</v>
      </c>
      <c r="AH57" s="160">
        <v>64.8</v>
      </c>
      <c r="AI57" s="160">
        <v>2581</v>
      </c>
      <c r="AJ57" s="160">
        <v>1.2</v>
      </c>
      <c r="AK57" s="160">
        <v>525</v>
      </c>
      <c r="AL57" s="111">
        <f>(1/3-0.21*(MIN(Table112345[[#This Row],[b (mm)]],AF57)/MAX(Table112345[[#This Row],[b (mm)]],AF57))*(MIN(Table112345[[#This Row],[b (mm)]],AF57)^4/(12*MAX(Table112345[[#This Row],[b (mm)]],AF57)^4)))*MAX(Table112345[[#This Row],[b (mm)]],AF57)*MIN(Table112345[[#This Row],[b (mm)]],AF57)^3</f>
        <v>13666240930.700037</v>
      </c>
      <c r="AM57" s="111">
        <f>Table112345[[#This Row],[b (mm)]]*AF57^3/12</f>
        <v>7641694208</v>
      </c>
      <c r="AN57" s="160">
        <v>3162</v>
      </c>
      <c r="AP57" s="126"/>
    </row>
    <row r="58" spans="1:49" x14ac:dyDescent="0.3">
      <c r="A58" s="157" t="s">
        <v>100</v>
      </c>
      <c r="B58" s="146">
        <v>5</v>
      </c>
      <c r="C58" s="111">
        <v>57</v>
      </c>
      <c r="D58" s="111">
        <f>Table112345[[#This Row],[a (mm)]]/Table112345[[#This Row],[d (mm)]]</f>
        <v>2.99</v>
      </c>
      <c r="E58" s="111">
        <v>100.08000000000001</v>
      </c>
      <c r="F58" s="137">
        <f>Table112345[[#This Row],[d (mm)]]</f>
        <v>529</v>
      </c>
      <c r="G58" s="135">
        <f t="shared" si="16"/>
        <v>158297.53680000003</v>
      </c>
      <c r="H58" s="135">
        <f t="shared" si="17"/>
        <v>7.8654182260438341E-7</v>
      </c>
      <c r="I58" s="111">
        <f>G58/(Table112345[[#This Row],[b (mm)]]*Table112345[[#This Row],[h]]^2)</f>
        <v>1.0495589476484848E-3</v>
      </c>
      <c r="J58" s="135">
        <f t="shared" si="18"/>
        <v>0.22083666353019321</v>
      </c>
      <c r="K58" s="135">
        <f t="shared" si="19"/>
        <v>2.3322149541040998E-7</v>
      </c>
      <c r="L58" s="135">
        <f>E58/(Table112345[[#This Row],[b (mm)]]*AE58)</f>
        <v>4.6369398420994113E-4</v>
      </c>
      <c r="M58" s="135">
        <f>Table112345[[#This Row],[M (KN.mm)]]/(Table112345[[#This Row],[b (mm)]]*Table112345[[#This Row],[d (mm)]])</f>
        <v>0.733429411764706</v>
      </c>
      <c r="N58" s="135">
        <f>Table112345[[#This Row],[M (KN.mm)]]/(Table112345[[#This Row],[b (mm)]]*Table112345[[#This Row],[h (mm)]])</f>
        <v>0.6381318401702788</v>
      </c>
      <c r="O58" s="145">
        <f>Table112345[[#This Row],[M (KN.mm)]]/(Table112345[[#This Row],[b (mm)]]*Table112345[[#This Row],[h (mm)]]*Table112345[[#This Row],[L(mm)]])</f>
        <v>2.0181272617655874E-4</v>
      </c>
      <c r="P58" s="145">
        <f>Table112345[[#This Row],[M (KN.mm)]]/(Table112345[[#This Row],[b (mm)]]*Table112345[[#This Row],[d (mm)]]*Table112345[[#This Row],[L(mm)]])</f>
        <v>2.3195111061502405E-4</v>
      </c>
      <c r="Q58" s="145">
        <f>Table112345[[#This Row],[M (KN.mm)]]/(Table112345[[#This Row],[b (mm)]]*Table112345[[#This Row],[h (mm)]]*Table112345[[#This Row],[L(mm)]]*Table112345[[#This Row],[fc (Mpa)]])</f>
        <v>3.1143939224777583E-6</v>
      </c>
      <c r="R58" s="145">
        <f>Table112345[[#This Row],[M (KN.mm)]]/(Table112345[[#This Row],[b (mm)]]*Table112345[[#This Row],[h (mm)]]*Table112345[[#This Row],[L(mm)]]/2)</f>
        <v>4.0362545235311749E-4</v>
      </c>
      <c r="S58" s="145">
        <f>Table112345[[#This Row],[M (KN.mm)]]/(Table112345[[#This Row],[a (mm)]]*Table112345[[#This Row],[b (mm)]]*Table112345[[#This Row],[h (mm)]]*Table112345[[#This Row],[L(mm)]]/2)</f>
        <v>2.5518296802392186E-7</v>
      </c>
      <c r="T58" s="145">
        <f>Table112345[[#This Row],[M (KN.mm)]]/(Table112345[[#This Row],[a (mm)]]^2*Table112345[[#This Row],[b (mm)]]*Table112345[[#This Row],[h (mm)]])</f>
        <v>2.5506842116811583E-7</v>
      </c>
      <c r="U58" s="145">
        <f>Table112345[[#This Row],[M (KN.mm)]]/(Table112345[[#This Row],[b (mm)]]*Table112345[[#This Row],[d (mm)]]*Table112345[[#This Row],[pho (%)]])</f>
        <v>0.6111911764705884</v>
      </c>
      <c r="V58" s="111">
        <f>E58*224.8/(2*SQRT(Table112345[[#This Row],[fc (Mpa)]]*145.037)*Table112345[[#This Row],[b (mm)]]*Table112345[[#This Row],[d (mm)]]*(1/25.4)^2)</f>
        <v>0.34684728477683174</v>
      </c>
      <c r="W58" s="111">
        <f>Table112345[[#This Row],[M (KN.mm)]]/$G$62</f>
        <v>0.65150478796169631</v>
      </c>
      <c r="X58" s="111">
        <f>Table112345[[#This Row],[V/(2*sqrt(fc) bd)]]</f>
        <v>0.34684728477683174</v>
      </c>
      <c r="Y58" s="110">
        <f>Table112345[[#This Row],[a (mm)]]</f>
        <v>1581.71</v>
      </c>
      <c r="Z58" s="110">
        <f>Table112345[[#This Row],[width]]*Table112345[[#This Row],[h]]^2</f>
        <v>150822912</v>
      </c>
      <c r="AA58" s="110">
        <f>Table112345[[#This Row],[b (mm)]]</f>
        <v>408</v>
      </c>
      <c r="AB58" s="110">
        <f>Table112345[[#This Row],[a]]/Table112345[[#This Row],[h (mm)]]</f>
        <v>2.601496710526316</v>
      </c>
      <c r="AC58" s="110">
        <f>Table112345[[#This Row],[h (mm)]]</f>
        <v>608</v>
      </c>
      <c r="AD58" s="111">
        <f>2.99*Table112345[[#This Row],[d (mm)]]</f>
        <v>1581.71</v>
      </c>
      <c r="AE58" s="160">
        <v>529</v>
      </c>
      <c r="AF58" s="160">
        <v>608</v>
      </c>
      <c r="AG58" s="160">
        <v>408</v>
      </c>
      <c r="AH58" s="160">
        <v>64.8</v>
      </c>
      <c r="AI58" s="160">
        <v>2581</v>
      </c>
      <c r="AJ58" s="160">
        <v>1.2</v>
      </c>
      <c r="AK58" s="160">
        <v>525</v>
      </c>
      <c r="AL58" s="111">
        <f>(1/3-0.21*(MIN(Table112345[[#This Row],[b (mm)]],AF58)/MAX(Table112345[[#This Row],[b (mm)]],AF58))*(MIN(Table112345[[#This Row],[b (mm)]],AF58)^4/(12*MAX(Table112345[[#This Row],[b (mm)]],AF58)^4)))*MAX(Table112345[[#This Row],[b (mm)]],AF58)*MIN(Table112345[[#This Row],[b (mm)]],AF58)^3</f>
        <v>13666240930.700037</v>
      </c>
      <c r="AM58" s="111">
        <f>Table112345[[#This Row],[b (mm)]]*AF58^3/12</f>
        <v>7641694208</v>
      </c>
      <c r="AN58" s="160">
        <v>3162</v>
      </c>
      <c r="AP58" s="126"/>
    </row>
    <row r="59" spans="1:49" x14ac:dyDescent="0.3">
      <c r="A59" s="157" t="s">
        <v>100</v>
      </c>
      <c r="B59" s="146">
        <v>6</v>
      </c>
      <c r="C59" s="111">
        <v>58</v>
      </c>
      <c r="D59" s="111">
        <f>Table112345[[#This Row],[a (mm)]]/Table112345[[#This Row],[d (mm)]]</f>
        <v>2.99</v>
      </c>
      <c r="E59" s="111">
        <v>111.20000000000002</v>
      </c>
      <c r="F59" s="137">
        <f>Table112345[[#This Row],[d (mm)]]</f>
        <v>529</v>
      </c>
      <c r="G59" s="135">
        <f t="shared" si="16"/>
        <v>175886.15200000003</v>
      </c>
      <c r="H59" s="135">
        <f t="shared" si="17"/>
        <v>8.7393535844931482E-7</v>
      </c>
      <c r="I59" s="111">
        <f>G59/(Table112345[[#This Row],[b (mm)]]*Table112345[[#This Row],[h]]^2)</f>
        <v>1.1661766084983165E-3</v>
      </c>
      <c r="J59" s="135">
        <f t="shared" si="18"/>
        <v>0.24537407058910357</v>
      </c>
      <c r="K59" s="135">
        <f t="shared" si="19"/>
        <v>2.5913499490045556E-7</v>
      </c>
      <c r="L59" s="135">
        <f>E59/(Table112345[[#This Row],[b (mm)]]*AE59)</f>
        <v>5.1521553801104573E-4</v>
      </c>
      <c r="M59" s="135">
        <f>Table112345[[#This Row],[M (KN.mm)]]/(Table112345[[#This Row],[b (mm)]]*Table112345[[#This Row],[d (mm)]])</f>
        <v>0.81492156862745113</v>
      </c>
      <c r="N59" s="135">
        <f>Table112345[[#This Row],[M (KN.mm)]]/(Table112345[[#This Row],[b (mm)]]*Table112345[[#This Row],[h (mm)]])</f>
        <v>0.70903537796697635</v>
      </c>
      <c r="O59" s="145">
        <f>Table112345[[#This Row],[M (KN.mm)]]/(Table112345[[#This Row],[b (mm)]]*Table112345[[#This Row],[h (mm)]]*Table112345[[#This Row],[L(mm)]])</f>
        <v>2.2423636241839859E-4</v>
      </c>
      <c r="P59" s="145">
        <f>Table112345[[#This Row],[M (KN.mm)]]/(Table112345[[#This Row],[b (mm)]]*Table112345[[#This Row],[d (mm)]]*Table112345[[#This Row],[L(mm)]])</f>
        <v>2.5772345623891558E-4</v>
      </c>
      <c r="Q59" s="145">
        <f>Table112345[[#This Row],[M (KN.mm)]]/(Table112345[[#This Row],[b (mm)]]*Table112345[[#This Row],[h (mm)]]*Table112345[[#This Row],[L(mm)]]*Table112345[[#This Row],[fc (Mpa)]])</f>
        <v>3.4604376916419535E-6</v>
      </c>
      <c r="R59" s="145">
        <f>Table112345[[#This Row],[M (KN.mm)]]/(Table112345[[#This Row],[b (mm)]]*Table112345[[#This Row],[h (mm)]]*Table112345[[#This Row],[L(mm)]]/2)</f>
        <v>4.4847272483679719E-4</v>
      </c>
      <c r="S59" s="145">
        <f>Table112345[[#This Row],[M (KN.mm)]]/(Table112345[[#This Row],[a (mm)]]*Table112345[[#This Row],[b (mm)]]*Table112345[[#This Row],[h (mm)]]*Table112345[[#This Row],[L(mm)]]/2)</f>
        <v>2.8353663113769094E-7</v>
      </c>
      <c r="T59" s="145">
        <f>Table112345[[#This Row],[M (KN.mm)]]/(Table112345[[#This Row],[a (mm)]]^2*Table112345[[#This Row],[b (mm)]]*Table112345[[#This Row],[h (mm)]])</f>
        <v>2.8340935685346205E-7</v>
      </c>
      <c r="U59" s="145">
        <f>Table112345[[#This Row],[M (KN.mm)]]/(Table112345[[#This Row],[b (mm)]]*Table112345[[#This Row],[d (mm)]]*Table112345[[#This Row],[pho (%)]])</f>
        <v>0.67910130718954265</v>
      </c>
      <c r="V59" s="111">
        <f>E59*224.8/(2*SQRT(Table112345[[#This Row],[fc (Mpa)]]*145.037)*Table112345[[#This Row],[b (mm)]]*Table112345[[#This Row],[d (mm)]]*(1/25.4)^2)</f>
        <v>0.38538587197425755</v>
      </c>
      <c r="W59" s="111">
        <f>Table112345[[#This Row],[M (KN.mm)]]/$G$62</f>
        <v>0.72389420884632927</v>
      </c>
      <c r="X59" s="111">
        <f>Table112345[[#This Row],[V/(2*sqrt(fc) bd)]]</f>
        <v>0.38538587197425755</v>
      </c>
      <c r="Y59" s="110">
        <f>Table112345[[#This Row],[a (mm)]]</f>
        <v>1581.71</v>
      </c>
      <c r="Z59" s="110">
        <f>Table112345[[#This Row],[width]]*Table112345[[#This Row],[h]]^2</f>
        <v>150822912</v>
      </c>
      <c r="AA59" s="110">
        <f>Table112345[[#This Row],[b (mm)]]</f>
        <v>408</v>
      </c>
      <c r="AB59" s="110">
        <f>Table112345[[#This Row],[a]]/Table112345[[#This Row],[h (mm)]]</f>
        <v>2.601496710526316</v>
      </c>
      <c r="AC59" s="110">
        <f>Table112345[[#This Row],[h (mm)]]</f>
        <v>608</v>
      </c>
      <c r="AD59" s="111">
        <f>2.99*Table112345[[#This Row],[d (mm)]]</f>
        <v>1581.71</v>
      </c>
      <c r="AE59" s="160">
        <v>529</v>
      </c>
      <c r="AF59" s="160">
        <v>608</v>
      </c>
      <c r="AG59" s="160">
        <v>408</v>
      </c>
      <c r="AH59" s="160">
        <v>64.8</v>
      </c>
      <c r="AI59" s="160">
        <v>2581</v>
      </c>
      <c r="AJ59" s="160">
        <v>1.2</v>
      </c>
      <c r="AK59" s="160">
        <v>525</v>
      </c>
      <c r="AL59" s="111">
        <f>(1/3-0.21*(MIN(Table112345[[#This Row],[b (mm)]],AF59)/MAX(Table112345[[#This Row],[b (mm)]],AF59))*(MIN(Table112345[[#This Row],[b (mm)]],AF59)^4/(12*MAX(Table112345[[#This Row],[b (mm)]],AF59)^4)))*MAX(Table112345[[#This Row],[b (mm)]],AF59)*MIN(Table112345[[#This Row],[b (mm)]],AF59)^3</f>
        <v>13666240930.700037</v>
      </c>
      <c r="AM59" s="111">
        <f>Table112345[[#This Row],[b (mm)]]*AF59^3/12</f>
        <v>7641694208</v>
      </c>
      <c r="AN59" s="160">
        <v>3162</v>
      </c>
      <c r="AP59" s="126"/>
    </row>
    <row r="60" spans="1:49" x14ac:dyDescent="0.3">
      <c r="A60" s="157" t="s">
        <v>100</v>
      </c>
      <c r="B60" s="146">
        <v>7</v>
      </c>
      <c r="C60" s="111">
        <v>59</v>
      </c>
      <c r="D60" s="111">
        <f>Table112345[[#This Row],[a (mm)]]/Table112345[[#This Row],[d (mm)]]</f>
        <v>2.99</v>
      </c>
      <c r="E60" s="111">
        <v>122.32000000000001</v>
      </c>
      <c r="F60" s="137">
        <f>Table112345[[#This Row],[d (mm)]]</f>
        <v>529</v>
      </c>
      <c r="G60" s="135">
        <f t="shared" si="16"/>
        <v>193474.7672</v>
      </c>
      <c r="H60" s="135">
        <f t="shared" si="17"/>
        <v>9.6132889429424612E-7</v>
      </c>
      <c r="I60" s="111">
        <f>G60/(Table112345[[#This Row],[b (mm)]]*Table112345[[#This Row],[h]]^2)</f>
        <v>1.2827942693481478E-3</v>
      </c>
      <c r="J60" s="135">
        <f t="shared" si="18"/>
        <v>0.26991147764801388</v>
      </c>
      <c r="K60" s="135">
        <f t="shared" si="19"/>
        <v>2.8504849439050111E-7</v>
      </c>
      <c r="L60" s="135">
        <f>E60/(Table112345[[#This Row],[b (mm)]]*AE60)</f>
        <v>5.6673709181215021E-4</v>
      </c>
      <c r="M60" s="135">
        <f>Table112345[[#This Row],[M (KN.mm)]]/(Table112345[[#This Row],[b (mm)]]*Table112345[[#This Row],[d (mm)]])</f>
        <v>0.89641372549019604</v>
      </c>
      <c r="N60" s="135">
        <f>Table112345[[#This Row],[M (KN.mm)]]/(Table112345[[#This Row],[b (mm)]]*Table112345[[#This Row],[h (mm)]])</f>
        <v>0.77993891576367391</v>
      </c>
      <c r="O60" s="145">
        <f>Table112345[[#This Row],[M (KN.mm)]]/(Table112345[[#This Row],[b (mm)]]*Table112345[[#This Row],[h (mm)]]*Table112345[[#This Row],[L(mm)]])</f>
        <v>2.4665999866023842E-4</v>
      </c>
      <c r="P60" s="145">
        <f>Table112345[[#This Row],[M (KN.mm)]]/(Table112345[[#This Row],[b (mm)]]*Table112345[[#This Row],[d (mm)]]*Table112345[[#This Row],[L(mm)]])</f>
        <v>2.8349580186280709E-4</v>
      </c>
      <c r="Q60" s="145">
        <f>Table112345[[#This Row],[M (KN.mm)]]/(Table112345[[#This Row],[b (mm)]]*Table112345[[#This Row],[h (mm)]]*Table112345[[#This Row],[L(mm)]]*Table112345[[#This Row],[fc (Mpa)]])</f>
        <v>3.8064814608061483E-6</v>
      </c>
      <c r="R60" s="145">
        <f>Table112345[[#This Row],[M (KN.mm)]]/(Table112345[[#This Row],[b (mm)]]*Table112345[[#This Row],[h (mm)]]*Table112345[[#This Row],[L(mm)]]/2)</f>
        <v>4.9331999732047684E-4</v>
      </c>
      <c r="S60" s="145">
        <f>Table112345[[#This Row],[M (KN.mm)]]/(Table112345[[#This Row],[a (mm)]]*Table112345[[#This Row],[b (mm)]]*Table112345[[#This Row],[h (mm)]]*Table112345[[#This Row],[L(mm)]]/2)</f>
        <v>3.1189029425145997E-7</v>
      </c>
      <c r="T60" s="145">
        <f>Table112345[[#This Row],[M (KN.mm)]]/(Table112345[[#This Row],[a (mm)]]^2*Table112345[[#This Row],[b (mm)]]*Table112345[[#This Row],[h (mm)]])</f>
        <v>3.1175029253880822E-7</v>
      </c>
      <c r="U60" s="145">
        <f>Table112345[[#This Row],[M (KN.mm)]]/(Table112345[[#This Row],[b (mm)]]*Table112345[[#This Row],[d (mm)]]*Table112345[[#This Row],[pho (%)]])</f>
        <v>0.74701143790849678</v>
      </c>
      <c r="V60" s="111">
        <f>E60*224.8/(2*SQRT(Table112345[[#This Row],[fc (Mpa)]]*145.037)*Table112345[[#This Row],[b (mm)]]*Table112345[[#This Row],[d (mm)]]*(1/25.4)^2)</f>
        <v>0.42392445917168325</v>
      </c>
      <c r="W60" s="111">
        <f>Table112345[[#This Row],[M (KN.mm)]]/$G$62</f>
        <v>0.79628362973096201</v>
      </c>
      <c r="X60" s="111">
        <f>Table112345[[#This Row],[V/(2*sqrt(fc) bd)]]</f>
        <v>0.42392445917168325</v>
      </c>
      <c r="Y60" s="110">
        <f>Table112345[[#This Row],[a (mm)]]</f>
        <v>1581.71</v>
      </c>
      <c r="Z60" s="110">
        <f>Table112345[[#This Row],[width]]*Table112345[[#This Row],[h]]^2</f>
        <v>150822912</v>
      </c>
      <c r="AA60" s="110">
        <f>Table112345[[#This Row],[b (mm)]]</f>
        <v>408</v>
      </c>
      <c r="AB60" s="110">
        <f>Table112345[[#This Row],[a]]/Table112345[[#This Row],[h (mm)]]</f>
        <v>2.601496710526316</v>
      </c>
      <c r="AC60" s="110">
        <f>Table112345[[#This Row],[h (mm)]]</f>
        <v>608</v>
      </c>
      <c r="AD60" s="111">
        <f>2.99*Table112345[[#This Row],[d (mm)]]</f>
        <v>1581.71</v>
      </c>
      <c r="AE60" s="160">
        <v>529</v>
      </c>
      <c r="AF60" s="160">
        <v>608</v>
      </c>
      <c r="AG60" s="160">
        <v>408</v>
      </c>
      <c r="AH60" s="160">
        <v>64.8</v>
      </c>
      <c r="AI60" s="160">
        <v>2581</v>
      </c>
      <c r="AJ60" s="160">
        <v>1.2</v>
      </c>
      <c r="AK60" s="160">
        <v>525</v>
      </c>
      <c r="AL60" s="111">
        <f>(1/3-0.21*(MIN(Table112345[[#This Row],[b (mm)]],AF60)/MAX(Table112345[[#This Row],[b (mm)]],AF60))*(MIN(Table112345[[#This Row],[b (mm)]],AF60)^4/(12*MAX(Table112345[[#This Row],[b (mm)]],AF60)^4)))*MAX(Table112345[[#This Row],[b (mm)]],AF60)*MIN(Table112345[[#This Row],[b (mm)]],AF60)^3</f>
        <v>13666240930.700037</v>
      </c>
      <c r="AM60" s="111">
        <f>Table112345[[#This Row],[b (mm)]]*AF60^3/12</f>
        <v>7641694208</v>
      </c>
      <c r="AN60" s="160">
        <v>3162</v>
      </c>
      <c r="AP60" s="126"/>
    </row>
    <row r="61" spans="1:49" x14ac:dyDescent="0.3">
      <c r="A61" s="157" t="s">
        <v>100</v>
      </c>
      <c r="B61" s="146">
        <v>8</v>
      </c>
      <c r="C61" s="111">
        <v>60</v>
      </c>
      <c r="D61" s="111">
        <f>Table112345[[#This Row],[a (mm)]]/Table112345[[#This Row],[d (mm)]]</f>
        <v>2.99</v>
      </c>
      <c r="E61" s="111">
        <v>133.44</v>
      </c>
      <c r="F61" s="137">
        <f>Table112345[[#This Row],[d (mm)]]</f>
        <v>529</v>
      </c>
      <c r="G61" s="135">
        <f t="shared" si="16"/>
        <v>211063.3824</v>
      </c>
      <c r="H61" s="135">
        <f t="shared" si="17"/>
        <v>1.0487224301391777E-6</v>
      </c>
      <c r="I61" s="111">
        <f>G61/(Table112345[[#This Row],[b (mm)]]*Table112345[[#This Row],[h]]^2)</f>
        <v>1.3994119301979796E-3</v>
      </c>
      <c r="J61" s="135">
        <f t="shared" si="18"/>
        <v>0.29444888470692426</v>
      </c>
      <c r="K61" s="135">
        <f t="shared" si="19"/>
        <v>3.109619938805466E-7</v>
      </c>
      <c r="L61" s="135">
        <f>E61/(Table112345[[#This Row],[b (mm)]]*AE61)</f>
        <v>6.182586456132547E-4</v>
      </c>
      <c r="M61" s="135">
        <f>Table112345[[#This Row],[M (KN.mm)]]/(Table112345[[#This Row],[b (mm)]]*Table112345[[#This Row],[d (mm)]])</f>
        <v>0.97790588235294118</v>
      </c>
      <c r="N61" s="135">
        <f>Table112345[[#This Row],[M (KN.mm)]]/(Table112345[[#This Row],[b (mm)]]*Table112345[[#This Row],[h (mm)]])</f>
        <v>0.85084245356037158</v>
      </c>
      <c r="O61" s="145">
        <f>Table112345[[#This Row],[M (KN.mm)]]/(Table112345[[#This Row],[b (mm)]]*Table112345[[#This Row],[h (mm)]]*Table112345[[#This Row],[L(mm)]])</f>
        <v>2.6908363490207827E-4</v>
      </c>
      <c r="P61" s="145">
        <f>Table112345[[#This Row],[M (KN.mm)]]/(Table112345[[#This Row],[b (mm)]]*Table112345[[#This Row],[d (mm)]]*Table112345[[#This Row],[L(mm)]])</f>
        <v>3.0926814748669866E-4</v>
      </c>
      <c r="Q61" s="145">
        <f>Table112345[[#This Row],[M (KN.mm)]]/(Table112345[[#This Row],[b (mm)]]*Table112345[[#This Row],[h (mm)]]*Table112345[[#This Row],[L(mm)]]*Table112345[[#This Row],[fc (Mpa)]])</f>
        <v>4.1525252299703436E-6</v>
      </c>
      <c r="R61" s="145">
        <f>Table112345[[#This Row],[M (KN.mm)]]/(Table112345[[#This Row],[b (mm)]]*Table112345[[#This Row],[h (mm)]]*Table112345[[#This Row],[L(mm)]]/2)</f>
        <v>5.3816726980415654E-4</v>
      </c>
      <c r="S61" s="145">
        <f>Table112345[[#This Row],[M (KN.mm)]]/(Table112345[[#This Row],[a (mm)]]*Table112345[[#This Row],[b (mm)]]*Table112345[[#This Row],[h (mm)]]*Table112345[[#This Row],[L(mm)]]/2)</f>
        <v>3.4024395736522905E-7</v>
      </c>
      <c r="T61" s="145">
        <f>Table112345[[#This Row],[M (KN.mm)]]/(Table112345[[#This Row],[a (mm)]]^2*Table112345[[#This Row],[b (mm)]]*Table112345[[#This Row],[h (mm)]])</f>
        <v>3.4009122822415438E-7</v>
      </c>
      <c r="U61" s="145">
        <f>Table112345[[#This Row],[M (KN.mm)]]/(Table112345[[#This Row],[b (mm)]]*Table112345[[#This Row],[d (mm)]]*Table112345[[#This Row],[pho (%)]])</f>
        <v>0.81492156862745102</v>
      </c>
      <c r="V61" s="111">
        <f>E61*224.8/(2*SQRT(Table112345[[#This Row],[fc (Mpa)]]*145.037)*Table112345[[#This Row],[b (mm)]]*Table112345[[#This Row],[d (mm)]]*(1/25.4)^2)</f>
        <v>0.46246304636910895</v>
      </c>
      <c r="W61" s="111">
        <f>Table112345[[#This Row],[M (KN.mm)]]/$G$62</f>
        <v>0.86867305061559497</v>
      </c>
      <c r="X61" s="111">
        <f>Table112345[[#This Row],[V/(2*sqrt(fc) bd)]]</f>
        <v>0.46246304636910895</v>
      </c>
      <c r="Y61" s="110">
        <f>Table112345[[#This Row],[a (mm)]]</f>
        <v>1581.71</v>
      </c>
      <c r="Z61" s="110">
        <f>Table112345[[#This Row],[width]]*Table112345[[#This Row],[h]]^2</f>
        <v>150822912</v>
      </c>
      <c r="AA61" s="110">
        <f>Table112345[[#This Row],[b (mm)]]</f>
        <v>408</v>
      </c>
      <c r="AB61" s="110">
        <f>Table112345[[#This Row],[a]]/Table112345[[#This Row],[h (mm)]]</f>
        <v>2.601496710526316</v>
      </c>
      <c r="AC61" s="110">
        <f>Table112345[[#This Row],[h (mm)]]</f>
        <v>608</v>
      </c>
      <c r="AD61" s="111">
        <f>2.99*Table112345[[#This Row],[d (mm)]]</f>
        <v>1581.71</v>
      </c>
      <c r="AE61" s="160">
        <v>529</v>
      </c>
      <c r="AF61" s="160">
        <v>608</v>
      </c>
      <c r="AG61" s="160">
        <v>408</v>
      </c>
      <c r="AH61" s="160">
        <v>64.8</v>
      </c>
      <c r="AI61" s="160">
        <v>2581</v>
      </c>
      <c r="AJ61" s="160">
        <v>1.2</v>
      </c>
      <c r="AK61" s="160">
        <v>525</v>
      </c>
      <c r="AL61" s="111">
        <f>(1/3-0.21*(MIN(Table112345[[#This Row],[b (mm)]],AF61)/MAX(Table112345[[#This Row],[b (mm)]],AF61))*(MIN(Table112345[[#This Row],[b (mm)]],AF61)^4/(12*MAX(Table112345[[#This Row],[b (mm)]],AF61)^4)))*MAX(Table112345[[#This Row],[b (mm)]],AF61)*MIN(Table112345[[#This Row],[b (mm)]],AF61)^3</f>
        <v>13666240930.700037</v>
      </c>
      <c r="AM61" s="111">
        <f>Table112345[[#This Row],[b (mm)]]*AF61^3/12</f>
        <v>7641694208</v>
      </c>
      <c r="AN61" s="160">
        <v>3162</v>
      </c>
      <c r="AP61" s="126"/>
    </row>
    <row r="62" spans="1:49" x14ac:dyDescent="0.3">
      <c r="A62" s="157" t="s">
        <v>100</v>
      </c>
      <c r="B62" s="146" t="s">
        <v>93</v>
      </c>
      <c r="C62" s="111">
        <v>61</v>
      </c>
      <c r="D62" s="111">
        <f>Table112345[[#This Row],[a (mm)]]/Table112345[[#This Row],[d (mm)]]</f>
        <v>2.99</v>
      </c>
      <c r="E62" s="166">
        <v>153.61360629921262</v>
      </c>
      <c r="F62" s="137">
        <f>Table112345[[#This Row],[d (mm)]]</f>
        <v>529</v>
      </c>
      <c r="G62" s="135">
        <f t="shared" si="16"/>
        <v>242972.1772195276</v>
      </c>
      <c r="H62" s="135">
        <f t="shared" si="17"/>
        <v>1.207269443199589E-6</v>
      </c>
      <c r="I62" s="111">
        <f>G62/(Table112345[[#This Row],[b (mm)]]*Table112345[[#This Row],[h]]^2)</f>
        <v>1.6109765684641309E-3</v>
      </c>
      <c r="J62" s="135">
        <f t="shared" si="18"/>
        <v>0.33896399168623881</v>
      </c>
      <c r="K62" s="135">
        <f t="shared" si="19"/>
        <v>3.5797357090815686E-7</v>
      </c>
      <c r="L62" s="135">
        <f>E62/(Table112345[[#This Row],[b (mm)]]*AE62)</f>
        <v>7.1172766920203038E-4</v>
      </c>
      <c r="M62" s="135">
        <f>Table112345[[#This Row],[M (KN.mm)]]/(Table112345[[#This Row],[b (mm)]]*Table112345[[#This Row],[d (mm)]])</f>
        <v>1.1257467716535434</v>
      </c>
      <c r="N62" s="135">
        <f>Table112345[[#This Row],[M (KN.mm)]]/(Table112345[[#This Row],[b (mm)]]*Table112345[[#This Row],[h (mm)]])</f>
        <v>0.9794737536261916</v>
      </c>
      <c r="O62" s="145">
        <f>Table112345[[#This Row],[M (KN.mm)]]/(Table112345[[#This Row],[b (mm)]]*Table112345[[#This Row],[h (mm)]]*Table112345[[#This Row],[L(mm)]])</f>
        <v>3.0976399545420356E-4</v>
      </c>
      <c r="P62" s="145">
        <f>Table112345[[#This Row],[M (KN.mm)]]/(Table112345[[#This Row],[b (mm)]]*Table112345[[#This Row],[d (mm)]]*Table112345[[#This Row],[L(mm)]])</f>
        <v>3.5602364694925476E-4</v>
      </c>
      <c r="Q62" s="145">
        <f>Table112345[[#This Row],[M (KN.mm)]]/(Table112345[[#This Row],[b (mm)]]*Table112345[[#This Row],[h (mm)]]*Table112345[[#This Row],[L(mm)]]*Table112345[[#This Row],[fc (Mpa)]])</f>
        <v>4.7803085718241288E-6</v>
      </c>
      <c r="R62" s="145">
        <f>Table112345[[#This Row],[M (KN.mm)]]/(Table112345[[#This Row],[b (mm)]]*Table112345[[#This Row],[h (mm)]]*Table112345[[#This Row],[L(mm)]]/2)</f>
        <v>6.1952799090840712E-4</v>
      </c>
      <c r="S62" s="145">
        <f>Table112345[[#This Row],[M (KN.mm)]]/(Table112345[[#This Row],[a (mm)]]*Table112345[[#This Row],[b (mm)]]*Table112345[[#This Row],[h (mm)]]*Table112345[[#This Row],[L(mm)]]/2)</f>
        <v>3.9168241391178342E-7</v>
      </c>
      <c r="T62" s="145">
        <f>Table112345[[#This Row],[M (KN.mm)]]/(Table112345[[#This Row],[a (mm)]]^2*Table112345[[#This Row],[b (mm)]]*Table112345[[#This Row],[h (mm)]])</f>
        <v>3.9150659501079827E-7</v>
      </c>
      <c r="U62" s="145">
        <f>Table112345[[#This Row],[M (KN.mm)]]/(Table112345[[#This Row],[b (mm)]]*Table112345[[#This Row],[d (mm)]]*Table112345[[#This Row],[pho (%)]])</f>
        <v>0.9381223097112863</v>
      </c>
      <c r="V62" s="111">
        <f>E62*224.8/(2*SQRT(Table112345[[#This Row],[fc (Mpa)]]*145.037)*Table112345[[#This Row],[b (mm)]]*Table112345[[#This Row],[d (mm)]]*(1/25.4)^2)</f>
        <v>0.53237871952097438</v>
      </c>
      <c r="W62" s="111">
        <f>Table112345[[#This Row],[M (KN.mm)]]/$G$62</f>
        <v>1</v>
      </c>
      <c r="X62" s="111">
        <f>Table112345[[#This Row],[V/(2*sqrt(fc) bd)]]</f>
        <v>0.53237871952097438</v>
      </c>
      <c r="Y62" s="110">
        <f>Table112345[[#This Row],[a (mm)]]</f>
        <v>1581.71</v>
      </c>
      <c r="Z62" s="110">
        <f>Table112345[[#This Row],[width]]*Table112345[[#This Row],[h]]^2</f>
        <v>150822912</v>
      </c>
      <c r="AA62" s="110">
        <f>Table112345[[#This Row],[b (mm)]]</f>
        <v>408</v>
      </c>
      <c r="AB62" s="110">
        <f>Table112345[[#This Row],[a]]/Table112345[[#This Row],[h (mm)]]</f>
        <v>2.601496710526316</v>
      </c>
      <c r="AC62" s="110">
        <f>Table112345[[#This Row],[h (mm)]]</f>
        <v>608</v>
      </c>
      <c r="AD62" s="111">
        <f>2.99*Table112345[[#This Row],[d (mm)]]</f>
        <v>1581.71</v>
      </c>
      <c r="AE62" s="160">
        <v>529</v>
      </c>
      <c r="AF62" s="160">
        <v>608</v>
      </c>
      <c r="AG62" s="160">
        <v>408</v>
      </c>
      <c r="AH62" s="160">
        <v>64.8</v>
      </c>
      <c r="AI62" s="160">
        <v>2581</v>
      </c>
      <c r="AJ62" s="160">
        <v>1.2</v>
      </c>
      <c r="AK62" s="160">
        <v>525</v>
      </c>
      <c r="AL62" s="111">
        <f>(1/3-0.21*(MIN(Table112345[[#This Row],[b (mm)]],AF62)/MAX(Table112345[[#This Row],[b (mm)]],AF62))*(MIN(Table112345[[#This Row],[b (mm)]],AF62)^4/(12*MAX(Table112345[[#This Row],[b (mm)]],AF62)^4)))*MAX(Table112345[[#This Row],[b (mm)]],AF62)*MIN(Table112345[[#This Row],[b (mm)]],AF62)^3</f>
        <v>13666240930.700037</v>
      </c>
      <c r="AM62" s="111">
        <f>Table112345[[#This Row],[b (mm)]]*AF62^3/12</f>
        <v>7641694208</v>
      </c>
      <c r="AN62" s="160">
        <v>3162</v>
      </c>
      <c r="AP62" s="126"/>
    </row>
    <row r="63" spans="1:49" x14ac:dyDescent="0.3">
      <c r="A63" s="157" t="s">
        <v>100</v>
      </c>
      <c r="B63" s="146" t="s">
        <v>94</v>
      </c>
      <c r="C63" s="111">
        <v>62</v>
      </c>
      <c r="D63" s="111">
        <f>Table112345[[#This Row],[a (mm)]]/Table112345[[#This Row],[d (mm)]]</f>
        <v>2.99</v>
      </c>
      <c r="E63" s="166">
        <v>153.61360629921262</v>
      </c>
      <c r="F63" s="137">
        <f>Table112345[[#This Row],[d (mm)]]</f>
        <v>529</v>
      </c>
      <c r="G63" s="135">
        <f t="shared" si="16"/>
        <v>242972.1772195276</v>
      </c>
      <c r="H63" s="135">
        <f t="shared" si="17"/>
        <v>1.207269443199589E-6</v>
      </c>
      <c r="I63" s="111">
        <f>G63/(Table112345[[#This Row],[b (mm)]]*Table112345[[#This Row],[h]]^2)</f>
        <v>1.6109765684641309E-3</v>
      </c>
      <c r="J63" s="135">
        <f t="shared" si="18"/>
        <v>0.33896399168623881</v>
      </c>
      <c r="K63" s="135">
        <f t="shared" si="19"/>
        <v>3.5797357090815686E-7</v>
      </c>
      <c r="L63" s="135">
        <f>E63/(Table112345[[#This Row],[b (mm)]]*AE63)</f>
        <v>7.1172766920203038E-4</v>
      </c>
      <c r="M63" s="135">
        <f>Table112345[[#This Row],[M (KN.mm)]]/(Table112345[[#This Row],[b (mm)]]*Table112345[[#This Row],[d (mm)]])</f>
        <v>1.1257467716535434</v>
      </c>
      <c r="N63" s="135">
        <f>Table112345[[#This Row],[M (KN.mm)]]/(Table112345[[#This Row],[b (mm)]]*Table112345[[#This Row],[h (mm)]])</f>
        <v>0.9794737536261916</v>
      </c>
      <c r="O63" s="145">
        <f>Table112345[[#This Row],[M (KN.mm)]]/(Table112345[[#This Row],[b (mm)]]*Table112345[[#This Row],[h (mm)]]*Table112345[[#This Row],[L(mm)]])</f>
        <v>3.0976399545420356E-4</v>
      </c>
      <c r="P63" s="145">
        <f>Table112345[[#This Row],[M (KN.mm)]]/(Table112345[[#This Row],[b (mm)]]*Table112345[[#This Row],[d (mm)]]*Table112345[[#This Row],[L(mm)]])</f>
        <v>3.5602364694925476E-4</v>
      </c>
      <c r="Q63" s="145">
        <f>Table112345[[#This Row],[M (KN.mm)]]/(Table112345[[#This Row],[b (mm)]]*Table112345[[#This Row],[h (mm)]]*Table112345[[#This Row],[L(mm)]]*Table112345[[#This Row],[fc (Mpa)]])</f>
        <v>4.7803085718241288E-6</v>
      </c>
      <c r="R63" s="145">
        <f>Table112345[[#This Row],[M (KN.mm)]]/(Table112345[[#This Row],[b (mm)]]*Table112345[[#This Row],[h (mm)]]*Table112345[[#This Row],[L(mm)]]/2)</f>
        <v>6.1952799090840712E-4</v>
      </c>
      <c r="S63" s="145">
        <f>Table112345[[#This Row],[M (KN.mm)]]/(Table112345[[#This Row],[a (mm)]]*Table112345[[#This Row],[b (mm)]]*Table112345[[#This Row],[h (mm)]]*Table112345[[#This Row],[L(mm)]]/2)</f>
        <v>3.9168241391178342E-7</v>
      </c>
      <c r="T63" s="145">
        <f>Table112345[[#This Row],[M (KN.mm)]]/(Table112345[[#This Row],[a (mm)]]^2*Table112345[[#This Row],[b (mm)]]*Table112345[[#This Row],[h (mm)]])</f>
        <v>3.9150659501079827E-7</v>
      </c>
      <c r="U63" s="145">
        <f>Table112345[[#This Row],[M (KN.mm)]]/(Table112345[[#This Row],[b (mm)]]*Table112345[[#This Row],[d (mm)]]*Table112345[[#This Row],[pho (%)]])</f>
        <v>0.9381223097112863</v>
      </c>
      <c r="V63" s="111">
        <f>E63*224.8/(2*SQRT(Table112345[[#This Row],[fc (Mpa)]]*145.037)*Table112345[[#This Row],[b (mm)]]*Table112345[[#This Row],[d (mm)]]*(1/25.4)^2)</f>
        <v>0.53237871952097438</v>
      </c>
      <c r="W63" s="111">
        <f>Table112345[[#This Row],[M (KN.mm)]]/$G$62</f>
        <v>1</v>
      </c>
      <c r="X63" s="111">
        <f>Table112345[[#This Row],[V/(2*sqrt(fc) bd)]]</f>
        <v>0.53237871952097438</v>
      </c>
      <c r="Y63" s="110">
        <f>Table112345[[#This Row],[a (mm)]]</f>
        <v>1581.71</v>
      </c>
      <c r="Z63" s="110">
        <f>Table112345[[#This Row],[width]]*Table112345[[#This Row],[h]]^2</f>
        <v>150822912</v>
      </c>
      <c r="AA63" s="110">
        <f>Table112345[[#This Row],[b (mm)]]</f>
        <v>408</v>
      </c>
      <c r="AB63" s="110">
        <f>Table112345[[#This Row],[a]]/Table112345[[#This Row],[h (mm)]]</f>
        <v>2.601496710526316</v>
      </c>
      <c r="AC63" s="110">
        <f>Table112345[[#This Row],[h (mm)]]</f>
        <v>608</v>
      </c>
      <c r="AD63" s="111">
        <f>2.99*Table112345[[#This Row],[d (mm)]]</f>
        <v>1581.71</v>
      </c>
      <c r="AE63" s="160">
        <v>529</v>
      </c>
      <c r="AF63" s="160">
        <v>608</v>
      </c>
      <c r="AG63" s="160">
        <v>408</v>
      </c>
      <c r="AH63" s="160">
        <v>64.8</v>
      </c>
      <c r="AI63" s="160">
        <v>2581</v>
      </c>
      <c r="AJ63" s="160">
        <v>1.2</v>
      </c>
      <c r="AK63" s="160">
        <v>525</v>
      </c>
      <c r="AL63" s="111">
        <f>(1/3-0.21*(MIN(Table112345[[#This Row],[b (mm)]],AF63)/MAX(Table112345[[#This Row],[b (mm)]],AF63))*(MIN(Table112345[[#This Row],[b (mm)]],AF63)^4/(12*MAX(Table112345[[#This Row],[b (mm)]],AF63)^4)))*MAX(Table112345[[#This Row],[b (mm)]],AF63)*MIN(Table112345[[#This Row],[b (mm)]],AF63)^3</f>
        <v>13666240930.700037</v>
      </c>
      <c r="AM63" s="111">
        <f>Table112345[[#This Row],[b (mm)]]*AF63^3/12</f>
        <v>7641694208</v>
      </c>
      <c r="AN63" s="160">
        <v>3162</v>
      </c>
      <c r="AP63" s="126"/>
    </row>
    <row r="64" spans="1:49" s="1" customFormat="1" x14ac:dyDescent="0.3">
      <c r="A64" s="158" t="s">
        <v>101</v>
      </c>
      <c r="B64" s="147">
        <v>1</v>
      </c>
      <c r="C64" s="111">
        <v>63</v>
      </c>
      <c r="D64" s="111">
        <f>Table112345[[#This Row],[a (mm)]]/Table112345[[#This Row],[d (mm)]]</f>
        <v>2.97</v>
      </c>
      <c r="E64" s="160">
        <v>104.08320000000001</v>
      </c>
      <c r="F64" s="137">
        <f>Table112345[[#This Row],[d (mm)]]</f>
        <v>684</v>
      </c>
      <c r="G64" s="135">
        <f>E64*AD64</f>
        <v>211442.93913600003</v>
      </c>
      <c r="H64" s="135">
        <f>G64/($AQ$5*AM64*0.001)</f>
        <v>4.2863055325384708E-7</v>
      </c>
      <c r="I64" s="111">
        <f>G64/(Table112345[[#This Row],[b (mm)]]*Table112345[[#This Row],[h]]^2)</f>
        <v>7.1683554491518446E-4</v>
      </c>
      <c r="J64" s="135">
        <f>G64/(AI64*AK64*AE64*0.001)</f>
        <v>0.13038386435530813</v>
      </c>
      <c r="K64" s="135">
        <f>E64/($AQ$4*AL64*0.001)</f>
        <v>1.0023954608949531E-7</v>
      </c>
      <c r="L64" s="135">
        <f>E64/(Table112345[[#This Row],[b (mm)]]*AE64)</f>
        <v>2.9954413593037715E-4</v>
      </c>
      <c r="M64" s="135">
        <f>Table112345[[#This Row],[M (KN.mm)]]/(Table112345[[#This Row],[b (mm)]]*Table112345[[#This Row],[d (mm)]])</f>
        <v>0.60851792125984261</v>
      </c>
      <c r="N64" s="135">
        <f>Table112345[[#This Row],[M (KN.mm)]]/(Table112345[[#This Row],[b (mm)]]*Table112345[[#This Row],[h (mm)]])</f>
        <v>0.54622868522537049</v>
      </c>
      <c r="O64" s="145">
        <f>Table112345[[#This Row],[M (KN.mm)]]/(Table112345[[#This Row],[b (mm)]]*Table112345[[#This Row],[h (mm)]]*Table112345[[#This Row],[L(mm)]])</f>
        <v>1.3440666467159709E-4</v>
      </c>
      <c r="P64" s="145">
        <f>Table112345[[#This Row],[M (KN.mm)]]/(Table112345[[#This Row],[b (mm)]]*Table112345[[#This Row],[d (mm)]]*Table112345[[#This Row],[L(mm)]])</f>
        <v>1.4973374046748096E-4</v>
      </c>
      <c r="Q64" s="145">
        <f>Table112345[[#This Row],[M (KN.mm)]]/(Table112345[[#This Row],[b (mm)]]*Table112345[[#This Row],[h (mm)]]*Table112345[[#This Row],[L(mm)]]*Table112345[[#This Row],[fc (Mpa)]])</f>
        <v>1.9736661478942304E-6</v>
      </c>
      <c r="R64" s="145">
        <f>Table112345[[#This Row],[M (KN.mm)]]/(Table112345[[#This Row],[b (mm)]]*Table112345[[#This Row],[h (mm)]]*Table112345[[#This Row],[L(mm)]]/2)</f>
        <v>2.6881332934319417E-4</v>
      </c>
      <c r="S64" s="145">
        <f>Table112345[[#This Row],[M (KN.mm)]]/(Table112345[[#This Row],[a (mm)]]*Table112345[[#This Row],[b (mm)]]*Table112345[[#This Row],[h (mm)]]*Table112345[[#This Row],[L(mm)]]/2)</f>
        <v>1.323238866950175E-7</v>
      </c>
      <c r="T64" s="145">
        <f>Table112345[[#This Row],[M (KN.mm)]]/(Table112345[[#This Row],[a (mm)]]^2*Table112345[[#This Row],[b (mm)]]*Table112345[[#This Row],[h (mm)]])</f>
        <v>1.32357757774763E-7</v>
      </c>
      <c r="U64" s="145">
        <f>Table112345[[#This Row],[M (KN.mm)]]/(Table112345[[#This Row],[b (mm)]]*Table112345[[#This Row],[d (mm)]]*Table112345[[#This Row],[pho (%)]])</f>
        <v>0.46809070866141733</v>
      </c>
      <c r="V64" s="111">
        <f>E64*224.8/(2*SQRT(Table112345[[#This Row],[fc (Mpa)]]*145.037)*Table112345[[#This Row],[b (mm)]]*Table112345[[#This Row],[d (mm)]]*(1/25.4)^2)</f>
        <v>0.21856549783661133</v>
      </c>
      <c r="W64" s="111">
        <f>Table112345[[#This Row],[M (KN.mm)]]/$G$76</f>
        <v>0.44150943396226405</v>
      </c>
      <c r="X64" s="111">
        <f>Table112345[[#This Row],[V/(2*sqrt(fc) bd)]]</f>
        <v>0.21856549783661133</v>
      </c>
      <c r="Y64" s="110">
        <f>Table112345[[#This Row],[a (mm)]]</f>
        <v>2031.4800000000002</v>
      </c>
      <c r="Z64" s="110">
        <f>Table112345[[#This Row],[width]]*Table112345[[#This Row],[h]]^2</f>
        <v>294967152</v>
      </c>
      <c r="AA64" s="110">
        <f>Table112345[[#This Row],[b (mm)]]</f>
        <v>508</v>
      </c>
      <c r="AB64" s="110">
        <f>Table112345[[#This Row],[a]]/Table112345[[#This Row],[h (mm)]]</f>
        <v>2.6659842519685042</v>
      </c>
      <c r="AC64" s="110">
        <f>Table112345[[#This Row],[h (mm)]]</f>
        <v>762</v>
      </c>
      <c r="AD64" s="111">
        <f>2.97*Table112345[[#This Row],[d (mm)]]</f>
        <v>2031.4800000000002</v>
      </c>
      <c r="AE64" s="160">
        <v>684</v>
      </c>
      <c r="AF64" s="160">
        <v>762</v>
      </c>
      <c r="AG64" s="160">
        <v>508</v>
      </c>
      <c r="AH64" s="160">
        <v>68.099999999999994</v>
      </c>
      <c r="AI64" s="160">
        <v>4516</v>
      </c>
      <c r="AJ64" s="160">
        <v>1.3</v>
      </c>
      <c r="AK64" s="160">
        <v>525</v>
      </c>
      <c r="AL64" s="111">
        <f>(1/3-0.21*(MIN(Table112345[[#This Row],[b (mm)]],AF64)/MAX(Table112345[[#This Row],[b (mm)]],AF64))*(MIN(Table112345[[#This Row],[b (mm)]],AF64)^4/(12*MAX(Table112345[[#This Row],[b (mm)]],AF64)^4)))*MAX(Table112345[[#This Row],[b (mm)]],AF64)*MIN(Table112345[[#This Row],[b (mm)]],AF64)^3</f>
        <v>33068302099.026169</v>
      </c>
      <c r="AM64" s="111">
        <f>Table112345[[#This Row],[b (mm)]]*AF64^3/12</f>
        <v>18730414152</v>
      </c>
      <c r="AN64" s="160">
        <v>4064</v>
      </c>
      <c r="AO64"/>
      <c r="AV64"/>
      <c r="AW64"/>
    </row>
    <row r="65" spans="1:49" s="1" customFormat="1" x14ac:dyDescent="0.3">
      <c r="A65" s="158" t="s">
        <v>101</v>
      </c>
      <c r="B65" s="147">
        <v>2</v>
      </c>
      <c r="C65" s="111">
        <v>64</v>
      </c>
      <c r="D65" s="111">
        <f>Table112345[[#This Row],[a (mm)]]/Table112345[[#This Row],[d (mm)]]</f>
        <v>2.97</v>
      </c>
      <c r="E65" s="160">
        <v>111.20000000000002</v>
      </c>
      <c r="F65" s="137">
        <f>Table112345[[#This Row],[d (mm)]]</f>
        <v>684</v>
      </c>
      <c r="G65" s="135">
        <f>E65*AD65</f>
        <v>225900.57600000006</v>
      </c>
      <c r="H65" s="135">
        <f>G65/($AQ$5*AM65*0.001)</f>
        <v>4.579386252712042E-7</v>
      </c>
      <c r="I65" s="111">
        <f>G65/(Table112345[[#This Row],[b (mm)]]*Table112345[[#This Row],[h]]^2)</f>
        <v>7.6584994114870138E-4</v>
      </c>
      <c r="J65" s="135">
        <f>G65/(AI65*AK65*AE65*0.001)</f>
        <v>0.13929900037960272</v>
      </c>
      <c r="K65" s="135">
        <f>E65/($AQ$4*AL65*0.001)</f>
        <v>1.070935321468967E-7</v>
      </c>
      <c r="L65" s="135">
        <f>E65/(Table112345[[#This Row],[b (mm)]]*AE65)</f>
        <v>3.2002578625040293E-4</v>
      </c>
      <c r="M65" s="135">
        <f>Table112345[[#This Row],[M (KN.mm)]]/(Table112345[[#This Row],[b (mm)]]*Table112345[[#This Row],[d (mm)]])</f>
        <v>0.65012598425196866</v>
      </c>
      <c r="N65" s="135">
        <f>Table112345[[#This Row],[M (KN.mm)]]/(Table112345[[#This Row],[b (mm)]]*Table112345[[#This Row],[h (mm)]])</f>
        <v>0.58357765515531046</v>
      </c>
      <c r="O65" s="145">
        <f>Table112345[[#This Row],[M (KN.mm)]]/(Table112345[[#This Row],[b (mm)]]*Table112345[[#This Row],[h (mm)]]*Table112345[[#This Row],[L(mm)]])</f>
        <v>1.4359686396538151E-4</v>
      </c>
      <c r="P65" s="145">
        <f>Table112345[[#This Row],[M (KN.mm)]]/(Table112345[[#This Row],[b (mm)]]*Table112345[[#This Row],[d (mm)]]*Table112345[[#This Row],[L(mm)]])</f>
        <v>1.5997194494388992E-4</v>
      </c>
      <c r="Q65" s="145">
        <f>Table112345[[#This Row],[M (KN.mm)]]/(Table112345[[#This Row],[b (mm)]]*Table112345[[#This Row],[h (mm)]]*Table112345[[#This Row],[L(mm)]]*Table112345[[#This Row],[fc (Mpa)]])</f>
        <v>2.108617679374178E-6</v>
      </c>
      <c r="R65" s="145">
        <f>Table112345[[#This Row],[M (KN.mm)]]/(Table112345[[#This Row],[b (mm)]]*Table112345[[#This Row],[h (mm)]]*Table112345[[#This Row],[L(mm)]]/2)</f>
        <v>2.8719372793076302E-4</v>
      </c>
      <c r="S65" s="145">
        <f>Table112345[[#This Row],[M (KN.mm)]]/(Table112345[[#This Row],[a (mm)]]*Table112345[[#This Row],[b (mm)]]*Table112345[[#This Row],[h (mm)]]*Table112345[[#This Row],[L(mm)]]/2)</f>
        <v>1.4137167381946315E-7</v>
      </c>
      <c r="T65" s="145">
        <f>Table112345[[#This Row],[M (KN.mm)]]/(Table112345[[#This Row],[a (mm)]]^2*Table112345[[#This Row],[b (mm)]]*Table112345[[#This Row],[h (mm)]])</f>
        <v>1.414078608704733E-7</v>
      </c>
      <c r="U65" s="145">
        <f>Table112345[[#This Row],[M (KN.mm)]]/(Table112345[[#This Row],[b (mm)]]*Table112345[[#This Row],[d (mm)]]*Table112345[[#This Row],[pho (%)]])</f>
        <v>0.50009691096305275</v>
      </c>
      <c r="V65" s="111">
        <f>E65*224.8/(2*SQRT(Table112345[[#This Row],[fc (Mpa)]]*145.037)*Table112345[[#This Row],[b (mm)]]*Table112345[[#This Row],[d (mm)]]*(1/25.4)^2)</f>
        <v>0.2335101472613369</v>
      </c>
      <c r="W65" s="111">
        <f>Table112345[[#This Row],[M (KN.mm)]]/$G$76</f>
        <v>0.47169811320754712</v>
      </c>
      <c r="X65" s="111">
        <f>Table112345[[#This Row],[V/(2*sqrt(fc) bd)]]</f>
        <v>0.2335101472613369</v>
      </c>
      <c r="Y65" s="110">
        <f>Table112345[[#This Row],[a (mm)]]</f>
        <v>2031.4800000000002</v>
      </c>
      <c r="Z65" s="110">
        <f>Table112345[[#This Row],[width]]*Table112345[[#This Row],[h]]^2</f>
        <v>294967152</v>
      </c>
      <c r="AA65" s="110">
        <f>Table112345[[#This Row],[b (mm)]]</f>
        <v>508</v>
      </c>
      <c r="AB65" s="110">
        <f>Table112345[[#This Row],[a]]/Table112345[[#This Row],[h (mm)]]</f>
        <v>2.6659842519685042</v>
      </c>
      <c r="AC65" s="110">
        <f>Table112345[[#This Row],[h (mm)]]</f>
        <v>762</v>
      </c>
      <c r="AD65" s="111">
        <f>2.97*Table112345[[#This Row],[d (mm)]]</f>
        <v>2031.4800000000002</v>
      </c>
      <c r="AE65" s="160">
        <v>684</v>
      </c>
      <c r="AF65" s="160">
        <v>762</v>
      </c>
      <c r="AG65" s="160">
        <v>508</v>
      </c>
      <c r="AH65" s="160">
        <v>68.099999999999994</v>
      </c>
      <c r="AI65" s="160">
        <v>4516</v>
      </c>
      <c r="AJ65" s="160">
        <v>1.3</v>
      </c>
      <c r="AK65" s="160">
        <v>525</v>
      </c>
      <c r="AL65" s="111">
        <f>(1/3-0.21*(MIN(Table112345[[#This Row],[b (mm)]],AF65)/MAX(Table112345[[#This Row],[b (mm)]],AF65))*(MIN(Table112345[[#This Row],[b (mm)]],AF65)^4/(12*MAX(Table112345[[#This Row],[b (mm)]],AF65)^4)))*MAX(Table112345[[#This Row],[b (mm)]],AF65)*MIN(Table112345[[#This Row],[b (mm)]],AF65)^3</f>
        <v>33068302099.026169</v>
      </c>
      <c r="AM65" s="111">
        <f>Table112345[[#This Row],[b (mm)]]*AF65^3/12</f>
        <v>18730414152</v>
      </c>
      <c r="AN65" s="160">
        <v>4064</v>
      </c>
      <c r="AO65"/>
      <c r="AV65"/>
      <c r="AW65"/>
    </row>
    <row r="66" spans="1:49" s="1" customFormat="1" x14ac:dyDescent="0.3">
      <c r="A66" s="158" t="s">
        <v>101</v>
      </c>
      <c r="B66" s="147">
        <v>3</v>
      </c>
      <c r="C66" s="111">
        <v>65</v>
      </c>
      <c r="D66" s="111">
        <f>Table112345[[#This Row],[a (mm)]]/Table112345[[#This Row],[d (mm)]]</f>
        <v>2.97</v>
      </c>
      <c r="E66" s="160">
        <v>122.32000000000001</v>
      </c>
      <c r="F66" s="137">
        <f>Table112345[[#This Row],[d (mm)]]</f>
        <v>684</v>
      </c>
      <c r="G66" s="135">
        <f>E66*AD66</f>
        <v>248490.63360000006</v>
      </c>
      <c r="H66" s="135">
        <f>G66/($AQ$5*AM66*0.001)</f>
        <v>5.0373248779832458E-7</v>
      </c>
      <c r="I66" s="111">
        <f>G66/(Table112345[[#This Row],[b (mm)]]*Table112345[[#This Row],[h]]^2)</f>
        <v>8.4243493526357154E-4</v>
      </c>
      <c r="J66" s="135">
        <f>G66/(AI66*AK66*AE66*0.001)</f>
        <v>0.15322890041756299</v>
      </c>
      <c r="K66" s="135">
        <f>E66/($AQ$4*AL66*0.001)</f>
        <v>1.1780288536158637E-7</v>
      </c>
      <c r="L66" s="135">
        <f>E66/(Table112345[[#This Row],[b (mm)]]*AE66)</f>
        <v>3.5202836487544323E-4</v>
      </c>
      <c r="M66" s="135">
        <f>Table112345[[#This Row],[M (KN.mm)]]/(Table112345[[#This Row],[b (mm)]]*Table112345[[#This Row],[d (mm)]])</f>
        <v>0.71513858267716557</v>
      </c>
      <c r="N66" s="135">
        <f>Table112345[[#This Row],[M (KN.mm)]]/(Table112345[[#This Row],[b (mm)]]*Table112345[[#This Row],[h (mm)]])</f>
        <v>0.64193542067084153</v>
      </c>
      <c r="O66" s="145">
        <f>Table112345[[#This Row],[M (KN.mm)]]/(Table112345[[#This Row],[b (mm)]]*Table112345[[#This Row],[h (mm)]]*Table112345[[#This Row],[L(mm)]])</f>
        <v>1.5795655036191967E-4</v>
      </c>
      <c r="P66" s="145">
        <f>Table112345[[#This Row],[M (KN.mm)]]/(Table112345[[#This Row],[b (mm)]]*Table112345[[#This Row],[d (mm)]]*Table112345[[#This Row],[L(mm)]])</f>
        <v>1.7596913943827893E-4</v>
      </c>
      <c r="Q66" s="145">
        <f>Table112345[[#This Row],[M (KN.mm)]]/(Table112345[[#This Row],[b (mm)]]*Table112345[[#This Row],[h (mm)]]*Table112345[[#This Row],[L(mm)]]*Table112345[[#This Row],[fc (Mpa)]])</f>
        <v>2.3194794473115955E-6</v>
      </c>
      <c r="R66" s="145">
        <f>Table112345[[#This Row],[M (KN.mm)]]/(Table112345[[#This Row],[b (mm)]]*Table112345[[#This Row],[h (mm)]]*Table112345[[#This Row],[L(mm)]]/2)</f>
        <v>3.1591310072383934E-4</v>
      </c>
      <c r="S66" s="145">
        <f>Table112345[[#This Row],[M (KN.mm)]]/(Table112345[[#This Row],[a (mm)]]*Table112345[[#This Row],[b (mm)]]*Table112345[[#This Row],[h (mm)]]*Table112345[[#This Row],[L(mm)]]/2)</f>
        <v>1.5550884120140948E-7</v>
      </c>
      <c r="T66" s="145">
        <f>Table112345[[#This Row],[M (KN.mm)]]/(Table112345[[#This Row],[a (mm)]]^2*Table112345[[#This Row],[b (mm)]]*Table112345[[#This Row],[h (mm)]])</f>
        <v>1.5554864695752064E-7</v>
      </c>
      <c r="U66" s="145">
        <f>Table112345[[#This Row],[M (KN.mm)]]/(Table112345[[#This Row],[b (mm)]]*Table112345[[#This Row],[d (mm)]]*Table112345[[#This Row],[pho (%)]])</f>
        <v>0.55010660205935802</v>
      </c>
      <c r="V66" s="111">
        <f>E66*224.8/(2*SQRT(Table112345[[#This Row],[fc (Mpa)]]*145.037)*Table112345[[#This Row],[b (mm)]]*Table112345[[#This Row],[d (mm)]]*(1/25.4)^2)</f>
        <v>0.25686116198747055</v>
      </c>
      <c r="W66" s="111">
        <f>Table112345[[#This Row],[M (KN.mm)]]/$G$76</f>
        <v>0.51886792452830177</v>
      </c>
      <c r="X66" s="111">
        <f>Table112345[[#This Row],[V/(2*sqrt(fc) bd)]]</f>
        <v>0.25686116198747055</v>
      </c>
      <c r="Y66" s="110">
        <f>Table112345[[#This Row],[a (mm)]]</f>
        <v>2031.4800000000002</v>
      </c>
      <c r="Z66" s="110">
        <f>Table112345[[#This Row],[width]]*Table112345[[#This Row],[h]]^2</f>
        <v>294967152</v>
      </c>
      <c r="AA66" s="110">
        <f>Table112345[[#This Row],[b (mm)]]</f>
        <v>508</v>
      </c>
      <c r="AB66" s="110">
        <f>Table112345[[#This Row],[a]]/Table112345[[#This Row],[h (mm)]]</f>
        <v>2.6659842519685042</v>
      </c>
      <c r="AC66" s="110">
        <f>Table112345[[#This Row],[h (mm)]]</f>
        <v>762</v>
      </c>
      <c r="AD66" s="111">
        <f>2.97*Table112345[[#This Row],[d (mm)]]</f>
        <v>2031.4800000000002</v>
      </c>
      <c r="AE66" s="160">
        <v>684</v>
      </c>
      <c r="AF66" s="160">
        <v>762</v>
      </c>
      <c r="AG66" s="160">
        <v>508</v>
      </c>
      <c r="AH66" s="160">
        <v>68.099999999999994</v>
      </c>
      <c r="AI66" s="160">
        <v>4516</v>
      </c>
      <c r="AJ66" s="160">
        <v>1.3</v>
      </c>
      <c r="AK66" s="160">
        <v>525</v>
      </c>
      <c r="AL66" s="111">
        <f>(1/3-0.21*(MIN(Table112345[[#This Row],[b (mm)]],AF66)/MAX(Table112345[[#This Row],[b (mm)]],AF66))*(MIN(Table112345[[#This Row],[b (mm)]],AF66)^4/(12*MAX(Table112345[[#This Row],[b (mm)]],AF66)^4)))*MAX(Table112345[[#This Row],[b (mm)]],AF66)*MIN(Table112345[[#This Row],[b (mm)]],AF66)^3</f>
        <v>33068302099.026169</v>
      </c>
      <c r="AM66" s="111">
        <f>Table112345[[#This Row],[b (mm)]]*AF66^3/12</f>
        <v>18730414152</v>
      </c>
      <c r="AN66" s="160">
        <v>4064</v>
      </c>
      <c r="AO66"/>
      <c r="AV66"/>
      <c r="AW66"/>
    </row>
    <row r="67" spans="1:49" x14ac:dyDescent="0.3">
      <c r="A67" s="158" t="s">
        <v>101</v>
      </c>
      <c r="B67" s="147">
        <v>4</v>
      </c>
      <c r="C67" s="111">
        <v>66</v>
      </c>
      <c r="D67" s="111">
        <f>Table112345[[#This Row],[a (mm)]]/Table112345[[#This Row],[d (mm)]]</f>
        <v>2.97</v>
      </c>
      <c r="E67" s="111">
        <v>133.44</v>
      </c>
      <c r="F67" s="137">
        <f>Table112345[[#This Row],[d (mm)]]</f>
        <v>684</v>
      </c>
      <c r="G67" s="135">
        <f>E67*AD67</f>
        <v>271080.6912</v>
      </c>
      <c r="H67" s="135">
        <f>G67/($AQ$5*AM67*0.001)</f>
        <v>5.4952635032544495E-7</v>
      </c>
      <c r="I67" s="111">
        <f>G67/(Table112345[[#This Row],[b (mm)]]*Table112345[[#This Row],[h]]^2)</f>
        <v>9.1901992937844148E-4</v>
      </c>
      <c r="J67" s="135">
        <f>G67/(AI67*AK67*AE67*0.001)</f>
        <v>0.1671588004555232</v>
      </c>
      <c r="K67" s="135">
        <f>E67/($AQ$4*AL67*0.001)</f>
        <v>1.2851223857627603E-7</v>
      </c>
      <c r="L67" s="135">
        <f>E67/(Table112345[[#This Row],[b (mm)]]*AE67)</f>
        <v>3.8403094350048346E-4</v>
      </c>
      <c r="M67" s="135">
        <f>Table112345[[#This Row],[M (KN.mm)]]/(Table112345[[#This Row],[b (mm)]]*Table112345[[#This Row],[d (mm)]])</f>
        <v>0.78015118110236226</v>
      </c>
      <c r="N67" s="135">
        <f>Table112345[[#This Row],[M (KN.mm)]]/(Table112345[[#This Row],[b (mm)]]*Table112345[[#This Row],[h (mm)]])</f>
        <v>0.70029318618637237</v>
      </c>
      <c r="O67" s="145">
        <f>Table112345[[#This Row],[M (KN.mm)]]/(Table112345[[#This Row],[b (mm)]]*Table112345[[#This Row],[h (mm)]]*Table112345[[#This Row],[L(mm)]])</f>
        <v>1.7231623675845778E-4</v>
      </c>
      <c r="P67" s="145">
        <f>Table112345[[#This Row],[M (KN.mm)]]/(Table112345[[#This Row],[b (mm)]]*Table112345[[#This Row],[d (mm)]]*Table112345[[#This Row],[L(mm)]])</f>
        <v>1.9196633393266788E-4</v>
      </c>
      <c r="Q67" s="145">
        <f>Table112345[[#This Row],[M (KN.mm)]]/(Table112345[[#This Row],[b (mm)]]*Table112345[[#This Row],[h (mm)]]*Table112345[[#This Row],[L(mm)]]*Table112345[[#This Row],[fc (Mpa)]])</f>
        <v>2.5303412152490127E-6</v>
      </c>
      <c r="R67" s="145">
        <f>Table112345[[#This Row],[M (KN.mm)]]/(Table112345[[#This Row],[b (mm)]]*Table112345[[#This Row],[h (mm)]]*Table112345[[#This Row],[L(mm)]]/2)</f>
        <v>3.4463247351691555E-4</v>
      </c>
      <c r="S67" s="145">
        <f>Table112345[[#This Row],[M (KN.mm)]]/(Table112345[[#This Row],[a (mm)]]*Table112345[[#This Row],[b (mm)]]*Table112345[[#This Row],[h (mm)]]*Table112345[[#This Row],[L(mm)]]/2)</f>
        <v>1.6964600858335573E-7</v>
      </c>
      <c r="T67" s="145">
        <f>Table112345[[#This Row],[M (KN.mm)]]/(Table112345[[#This Row],[a (mm)]]^2*Table112345[[#This Row],[b (mm)]]*Table112345[[#This Row],[h (mm)]])</f>
        <v>1.6968943304456792E-7</v>
      </c>
      <c r="U67" s="145">
        <f>Table112345[[#This Row],[M (KN.mm)]]/(Table112345[[#This Row],[b (mm)]]*Table112345[[#This Row],[d (mm)]]*Table112345[[#This Row],[pho (%)]])</f>
        <v>0.60011629315566317</v>
      </c>
      <c r="V67" s="111">
        <f>E67*224.8/(2*SQRT(Table112345[[#This Row],[fc (Mpa)]]*145.037)*Table112345[[#This Row],[b (mm)]]*Table112345[[#This Row],[d (mm)]]*(1/25.4)^2)</f>
        <v>0.28021217671360427</v>
      </c>
      <c r="W67" s="111">
        <f>Table112345[[#This Row],[M (KN.mm)]]/$G$76</f>
        <v>0.56603773584905637</v>
      </c>
      <c r="X67" s="111">
        <f>Table112345[[#This Row],[V/(2*sqrt(fc) bd)]]</f>
        <v>0.28021217671360427</v>
      </c>
      <c r="Y67" s="110">
        <f>Table112345[[#This Row],[a (mm)]]</f>
        <v>2031.4800000000002</v>
      </c>
      <c r="Z67" s="110">
        <f>Table112345[[#This Row],[width]]*Table112345[[#This Row],[h]]^2</f>
        <v>294967152</v>
      </c>
      <c r="AA67" s="110">
        <f>Table112345[[#This Row],[b (mm)]]</f>
        <v>508</v>
      </c>
      <c r="AB67" s="110">
        <f>Table112345[[#This Row],[a]]/Table112345[[#This Row],[h (mm)]]</f>
        <v>2.6659842519685042</v>
      </c>
      <c r="AC67" s="110">
        <f>Table112345[[#This Row],[h (mm)]]</f>
        <v>762</v>
      </c>
      <c r="AD67" s="111">
        <f>2.97*Table112345[[#This Row],[d (mm)]]</f>
        <v>2031.4800000000002</v>
      </c>
      <c r="AE67" s="160">
        <v>684</v>
      </c>
      <c r="AF67" s="160">
        <v>762</v>
      </c>
      <c r="AG67" s="160">
        <v>508</v>
      </c>
      <c r="AH67" s="160">
        <v>68.099999999999994</v>
      </c>
      <c r="AI67" s="160">
        <v>4516</v>
      </c>
      <c r="AJ67" s="160">
        <v>1.3</v>
      </c>
      <c r="AK67" s="160">
        <v>525</v>
      </c>
      <c r="AL67" s="111">
        <f>(1/3-0.21*(MIN(Table112345[[#This Row],[b (mm)]],AF67)/MAX(Table112345[[#This Row],[b (mm)]],AF67))*(MIN(Table112345[[#This Row],[b (mm)]],AF67)^4/(12*MAX(Table112345[[#This Row],[b (mm)]],AF67)^4)))*MAX(Table112345[[#This Row],[b (mm)]],AF67)*MIN(Table112345[[#This Row],[b (mm)]],AF67)^3</f>
        <v>33068302099.026169</v>
      </c>
      <c r="AM67" s="111">
        <f>Table112345[[#This Row],[b (mm)]]*AF67^3/12</f>
        <v>18730414152</v>
      </c>
      <c r="AN67" s="160">
        <v>4064</v>
      </c>
      <c r="AP67" s="126"/>
    </row>
    <row r="68" spans="1:49" x14ac:dyDescent="0.3">
      <c r="A68" s="158" t="s">
        <v>101</v>
      </c>
      <c r="B68" s="147">
        <v>5</v>
      </c>
      <c r="C68" s="111">
        <v>67</v>
      </c>
      <c r="D68" s="111">
        <f>Table112345[[#This Row],[a (mm)]]/Table112345[[#This Row],[d (mm)]]</f>
        <v>2.97</v>
      </c>
      <c r="E68" s="111">
        <v>144.56</v>
      </c>
      <c r="F68" s="137">
        <f>Table112345[[#This Row],[d (mm)]]</f>
        <v>684</v>
      </c>
      <c r="G68" s="135">
        <f t="shared" ref="G68:G77" si="20">E68*AD68</f>
        <v>293670.74880000006</v>
      </c>
      <c r="H68" s="135">
        <f t="shared" ref="H68:H77" si="21">G68/($AQ$5*AM68*0.001)</f>
        <v>5.9532021285256544E-7</v>
      </c>
      <c r="I68" s="111">
        <f>G68/(Table112345[[#This Row],[b (mm)]]*Table112345[[#This Row],[h]]^2)</f>
        <v>9.9560492349331175E-4</v>
      </c>
      <c r="J68" s="135">
        <f t="shared" ref="J68:J77" si="22">G68/(AI68*AK68*AE68*0.001)</f>
        <v>0.18108870049348352</v>
      </c>
      <c r="K68" s="135">
        <f t="shared" ref="K68:K77" si="23">E68/($AQ$4*AL68*0.001)</f>
        <v>1.3922159179096569E-7</v>
      </c>
      <c r="L68" s="135">
        <f>E68/(Table112345[[#This Row],[b (mm)]]*AE68)</f>
        <v>4.1603352212552381E-4</v>
      </c>
      <c r="M68" s="135">
        <f>Table112345[[#This Row],[M (KN.mm)]]/(Table112345[[#This Row],[b (mm)]]*Table112345[[#This Row],[d (mm)]])</f>
        <v>0.84516377952755928</v>
      </c>
      <c r="N68" s="135">
        <f>Table112345[[#This Row],[M (KN.mm)]]/(Table112345[[#This Row],[b (mm)]]*Table112345[[#This Row],[h (mm)]])</f>
        <v>0.75865095170190355</v>
      </c>
      <c r="O68" s="145">
        <f>Table112345[[#This Row],[M (KN.mm)]]/(Table112345[[#This Row],[b (mm)]]*Table112345[[#This Row],[h (mm)]]*Table112345[[#This Row],[L(mm)]])</f>
        <v>1.8667592315499597E-4</v>
      </c>
      <c r="P68" s="145">
        <f>Table112345[[#This Row],[M (KN.mm)]]/(Table112345[[#This Row],[b (mm)]]*Table112345[[#This Row],[d (mm)]]*Table112345[[#This Row],[L(mm)]])</f>
        <v>2.0796352842705689E-4</v>
      </c>
      <c r="Q68" s="145">
        <f>Table112345[[#This Row],[M (KN.mm)]]/(Table112345[[#This Row],[b (mm)]]*Table112345[[#This Row],[h (mm)]]*Table112345[[#This Row],[L(mm)]]*Table112345[[#This Row],[fc (Mpa)]])</f>
        <v>2.7412029831864311E-6</v>
      </c>
      <c r="R68" s="145">
        <f>Table112345[[#This Row],[M (KN.mm)]]/(Table112345[[#This Row],[b (mm)]]*Table112345[[#This Row],[h (mm)]]*Table112345[[#This Row],[L(mm)]]/2)</f>
        <v>3.7335184630999193E-4</v>
      </c>
      <c r="S68" s="145">
        <f>Table112345[[#This Row],[M (KN.mm)]]/(Table112345[[#This Row],[a (mm)]]*Table112345[[#This Row],[b (mm)]]*Table112345[[#This Row],[h (mm)]]*Table112345[[#This Row],[L(mm)]]/2)</f>
        <v>1.8378317596530209E-7</v>
      </c>
      <c r="T68" s="145">
        <f>Table112345[[#This Row],[M (KN.mm)]]/(Table112345[[#This Row],[a (mm)]]^2*Table112345[[#This Row],[b (mm)]]*Table112345[[#This Row],[h (mm)]])</f>
        <v>1.8383021913161529E-7</v>
      </c>
      <c r="U68" s="145">
        <f>Table112345[[#This Row],[M (KN.mm)]]/(Table112345[[#This Row],[b (mm)]]*Table112345[[#This Row],[d (mm)]]*Table112345[[#This Row],[pho (%)]])</f>
        <v>0.65012598425196855</v>
      </c>
      <c r="V68" s="111">
        <f>E68*224.8/(2*SQRT(Table112345[[#This Row],[fc (Mpa)]]*145.037)*Table112345[[#This Row],[b (mm)]]*Table112345[[#This Row],[d (mm)]]*(1/25.4)^2)</f>
        <v>0.30356319143973792</v>
      </c>
      <c r="W68" s="111">
        <f>Table112345[[#This Row],[M (KN.mm)]]/$G$76</f>
        <v>0.61320754716981118</v>
      </c>
      <c r="X68" s="111">
        <f>Table112345[[#This Row],[V/(2*sqrt(fc) bd)]]</f>
        <v>0.30356319143973792</v>
      </c>
      <c r="Y68" s="110">
        <f>Table112345[[#This Row],[a (mm)]]</f>
        <v>2031.4800000000002</v>
      </c>
      <c r="Z68" s="110">
        <f>Table112345[[#This Row],[width]]*Table112345[[#This Row],[h]]^2</f>
        <v>294967152</v>
      </c>
      <c r="AA68" s="110">
        <f>Table112345[[#This Row],[b (mm)]]</f>
        <v>508</v>
      </c>
      <c r="AB68" s="110">
        <f>Table112345[[#This Row],[a]]/Table112345[[#This Row],[h (mm)]]</f>
        <v>2.6659842519685042</v>
      </c>
      <c r="AC68" s="110">
        <f>Table112345[[#This Row],[h (mm)]]</f>
        <v>762</v>
      </c>
      <c r="AD68" s="111">
        <f>2.97*Table112345[[#This Row],[d (mm)]]</f>
        <v>2031.4800000000002</v>
      </c>
      <c r="AE68" s="160">
        <v>684</v>
      </c>
      <c r="AF68" s="160">
        <v>762</v>
      </c>
      <c r="AG68" s="160">
        <v>508</v>
      </c>
      <c r="AH68" s="160">
        <v>68.099999999999994</v>
      </c>
      <c r="AI68" s="160">
        <v>4516</v>
      </c>
      <c r="AJ68" s="160">
        <v>1.3</v>
      </c>
      <c r="AK68" s="160">
        <v>525</v>
      </c>
      <c r="AL68" s="111">
        <f>(1/3-0.21*(MIN(Table112345[[#This Row],[b (mm)]],AF68)/MAX(Table112345[[#This Row],[b (mm)]],AF68))*(MIN(Table112345[[#This Row],[b (mm)]],AF68)^4/(12*MAX(Table112345[[#This Row],[b (mm)]],AF68)^4)))*MAX(Table112345[[#This Row],[b (mm)]],AF68)*MIN(Table112345[[#This Row],[b (mm)]],AF68)^3</f>
        <v>33068302099.026169</v>
      </c>
      <c r="AM68" s="111">
        <f>Table112345[[#This Row],[b (mm)]]*AF68^3/12</f>
        <v>18730414152</v>
      </c>
      <c r="AN68" s="160">
        <v>4064</v>
      </c>
      <c r="AP68" s="126"/>
    </row>
    <row r="69" spans="1:49" x14ac:dyDescent="0.3">
      <c r="A69" s="158" t="s">
        <v>101</v>
      </c>
      <c r="B69" s="147">
        <v>6</v>
      </c>
      <c r="C69" s="111">
        <v>68</v>
      </c>
      <c r="D69" s="111">
        <f>Table112345[[#This Row],[a (mm)]]/Table112345[[#This Row],[d (mm)]]</f>
        <v>2.97</v>
      </c>
      <c r="E69" s="111">
        <v>155.68</v>
      </c>
      <c r="F69" s="137">
        <f>Table112345[[#This Row],[d (mm)]]</f>
        <v>684</v>
      </c>
      <c r="G69" s="135">
        <f t="shared" si="20"/>
        <v>316260.80640000006</v>
      </c>
      <c r="H69" s="135">
        <f t="shared" si="21"/>
        <v>6.4111407537968581E-7</v>
      </c>
      <c r="I69" s="111">
        <f>G69/(Table112345[[#This Row],[b (mm)]]*Table112345[[#This Row],[h]]^2)</f>
        <v>1.0721899176081818E-3</v>
      </c>
      <c r="J69" s="135">
        <f t="shared" si="22"/>
        <v>0.19501860053144379</v>
      </c>
      <c r="K69" s="135">
        <f t="shared" si="23"/>
        <v>1.4993094500565538E-7</v>
      </c>
      <c r="L69" s="135">
        <f>E69/(Table112345[[#This Row],[b (mm)]]*AE69)</f>
        <v>4.4803610075056411E-4</v>
      </c>
      <c r="M69" s="135">
        <f>Table112345[[#This Row],[M (KN.mm)]]/(Table112345[[#This Row],[b (mm)]]*Table112345[[#This Row],[d (mm)]])</f>
        <v>0.91017637795275608</v>
      </c>
      <c r="N69" s="135">
        <f>Table112345[[#This Row],[M (KN.mm)]]/(Table112345[[#This Row],[b (mm)]]*Table112345[[#This Row],[h (mm)]])</f>
        <v>0.81700871721743462</v>
      </c>
      <c r="O69" s="145">
        <f>Table112345[[#This Row],[M (KN.mm)]]/(Table112345[[#This Row],[b (mm)]]*Table112345[[#This Row],[h (mm)]]*Table112345[[#This Row],[L(mm)]])</f>
        <v>2.010356095515341E-4</v>
      </c>
      <c r="P69" s="145">
        <f>Table112345[[#This Row],[M (KN.mm)]]/(Table112345[[#This Row],[b (mm)]]*Table112345[[#This Row],[d (mm)]]*Table112345[[#This Row],[L(mm)]])</f>
        <v>2.2396072292144589E-4</v>
      </c>
      <c r="Q69" s="145">
        <f>Table112345[[#This Row],[M (KN.mm)]]/(Table112345[[#This Row],[b (mm)]]*Table112345[[#This Row],[h (mm)]]*Table112345[[#This Row],[L(mm)]]*Table112345[[#This Row],[fc (Mpa)]])</f>
        <v>2.9520647511238491E-6</v>
      </c>
      <c r="R69" s="145">
        <f>Table112345[[#This Row],[M (KN.mm)]]/(Table112345[[#This Row],[b (mm)]]*Table112345[[#This Row],[h (mm)]]*Table112345[[#This Row],[L(mm)]]/2)</f>
        <v>4.020712191030682E-4</v>
      </c>
      <c r="S69" s="145">
        <f>Table112345[[#This Row],[M (KN.mm)]]/(Table112345[[#This Row],[a (mm)]]*Table112345[[#This Row],[b (mm)]]*Table112345[[#This Row],[h (mm)]]*Table112345[[#This Row],[L(mm)]]/2)</f>
        <v>1.979203433472484E-7</v>
      </c>
      <c r="T69" s="145">
        <f>Table112345[[#This Row],[M (KN.mm)]]/(Table112345[[#This Row],[a (mm)]]^2*Table112345[[#This Row],[b (mm)]]*Table112345[[#This Row],[h (mm)]])</f>
        <v>1.979710052186626E-7</v>
      </c>
      <c r="U69" s="145">
        <f>Table112345[[#This Row],[M (KN.mm)]]/(Table112345[[#This Row],[b (mm)]]*Table112345[[#This Row],[d (mm)]]*Table112345[[#This Row],[pho (%)]])</f>
        <v>0.70013567534827381</v>
      </c>
      <c r="V69" s="111">
        <f>E69*224.8/(2*SQRT(Table112345[[#This Row],[fc (Mpa)]]*145.037)*Table112345[[#This Row],[b (mm)]]*Table112345[[#This Row],[d (mm)]]*(1/25.4)^2)</f>
        <v>0.32691420616587163</v>
      </c>
      <c r="W69" s="111">
        <f>Table112345[[#This Row],[M (KN.mm)]]/$G$76</f>
        <v>0.66037735849056589</v>
      </c>
      <c r="X69" s="111">
        <f>Table112345[[#This Row],[V/(2*sqrt(fc) bd)]]</f>
        <v>0.32691420616587163</v>
      </c>
      <c r="Y69" s="110">
        <f>Table112345[[#This Row],[a (mm)]]</f>
        <v>2031.4800000000002</v>
      </c>
      <c r="Z69" s="110">
        <f>Table112345[[#This Row],[width]]*Table112345[[#This Row],[h]]^2</f>
        <v>294967152</v>
      </c>
      <c r="AA69" s="110">
        <f>Table112345[[#This Row],[b (mm)]]</f>
        <v>508</v>
      </c>
      <c r="AB69" s="110">
        <f>Table112345[[#This Row],[a]]/Table112345[[#This Row],[h (mm)]]</f>
        <v>2.6659842519685042</v>
      </c>
      <c r="AC69" s="110">
        <f>Table112345[[#This Row],[h (mm)]]</f>
        <v>762</v>
      </c>
      <c r="AD69" s="111">
        <f>2.97*Table112345[[#This Row],[d (mm)]]</f>
        <v>2031.4800000000002</v>
      </c>
      <c r="AE69" s="160">
        <v>684</v>
      </c>
      <c r="AF69" s="160">
        <v>762</v>
      </c>
      <c r="AG69" s="160">
        <v>508</v>
      </c>
      <c r="AH69" s="160">
        <v>68.099999999999994</v>
      </c>
      <c r="AI69" s="160">
        <v>4516</v>
      </c>
      <c r="AJ69" s="160">
        <v>1.3</v>
      </c>
      <c r="AK69" s="160">
        <v>525</v>
      </c>
      <c r="AL69" s="111">
        <f>(1/3-0.21*(MIN(Table112345[[#This Row],[b (mm)]],AF69)/MAX(Table112345[[#This Row],[b (mm)]],AF69))*(MIN(Table112345[[#This Row],[b (mm)]],AF69)^4/(12*MAX(Table112345[[#This Row],[b (mm)]],AF69)^4)))*MAX(Table112345[[#This Row],[b (mm)]],AF69)*MIN(Table112345[[#This Row],[b (mm)]],AF69)^3</f>
        <v>33068302099.026169</v>
      </c>
      <c r="AM69" s="111">
        <f>Table112345[[#This Row],[b (mm)]]*AF69^3/12</f>
        <v>18730414152</v>
      </c>
      <c r="AN69" s="160">
        <v>4064</v>
      </c>
      <c r="AP69" s="126"/>
    </row>
    <row r="70" spans="1:49" x14ac:dyDescent="0.3">
      <c r="A70" s="158" t="s">
        <v>101</v>
      </c>
      <c r="B70" s="147">
        <v>7</v>
      </c>
      <c r="C70" s="111">
        <v>69</v>
      </c>
      <c r="D70" s="111">
        <f>Table112345[[#This Row],[a (mm)]]/Table112345[[#This Row],[d (mm)]]</f>
        <v>2.97</v>
      </c>
      <c r="E70" s="111">
        <v>166.8</v>
      </c>
      <c r="F70" s="137">
        <f>Table112345[[#This Row],[d (mm)]]</f>
        <v>684</v>
      </c>
      <c r="G70" s="135">
        <f t="shared" si="20"/>
        <v>338850.86400000006</v>
      </c>
      <c r="H70" s="135">
        <f t="shared" si="21"/>
        <v>6.869079379068063E-7</v>
      </c>
      <c r="I70" s="111">
        <f>G70/(Table112345[[#This Row],[b (mm)]]*Table112345[[#This Row],[h]]^2)</f>
        <v>1.1487749117230521E-3</v>
      </c>
      <c r="J70" s="135">
        <f t="shared" si="22"/>
        <v>0.20894850056940406</v>
      </c>
      <c r="K70" s="135">
        <f t="shared" si="23"/>
        <v>1.6064029822034504E-7</v>
      </c>
      <c r="L70" s="135">
        <f>E70/(Table112345[[#This Row],[b (mm)]]*AE70)</f>
        <v>4.800386793756044E-4</v>
      </c>
      <c r="M70" s="135">
        <f>Table112345[[#This Row],[M (KN.mm)]]/(Table112345[[#This Row],[b (mm)]]*Table112345[[#This Row],[d (mm)]])</f>
        <v>0.97518897637795288</v>
      </c>
      <c r="N70" s="135">
        <f>Table112345[[#This Row],[M (KN.mm)]]/(Table112345[[#This Row],[b (mm)]]*Table112345[[#This Row],[h (mm)]])</f>
        <v>0.87536648273296558</v>
      </c>
      <c r="O70" s="145">
        <f>Table112345[[#This Row],[M (KN.mm)]]/(Table112345[[#This Row],[b (mm)]]*Table112345[[#This Row],[h (mm)]]*Table112345[[#This Row],[L(mm)]])</f>
        <v>2.1539529594807226E-4</v>
      </c>
      <c r="P70" s="145">
        <f>Table112345[[#This Row],[M (KN.mm)]]/(Table112345[[#This Row],[b (mm)]]*Table112345[[#This Row],[d (mm)]]*Table112345[[#This Row],[L(mm)]])</f>
        <v>2.3995791741583488E-4</v>
      </c>
      <c r="Q70" s="145">
        <f>Table112345[[#This Row],[M (KN.mm)]]/(Table112345[[#This Row],[b (mm)]]*Table112345[[#This Row],[h (mm)]]*Table112345[[#This Row],[L(mm)]]*Table112345[[#This Row],[fc (Mpa)]])</f>
        <v>3.1629265190612667E-6</v>
      </c>
      <c r="R70" s="145">
        <f>Table112345[[#This Row],[M (KN.mm)]]/(Table112345[[#This Row],[b (mm)]]*Table112345[[#This Row],[h (mm)]]*Table112345[[#This Row],[L(mm)]]/2)</f>
        <v>4.3079059189614452E-4</v>
      </c>
      <c r="S70" s="145">
        <f>Table112345[[#This Row],[M (KN.mm)]]/(Table112345[[#This Row],[a (mm)]]*Table112345[[#This Row],[b (mm)]]*Table112345[[#This Row],[h (mm)]]*Table112345[[#This Row],[L(mm)]]/2)</f>
        <v>2.120575107291947E-7</v>
      </c>
      <c r="T70" s="145">
        <f>Table112345[[#This Row],[M (KN.mm)]]/(Table112345[[#This Row],[a (mm)]]^2*Table112345[[#This Row],[b (mm)]]*Table112345[[#This Row],[h (mm)]])</f>
        <v>2.1211179130570994E-7</v>
      </c>
      <c r="U70" s="145">
        <f>Table112345[[#This Row],[M (KN.mm)]]/(Table112345[[#This Row],[b (mm)]]*Table112345[[#This Row],[d (mm)]]*Table112345[[#This Row],[pho (%)]])</f>
        <v>0.75014536644457908</v>
      </c>
      <c r="V70" s="111">
        <f>E70*224.8/(2*SQRT(Table112345[[#This Row],[fc (Mpa)]]*145.037)*Table112345[[#This Row],[b (mm)]]*Table112345[[#This Row],[d (mm)]]*(1/25.4)^2)</f>
        <v>0.35026522089200535</v>
      </c>
      <c r="W70" s="111">
        <f>Table112345[[#This Row],[M (KN.mm)]]/$G$76</f>
        <v>0.7075471698113206</v>
      </c>
      <c r="X70" s="111">
        <f>Table112345[[#This Row],[V/(2*sqrt(fc) bd)]]</f>
        <v>0.35026522089200535</v>
      </c>
      <c r="Y70" s="110">
        <f>Table112345[[#This Row],[a (mm)]]</f>
        <v>2031.4800000000002</v>
      </c>
      <c r="Z70" s="110">
        <f>Table112345[[#This Row],[width]]*Table112345[[#This Row],[h]]^2</f>
        <v>294967152</v>
      </c>
      <c r="AA70" s="110">
        <f>Table112345[[#This Row],[b (mm)]]</f>
        <v>508</v>
      </c>
      <c r="AB70" s="110">
        <f>Table112345[[#This Row],[a]]/Table112345[[#This Row],[h (mm)]]</f>
        <v>2.6659842519685042</v>
      </c>
      <c r="AC70" s="110">
        <f>Table112345[[#This Row],[h (mm)]]</f>
        <v>762</v>
      </c>
      <c r="AD70" s="111">
        <f>2.97*Table112345[[#This Row],[d (mm)]]</f>
        <v>2031.4800000000002</v>
      </c>
      <c r="AE70" s="160">
        <v>684</v>
      </c>
      <c r="AF70" s="160">
        <v>762</v>
      </c>
      <c r="AG70" s="160">
        <v>508</v>
      </c>
      <c r="AH70" s="160">
        <v>68.099999999999994</v>
      </c>
      <c r="AI70" s="160">
        <v>4516</v>
      </c>
      <c r="AJ70" s="160">
        <v>1.3</v>
      </c>
      <c r="AK70" s="160">
        <v>525</v>
      </c>
      <c r="AL70" s="111">
        <f>(1/3-0.21*(MIN(Table112345[[#This Row],[b (mm)]],AF70)/MAX(Table112345[[#This Row],[b (mm)]],AF70))*(MIN(Table112345[[#This Row],[b (mm)]],AF70)^4/(12*MAX(Table112345[[#This Row],[b (mm)]],AF70)^4)))*MAX(Table112345[[#This Row],[b (mm)]],AF70)*MIN(Table112345[[#This Row],[b (mm)]],AF70)^3</f>
        <v>33068302099.026169</v>
      </c>
      <c r="AM70" s="111">
        <f>Table112345[[#This Row],[b (mm)]]*AF70^3/12</f>
        <v>18730414152</v>
      </c>
      <c r="AN70" s="160">
        <v>4064</v>
      </c>
      <c r="AP70" s="126"/>
    </row>
    <row r="71" spans="1:49" x14ac:dyDescent="0.3">
      <c r="A71" s="158" t="s">
        <v>101</v>
      </c>
      <c r="B71" s="147">
        <v>8</v>
      </c>
      <c r="C71" s="111">
        <v>70</v>
      </c>
      <c r="D71" s="111">
        <f>Table112345[[#This Row],[a (mm)]]/Table112345[[#This Row],[d (mm)]]</f>
        <v>2.97</v>
      </c>
      <c r="E71" s="111">
        <v>177.92000000000002</v>
      </c>
      <c r="F71" s="137">
        <f>Table112345[[#This Row],[d (mm)]]</f>
        <v>684</v>
      </c>
      <c r="G71" s="135">
        <f t="shared" si="20"/>
        <v>361440.92160000006</v>
      </c>
      <c r="H71" s="135">
        <f t="shared" si="21"/>
        <v>7.3270180043392668E-7</v>
      </c>
      <c r="I71" s="111">
        <f>G71/(Table112345[[#This Row],[b (mm)]]*Table112345[[#This Row],[h]]^2)</f>
        <v>1.2253599058379221E-3</v>
      </c>
      <c r="J71" s="135">
        <f t="shared" si="22"/>
        <v>0.22287840060736433</v>
      </c>
      <c r="K71" s="135">
        <f t="shared" si="23"/>
        <v>1.7134965143503473E-7</v>
      </c>
      <c r="L71" s="135">
        <f>E71/(Table112345[[#This Row],[b (mm)]]*AE71)</f>
        <v>5.1204125800064469E-4</v>
      </c>
      <c r="M71" s="135">
        <f>Table112345[[#This Row],[M (KN.mm)]]/(Table112345[[#This Row],[b (mm)]]*Table112345[[#This Row],[d (mm)]])</f>
        <v>1.0402015748031497</v>
      </c>
      <c r="N71" s="135">
        <f>Table112345[[#This Row],[M (KN.mm)]]/(Table112345[[#This Row],[b (mm)]]*Table112345[[#This Row],[h (mm)]])</f>
        <v>0.93372424824849665</v>
      </c>
      <c r="O71" s="145">
        <f>Table112345[[#This Row],[M (KN.mm)]]/(Table112345[[#This Row],[b (mm)]]*Table112345[[#This Row],[h (mm)]]*Table112345[[#This Row],[L(mm)]])</f>
        <v>2.297549823446104E-4</v>
      </c>
      <c r="P71" s="145">
        <f>Table112345[[#This Row],[M (KN.mm)]]/(Table112345[[#This Row],[b (mm)]]*Table112345[[#This Row],[d (mm)]]*Table112345[[#This Row],[L(mm)]])</f>
        <v>2.5595511191022386E-4</v>
      </c>
      <c r="Q71" s="145">
        <f>Table112345[[#This Row],[M (KN.mm)]]/(Table112345[[#This Row],[b (mm)]]*Table112345[[#This Row],[h (mm)]]*Table112345[[#This Row],[L(mm)]]*Table112345[[#This Row],[fc (Mpa)]])</f>
        <v>3.3737882869986843E-6</v>
      </c>
      <c r="R71" s="145">
        <f>Table112345[[#This Row],[M (KN.mm)]]/(Table112345[[#This Row],[b (mm)]]*Table112345[[#This Row],[h (mm)]]*Table112345[[#This Row],[L(mm)]]/2)</f>
        <v>4.5950996468922079E-4</v>
      </c>
      <c r="S71" s="145">
        <f>Table112345[[#This Row],[M (KN.mm)]]/(Table112345[[#This Row],[a (mm)]]*Table112345[[#This Row],[b (mm)]]*Table112345[[#This Row],[h (mm)]]*Table112345[[#This Row],[L(mm)]]/2)</f>
        <v>2.2619467811114104E-7</v>
      </c>
      <c r="T71" s="145">
        <f>Table112345[[#This Row],[M (KN.mm)]]/(Table112345[[#This Row],[a (mm)]]^2*Table112345[[#This Row],[b (mm)]]*Table112345[[#This Row],[h (mm)]])</f>
        <v>2.2625257739275725E-7</v>
      </c>
      <c r="U71" s="145">
        <f>Table112345[[#This Row],[M (KN.mm)]]/(Table112345[[#This Row],[b (mm)]]*Table112345[[#This Row],[d (mm)]]*Table112345[[#This Row],[pho (%)]])</f>
        <v>0.80015505754088434</v>
      </c>
      <c r="V71" s="111">
        <f>E71*224.8/(2*SQRT(Table112345[[#This Row],[fc (Mpa)]]*145.037)*Table112345[[#This Row],[b (mm)]]*Table112345[[#This Row],[d (mm)]]*(1/25.4)^2)</f>
        <v>0.373616235618139</v>
      </c>
      <c r="W71" s="111">
        <f>Table112345[[#This Row],[M (KN.mm)]]/$G$76</f>
        <v>0.7547169811320753</v>
      </c>
      <c r="X71" s="111">
        <f>Table112345[[#This Row],[V/(2*sqrt(fc) bd)]]</f>
        <v>0.373616235618139</v>
      </c>
      <c r="Y71" s="110">
        <f>Table112345[[#This Row],[a (mm)]]</f>
        <v>2031.4800000000002</v>
      </c>
      <c r="Z71" s="110">
        <f>Table112345[[#This Row],[width]]*Table112345[[#This Row],[h]]^2</f>
        <v>294967152</v>
      </c>
      <c r="AA71" s="110">
        <f>Table112345[[#This Row],[b (mm)]]</f>
        <v>508</v>
      </c>
      <c r="AB71" s="110">
        <f>Table112345[[#This Row],[a]]/Table112345[[#This Row],[h (mm)]]</f>
        <v>2.6659842519685042</v>
      </c>
      <c r="AC71" s="110">
        <f>Table112345[[#This Row],[h (mm)]]</f>
        <v>762</v>
      </c>
      <c r="AD71" s="111">
        <f>2.97*Table112345[[#This Row],[d (mm)]]</f>
        <v>2031.4800000000002</v>
      </c>
      <c r="AE71" s="160">
        <v>684</v>
      </c>
      <c r="AF71" s="160">
        <v>762</v>
      </c>
      <c r="AG71" s="160">
        <v>508</v>
      </c>
      <c r="AH71" s="160">
        <v>68.099999999999994</v>
      </c>
      <c r="AI71" s="160">
        <v>4516</v>
      </c>
      <c r="AJ71" s="160">
        <v>1.3</v>
      </c>
      <c r="AK71" s="160">
        <v>525</v>
      </c>
      <c r="AL71" s="111">
        <f>(1/3-0.21*(MIN(Table112345[[#This Row],[b (mm)]],AF71)/MAX(Table112345[[#This Row],[b (mm)]],AF71))*(MIN(Table112345[[#This Row],[b (mm)]],AF71)^4/(12*MAX(Table112345[[#This Row],[b (mm)]],AF71)^4)))*MAX(Table112345[[#This Row],[b (mm)]],AF71)*MIN(Table112345[[#This Row],[b (mm)]],AF71)^3</f>
        <v>33068302099.026169</v>
      </c>
      <c r="AM71" s="111">
        <f>Table112345[[#This Row],[b (mm)]]*AF71^3/12</f>
        <v>18730414152</v>
      </c>
      <c r="AN71" s="160">
        <v>4064</v>
      </c>
      <c r="AP71" s="126"/>
    </row>
    <row r="72" spans="1:49" x14ac:dyDescent="0.3">
      <c r="A72" s="158" t="s">
        <v>101</v>
      </c>
      <c r="B72" s="147">
        <v>9</v>
      </c>
      <c r="C72" s="111">
        <v>71</v>
      </c>
      <c r="D72" s="111">
        <f>Table112345[[#This Row],[a (mm)]]/Table112345[[#This Row],[d (mm)]]</f>
        <v>2.97</v>
      </c>
      <c r="E72" s="111">
        <v>189.04000000000002</v>
      </c>
      <c r="F72" s="137">
        <f>Table112345[[#This Row],[d (mm)]]</f>
        <v>684</v>
      </c>
      <c r="G72" s="135">
        <f t="shared" si="20"/>
        <v>384030.97920000006</v>
      </c>
      <c r="H72" s="135">
        <f t="shared" si="21"/>
        <v>7.7849566296104705E-7</v>
      </c>
      <c r="I72" s="111">
        <f>G72/(Table112345[[#This Row],[b (mm)]]*Table112345[[#This Row],[h]]^2)</f>
        <v>1.3019448999527922E-3</v>
      </c>
      <c r="J72" s="135">
        <f t="shared" si="22"/>
        <v>0.23680830064532457</v>
      </c>
      <c r="K72" s="135">
        <f t="shared" si="23"/>
        <v>1.8205900464972439E-7</v>
      </c>
      <c r="L72" s="135">
        <f>E72/(Table112345[[#This Row],[b (mm)]]*AE72)</f>
        <v>5.4404383662568498E-4</v>
      </c>
      <c r="M72" s="135">
        <f>Table112345[[#This Row],[M (KN.mm)]]/(Table112345[[#This Row],[b (mm)]]*Table112345[[#This Row],[d (mm)]])</f>
        <v>1.1052141732283467</v>
      </c>
      <c r="N72" s="135">
        <f>Table112345[[#This Row],[M (KN.mm)]]/(Table112345[[#This Row],[b (mm)]]*Table112345[[#This Row],[h (mm)]])</f>
        <v>0.99208201376402771</v>
      </c>
      <c r="O72" s="145">
        <f>Table112345[[#This Row],[M (KN.mm)]]/(Table112345[[#This Row],[b (mm)]]*Table112345[[#This Row],[h (mm)]]*Table112345[[#This Row],[L(mm)]])</f>
        <v>2.4411466874114853E-4</v>
      </c>
      <c r="P72" s="145">
        <f>Table112345[[#This Row],[M (KN.mm)]]/(Table112345[[#This Row],[b (mm)]]*Table112345[[#This Row],[d (mm)]]*Table112345[[#This Row],[L(mm)]])</f>
        <v>2.7195230640461284E-4</v>
      </c>
      <c r="Q72" s="145">
        <f>Table112345[[#This Row],[M (KN.mm)]]/(Table112345[[#This Row],[b (mm)]]*Table112345[[#This Row],[h (mm)]]*Table112345[[#This Row],[L(mm)]]*Table112345[[#This Row],[fc (Mpa)]])</f>
        <v>3.5846500549361023E-6</v>
      </c>
      <c r="R72" s="145">
        <f>Table112345[[#This Row],[M (KN.mm)]]/(Table112345[[#This Row],[b (mm)]]*Table112345[[#This Row],[h (mm)]]*Table112345[[#This Row],[L(mm)]]/2)</f>
        <v>4.8822933748229706E-4</v>
      </c>
      <c r="S72" s="145">
        <f>Table112345[[#This Row],[M (KN.mm)]]/(Table112345[[#This Row],[a (mm)]]*Table112345[[#This Row],[b (mm)]]*Table112345[[#This Row],[h (mm)]]*Table112345[[#This Row],[L(mm)]]/2)</f>
        <v>2.4033184549308732E-7</v>
      </c>
      <c r="T72" s="145">
        <f>Table112345[[#This Row],[M (KN.mm)]]/(Table112345[[#This Row],[a (mm)]]^2*Table112345[[#This Row],[b (mm)]]*Table112345[[#This Row],[h (mm)]])</f>
        <v>2.4039336347980459E-7</v>
      </c>
      <c r="U72" s="145">
        <f>Table112345[[#This Row],[M (KN.mm)]]/(Table112345[[#This Row],[b (mm)]]*Table112345[[#This Row],[d (mm)]]*Table112345[[#This Row],[pho (%)]])</f>
        <v>0.8501647486371896</v>
      </c>
      <c r="V72" s="111">
        <f>E72*224.8/(2*SQRT(Table112345[[#This Row],[fc (Mpa)]]*145.037)*Table112345[[#This Row],[b (mm)]]*Table112345[[#This Row],[d (mm)]]*(1/25.4)^2)</f>
        <v>0.39696725034427277</v>
      </c>
      <c r="W72" s="111">
        <f>Table112345[[#This Row],[M (KN.mm)]]/$G$76</f>
        <v>0.80188679245283001</v>
      </c>
      <c r="X72" s="111">
        <f>Table112345[[#This Row],[V/(2*sqrt(fc) bd)]]</f>
        <v>0.39696725034427277</v>
      </c>
      <c r="Y72" s="110">
        <f>Table112345[[#This Row],[a (mm)]]</f>
        <v>2031.4800000000002</v>
      </c>
      <c r="Z72" s="110">
        <f>Table112345[[#This Row],[width]]*Table112345[[#This Row],[h]]^2</f>
        <v>294967152</v>
      </c>
      <c r="AA72" s="110">
        <f>Table112345[[#This Row],[b (mm)]]</f>
        <v>508</v>
      </c>
      <c r="AB72" s="110">
        <f>Table112345[[#This Row],[a]]/Table112345[[#This Row],[h (mm)]]</f>
        <v>2.6659842519685042</v>
      </c>
      <c r="AC72" s="110">
        <f>Table112345[[#This Row],[h (mm)]]</f>
        <v>762</v>
      </c>
      <c r="AD72" s="111">
        <f>2.97*Table112345[[#This Row],[d (mm)]]</f>
        <v>2031.4800000000002</v>
      </c>
      <c r="AE72" s="160">
        <v>684</v>
      </c>
      <c r="AF72" s="160">
        <v>762</v>
      </c>
      <c r="AG72" s="160">
        <v>508</v>
      </c>
      <c r="AH72" s="160">
        <v>68.099999999999994</v>
      </c>
      <c r="AI72" s="160">
        <v>4516</v>
      </c>
      <c r="AJ72" s="160">
        <v>1.3</v>
      </c>
      <c r="AK72" s="160">
        <v>525</v>
      </c>
      <c r="AL72" s="111">
        <f>(1/3-0.21*(MIN(Table112345[[#This Row],[b (mm)]],AF72)/MAX(Table112345[[#This Row],[b (mm)]],AF72))*(MIN(Table112345[[#This Row],[b (mm)]],AF72)^4/(12*MAX(Table112345[[#This Row],[b (mm)]],AF72)^4)))*MAX(Table112345[[#This Row],[b (mm)]],AF72)*MIN(Table112345[[#This Row],[b (mm)]],AF72)^3</f>
        <v>33068302099.026169</v>
      </c>
      <c r="AM72" s="111">
        <f>Table112345[[#This Row],[b (mm)]]*AF72^3/12</f>
        <v>18730414152</v>
      </c>
      <c r="AN72" s="160">
        <v>4064</v>
      </c>
      <c r="AP72" s="126"/>
    </row>
    <row r="73" spans="1:49" x14ac:dyDescent="0.3">
      <c r="A73" s="158" t="s">
        <v>101</v>
      </c>
      <c r="B73" s="147">
        <v>10</v>
      </c>
      <c r="C73" s="111">
        <v>72</v>
      </c>
      <c r="D73" s="111">
        <f>Table112345[[#This Row],[a (mm)]]/Table112345[[#This Row],[d (mm)]]</f>
        <v>2.97</v>
      </c>
      <c r="E73" s="111">
        <v>200.16000000000003</v>
      </c>
      <c r="F73" s="137">
        <f>Table112345[[#This Row],[d (mm)]]</f>
        <v>684</v>
      </c>
      <c r="G73" s="135">
        <f t="shared" si="20"/>
        <v>406621.03680000012</v>
      </c>
      <c r="H73" s="135">
        <f t="shared" si="21"/>
        <v>8.2428952548816764E-7</v>
      </c>
      <c r="I73" s="111">
        <f>G73/(Table112345[[#This Row],[b (mm)]]*Table112345[[#This Row],[h]]^2)</f>
        <v>1.3785298940676627E-3</v>
      </c>
      <c r="J73" s="135">
        <f t="shared" si="22"/>
        <v>0.2507382006832849</v>
      </c>
      <c r="K73" s="135">
        <f t="shared" si="23"/>
        <v>1.9276835786441406E-7</v>
      </c>
      <c r="L73" s="135">
        <f>E73/(Table112345[[#This Row],[b (mm)]]*AE73)</f>
        <v>5.7604641525072528E-4</v>
      </c>
      <c r="M73" s="135">
        <f>Table112345[[#This Row],[M (KN.mm)]]/(Table112345[[#This Row],[b (mm)]]*Table112345[[#This Row],[d (mm)]])</f>
        <v>1.1702267716535437</v>
      </c>
      <c r="N73" s="135">
        <f>Table112345[[#This Row],[M (KN.mm)]]/(Table112345[[#This Row],[b (mm)]]*Table112345[[#This Row],[h (mm)]])</f>
        <v>1.0504397792795588</v>
      </c>
      <c r="O73" s="145">
        <f>Table112345[[#This Row],[M (KN.mm)]]/(Table112345[[#This Row],[b (mm)]]*Table112345[[#This Row],[h (mm)]]*Table112345[[#This Row],[L(mm)]])</f>
        <v>2.5847435513768675E-4</v>
      </c>
      <c r="P73" s="145">
        <f>Table112345[[#This Row],[M (KN.mm)]]/(Table112345[[#This Row],[b (mm)]]*Table112345[[#This Row],[d (mm)]]*Table112345[[#This Row],[L(mm)]])</f>
        <v>2.8794950089900187E-4</v>
      </c>
      <c r="Q73" s="145">
        <f>Table112345[[#This Row],[M (KN.mm)]]/(Table112345[[#This Row],[b (mm)]]*Table112345[[#This Row],[h (mm)]]*Table112345[[#This Row],[L(mm)]]*Table112345[[#This Row],[fc (Mpa)]])</f>
        <v>3.7955118228735203E-6</v>
      </c>
      <c r="R73" s="145">
        <f>Table112345[[#This Row],[M (KN.mm)]]/(Table112345[[#This Row],[b (mm)]]*Table112345[[#This Row],[h (mm)]]*Table112345[[#This Row],[L(mm)]]/2)</f>
        <v>5.1694871027537349E-4</v>
      </c>
      <c r="S73" s="145">
        <f>Table112345[[#This Row],[M (KN.mm)]]/(Table112345[[#This Row],[a (mm)]]*Table112345[[#This Row],[b (mm)]]*Table112345[[#This Row],[h (mm)]]*Table112345[[#This Row],[L(mm)]]/2)</f>
        <v>2.5446901287503368E-7</v>
      </c>
      <c r="T73" s="145">
        <f>Table112345[[#This Row],[M (KN.mm)]]/(Table112345[[#This Row],[a (mm)]]^2*Table112345[[#This Row],[b (mm)]]*Table112345[[#This Row],[h (mm)]])</f>
        <v>2.5453414956685192E-7</v>
      </c>
      <c r="U73" s="145">
        <f>Table112345[[#This Row],[M (KN.mm)]]/(Table112345[[#This Row],[b (mm)]]*Table112345[[#This Row],[d (mm)]]*Table112345[[#This Row],[pho (%)]])</f>
        <v>0.90017443973349509</v>
      </c>
      <c r="V73" s="111">
        <f>E73*224.8/(2*SQRT(Table112345[[#This Row],[fc (Mpa)]]*145.037)*Table112345[[#This Row],[b (mm)]]*Table112345[[#This Row],[d (mm)]]*(1/25.4)^2)</f>
        <v>0.42031826507040643</v>
      </c>
      <c r="W73" s="111">
        <f>Table112345[[#This Row],[M (KN.mm)]]/$G$76</f>
        <v>0.84905660377358483</v>
      </c>
      <c r="X73" s="111">
        <f>Table112345[[#This Row],[V/(2*sqrt(fc) bd)]]</f>
        <v>0.42031826507040643</v>
      </c>
      <c r="Y73" s="110">
        <f>Table112345[[#This Row],[a (mm)]]</f>
        <v>2031.4800000000002</v>
      </c>
      <c r="Z73" s="110">
        <f>Table112345[[#This Row],[width]]*Table112345[[#This Row],[h]]^2</f>
        <v>294967152</v>
      </c>
      <c r="AA73" s="110">
        <f>Table112345[[#This Row],[b (mm)]]</f>
        <v>508</v>
      </c>
      <c r="AB73" s="110">
        <f>Table112345[[#This Row],[a]]/Table112345[[#This Row],[h (mm)]]</f>
        <v>2.6659842519685042</v>
      </c>
      <c r="AC73" s="110">
        <f>Table112345[[#This Row],[h (mm)]]</f>
        <v>762</v>
      </c>
      <c r="AD73" s="111">
        <f>2.97*Table112345[[#This Row],[d (mm)]]</f>
        <v>2031.4800000000002</v>
      </c>
      <c r="AE73" s="160">
        <v>684</v>
      </c>
      <c r="AF73" s="160">
        <v>762</v>
      </c>
      <c r="AG73" s="160">
        <v>508</v>
      </c>
      <c r="AH73" s="160">
        <v>68.099999999999994</v>
      </c>
      <c r="AI73" s="160">
        <v>4516</v>
      </c>
      <c r="AJ73" s="160">
        <v>1.3</v>
      </c>
      <c r="AK73" s="160">
        <v>525</v>
      </c>
      <c r="AL73" s="111">
        <f>(1/3-0.21*(MIN(Table112345[[#This Row],[b (mm)]],AF73)/MAX(Table112345[[#This Row],[b (mm)]],AF73))*(MIN(Table112345[[#This Row],[b (mm)]],AF73)^4/(12*MAX(Table112345[[#This Row],[b (mm)]],AF73)^4)))*MAX(Table112345[[#This Row],[b (mm)]],AF73)*MIN(Table112345[[#This Row],[b (mm)]],AF73)^3</f>
        <v>33068302099.026169</v>
      </c>
      <c r="AM73" s="111">
        <f>Table112345[[#This Row],[b (mm)]]*AF73^3/12</f>
        <v>18730414152</v>
      </c>
      <c r="AN73" s="160">
        <v>4064</v>
      </c>
      <c r="AP73" s="126"/>
    </row>
    <row r="74" spans="1:49" x14ac:dyDescent="0.3">
      <c r="A74" s="158" t="s">
        <v>101</v>
      </c>
      <c r="B74" s="147">
        <v>11</v>
      </c>
      <c r="C74" s="111">
        <v>73</v>
      </c>
      <c r="D74" s="111">
        <f>Table112345[[#This Row],[a (mm)]]/Table112345[[#This Row],[d (mm)]]</f>
        <v>2.97</v>
      </c>
      <c r="E74" s="111">
        <v>211.28000000000003</v>
      </c>
      <c r="F74" s="137">
        <f>Table112345[[#This Row],[d (mm)]]</f>
        <v>684</v>
      </c>
      <c r="G74" s="135">
        <f t="shared" si="20"/>
        <v>429211.09440000012</v>
      </c>
      <c r="H74" s="135">
        <f t="shared" si="21"/>
        <v>8.7008338801528802E-7</v>
      </c>
      <c r="I74" s="111">
        <f>G74/(Table112345[[#This Row],[b (mm)]]*Table112345[[#This Row],[h]]^2)</f>
        <v>1.4551148881825327E-3</v>
      </c>
      <c r="J74" s="135">
        <f t="shared" si="22"/>
        <v>0.26466810072124514</v>
      </c>
      <c r="K74" s="135">
        <f t="shared" si="23"/>
        <v>2.0347771107910375E-7</v>
      </c>
      <c r="L74" s="135">
        <f>E74/(Table112345[[#This Row],[b (mm)]]*AE74)</f>
        <v>6.0804899387576557E-4</v>
      </c>
      <c r="M74" s="135">
        <f>Table112345[[#This Row],[M (KN.mm)]]/(Table112345[[#This Row],[b (mm)]]*Table112345[[#This Row],[d (mm)]])</f>
        <v>1.2352393700787405</v>
      </c>
      <c r="N74" s="135">
        <f>Table112345[[#This Row],[M (KN.mm)]]/(Table112345[[#This Row],[b (mm)]]*Table112345[[#This Row],[h (mm)]])</f>
        <v>1.10879754479509</v>
      </c>
      <c r="O74" s="145">
        <f>Table112345[[#This Row],[M (KN.mm)]]/(Table112345[[#This Row],[b (mm)]]*Table112345[[#This Row],[h (mm)]]*Table112345[[#This Row],[L(mm)]])</f>
        <v>2.7283404153422485E-4</v>
      </c>
      <c r="P74" s="145">
        <f>Table112345[[#This Row],[M (KN.mm)]]/(Table112345[[#This Row],[b (mm)]]*Table112345[[#This Row],[d (mm)]]*Table112345[[#This Row],[L(mm)]])</f>
        <v>3.0394669539339085E-4</v>
      </c>
      <c r="Q74" s="145">
        <f>Table112345[[#This Row],[M (KN.mm)]]/(Table112345[[#This Row],[b (mm)]]*Table112345[[#This Row],[h (mm)]]*Table112345[[#This Row],[L(mm)]]*Table112345[[#This Row],[fc (Mpa)]])</f>
        <v>4.0063735908109379E-6</v>
      </c>
      <c r="R74" s="145">
        <f>Table112345[[#This Row],[M (KN.mm)]]/(Table112345[[#This Row],[b (mm)]]*Table112345[[#This Row],[h (mm)]]*Table112345[[#This Row],[L(mm)]]/2)</f>
        <v>5.4566808306844971E-4</v>
      </c>
      <c r="S74" s="145">
        <f>Table112345[[#This Row],[M (KN.mm)]]/(Table112345[[#This Row],[a (mm)]]*Table112345[[#This Row],[b (mm)]]*Table112345[[#This Row],[h (mm)]]*Table112345[[#This Row],[L(mm)]]/2)</f>
        <v>2.6860618025697998E-7</v>
      </c>
      <c r="T74" s="145">
        <f>Table112345[[#This Row],[M (KN.mm)]]/(Table112345[[#This Row],[a (mm)]]^2*Table112345[[#This Row],[b (mm)]]*Table112345[[#This Row],[h (mm)]])</f>
        <v>2.6867493565389926E-7</v>
      </c>
      <c r="U74" s="145">
        <f>Table112345[[#This Row],[M (KN.mm)]]/(Table112345[[#This Row],[b (mm)]]*Table112345[[#This Row],[d (mm)]]*Table112345[[#This Row],[pho (%)]])</f>
        <v>0.95018413082980036</v>
      </c>
      <c r="V74" s="111">
        <f>E74*224.8/(2*SQRT(Table112345[[#This Row],[fc (Mpa)]]*145.037)*Table112345[[#This Row],[b (mm)]]*Table112345[[#This Row],[d (mm)]]*(1/25.4)^2)</f>
        <v>0.44366927979654008</v>
      </c>
      <c r="W74" s="111">
        <f>Table112345[[#This Row],[M (KN.mm)]]/$G$76</f>
        <v>0.89622641509433953</v>
      </c>
      <c r="X74" s="111">
        <f>Table112345[[#This Row],[V/(2*sqrt(fc) bd)]]</f>
        <v>0.44366927979654008</v>
      </c>
      <c r="Y74" s="110">
        <f>Table112345[[#This Row],[a (mm)]]</f>
        <v>2031.4800000000002</v>
      </c>
      <c r="Z74" s="110">
        <f>Table112345[[#This Row],[width]]*Table112345[[#This Row],[h]]^2</f>
        <v>294967152</v>
      </c>
      <c r="AA74" s="110">
        <f>Table112345[[#This Row],[b (mm)]]</f>
        <v>508</v>
      </c>
      <c r="AB74" s="110">
        <f>Table112345[[#This Row],[a]]/Table112345[[#This Row],[h (mm)]]</f>
        <v>2.6659842519685042</v>
      </c>
      <c r="AC74" s="110">
        <f>Table112345[[#This Row],[h (mm)]]</f>
        <v>762</v>
      </c>
      <c r="AD74" s="111">
        <f>2.97*Table112345[[#This Row],[d (mm)]]</f>
        <v>2031.4800000000002</v>
      </c>
      <c r="AE74" s="160">
        <v>684</v>
      </c>
      <c r="AF74" s="160">
        <v>762</v>
      </c>
      <c r="AG74" s="160">
        <v>508</v>
      </c>
      <c r="AH74" s="160">
        <v>68.099999999999994</v>
      </c>
      <c r="AI74" s="160">
        <v>4516</v>
      </c>
      <c r="AJ74" s="160">
        <v>1.3</v>
      </c>
      <c r="AK74" s="160">
        <v>525</v>
      </c>
      <c r="AL74" s="111">
        <f>(1/3-0.21*(MIN(Table112345[[#This Row],[b (mm)]],AF74)/MAX(Table112345[[#This Row],[b (mm)]],AF74))*(MIN(Table112345[[#This Row],[b (mm)]],AF74)^4/(12*MAX(Table112345[[#This Row],[b (mm)]],AF74)^4)))*MAX(Table112345[[#This Row],[b (mm)]],AF74)*MIN(Table112345[[#This Row],[b (mm)]],AF74)^3</f>
        <v>33068302099.026169</v>
      </c>
      <c r="AM74" s="111">
        <f>Table112345[[#This Row],[b (mm)]]*AF74^3/12</f>
        <v>18730414152</v>
      </c>
      <c r="AN74" s="160">
        <v>4064</v>
      </c>
      <c r="AP74" s="126"/>
    </row>
    <row r="75" spans="1:49" x14ac:dyDescent="0.3">
      <c r="A75" s="158" t="s">
        <v>101</v>
      </c>
      <c r="B75" s="147">
        <v>12</v>
      </c>
      <c r="C75" s="111">
        <v>74</v>
      </c>
      <c r="D75" s="111">
        <f>Table112345[[#This Row],[a (mm)]]/Table112345[[#This Row],[d (mm)]]</f>
        <v>2.97</v>
      </c>
      <c r="E75" s="111">
        <v>222.40000000000003</v>
      </c>
      <c r="F75" s="137">
        <f>Table112345[[#This Row],[d (mm)]]</f>
        <v>684</v>
      </c>
      <c r="G75" s="135">
        <f t="shared" si="20"/>
        <v>451801.15200000012</v>
      </c>
      <c r="H75" s="135">
        <f t="shared" si="21"/>
        <v>9.158772505424084E-7</v>
      </c>
      <c r="I75" s="111">
        <f>G75/(Table112345[[#This Row],[b (mm)]]*Table112345[[#This Row],[h]]^2)</f>
        <v>1.5316998822974028E-3</v>
      </c>
      <c r="J75" s="135">
        <f t="shared" si="22"/>
        <v>0.27859800075920543</v>
      </c>
      <c r="K75" s="135">
        <f t="shared" si="23"/>
        <v>2.1418706429379341E-7</v>
      </c>
      <c r="L75" s="135">
        <f>E75/(Table112345[[#This Row],[b (mm)]]*AE75)</f>
        <v>6.4005157250080586E-4</v>
      </c>
      <c r="M75" s="135">
        <f>Table112345[[#This Row],[M (KN.mm)]]/(Table112345[[#This Row],[b (mm)]]*Table112345[[#This Row],[d (mm)]])</f>
        <v>1.3002519685039373</v>
      </c>
      <c r="N75" s="135">
        <f>Table112345[[#This Row],[M (KN.mm)]]/(Table112345[[#This Row],[b (mm)]]*Table112345[[#This Row],[h (mm)]])</f>
        <v>1.1671553103106209</v>
      </c>
      <c r="O75" s="145">
        <f>Table112345[[#This Row],[M (KN.mm)]]/(Table112345[[#This Row],[b (mm)]]*Table112345[[#This Row],[h (mm)]]*Table112345[[#This Row],[L(mm)]])</f>
        <v>2.8719372793076302E-4</v>
      </c>
      <c r="P75" s="145">
        <f>Table112345[[#This Row],[M (KN.mm)]]/(Table112345[[#This Row],[b (mm)]]*Table112345[[#This Row],[d (mm)]]*Table112345[[#This Row],[L(mm)]])</f>
        <v>3.1994388988777983E-4</v>
      </c>
      <c r="Q75" s="145">
        <f>Table112345[[#This Row],[M (KN.mm)]]/(Table112345[[#This Row],[b (mm)]]*Table112345[[#This Row],[h (mm)]]*Table112345[[#This Row],[L(mm)]]*Table112345[[#This Row],[fc (Mpa)]])</f>
        <v>4.2172353587483559E-6</v>
      </c>
      <c r="R75" s="145">
        <f>Table112345[[#This Row],[M (KN.mm)]]/(Table112345[[#This Row],[b (mm)]]*Table112345[[#This Row],[h (mm)]]*Table112345[[#This Row],[L(mm)]]/2)</f>
        <v>5.7438745586152603E-4</v>
      </c>
      <c r="S75" s="145">
        <f>Table112345[[#This Row],[M (KN.mm)]]/(Table112345[[#This Row],[a (mm)]]*Table112345[[#This Row],[b (mm)]]*Table112345[[#This Row],[h (mm)]]*Table112345[[#This Row],[L(mm)]]/2)</f>
        <v>2.8274334763892629E-7</v>
      </c>
      <c r="T75" s="145">
        <f>Table112345[[#This Row],[M (KN.mm)]]/(Table112345[[#This Row],[a (mm)]]^2*Table112345[[#This Row],[b (mm)]]*Table112345[[#This Row],[h (mm)]])</f>
        <v>2.828157217409466E-7</v>
      </c>
      <c r="U75" s="145">
        <f>Table112345[[#This Row],[M (KN.mm)]]/(Table112345[[#This Row],[b (mm)]]*Table112345[[#This Row],[d (mm)]]*Table112345[[#This Row],[pho (%)]])</f>
        <v>1.0001938219261055</v>
      </c>
      <c r="V75" s="111">
        <f>E75*224.8/(2*SQRT(Table112345[[#This Row],[fc (Mpa)]]*145.037)*Table112345[[#This Row],[b (mm)]]*Table112345[[#This Row],[d (mm)]]*(1/25.4)^2)</f>
        <v>0.4670202945226738</v>
      </c>
      <c r="W75" s="111">
        <f>Table112345[[#This Row],[M (KN.mm)]]/$G$76</f>
        <v>0.94339622641509424</v>
      </c>
      <c r="X75" s="111">
        <f>Table112345[[#This Row],[V/(2*sqrt(fc) bd)]]</f>
        <v>0.4670202945226738</v>
      </c>
      <c r="Y75" s="110">
        <f>Table112345[[#This Row],[a (mm)]]</f>
        <v>2031.4800000000002</v>
      </c>
      <c r="Z75" s="110">
        <f>Table112345[[#This Row],[width]]*Table112345[[#This Row],[h]]^2</f>
        <v>294967152</v>
      </c>
      <c r="AA75" s="110">
        <f>Table112345[[#This Row],[b (mm)]]</f>
        <v>508</v>
      </c>
      <c r="AB75" s="110">
        <f>Table112345[[#This Row],[a]]/Table112345[[#This Row],[h (mm)]]</f>
        <v>2.6659842519685042</v>
      </c>
      <c r="AC75" s="110">
        <f>Table112345[[#This Row],[h (mm)]]</f>
        <v>762</v>
      </c>
      <c r="AD75" s="111">
        <f>2.97*Table112345[[#This Row],[d (mm)]]</f>
        <v>2031.4800000000002</v>
      </c>
      <c r="AE75" s="160">
        <v>684</v>
      </c>
      <c r="AF75" s="160">
        <v>762</v>
      </c>
      <c r="AG75" s="160">
        <v>508</v>
      </c>
      <c r="AH75" s="160">
        <v>68.099999999999994</v>
      </c>
      <c r="AI75" s="160">
        <v>4516</v>
      </c>
      <c r="AJ75" s="160">
        <v>1.3</v>
      </c>
      <c r="AK75" s="160">
        <v>525</v>
      </c>
      <c r="AL75" s="111">
        <f>(1/3-0.21*(MIN(Table112345[[#This Row],[b (mm)]],AF75)/MAX(Table112345[[#This Row],[b (mm)]],AF75))*(MIN(Table112345[[#This Row],[b (mm)]],AF75)^4/(12*MAX(Table112345[[#This Row],[b (mm)]],AF75)^4)))*MAX(Table112345[[#This Row],[b (mm)]],AF75)*MIN(Table112345[[#This Row],[b (mm)]],AF75)^3</f>
        <v>33068302099.026169</v>
      </c>
      <c r="AM75" s="111">
        <f>Table112345[[#This Row],[b (mm)]]*AF75^3/12</f>
        <v>18730414152</v>
      </c>
      <c r="AN75" s="160">
        <v>4064</v>
      </c>
      <c r="AP75" s="126"/>
    </row>
    <row r="76" spans="1:49" x14ac:dyDescent="0.3">
      <c r="A76" s="158" t="s">
        <v>101</v>
      </c>
      <c r="B76" s="147" t="s">
        <v>93</v>
      </c>
      <c r="C76" s="111">
        <v>75</v>
      </c>
      <c r="D76" s="111">
        <f>Table112345[[#This Row],[a (mm)]]/Table112345[[#This Row],[d (mm)]]</f>
        <v>2.97</v>
      </c>
      <c r="E76" s="166">
        <v>235.74400000000006</v>
      </c>
      <c r="F76" s="137">
        <f>Table112345[[#This Row],[d (mm)]]</f>
        <v>684</v>
      </c>
      <c r="G76" s="135">
        <f t="shared" si="20"/>
        <v>478909.22112000018</v>
      </c>
      <c r="H76" s="135">
        <f t="shared" si="21"/>
        <v>9.7082988557495302E-7</v>
      </c>
      <c r="I76" s="111">
        <f>G76/(Table112345[[#This Row],[b (mm)]]*Table112345[[#This Row],[h]]^2)</f>
        <v>1.623601875235247E-3</v>
      </c>
      <c r="J76" s="135">
        <f t="shared" si="22"/>
        <v>0.29531388080475779</v>
      </c>
      <c r="K76" s="135">
        <f t="shared" si="23"/>
        <v>2.2703828815142105E-7</v>
      </c>
      <c r="L76" s="135">
        <f>E76/(Table112345[[#This Row],[b (mm)]]*AE76)</f>
        <v>6.7845466685085437E-4</v>
      </c>
      <c r="M76" s="135">
        <f>Table112345[[#This Row],[M (KN.mm)]]/(Table112345[[#This Row],[b (mm)]]*Table112345[[#This Row],[d (mm)]])</f>
        <v>1.3782670866141737</v>
      </c>
      <c r="N76" s="135">
        <f>Table112345[[#This Row],[M (KN.mm)]]/(Table112345[[#This Row],[b (mm)]]*Table112345[[#This Row],[h (mm)]])</f>
        <v>1.2371846289292583</v>
      </c>
      <c r="O76" s="145">
        <f>Table112345[[#This Row],[M (KN.mm)]]/(Table112345[[#This Row],[b (mm)]]*Table112345[[#This Row],[h (mm)]]*Table112345[[#This Row],[L(mm)]])</f>
        <v>3.0442535160660883E-4</v>
      </c>
      <c r="P76" s="145">
        <f>Table112345[[#This Row],[M (KN.mm)]]/(Table112345[[#This Row],[b (mm)]]*Table112345[[#This Row],[d (mm)]]*Table112345[[#This Row],[L(mm)]])</f>
        <v>3.3914052328104668E-4</v>
      </c>
      <c r="Q76" s="145">
        <f>Table112345[[#This Row],[M (KN.mm)]]/(Table112345[[#This Row],[b (mm)]]*Table112345[[#This Row],[h (mm)]]*Table112345[[#This Row],[L(mm)]]*Table112345[[#This Row],[fc (Mpa)]])</f>
        <v>4.4702694802732575E-6</v>
      </c>
      <c r="R76" s="145">
        <f>Table112345[[#This Row],[M (KN.mm)]]/(Table112345[[#This Row],[b (mm)]]*Table112345[[#This Row],[h (mm)]]*Table112345[[#This Row],[L(mm)]]/2)</f>
        <v>6.0885070321321766E-4</v>
      </c>
      <c r="S76" s="145">
        <f>Table112345[[#This Row],[M (KN.mm)]]/(Table112345[[#This Row],[a (mm)]]*Table112345[[#This Row],[b (mm)]]*Table112345[[#This Row],[h (mm)]]*Table112345[[#This Row],[L(mm)]]/2)</f>
        <v>2.9970794849726191E-7</v>
      </c>
      <c r="T76" s="145">
        <f>Table112345[[#This Row],[M (KN.mm)]]/(Table112345[[#This Row],[a (mm)]]^2*Table112345[[#This Row],[b (mm)]]*Table112345[[#This Row],[h (mm)]])</f>
        <v>2.9978466504540344E-7</v>
      </c>
      <c r="U76" s="145">
        <f>Table112345[[#This Row],[M (KN.mm)]]/(Table112345[[#This Row],[b (mm)]]*Table112345[[#This Row],[d (mm)]]*Table112345[[#This Row],[pho (%)]])</f>
        <v>1.0602054512416721</v>
      </c>
      <c r="V76" s="111">
        <f>E76*224.8/(2*SQRT(Table112345[[#This Row],[fc (Mpa)]]*145.037)*Table112345[[#This Row],[b (mm)]]*Table112345[[#This Row],[d (mm)]]*(1/25.4)^2)</f>
        <v>0.49504151219403425</v>
      </c>
      <c r="W76" s="111">
        <f>Table112345[[#This Row],[M (KN.mm)]]/$G$76</f>
        <v>1</v>
      </c>
      <c r="X76" s="111">
        <f>Table112345[[#This Row],[V/(2*sqrt(fc) bd)]]</f>
        <v>0.49504151219403425</v>
      </c>
      <c r="Y76" s="110">
        <f>Table112345[[#This Row],[a (mm)]]</f>
        <v>2031.4800000000002</v>
      </c>
      <c r="Z76" s="110">
        <f>Table112345[[#This Row],[width]]*Table112345[[#This Row],[h]]^2</f>
        <v>294967152</v>
      </c>
      <c r="AA76" s="110">
        <f>Table112345[[#This Row],[b (mm)]]</f>
        <v>508</v>
      </c>
      <c r="AB76" s="110">
        <f>Table112345[[#This Row],[a]]/Table112345[[#This Row],[h (mm)]]</f>
        <v>2.6659842519685042</v>
      </c>
      <c r="AC76" s="110">
        <f>Table112345[[#This Row],[h (mm)]]</f>
        <v>762</v>
      </c>
      <c r="AD76" s="111">
        <f>2.97*Table112345[[#This Row],[d (mm)]]</f>
        <v>2031.4800000000002</v>
      </c>
      <c r="AE76" s="160">
        <v>684</v>
      </c>
      <c r="AF76" s="160">
        <v>762</v>
      </c>
      <c r="AG76" s="160">
        <v>508</v>
      </c>
      <c r="AH76" s="160">
        <v>68.099999999999994</v>
      </c>
      <c r="AI76" s="160">
        <v>4516</v>
      </c>
      <c r="AJ76" s="160">
        <v>1.3</v>
      </c>
      <c r="AK76" s="160">
        <v>525</v>
      </c>
      <c r="AL76" s="111">
        <f>(1/3-0.21*(MIN(Table112345[[#This Row],[b (mm)]],AF76)/MAX(Table112345[[#This Row],[b (mm)]],AF76))*(MIN(Table112345[[#This Row],[b (mm)]],AF76)^4/(12*MAX(Table112345[[#This Row],[b (mm)]],AF76)^4)))*MAX(Table112345[[#This Row],[b (mm)]],AF76)*MIN(Table112345[[#This Row],[b (mm)]],AF76)^3</f>
        <v>33068302099.026169</v>
      </c>
      <c r="AM76" s="111">
        <f>Table112345[[#This Row],[b (mm)]]*AF76^3/12</f>
        <v>18730414152</v>
      </c>
      <c r="AN76" s="160">
        <v>4064</v>
      </c>
      <c r="AP76" s="126"/>
    </row>
    <row r="77" spans="1:49" x14ac:dyDescent="0.3">
      <c r="A77" s="158" t="s">
        <v>101</v>
      </c>
      <c r="B77" s="147" t="s">
        <v>94</v>
      </c>
      <c r="C77" s="111">
        <v>76</v>
      </c>
      <c r="D77" s="111">
        <f>Table112345[[#This Row],[a (mm)]]/Table112345[[#This Row],[d (mm)]]</f>
        <v>2.97</v>
      </c>
      <c r="E77" s="166">
        <v>235.74400000000006</v>
      </c>
      <c r="F77" s="137">
        <f>Table112345[[#This Row],[d (mm)]]</f>
        <v>684</v>
      </c>
      <c r="G77" s="135">
        <f t="shared" si="20"/>
        <v>478909.22112000018</v>
      </c>
      <c r="H77" s="135">
        <f t="shared" si="21"/>
        <v>9.7082988557495302E-7</v>
      </c>
      <c r="I77" s="111">
        <f>G77/(Table112345[[#This Row],[b (mm)]]*Table112345[[#This Row],[h]]^2)</f>
        <v>1.623601875235247E-3</v>
      </c>
      <c r="J77" s="135">
        <f t="shared" si="22"/>
        <v>0.29531388080475779</v>
      </c>
      <c r="K77" s="135">
        <f t="shared" si="23"/>
        <v>2.2703828815142105E-7</v>
      </c>
      <c r="L77" s="135">
        <f>E77/(Table112345[[#This Row],[b (mm)]]*AE77)</f>
        <v>6.7845466685085437E-4</v>
      </c>
      <c r="M77" s="135">
        <f>Table112345[[#This Row],[M (KN.mm)]]/(Table112345[[#This Row],[b (mm)]]*Table112345[[#This Row],[d (mm)]])</f>
        <v>1.3782670866141737</v>
      </c>
      <c r="N77" s="135">
        <f>Table112345[[#This Row],[M (KN.mm)]]/(Table112345[[#This Row],[b (mm)]]*Table112345[[#This Row],[h (mm)]])</f>
        <v>1.2371846289292583</v>
      </c>
      <c r="O77" s="145">
        <f>Table112345[[#This Row],[M (KN.mm)]]/(Table112345[[#This Row],[b (mm)]]*Table112345[[#This Row],[h (mm)]]*Table112345[[#This Row],[L(mm)]])</f>
        <v>3.0442535160660883E-4</v>
      </c>
      <c r="P77" s="145">
        <f>Table112345[[#This Row],[M (KN.mm)]]/(Table112345[[#This Row],[b (mm)]]*Table112345[[#This Row],[d (mm)]]*Table112345[[#This Row],[L(mm)]])</f>
        <v>3.3914052328104668E-4</v>
      </c>
      <c r="Q77" s="145">
        <f>Table112345[[#This Row],[M (KN.mm)]]/(Table112345[[#This Row],[b (mm)]]*Table112345[[#This Row],[h (mm)]]*Table112345[[#This Row],[L(mm)]]*Table112345[[#This Row],[fc (Mpa)]])</f>
        <v>4.4702694802732575E-6</v>
      </c>
      <c r="R77" s="145">
        <f>Table112345[[#This Row],[M (KN.mm)]]/(Table112345[[#This Row],[b (mm)]]*Table112345[[#This Row],[h (mm)]]*Table112345[[#This Row],[L(mm)]]/2)</f>
        <v>6.0885070321321766E-4</v>
      </c>
      <c r="S77" s="145">
        <f>Table112345[[#This Row],[M (KN.mm)]]/(Table112345[[#This Row],[a (mm)]]*Table112345[[#This Row],[b (mm)]]*Table112345[[#This Row],[h (mm)]]*Table112345[[#This Row],[L(mm)]]/2)</f>
        <v>2.9970794849726191E-7</v>
      </c>
      <c r="T77" s="145">
        <f>Table112345[[#This Row],[M (KN.mm)]]/(Table112345[[#This Row],[a (mm)]]^2*Table112345[[#This Row],[b (mm)]]*Table112345[[#This Row],[h (mm)]])</f>
        <v>2.9978466504540344E-7</v>
      </c>
      <c r="U77" s="145">
        <f>Table112345[[#This Row],[M (KN.mm)]]/(Table112345[[#This Row],[b (mm)]]*Table112345[[#This Row],[d (mm)]]*Table112345[[#This Row],[pho (%)]])</f>
        <v>1.0602054512416721</v>
      </c>
      <c r="V77" s="111">
        <f>E77*224.8/(2*SQRT(Table112345[[#This Row],[fc (Mpa)]]*145.037)*Table112345[[#This Row],[b (mm)]]*Table112345[[#This Row],[d (mm)]]*(1/25.4)^2)</f>
        <v>0.49504151219403425</v>
      </c>
      <c r="W77" s="111">
        <f>Table112345[[#This Row],[M (KN.mm)]]/$G$76</f>
        <v>1</v>
      </c>
      <c r="X77" s="111">
        <f>Table112345[[#This Row],[V/(2*sqrt(fc) bd)]]</f>
        <v>0.49504151219403425</v>
      </c>
      <c r="Y77" s="110">
        <f>Table112345[[#This Row],[a (mm)]]</f>
        <v>2031.4800000000002</v>
      </c>
      <c r="Z77" s="110">
        <f>Table112345[[#This Row],[width]]*Table112345[[#This Row],[h]]^2</f>
        <v>294967152</v>
      </c>
      <c r="AA77" s="110">
        <f>Table112345[[#This Row],[b (mm)]]</f>
        <v>508</v>
      </c>
      <c r="AB77" s="110">
        <f>Table112345[[#This Row],[a]]/Table112345[[#This Row],[h (mm)]]</f>
        <v>2.6659842519685042</v>
      </c>
      <c r="AC77" s="110">
        <f>Table112345[[#This Row],[h (mm)]]</f>
        <v>762</v>
      </c>
      <c r="AD77" s="111">
        <f>2.97*Table112345[[#This Row],[d (mm)]]</f>
        <v>2031.4800000000002</v>
      </c>
      <c r="AE77" s="160">
        <v>684</v>
      </c>
      <c r="AF77" s="160">
        <v>762</v>
      </c>
      <c r="AG77" s="160">
        <v>508</v>
      </c>
      <c r="AH77" s="160">
        <v>68.099999999999994</v>
      </c>
      <c r="AI77" s="160">
        <v>4516</v>
      </c>
      <c r="AJ77" s="160">
        <v>1.3</v>
      </c>
      <c r="AK77" s="160">
        <v>525</v>
      </c>
      <c r="AL77" s="111">
        <f>(1/3-0.21*(MIN(Table112345[[#This Row],[b (mm)]],AF77)/MAX(Table112345[[#This Row],[b (mm)]],AF77))*(MIN(Table112345[[#This Row],[b (mm)]],AF77)^4/(12*MAX(Table112345[[#This Row],[b (mm)]],AF77)^4)))*MAX(Table112345[[#This Row],[b (mm)]],AF77)*MIN(Table112345[[#This Row],[b (mm)]],AF77)^3</f>
        <v>33068302099.026169</v>
      </c>
      <c r="AM77" s="111">
        <f>Table112345[[#This Row],[b (mm)]]*AF77^3/12</f>
        <v>18730414152</v>
      </c>
      <c r="AN77" s="160">
        <v>4064</v>
      </c>
      <c r="AP77" s="126"/>
    </row>
    <row r="78" spans="1:49" x14ac:dyDescent="0.3">
      <c r="A78" s="159" t="s">
        <v>102</v>
      </c>
      <c r="B78" s="150">
        <v>1</v>
      </c>
      <c r="C78" s="111">
        <v>77</v>
      </c>
      <c r="D78" s="111">
        <f>Table112345[[#This Row],[a (mm)]]/Table112345[[#This Row],[d (mm)]]</f>
        <v>3</v>
      </c>
      <c r="E78" s="111">
        <v>175.69600000000003</v>
      </c>
      <c r="F78" s="137">
        <f>Table112345[[#This Row],[d (mm)]]</f>
        <v>822</v>
      </c>
      <c r="G78" s="135">
        <f>E78*AD78</f>
        <v>433266.33600000007</v>
      </c>
      <c r="H78" s="135">
        <f>G78/($AQ$5*AM78*0.001)</f>
        <v>4.2176879883548527E-7</v>
      </c>
      <c r="I78" s="111">
        <f>G78/(Table112345[[#This Row],[b (mm)]]*Table112345[[#This Row],[h]]^2)</f>
        <v>8.4606178740704023E-4</v>
      </c>
      <c r="J78" s="135">
        <f>G78/(AI78*AK78*AE78*0.001)</f>
        <v>0.15316203552359162</v>
      </c>
      <c r="K78" s="135">
        <f>E78/($AQ$4*AL78*0.001)</f>
        <v>8.0302838598874895E-8</v>
      </c>
      <c r="L78" s="135">
        <f>E78/(Table112345[[#This Row],[b (mm)]]*AE78)</f>
        <v>3.4868204316055619E-4</v>
      </c>
      <c r="M78" s="135">
        <f>Table112345[[#This Row],[M (KN.mm)]]/(Table112345[[#This Row],[b (mm)]]*Table112345[[#This Row],[d (mm)]])</f>
        <v>0.85984991843393166</v>
      </c>
      <c r="N78" s="135">
        <f>Table112345[[#This Row],[M (KN.mm)]]/(Table112345[[#This Row],[b (mm)]]*Table112345[[#This Row],[h (mm)]])</f>
        <v>0.77330047369003474</v>
      </c>
      <c r="O78" s="145">
        <f>Table112345[[#This Row],[M (KN.mm)]]/(Table112345[[#This Row],[b (mm)]]*Table112345[[#This Row],[h (mm)]]*Table112345[[#This Row],[L(mm)]])</f>
        <v>1.56919738979309E-4</v>
      </c>
      <c r="P78" s="145">
        <f>Table112345[[#This Row],[M (KN.mm)]]/(Table112345[[#This Row],[b (mm)]]*Table112345[[#This Row],[d (mm)]]*Table112345[[#This Row],[L(mm)]])</f>
        <v>1.7448253214974262E-4</v>
      </c>
      <c r="Q78" s="145">
        <f>Table112345[[#This Row],[M (KN.mm)]]/(Table112345[[#This Row],[b (mm)]]*Table112345[[#This Row],[h (mm)]]*Table112345[[#This Row],[L(mm)]]*Table112345[[#This Row],[fc (Mpa)]])</f>
        <v>2.1525341423773524E-6</v>
      </c>
      <c r="R78" s="145">
        <f>Table112345[[#This Row],[M (KN.mm)]]/(Table112345[[#This Row],[b (mm)]]*Table112345[[#This Row],[h (mm)]]*Table112345[[#This Row],[L(mm)]]/2)</f>
        <v>3.13839477958618E-4</v>
      </c>
      <c r="S78" s="145">
        <f>Table112345[[#This Row],[M (KN.mm)]]/(Table112345[[#This Row],[a (mm)]]*Table112345[[#This Row],[b (mm)]]*Table112345[[#This Row],[h (mm)]]*Table112345[[#This Row],[L(mm)]]/2)</f>
        <v>1.2726661717705515E-7</v>
      </c>
      <c r="T78" s="145">
        <f>Table112345[[#This Row],[M (KN.mm)]]/(Table112345[[#This Row],[a (mm)]]^2*Table112345[[#This Row],[b (mm)]]*Table112345[[#This Row],[h (mm)]])</f>
        <v>1.2716340013149388E-7</v>
      </c>
      <c r="U78" s="145">
        <f>Table112345[[#This Row],[M (KN.mm)]]/(Table112345[[#This Row],[b (mm)]]*Table112345[[#This Row],[d (mm)]]*Table112345[[#This Row],[pho (%)]])</f>
        <v>0.66142301417994731</v>
      </c>
      <c r="V78" s="111">
        <f>E78*224.8/(2*SQRT(Table112345[[#This Row],[fc (Mpa)]]*145.037)*Table112345[[#This Row],[b (mm)]]*Table112345[[#This Row],[d (mm)]]*(1/25.4)^2)</f>
        <v>0.24590092273718059</v>
      </c>
      <c r="W78" s="111">
        <f>Table112345[[#This Row],[M (KN.mm)]]/$G$88</f>
        <v>0.53226170108356874</v>
      </c>
      <c r="X78" s="111">
        <f>Table112345[[#This Row],[V/(2*sqrt(fc) bd)]]</f>
        <v>0.24590092273718059</v>
      </c>
      <c r="Y78" s="110">
        <f>Table112345[[#This Row],[a (mm)]]</f>
        <v>2466</v>
      </c>
      <c r="Z78" s="110">
        <f>Table112345[[#This Row],[width]]*Table112345[[#This Row],[h]]^2</f>
        <v>512097748</v>
      </c>
      <c r="AA78" s="110">
        <f>Table112345[[#This Row],[b (mm)]]</f>
        <v>613</v>
      </c>
      <c r="AB78" s="110">
        <f>Table112345[[#This Row],[a]]/Table112345[[#This Row],[h (mm)]]</f>
        <v>2.6980306345733043</v>
      </c>
      <c r="AC78" s="110">
        <f>Table112345[[#This Row],[h (mm)]]</f>
        <v>914</v>
      </c>
      <c r="AD78" s="111">
        <f>3*Table112345[[#This Row],[d (mm)]]</f>
        <v>2466</v>
      </c>
      <c r="AE78" s="160">
        <v>822</v>
      </c>
      <c r="AF78" s="160">
        <v>914</v>
      </c>
      <c r="AG78" s="160">
        <v>613</v>
      </c>
      <c r="AH78" s="160">
        <v>72.900000000000006</v>
      </c>
      <c r="AI78" s="160">
        <v>6555</v>
      </c>
      <c r="AJ78" s="160">
        <v>1.3</v>
      </c>
      <c r="AK78" s="160">
        <v>525</v>
      </c>
      <c r="AL78" s="111">
        <f>(1/3-0.21*(MIN(Table112345[[#This Row],[b (mm)]],AF78)/MAX(Table112345[[#This Row],[b (mm)]],AF78))*(MIN(Table112345[[#This Row],[b (mm)]],AF78)^4/(12*MAX(Table112345[[#This Row],[b (mm)]],AF78)^4)))*MAX(Table112345[[#This Row],[b (mm)]],AF78)*MIN(Table112345[[#This Row],[b (mm)]],AF78)^3</f>
        <v>69678906877.611313</v>
      </c>
      <c r="AM78" s="111">
        <f>Table112345[[#This Row],[b (mm)]]*AF78^3/12</f>
        <v>39004778472.666664</v>
      </c>
      <c r="AN78" s="160">
        <v>4928</v>
      </c>
      <c r="AP78" s="149"/>
      <c r="AQ78" s="139"/>
      <c r="AR78" s="139"/>
    </row>
    <row r="79" spans="1:49" x14ac:dyDescent="0.3">
      <c r="A79" s="159" t="s">
        <v>102</v>
      </c>
      <c r="B79" s="150">
        <v>2</v>
      </c>
      <c r="C79" s="111">
        <v>78</v>
      </c>
      <c r="D79" s="111">
        <f>Table112345[[#This Row],[a (mm)]]/Table112345[[#This Row],[d (mm)]]</f>
        <v>3</v>
      </c>
      <c r="E79" s="111">
        <v>189.04000000000002</v>
      </c>
      <c r="F79" s="137">
        <f>Table112345[[#This Row],[d (mm)]]</f>
        <v>822</v>
      </c>
      <c r="G79" s="135">
        <f t="shared" ref="G79:G89" si="24">E79*AD79</f>
        <v>466172.64000000007</v>
      </c>
      <c r="H79" s="135">
        <f t="shared" ref="H79:H89" si="25">G79/($AQ$5*AM79*0.001)</f>
        <v>4.5380187216476259E-7</v>
      </c>
      <c r="I79" s="111">
        <f>G79/(Table112345[[#This Row],[b (mm)]]*Table112345[[#This Row],[h]]^2)</f>
        <v>9.1031964467846104E-4</v>
      </c>
      <c r="J79" s="135">
        <f t="shared" ref="J79:J89" si="26">G79/(AI79*AK79*AE79*0.001)</f>
        <v>0.16479459518361123</v>
      </c>
      <c r="K79" s="135">
        <f t="shared" ref="K79:K89" si="27">E79/($AQ$4*AL79*0.001)</f>
        <v>8.6401788365878046E-8</v>
      </c>
      <c r="L79" s="135">
        <f>E79/(Table112345[[#This Row],[b (mm)]]*AE79)</f>
        <v>3.7516422365376298E-4</v>
      </c>
      <c r="M79" s="135">
        <f>Table112345[[#This Row],[M (KN.mm)]]/(Table112345[[#This Row],[b (mm)]]*Table112345[[#This Row],[d (mm)]])</f>
        <v>0.92515497553017956</v>
      </c>
      <c r="N79" s="135">
        <f>Table112345[[#This Row],[M (KN.mm)]]/(Table112345[[#This Row],[b (mm)]]*Table112345[[#This Row],[h (mm)]])</f>
        <v>0.8320321552361134</v>
      </c>
      <c r="O79" s="145">
        <f>Table112345[[#This Row],[M (KN.mm)]]/(Table112345[[#This Row],[b (mm)]]*Table112345[[#This Row],[h (mm)]]*Table112345[[#This Row],[L(mm)]])</f>
        <v>1.6883769383849704E-4</v>
      </c>
      <c r="P79" s="145">
        <f>Table112345[[#This Row],[M (KN.mm)]]/(Table112345[[#This Row],[b (mm)]]*Table112345[[#This Row],[d (mm)]]*Table112345[[#This Row],[L(mm)]])</f>
        <v>1.8773437003453321E-4</v>
      </c>
      <c r="Q79" s="145">
        <f>Table112345[[#This Row],[M (KN.mm)]]/(Table112345[[#This Row],[b (mm)]]*Table112345[[#This Row],[h (mm)]]*Table112345[[#This Row],[L(mm)]]*Table112345[[#This Row],[fc (Mpa)]])</f>
        <v>2.3160177481275309E-6</v>
      </c>
      <c r="R79" s="145">
        <f>Table112345[[#This Row],[M (KN.mm)]]/(Table112345[[#This Row],[b (mm)]]*Table112345[[#This Row],[h (mm)]]*Table112345[[#This Row],[L(mm)]]/2)</f>
        <v>3.3767538767699409E-4</v>
      </c>
      <c r="S79" s="145">
        <f>Table112345[[#This Row],[M (KN.mm)]]/(Table112345[[#This Row],[a (mm)]]*Table112345[[#This Row],[b (mm)]]*Table112345[[#This Row],[h (mm)]]*Table112345[[#This Row],[L(mm)]]/2)</f>
        <v>1.3693243620316061E-7</v>
      </c>
      <c r="T79" s="145">
        <f>Table112345[[#This Row],[M (KN.mm)]]/(Table112345[[#This Row],[a (mm)]]^2*Table112345[[#This Row],[b (mm)]]*Table112345[[#This Row],[h (mm)]])</f>
        <v>1.368213798883162E-7</v>
      </c>
      <c r="U79" s="145">
        <f>Table112345[[#This Row],[M (KN.mm)]]/(Table112345[[#This Row],[b (mm)]]*Table112345[[#This Row],[d (mm)]]*Table112345[[#This Row],[pho (%)]])</f>
        <v>0.71165767348475351</v>
      </c>
      <c r="V79" s="111">
        <f>E79*224.8/(2*SQRT(Table112345[[#This Row],[fc (Mpa)]]*145.037)*Table112345[[#This Row],[b (mm)]]*Table112345[[#This Row],[d (mm)]]*(1/25.4)^2)</f>
        <v>0.26457694218557404</v>
      </c>
      <c r="W79" s="111">
        <f>Table112345[[#This Row],[M (KN.mm)]]/$G$88</f>
        <v>0.57268664040637152</v>
      </c>
      <c r="X79" s="111">
        <f>Table112345[[#This Row],[V/(2*sqrt(fc) bd)]]</f>
        <v>0.26457694218557404</v>
      </c>
      <c r="Y79" s="110">
        <f>Table112345[[#This Row],[a (mm)]]</f>
        <v>2466</v>
      </c>
      <c r="Z79" s="110">
        <f>Table112345[[#This Row],[width]]*Table112345[[#This Row],[h]]^2</f>
        <v>512097748</v>
      </c>
      <c r="AA79" s="110">
        <f>Table112345[[#This Row],[b (mm)]]</f>
        <v>613</v>
      </c>
      <c r="AB79" s="110">
        <f>Table112345[[#This Row],[a]]/Table112345[[#This Row],[h (mm)]]</f>
        <v>2.6980306345733043</v>
      </c>
      <c r="AC79" s="110">
        <f>Table112345[[#This Row],[h (mm)]]</f>
        <v>914</v>
      </c>
      <c r="AD79" s="111">
        <f>3*Table112345[[#This Row],[d (mm)]]</f>
        <v>2466</v>
      </c>
      <c r="AE79" s="160">
        <v>822</v>
      </c>
      <c r="AF79" s="160">
        <v>914</v>
      </c>
      <c r="AG79" s="160">
        <v>613</v>
      </c>
      <c r="AH79" s="160">
        <v>72.900000000000006</v>
      </c>
      <c r="AI79" s="160">
        <v>6555</v>
      </c>
      <c r="AJ79" s="160">
        <v>1.3</v>
      </c>
      <c r="AK79" s="160">
        <v>525</v>
      </c>
      <c r="AL79" s="111">
        <f>(1/3-0.21*(MIN(Table112345[[#This Row],[b (mm)]],AF79)/MAX(Table112345[[#This Row],[b (mm)]],AF79))*(MIN(Table112345[[#This Row],[b (mm)]],AF79)^4/(12*MAX(Table112345[[#This Row],[b (mm)]],AF79)^4)))*MAX(Table112345[[#This Row],[b (mm)]],AF79)*MIN(Table112345[[#This Row],[b (mm)]],AF79)^3</f>
        <v>69678906877.611313</v>
      </c>
      <c r="AM79" s="111">
        <f>Table112345[[#This Row],[b (mm)]]*AF79^3/12</f>
        <v>39004778472.666664</v>
      </c>
      <c r="AN79" s="160">
        <v>4928</v>
      </c>
      <c r="AP79" s="126"/>
    </row>
    <row r="80" spans="1:49" x14ac:dyDescent="0.3">
      <c r="A80" s="159" t="s">
        <v>102</v>
      </c>
      <c r="B80" s="150">
        <v>3</v>
      </c>
      <c r="C80" s="111">
        <v>79</v>
      </c>
      <c r="D80" s="111">
        <f>Table112345[[#This Row],[a (mm)]]/Table112345[[#This Row],[d (mm)]]</f>
        <v>3</v>
      </c>
      <c r="E80" s="111">
        <v>200.16000000000003</v>
      </c>
      <c r="F80" s="137">
        <f>Table112345[[#This Row],[d (mm)]]</f>
        <v>822</v>
      </c>
      <c r="G80" s="135">
        <f t="shared" si="24"/>
        <v>493594.56000000006</v>
      </c>
      <c r="H80" s="135">
        <f t="shared" si="25"/>
        <v>4.8049609993916041E-7</v>
      </c>
      <c r="I80" s="111">
        <f>G80/(Table112345[[#This Row],[b (mm)]]*Table112345[[#This Row],[h]]^2)</f>
        <v>9.6386785907131168E-4</v>
      </c>
      <c r="J80" s="135">
        <f t="shared" si="26"/>
        <v>0.17448839490029425</v>
      </c>
      <c r="K80" s="135">
        <f t="shared" si="27"/>
        <v>9.1484246505047345E-8</v>
      </c>
      <c r="L80" s="135">
        <f>E80/(Table112345[[#This Row],[b (mm)]]*AE80)</f>
        <v>3.9723270739810198E-4</v>
      </c>
      <c r="M80" s="135">
        <f>Table112345[[#This Row],[M (KN.mm)]]/(Table112345[[#This Row],[b (mm)]]*Table112345[[#This Row],[d (mm)]])</f>
        <v>0.97957585644371947</v>
      </c>
      <c r="N80" s="135">
        <f>Table112345[[#This Row],[M (KN.mm)]]/(Table112345[[#This Row],[b (mm)]]*Table112345[[#This Row],[h (mm)]])</f>
        <v>0.88097522319117882</v>
      </c>
      <c r="O80" s="145">
        <f>Table112345[[#This Row],[M (KN.mm)]]/(Table112345[[#This Row],[b (mm)]]*Table112345[[#This Row],[h (mm)]]*Table112345[[#This Row],[L(mm)]])</f>
        <v>1.7876932288782039E-4</v>
      </c>
      <c r="P80" s="145">
        <f>Table112345[[#This Row],[M (KN.mm)]]/(Table112345[[#This Row],[b (mm)]]*Table112345[[#This Row],[d (mm)]]*Table112345[[#This Row],[L(mm)]])</f>
        <v>1.9877756827185866E-4</v>
      </c>
      <c r="Q80" s="145">
        <f>Table112345[[#This Row],[M (KN.mm)]]/(Table112345[[#This Row],[b (mm)]]*Table112345[[#This Row],[h (mm)]]*Table112345[[#This Row],[L(mm)]]*Table112345[[#This Row],[fc (Mpa)]])</f>
        <v>2.45225408625268E-6</v>
      </c>
      <c r="R80" s="145">
        <f>Table112345[[#This Row],[M (KN.mm)]]/(Table112345[[#This Row],[b (mm)]]*Table112345[[#This Row],[h (mm)]]*Table112345[[#This Row],[L(mm)]]/2)</f>
        <v>3.5753864577564077E-4</v>
      </c>
      <c r="S80" s="145">
        <f>Table112345[[#This Row],[M (KN.mm)]]/(Table112345[[#This Row],[a (mm)]]*Table112345[[#This Row],[b (mm)]]*Table112345[[#This Row],[h (mm)]]*Table112345[[#This Row],[L(mm)]]/2)</f>
        <v>1.4498728539158182E-7</v>
      </c>
      <c r="T80" s="145">
        <f>Table112345[[#This Row],[M (KN.mm)]]/(Table112345[[#This Row],[a (mm)]]^2*Table112345[[#This Row],[b (mm)]]*Table112345[[#This Row],[h (mm)]])</f>
        <v>1.448696963523348E-7</v>
      </c>
      <c r="U80" s="145">
        <f>Table112345[[#This Row],[M (KN.mm)]]/(Table112345[[#This Row],[b (mm)]]*Table112345[[#This Row],[d (mm)]]*Table112345[[#This Row],[pho (%)]])</f>
        <v>0.75351988957209193</v>
      </c>
      <c r="V80" s="111">
        <f>E80*224.8/(2*SQRT(Table112345[[#This Row],[fc (Mpa)]]*145.037)*Table112345[[#This Row],[b (mm)]]*Table112345[[#This Row],[d (mm)]]*(1/25.4)^2)</f>
        <v>0.28014029172590194</v>
      </c>
      <c r="W80" s="111">
        <f>Table112345[[#This Row],[M (KN.mm)]]/$G$88</f>
        <v>0.60637408984204033</v>
      </c>
      <c r="X80" s="111">
        <f>Table112345[[#This Row],[V/(2*sqrt(fc) bd)]]</f>
        <v>0.28014029172590194</v>
      </c>
      <c r="Y80" s="110">
        <f>Table112345[[#This Row],[a (mm)]]</f>
        <v>2466</v>
      </c>
      <c r="Z80" s="110">
        <f>Table112345[[#This Row],[width]]*Table112345[[#This Row],[h]]^2</f>
        <v>512097748</v>
      </c>
      <c r="AA80" s="110">
        <f>Table112345[[#This Row],[b (mm)]]</f>
        <v>613</v>
      </c>
      <c r="AB80" s="110">
        <f>Table112345[[#This Row],[a]]/Table112345[[#This Row],[h (mm)]]</f>
        <v>2.6980306345733043</v>
      </c>
      <c r="AC80" s="110">
        <f>Table112345[[#This Row],[h (mm)]]</f>
        <v>914</v>
      </c>
      <c r="AD80" s="111">
        <f>3*Table112345[[#This Row],[d (mm)]]</f>
        <v>2466</v>
      </c>
      <c r="AE80" s="160">
        <v>822</v>
      </c>
      <c r="AF80" s="160">
        <v>914</v>
      </c>
      <c r="AG80" s="160">
        <v>613</v>
      </c>
      <c r="AH80" s="160">
        <v>72.900000000000006</v>
      </c>
      <c r="AI80" s="160">
        <v>6555</v>
      </c>
      <c r="AJ80" s="160">
        <v>1.3</v>
      </c>
      <c r="AK80" s="160">
        <v>525</v>
      </c>
      <c r="AL80" s="111">
        <f>(1/3-0.21*(MIN(Table112345[[#This Row],[b (mm)]],AF80)/MAX(Table112345[[#This Row],[b (mm)]],AF80))*(MIN(Table112345[[#This Row],[b (mm)]],AF80)^4/(12*MAX(Table112345[[#This Row],[b (mm)]],AF80)^4)))*MAX(Table112345[[#This Row],[b (mm)]],AF80)*MIN(Table112345[[#This Row],[b (mm)]],AF80)^3</f>
        <v>69678906877.611313</v>
      </c>
      <c r="AM80" s="111">
        <f>Table112345[[#This Row],[b (mm)]]*AF80^3/12</f>
        <v>39004778472.666664</v>
      </c>
      <c r="AN80" s="160">
        <v>4928</v>
      </c>
      <c r="AP80" s="126"/>
    </row>
    <row r="81" spans="1:42" x14ac:dyDescent="0.3">
      <c r="A81" s="159" t="s">
        <v>102</v>
      </c>
      <c r="B81" s="150">
        <v>4</v>
      </c>
      <c r="C81" s="111">
        <v>80</v>
      </c>
      <c r="D81" s="111">
        <f>Table112345[[#This Row],[a (mm)]]/Table112345[[#This Row],[d (mm)]]</f>
        <v>3</v>
      </c>
      <c r="E81" s="111">
        <v>211.28000000000003</v>
      </c>
      <c r="F81" s="137">
        <f>Table112345[[#This Row],[d (mm)]]</f>
        <v>822</v>
      </c>
      <c r="G81" s="135">
        <f t="shared" si="24"/>
        <v>521016.4800000001</v>
      </c>
      <c r="H81" s="135">
        <f t="shared" si="25"/>
        <v>5.0719032771355818E-7</v>
      </c>
      <c r="I81" s="111">
        <f>G81/(Table112345[[#This Row],[b (mm)]]*Table112345[[#This Row],[h]]^2)</f>
        <v>1.0174160734641624E-3</v>
      </c>
      <c r="J81" s="135">
        <f t="shared" si="26"/>
        <v>0.18418219461697727</v>
      </c>
      <c r="K81" s="135">
        <f t="shared" si="27"/>
        <v>9.6566704644216644E-8</v>
      </c>
      <c r="L81" s="135">
        <f>E81/(Table112345[[#This Row],[b (mm)]]*AE81)</f>
        <v>4.1930119114244103E-4</v>
      </c>
      <c r="M81" s="135">
        <f>Table112345[[#This Row],[M (KN.mm)]]/(Table112345[[#This Row],[b (mm)]]*Table112345[[#This Row],[d (mm)]])</f>
        <v>1.0339967373572596</v>
      </c>
      <c r="N81" s="135">
        <f>Table112345[[#This Row],[M (KN.mm)]]/(Table112345[[#This Row],[b (mm)]]*Table112345[[#This Row],[h (mm)]])</f>
        <v>0.92991829114624436</v>
      </c>
      <c r="O81" s="145">
        <f>Table112345[[#This Row],[M (KN.mm)]]/(Table112345[[#This Row],[b (mm)]]*Table112345[[#This Row],[h (mm)]]*Table112345[[#This Row],[L(mm)]])</f>
        <v>1.8870095193714376E-4</v>
      </c>
      <c r="P81" s="145">
        <f>Table112345[[#This Row],[M (KN.mm)]]/(Table112345[[#This Row],[b (mm)]]*Table112345[[#This Row],[d (mm)]]*Table112345[[#This Row],[L(mm)]])</f>
        <v>2.0982076650918416E-4</v>
      </c>
      <c r="Q81" s="145">
        <f>Table112345[[#This Row],[M (KN.mm)]]/(Table112345[[#This Row],[b (mm)]]*Table112345[[#This Row],[h (mm)]]*Table112345[[#This Row],[L(mm)]]*Table112345[[#This Row],[fc (Mpa)]])</f>
        <v>2.5884904243778291E-6</v>
      </c>
      <c r="R81" s="145">
        <f>Table112345[[#This Row],[M (KN.mm)]]/(Table112345[[#This Row],[b (mm)]]*Table112345[[#This Row],[h (mm)]]*Table112345[[#This Row],[L(mm)]]/2)</f>
        <v>3.7740190387428751E-4</v>
      </c>
      <c r="S81" s="145">
        <f>Table112345[[#This Row],[M (KN.mm)]]/(Table112345[[#This Row],[a (mm)]]*Table112345[[#This Row],[b (mm)]]*Table112345[[#This Row],[h (mm)]]*Table112345[[#This Row],[L(mm)]]/2)</f>
        <v>1.5304213458000304E-7</v>
      </c>
      <c r="T81" s="145">
        <f>Table112345[[#This Row],[M (KN.mm)]]/(Table112345[[#This Row],[a (mm)]]^2*Table112345[[#This Row],[b (mm)]]*Table112345[[#This Row],[h (mm)]])</f>
        <v>1.529180128163534E-7</v>
      </c>
      <c r="U81" s="145">
        <f>Table112345[[#This Row],[M (KN.mm)]]/(Table112345[[#This Row],[b (mm)]]*Table112345[[#This Row],[d (mm)]]*Table112345[[#This Row],[pho (%)]])</f>
        <v>0.79538210565943035</v>
      </c>
      <c r="V81" s="111">
        <f>E81*224.8/(2*SQRT(Table112345[[#This Row],[fc (Mpa)]]*145.037)*Table112345[[#This Row],[b (mm)]]*Table112345[[#This Row],[d (mm)]]*(1/25.4)^2)</f>
        <v>0.29570364126622978</v>
      </c>
      <c r="W81" s="111">
        <f>Table112345[[#This Row],[M (KN.mm)]]/$G$88</f>
        <v>0.64006153927770937</v>
      </c>
      <c r="X81" s="111">
        <f>Table112345[[#This Row],[V/(2*sqrt(fc) bd)]]</f>
        <v>0.29570364126622978</v>
      </c>
      <c r="Y81" s="110">
        <f>Table112345[[#This Row],[a (mm)]]</f>
        <v>2466</v>
      </c>
      <c r="Z81" s="110">
        <f>Table112345[[#This Row],[width]]*Table112345[[#This Row],[h]]^2</f>
        <v>512097748</v>
      </c>
      <c r="AA81" s="110">
        <f>Table112345[[#This Row],[b (mm)]]</f>
        <v>613</v>
      </c>
      <c r="AB81" s="110">
        <f>Table112345[[#This Row],[a]]/Table112345[[#This Row],[h (mm)]]</f>
        <v>2.6980306345733043</v>
      </c>
      <c r="AC81" s="110">
        <f>Table112345[[#This Row],[h (mm)]]</f>
        <v>914</v>
      </c>
      <c r="AD81" s="111">
        <f>3*Table112345[[#This Row],[d (mm)]]</f>
        <v>2466</v>
      </c>
      <c r="AE81" s="160">
        <v>822</v>
      </c>
      <c r="AF81" s="160">
        <v>914</v>
      </c>
      <c r="AG81" s="160">
        <v>613</v>
      </c>
      <c r="AH81" s="160">
        <v>72.900000000000006</v>
      </c>
      <c r="AI81" s="160">
        <v>6555</v>
      </c>
      <c r="AJ81" s="160">
        <v>1.3</v>
      </c>
      <c r="AK81" s="160">
        <v>525</v>
      </c>
      <c r="AL81" s="111">
        <f>(1/3-0.21*(MIN(Table112345[[#This Row],[b (mm)]],AF81)/MAX(Table112345[[#This Row],[b (mm)]],AF81))*(MIN(Table112345[[#This Row],[b (mm)]],AF81)^4/(12*MAX(Table112345[[#This Row],[b (mm)]],AF81)^4)))*MAX(Table112345[[#This Row],[b (mm)]],AF81)*MIN(Table112345[[#This Row],[b (mm)]],AF81)^3</f>
        <v>69678906877.611313</v>
      </c>
      <c r="AM81" s="111">
        <f>Table112345[[#This Row],[b (mm)]]*AF81^3/12</f>
        <v>39004778472.666664</v>
      </c>
      <c r="AN81" s="160">
        <v>4928</v>
      </c>
      <c r="AP81" s="126"/>
    </row>
    <row r="82" spans="1:42" x14ac:dyDescent="0.3">
      <c r="A82" s="159" t="s">
        <v>102</v>
      </c>
      <c r="B82" s="150">
        <v>5</v>
      </c>
      <c r="C82" s="111">
        <v>81</v>
      </c>
      <c r="D82" s="111">
        <f>Table112345[[#This Row],[a (mm)]]/Table112345[[#This Row],[d (mm)]]</f>
        <v>3</v>
      </c>
      <c r="E82" s="111">
        <v>222.40000000000003</v>
      </c>
      <c r="F82" s="137">
        <f>Table112345[[#This Row],[d (mm)]]</f>
        <v>822</v>
      </c>
      <c r="G82" s="135">
        <f t="shared" si="24"/>
        <v>548438.40000000014</v>
      </c>
      <c r="H82" s="135">
        <f t="shared" si="25"/>
        <v>5.3388455548795606E-7</v>
      </c>
      <c r="I82" s="111">
        <f>G82/(Table112345[[#This Row],[b (mm)]]*Table112345[[#This Row],[h]]^2)</f>
        <v>1.0709642878570132E-3</v>
      </c>
      <c r="J82" s="135">
        <f t="shared" si="26"/>
        <v>0.19387599433366029</v>
      </c>
      <c r="K82" s="135">
        <f t="shared" si="27"/>
        <v>1.0164916278338594E-7</v>
      </c>
      <c r="L82" s="135">
        <f>E82/(Table112345[[#This Row],[b (mm)]]*AE82)</f>
        <v>4.4136967488678003E-4</v>
      </c>
      <c r="M82" s="135">
        <f>Table112345[[#This Row],[M (KN.mm)]]/(Table112345[[#This Row],[b (mm)]]*Table112345[[#This Row],[d (mm)]])</f>
        <v>1.0884176182707996</v>
      </c>
      <c r="N82" s="135">
        <f>Table112345[[#This Row],[M (KN.mm)]]/(Table112345[[#This Row],[b (mm)]]*Table112345[[#This Row],[h (mm)]])</f>
        <v>0.97886135910131</v>
      </c>
      <c r="O82" s="145">
        <f>Table112345[[#This Row],[M (KN.mm)]]/(Table112345[[#This Row],[b (mm)]]*Table112345[[#This Row],[h (mm)]]*Table112345[[#This Row],[L(mm)]])</f>
        <v>1.9863258098646712E-4</v>
      </c>
      <c r="P82" s="145">
        <f>Table112345[[#This Row],[M (KN.mm)]]/(Table112345[[#This Row],[b (mm)]]*Table112345[[#This Row],[d (mm)]]*Table112345[[#This Row],[L(mm)]])</f>
        <v>2.2086396474650967E-4</v>
      </c>
      <c r="Q82" s="145">
        <f>Table112345[[#This Row],[M (KN.mm)]]/(Table112345[[#This Row],[b (mm)]]*Table112345[[#This Row],[h (mm)]]*Table112345[[#This Row],[L(mm)]]*Table112345[[#This Row],[fc (Mpa)]])</f>
        <v>2.7247267625029781E-6</v>
      </c>
      <c r="R82" s="145">
        <f>Table112345[[#This Row],[M (KN.mm)]]/(Table112345[[#This Row],[b (mm)]]*Table112345[[#This Row],[h (mm)]]*Table112345[[#This Row],[L(mm)]]/2)</f>
        <v>3.9726516197293425E-4</v>
      </c>
      <c r="S82" s="145">
        <f>Table112345[[#This Row],[M (KN.mm)]]/(Table112345[[#This Row],[a (mm)]]*Table112345[[#This Row],[b (mm)]]*Table112345[[#This Row],[h (mm)]]*Table112345[[#This Row],[L(mm)]]/2)</f>
        <v>1.6109698376842426E-7</v>
      </c>
      <c r="T82" s="145">
        <f>Table112345[[#This Row],[M (KN.mm)]]/(Table112345[[#This Row],[a (mm)]]^2*Table112345[[#This Row],[b (mm)]]*Table112345[[#This Row],[h (mm)]])</f>
        <v>1.6096632928037202E-7</v>
      </c>
      <c r="U82" s="145">
        <f>Table112345[[#This Row],[M (KN.mm)]]/(Table112345[[#This Row],[b (mm)]]*Table112345[[#This Row],[d (mm)]]*Table112345[[#This Row],[pho (%)]])</f>
        <v>0.83724432174676888</v>
      </c>
      <c r="V82" s="111">
        <f>E82*224.8/(2*SQRT(Table112345[[#This Row],[fc (Mpa)]]*145.037)*Table112345[[#This Row],[b (mm)]]*Table112345[[#This Row],[d (mm)]]*(1/25.4)^2)</f>
        <v>0.31126699080655773</v>
      </c>
      <c r="W82" s="111">
        <f>Table112345[[#This Row],[M (KN.mm)]]/$G$88</f>
        <v>0.67374898871337829</v>
      </c>
      <c r="X82" s="111">
        <f>Table112345[[#This Row],[V/(2*sqrt(fc) bd)]]</f>
        <v>0.31126699080655773</v>
      </c>
      <c r="Y82" s="110">
        <f>Table112345[[#This Row],[a (mm)]]</f>
        <v>2466</v>
      </c>
      <c r="Z82" s="110">
        <f>Table112345[[#This Row],[width]]*Table112345[[#This Row],[h]]^2</f>
        <v>512097748</v>
      </c>
      <c r="AA82" s="110">
        <f>Table112345[[#This Row],[b (mm)]]</f>
        <v>613</v>
      </c>
      <c r="AB82" s="110">
        <f>Table112345[[#This Row],[a]]/Table112345[[#This Row],[h (mm)]]</f>
        <v>2.6980306345733043</v>
      </c>
      <c r="AC82" s="110">
        <f>Table112345[[#This Row],[h (mm)]]</f>
        <v>914</v>
      </c>
      <c r="AD82" s="111">
        <f>3*Table112345[[#This Row],[d (mm)]]</f>
        <v>2466</v>
      </c>
      <c r="AE82" s="160">
        <v>822</v>
      </c>
      <c r="AF82" s="160">
        <v>914</v>
      </c>
      <c r="AG82" s="160">
        <v>613</v>
      </c>
      <c r="AH82" s="160">
        <v>72.900000000000006</v>
      </c>
      <c r="AI82" s="160">
        <v>6555</v>
      </c>
      <c r="AJ82" s="160">
        <v>1.3</v>
      </c>
      <c r="AK82" s="160">
        <v>525</v>
      </c>
      <c r="AL82" s="111">
        <f>(1/3-0.21*(MIN(Table112345[[#This Row],[b (mm)]],AF82)/MAX(Table112345[[#This Row],[b (mm)]],AF82))*(MIN(Table112345[[#This Row],[b (mm)]],AF82)^4/(12*MAX(Table112345[[#This Row],[b (mm)]],AF82)^4)))*MAX(Table112345[[#This Row],[b (mm)]],AF82)*MIN(Table112345[[#This Row],[b (mm)]],AF82)^3</f>
        <v>69678906877.611313</v>
      </c>
      <c r="AM82" s="111">
        <f>Table112345[[#This Row],[b (mm)]]*AF82^3/12</f>
        <v>39004778472.666664</v>
      </c>
      <c r="AN82" s="160">
        <v>4928</v>
      </c>
      <c r="AP82" s="126"/>
    </row>
    <row r="83" spans="1:42" x14ac:dyDescent="0.3">
      <c r="A83" s="159" t="s">
        <v>102</v>
      </c>
      <c r="B83" s="150">
        <v>6</v>
      </c>
      <c r="C83" s="111">
        <v>82</v>
      </c>
      <c r="D83" s="111">
        <f>Table112345[[#This Row],[a (mm)]]/Table112345[[#This Row],[d (mm)]]</f>
        <v>3</v>
      </c>
      <c r="E83" s="111">
        <v>233.52</v>
      </c>
      <c r="F83" s="137">
        <f>Table112345[[#This Row],[d (mm)]]</f>
        <v>822</v>
      </c>
      <c r="G83" s="135">
        <f t="shared" si="24"/>
        <v>575860.32000000007</v>
      </c>
      <c r="H83" s="135">
        <f t="shared" si="25"/>
        <v>5.6057878326235383E-7</v>
      </c>
      <c r="I83" s="111">
        <f>G83/(Table112345[[#This Row],[b (mm)]]*Table112345[[#This Row],[h]]^2)</f>
        <v>1.1245125022498635E-3</v>
      </c>
      <c r="J83" s="135">
        <f t="shared" si="26"/>
        <v>0.20356979405034328</v>
      </c>
      <c r="K83" s="135">
        <f t="shared" si="27"/>
        <v>1.0673162092255523E-7</v>
      </c>
      <c r="L83" s="135">
        <f>E83/(Table112345[[#This Row],[b (mm)]]*AE83)</f>
        <v>4.6343815863111897E-4</v>
      </c>
      <c r="M83" s="135">
        <f>Table112345[[#This Row],[M (KN.mm)]]/(Table112345[[#This Row],[b (mm)]]*Table112345[[#This Row],[d (mm)]])</f>
        <v>1.1428384991843394</v>
      </c>
      <c r="N83" s="135">
        <f>Table112345[[#This Row],[M (KN.mm)]]/(Table112345[[#This Row],[b (mm)]]*Table112345[[#This Row],[h (mm)]])</f>
        <v>1.0278044270563753</v>
      </c>
      <c r="O83" s="145">
        <f>Table112345[[#This Row],[M (KN.mm)]]/(Table112345[[#This Row],[b (mm)]]*Table112345[[#This Row],[h (mm)]]*Table112345[[#This Row],[L(mm)]])</f>
        <v>2.0856421003579044E-4</v>
      </c>
      <c r="P83" s="145">
        <f>Table112345[[#This Row],[M (KN.mm)]]/(Table112345[[#This Row],[b (mm)]]*Table112345[[#This Row],[d (mm)]]*Table112345[[#This Row],[L(mm)]])</f>
        <v>2.3190716298383511E-4</v>
      </c>
      <c r="Q83" s="145">
        <f>Table112345[[#This Row],[M (KN.mm)]]/(Table112345[[#This Row],[b (mm)]]*Table112345[[#This Row],[h (mm)]]*Table112345[[#This Row],[L(mm)]]*Table112345[[#This Row],[fc (Mpa)]])</f>
        <v>2.8609631006281264E-6</v>
      </c>
      <c r="R83" s="145">
        <f>Table112345[[#This Row],[M (KN.mm)]]/(Table112345[[#This Row],[b (mm)]]*Table112345[[#This Row],[h (mm)]]*Table112345[[#This Row],[L(mm)]]/2)</f>
        <v>4.1712842007158088E-4</v>
      </c>
      <c r="S83" s="145">
        <f>Table112345[[#This Row],[M (KN.mm)]]/(Table112345[[#This Row],[a (mm)]]*Table112345[[#This Row],[b (mm)]]*Table112345[[#This Row],[h (mm)]]*Table112345[[#This Row],[L(mm)]]/2)</f>
        <v>1.6915183295684545E-7</v>
      </c>
      <c r="T83" s="145">
        <f>Table112345[[#This Row],[M (KN.mm)]]/(Table112345[[#This Row],[a (mm)]]^2*Table112345[[#This Row],[b (mm)]]*Table112345[[#This Row],[h (mm)]])</f>
        <v>1.690146457443906E-7</v>
      </c>
      <c r="U83" s="145">
        <f>Table112345[[#This Row],[M (KN.mm)]]/(Table112345[[#This Row],[b (mm)]]*Table112345[[#This Row],[d (mm)]]*Table112345[[#This Row],[pho (%)]])</f>
        <v>0.87910653783410719</v>
      </c>
      <c r="V83" s="111">
        <f>E83*224.8/(2*SQRT(Table112345[[#This Row],[fc (Mpa)]]*145.037)*Table112345[[#This Row],[b (mm)]]*Table112345[[#This Row],[d (mm)]]*(1/25.4)^2)</f>
        <v>0.32683034034688552</v>
      </c>
      <c r="W83" s="111">
        <f>Table112345[[#This Row],[M (KN.mm)]]/$G$88</f>
        <v>0.70743643814904711</v>
      </c>
      <c r="X83" s="111">
        <f>Table112345[[#This Row],[V/(2*sqrt(fc) bd)]]</f>
        <v>0.32683034034688552</v>
      </c>
      <c r="Y83" s="110">
        <f>Table112345[[#This Row],[a (mm)]]</f>
        <v>2466</v>
      </c>
      <c r="Z83" s="110">
        <f>Table112345[[#This Row],[width]]*Table112345[[#This Row],[h]]^2</f>
        <v>512097748</v>
      </c>
      <c r="AA83" s="110">
        <f>Table112345[[#This Row],[b (mm)]]</f>
        <v>613</v>
      </c>
      <c r="AB83" s="110">
        <f>Table112345[[#This Row],[a]]/Table112345[[#This Row],[h (mm)]]</f>
        <v>2.6980306345733043</v>
      </c>
      <c r="AC83" s="110">
        <f>Table112345[[#This Row],[h (mm)]]</f>
        <v>914</v>
      </c>
      <c r="AD83" s="111">
        <f>3*Table112345[[#This Row],[d (mm)]]</f>
        <v>2466</v>
      </c>
      <c r="AE83" s="160">
        <v>822</v>
      </c>
      <c r="AF83" s="160">
        <v>914</v>
      </c>
      <c r="AG83" s="160">
        <v>613</v>
      </c>
      <c r="AH83" s="160">
        <v>72.900000000000006</v>
      </c>
      <c r="AI83" s="160">
        <v>6555</v>
      </c>
      <c r="AJ83" s="160">
        <v>1.3</v>
      </c>
      <c r="AK83" s="160">
        <v>525</v>
      </c>
      <c r="AL83" s="111">
        <f>(1/3-0.21*(MIN(Table112345[[#This Row],[b (mm)]],AF83)/MAX(Table112345[[#This Row],[b (mm)]],AF83))*(MIN(Table112345[[#This Row],[b (mm)]],AF83)^4/(12*MAX(Table112345[[#This Row],[b (mm)]],AF83)^4)))*MAX(Table112345[[#This Row],[b (mm)]],AF83)*MIN(Table112345[[#This Row],[b (mm)]],AF83)^3</f>
        <v>69678906877.611313</v>
      </c>
      <c r="AM83" s="111">
        <f>Table112345[[#This Row],[b (mm)]]*AF83^3/12</f>
        <v>39004778472.666664</v>
      </c>
      <c r="AN83" s="160">
        <v>4928</v>
      </c>
      <c r="AP83" s="126"/>
    </row>
    <row r="84" spans="1:42" x14ac:dyDescent="0.3">
      <c r="A84" s="159" t="s">
        <v>102</v>
      </c>
      <c r="B84" s="150">
        <v>7</v>
      </c>
      <c r="C84" s="111">
        <v>83</v>
      </c>
      <c r="D84" s="111">
        <f>Table112345[[#This Row],[a (mm)]]/Table112345[[#This Row],[d (mm)]]</f>
        <v>3</v>
      </c>
      <c r="E84" s="111">
        <v>244.64000000000001</v>
      </c>
      <c r="F84" s="137">
        <f>Table112345[[#This Row],[d (mm)]]</f>
        <v>822</v>
      </c>
      <c r="G84" s="135">
        <f t="shared" si="24"/>
        <v>603282.24</v>
      </c>
      <c r="H84" s="135">
        <f t="shared" si="25"/>
        <v>5.872730110367515E-7</v>
      </c>
      <c r="I84" s="111">
        <f>G84/(Table112345[[#This Row],[b (mm)]]*Table112345[[#This Row],[h]]^2)</f>
        <v>1.178060716642714E-3</v>
      </c>
      <c r="J84" s="135">
        <f t="shared" si="26"/>
        <v>0.21326359376702625</v>
      </c>
      <c r="K84" s="135">
        <f t="shared" si="27"/>
        <v>1.1181407906172453E-7</v>
      </c>
      <c r="L84" s="135">
        <f>E84/(Table112345[[#This Row],[b (mm)]]*AE84)</f>
        <v>4.8550664237545797E-4</v>
      </c>
      <c r="M84" s="135">
        <f>Table112345[[#This Row],[M (KN.mm)]]/(Table112345[[#This Row],[b (mm)]]*Table112345[[#This Row],[d (mm)]])</f>
        <v>1.1972593800978792</v>
      </c>
      <c r="N84" s="135">
        <f>Table112345[[#This Row],[M (KN.mm)]]/(Table112345[[#This Row],[b (mm)]]*Table112345[[#This Row],[h (mm)]])</f>
        <v>1.0767474950114406</v>
      </c>
      <c r="O84" s="145">
        <f>Table112345[[#This Row],[M (KN.mm)]]/(Table112345[[#This Row],[b (mm)]]*Table112345[[#This Row],[h (mm)]]*Table112345[[#This Row],[L(mm)]])</f>
        <v>2.1849583908511376E-4</v>
      </c>
      <c r="P84" s="145">
        <f>Table112345[[#This Row],[M (KN.mm)]]/(Table112345[[#This Row],[b (mm)]]*Table112345[[#This Row],[d (mm)]]*Table112345[[#This Row],[L(mm)]])</f>
        <v>2.4295036122116056E-4</v>
      </c>
      <c r="Q84" s="145">
        <f>Table112345[[#This Row],[M (KN.mm)]]/(Table112345[[#This Row],[b (mm)]]*Table112345[[#This Row],[h (mm)]]*Table112345[[#This Row],[L(mm)]]*Table112345[[#This Row],[fc (Mpa)]])</f>
        <v>2.997199438753275E-6</v>
      </c>
      <c r="R84" s="145">
        <f>Table112345[[#This Row],[M (KN.mm)]]/(Table112345[[#This Row],[b (mm)]]*Table112345[[#This Row],[h (mm)]]*Table112345[[#This Row],[L(mm)]]/2)</f>
        <v>4.3699167817022751E-4</v>
      </c>
      <c r="S84" s="145">
        <f>Table112345[[#This Row],[M (KN.mm)]]/(Table112345[[#This Row],[a (mm)]]*Table112345[[#This Row],[b (mm)]]*Table112345[[#This Row],[h (mm)]]*Table112345[[#This Row],[L(mm)]]/2)</f>
        <v>1.7720668214526664E-7</v>
      </c>
      <c r="T84" s="145">
        <f>Table112345[[#This Row],[M (KN.mm)]]/(Table112345[[#This Row],[a (mm)]]^2*Table112345[[#This Row],[b (mm)]]*Table112345[[#This Row],[h (mm)]])</f>
        <v>1.7706296220840917E-7</v>
      </c>
      <c r="U84" s="145">
        <f>Table112345[[#This Row],[M (KN.mm)]]/(Table112345[[#This Row],[b (mm)]]*Table112345[[#This Row],[d (mm)]]*Table112345[[#This Row],[pho (%)]])</f>
        <v>0.9209687539214455</v>
      </c>
      <c r="V84" s="111">
        <f>E84*224.8/(2*SQRT(Table112345[[#This Row],[fc (Mpa)]]*145.037)*Table112345[[#This Row],[b (mm)]]*Table112345[[#This Row],[d (mm)]]*(1/25.4)^2)</f>
        <v>0.34239368988721341</v>
      </c>
      <c r="W84" s="111">
        <f>Table112345[[#This Row],[M (KN.mm)]]/$G$88</f>
        <v>0.74112388758471592</v>
      </c>
      <c r="X84" s="111">
        <f>Table112345[[#This Row],[V/(2*sqrt(fc) bd)]]</f>
        <v>0.34239368988721341</v>
      </c>
      <c r="Y84" s="110">
        <f>Table112345[[#This Row],[a (mm)]]</f>
        <v>2466</v>
      </c>
      <c r="Z84" s="110">
        <f>Table112345[[#This Row],[width]]*Table112345[[#This Row],[h]]^2</f>
        <v>512097748</v>
      </c>
      <c r="AA84" s="110">
        <f>Table112345[[#This Row],[b (mm)]]</f>
        <v>613</v>
      </c>
      <c r="AB84" s="110">
        <f>Table112345[[#This Row],[a]]/Table112345[[#This Row],[h (mm)]]</f>
        <v>2.6980306345733043</v>
      </c>
      <c r="AC84" s="110">
        <f>Table112345[[#This Row],[h (mm)]]</f>
        <v>914</v>
      </c>
      <c r="AD84" s="111">
        <f>3*Table112345[[#This Row],[d (mm)]]</f>
        <v>2466</v>
      </c>
      <c r="AE84" s="160">
        <v>822</v>
      </c>
      <c r="AF84" s="160">
        <v>914</v>
      </c>
      <c r="AG84" s="160">
        <v>613</v>
      </c>
      <c r="AH84" s="160">
        <v>72.900000000000006</v>
      </c>
      <c r="AI84" s="160">
        <v>6555</v>
      </c>
      <c r="AJ84" s="160">
        <v>1.3</v>
      </c>
      <c r="AK84" s="160">
        <v>525</v>
      </c>
      <c r="AL84" s="111">
        <f>(1/3-0.21*(MIN(Table112345[[#This Row],[b (mm)]],AF84)/MAX(Table112345[[#This Row],[b (mm)]],AF84))*(MIN(Table112345[[#This Row],[b (mm)]],AF84)^4/(12*MAX(Table112345[[#This Row],[b (mm)]],AF84)^4)))*MAX(Table112345[[#This Row],[b (mm)]],AF84)*MIN(Table112345[[#This Row],[b (mm)]],AF84)^3</f>
        <v>69678906877.611313</v>
      </c>
      <c r="AM84" s="111">
        <f>Table112345[[#This Row],[b (mm)]]*AF84^3/12</f>
        <v>39004778472.666664</v>
      </c>
      <c r="AN84" s="160">
        <v>4928</v>
      </c>
      <c r="AP84" s="126"/>
    </row>
    <row r="85" spans="1:42" x14ac:dyDescent="0.3">
      <c r="A85" s="159" t="s">
        <v>102</v>
      </c>
      <c r="B85" s="150">
        <v>8</v>
      </c>
      <c r="C85" s="111">
        <v>84</v>
      </c>
      <c r="D85" s="111">
        <f>Table112345[[#This Row],[a (mm)]]/Table112345[[#This Row],[d (mm)]]</f>
        <v>3</v>
      </c>
      <c r="E85" s="111">
        <v>255.76000000000002</v>
      </c>
      <c r="F85" s="137">
        <f>Table112345[[#This Row],[d (mm)]]</f>
        <v>822</v>
      </c>
      <c r="G85" s="135">
        <f t="shared" si="24"/>
        <v>630704.16</v>
      </c>
      <c r="H85" s="135">
        <f t="shared" si="25"/>
        <v>6.1396723881114937E-7</v>
      </c>
      <c r="I85" s="111">
        <f>G85/(Table112345[[#This Row],[b (mm)]]*Table112345[[#This Row],[h]]^2)</f>
        <v>1.2316089310355648E-3</v>
      </c>
      <c r="J85" s="135">
        <f t="shared" si="26"/>
        <v>0.2229573934837093</v>
      </c>
      <c r="K85" s="135">
        <f t="shared" si="27"/>
        <v>1.1689653720089383E-7</v>
      </c>
      <c r="L85" s="135">
        <f>E85/(Table112345[[#This Row],[b (mm)]]*AE85)</f>
        <v>5.0757512611979702E-4</v>
      </c>
      <c r="M85" s="135">
        <f>Table112345[[#This Row],[M (KN.mm)]]/(Table112345[[#This Row],[b (mm)]]*Table112345[[#This Row],[d (mm)]])</f>
        <v>1.2516802610114193</v>
      </c>
      <c r="N85" s="135">
        <f>Table112345[[#This Row],[M (KN.mm)]]/(Table112345[[#This Row],[b (mm)]]*Table112345[[#This Row],[h (mm)]])</f>
        <v>1.1256905629665062</v>
      </c>
      <c r="O85" s="145">
        <f>Table112345[[#This Row],[M (KN.mm)]]/(Table112345[[#This Row],[b (mm)]]*Table112345[[#This Row],[h (mm)]]*Table112345[[#This Row],[L(mm)]])</f>
        <v>2.2842746813443713E-4</v>
      </c>
      <c r="P85" s="145">
        <f>Table112345[[#This Row],[M (KN.mm)]]/(Table112345[[#This Row],[b (mm)]]*Table112345[[#This Row],[d (mm)]]*Table112345[[#This Row],[L(mm)]])</f>
        <v>2.5399355945848604E-4</v>
      </c>
      <c r="Q85" s="145">
        <f>Table112345[[#This Row],[M (KN.mm)]]/(Table112345[[#This Row],[b (mm)]]*Table112345[[#This Row],[h (mm)]]*Table112345[[#This Row],[L(mm)]]*Table112345[[#This Row],[fc (Mpa)]])</f>
        <v>3.1334357768784241E-6</v>
      </c>
      <c r="R85" s="145">
        <f>Table112345[[#This Row],[M (KN.mm)]]/(Table112345[[#This Row],[b (mm)]]*Table112345[[#This Row],[h (mm)]]*Table112345[[#This Row],[L(mm)]]/2)</f>
        <v>4.5685493626887425E-4</v>
      </c>
      <c r="S85" s="145">
        <f>Table112345[[#This Row],[M (KN.mm)]]/(Table112345[[#This Row],[a (mm)]]*Table112345[[#This Row],[b (mm)]]*Table112345[[#This Row],[h (mm)]]*Table112345[[#This Row],[L(mm)]]/2)</f>
        <v>1.8526153133368786E-7</v>
      </c>
      <c r="T85" s="145">
        <f>Table112345[[#This Row],[M (KN.mm)]]/(Table112345[[#This Row],[a (mm)]]^2*Table112345[[#This Row],[b (mm)]]*Table112345[[#This Row],[h (mm)]])</f>
        <v>1.8511127867242777E-7</v>
      </c>
      <c r="U85" s="145">
        <f>Table112345[[#This Row],[M (KN.mm)]]/(Table112345[[#This Row],[b (mm)]]*Table112345[[#This Row],[d (mm)]]*Table112345[[#This Row],[pho (%)]])</f>
        <v>0.96283097000878404</v>
      </c>
      <c r="V85" s="111">
        <f>E85*224.8/(2*SQRT(Table112345[[#This Row],[fc (Mpa)]]*145.037)*Table112345[[#This Row],[b (mm)]]*Table112345[[#This Row],[d (mm)]]*(1/25.4)^2)</f>
        <v>0.35795703942754131</v>
      </c>
      <c r="W85" s="111">
        <f>Table112345[[#This Row],[M (KN.mm)]]/$G$88</f>
        <v>0.77481133702038485</v>
      </c>
      <c r="X85" s="111">
        <f>Table112345[[#This Row],[V/(2*sqrt(fc) bd)]]</f>
        <v>0.35795703942754131</v>
      </c>
      <c r="Y85" s="110">
        <f>Table112345[[#This Row],[a (mm)]]</f>
        <v>2466</v>
      </c>
      <c r="Z85" s="110">
        <f>Table112345[[#This Row],[width]]*Table112345[[#This Row],[h]]^2</f>
        <v>512097748</v>
      </c>
      <c r="AA85" s="110">
        <f>Table112345[[#This Row],[b (mm)]]</f>
        <v>613</v>
      </c>
      <c r="AB85" s="110">
        <f>Table112345[[#This Row],[a]]/Table112345[[#This Row],[h (mm)]]</f>
        <v>2.6980306345733043</v>
      </c>
      <c r="AC85" s="110">
        <f>Table112345[[#This Row],[h (mm)]]</f>
        <v>914</v>
      </c>
      <c r="AD85" s="111">
        <f>3*Table112345[[#This Row],[d (mm)]]</f>
        <v>2466</v>
      </c>
      <c r="AE85" s="160">
        <v>822</v>
      </c>
      <c r="AF85" s="160">
        <v>914</v>
      </c>
      <c r="AG85" s="160">
        <v>613</v>
      </c>
      <c r="AH85" s="160">
        <v>72.900000000000006</v>
      </c>
      <c r="AI85" s="160">
        <v>6555</v>
      </c>
      <c r="AJ85" s="160">
        <v>1.3</v>
      </c>
      <c r="AK85" s="160">
        <v>525</v>
      </c>
      <c r="AL85" s="111">
        <f>(1/3-0.21*(MIN(Table112345[[#This Row],[b (mm)]],AF85)/MAX(Table112345[[#This Row],[b (mm)]],AF85))*(MIN(Table112345[[#This Row],[b (mm)]],AF85)^4/(12*MAX(Table112345[[#This Row],[b (mm)]],AF85)^4)))*MAX(Table112345[[#This Row],[b (mm)]],AF85)*MIN(Table112345[[#This Row],[b (mm)]],AF85)^3</f>
        <v>69678906877.611313</v>
      </c>
      <c r="AM85" s="111">
        <f>Table112345[[#This Row],[b (mm)]]*AF85^3/12</f>
        <v>39004778472.666664</v>
      </c>
      <c r="AN85" s="160">
        <v>4928</v>
      </c>
      <c r="AP85" s="126"/>
    </row>
    <row r="86" spans="1:42" x14ac:dyDescent="0.3">
      <c r="A86" s="159" t="s">
        <v>102</v>
      </c>
      <c r="B86" s="150">
        <v>9</v>
      </c>
      <c r="C86" s="111">
        <v>85</v>
      </c>
      <c r="D86" s="111">
        <f>Table112345[[#This Row],[a (mm)]]/Table112345[[#This Row],[d (mm)]]</f>
        <v>3</v>
      </c>
      <c r="E86" s="111">
        <v>266.88</v>
      </c>
      <c r="F86" s="137">
        <f>Table112345[[#This Row],[d (mm)]]</f>
        <v>822</v>
      </c>
      <c r="G86" s="135">
        <f t="shared" si="24"/>
        <v>658126.07999999996</v>
      </c>
      <c r="H86" s="135">
        <f t="shared" si="25"/>
        <v>6.4066146658554704E-7</v>
      </c>
      <c r="I86" s="111">
        <f>G86/(Table112345[[#This Row],[b (mm)]]*Table112345[[#This Row],[h]]^2)</f>
        <v>1.2851571454284153E-3</v>
      </c>
      <c r="J86" s="135">
        <f t="shared" si="26"/>
        <v>0.23265119320039226</v>
      </c>
      <c r="K86" s="135">
        <f t="shared" si="27"/>
        <v>1.219789953400631E-7</v>
      </c>
      <c r="L86" s="135">
        <f>E86/(Table112345[[#This Row],[b (mm)]]*AE86)</f>
        <v>5.2964360986413597E-4</v>
      </c>
      <c r="M86" s="135">
        <f>Table112345[[#This Row],[M (KN.mm)]]/(Table112345[[#This Row],[b (mm)]]*Table112345[[#This Row],[d (mm)]])</f>
        <v>1.3061011419249591</v>
      </c>
      <c r="N86" s="135">
        <f>Table112345[[#This Row],[M (KN.mm)]]/(Table112345[[#This Row],[b (mm)]]*Table112345[[#This Row],[h (mm)]])</f>
        <v>1.1746336309215715</v>
      </c>
      <c r="O86" s="145">
        <f>Table112345[[#This Row],[M (KN.mm)]]/(Table112345[[#This Row],[b (mm)]]*Table112345[[#This Row],[h (mm)]]*Table112345[[#This Row],[L(mm)]])</f>
        <v>2.3835909718376047E-4</v>
      </c>
      <c r="P86" s="145">
        <f>Table112345[[#This Row],[M (KN.mm)]]/(Table112345[[#This Row],[b (mm)]]*Table112345[[#This Row],[d (mm)]]*Table112345[[#This Row],[L(mm)]])</f>
        <v>2.6503675769581149E-4</v>
      </c>
      <c r="Q86" s="145">
        <f>Table112345[[#This Row],[M (KN.mm)]]/(Table112345[[#This Row],[b (mm)]]*Table112345[[#This Row],[h (mm)]]*Table112345[[#This Row],[L(mm)]]*Table112345[[#This Row],[fc (Mpa)]])</f>
        <v>3.2696721150035723E-6</v>
      </c>
      <c r="R86" s="145">
        <f>Table112345[[#This Row],[M (KN.mm)]]/(Table112345[[#This Row],[b (mm)]]*Table112345[[#This Row],[h (mm)]]*Table112345[[#This Row],[L(mm)]]/2)</f>
        <v>4.7671819436752094E-4</v>
      </c>
      <c r="S86" s="145">
        <f>Table112345[[#This Row],[M (KN.mm)]]/(Table112345[[#This Row],[a (mm)]]*Table112345[[#This Row],[b (mm)]]*Table112345[[#This Row],[h (mm)]]*Table112345[[#This Row],[L(mm)]]/2)</f>
        <v>1.9331638052210905E-7</v>
      </c>
      <c r="T86" s="145">
        <f>Table112345[[#This Row],[M (KN.mm)]]/(Table112345[[#This Row],[a (mm)]]^2*Table112345[[#This Row],[b (mm)]]*Table112345[[#This Row],[h (mm)]])</f>
        <v>1.9315959513644634E-7</v>
      </c>
      <c r="U86" s="145">
        <f>Table112345[[#This Row],[M (KN.mm)]]/(Table112345[[#This Row],[b (mm)]]*Table112345[[#This Row],[d (mm)]]*Table112345[[#This Row],[pho (%)]])</f>
        <v>1.0046931860961223</v>
      </c>
      <c r="V86" s="111">
        <f>E86*224.8/(2*SQRT(Table112345[[#This Row],[fc (Mpa)]]*145.037)*Table112345[[#This Row],[b (mm)]]*Table112345[[#This Row],[d (mm)]]*(1/25.4)^2)</f>
        <v>0.37352038896786915</v>
      </c>
      <c r="W86" s="111">
        <f>Table112345[[#This Row],[M (KN.mm)]]/$G$88</f>
        <v>0.80849878645605366</v>
      </c>
      <c r="X86" s="111">
        <f>Table112345[[#This Row],[V/(2*sqrt(fc) bd)]]</f>
        <v>0.37352038896786915</v>
      </c>
      <c r="Y86" s="110">
        <f>Table112345[[#This Row],[a (mm)]]</f>
        <v>2466</v>
      </c>
      <c r="Z86" s="110">
        <f>Table112345[[#This Row],[width]]*Table112345[[#This Row],[h]]^2</f>
        <v>512097748</v>
      </c>
      <c r="AA86" s="110">
        <f>Table112345[[#This Row],[b (mm)]]</f>
        <v>613</v>
      </c>
      <c r="AB86" s="110">
        <f>Table112345[[#This Row],[a]]/Table112345[[#This Row],[h (mm)]]</f>
        <v>2.6980306345733043</v>
      </c>
      <c r="AC86" s="110">
        <f>Table112345[[#This Row],[h (mm)]]</f>
        <v>914</v>
      </c>
      <c r="AD86" s="111">
        <f>3*Table112345[[#This Row],[d (mm)]]</f>
        <v>2466</v>
      </c>
      <c r="AE86" s="160">
        <v>822</v>
      </c>
      <c r="AF86" s="160">
        <v>914</v>
      </c>
      <c r="AG86" s="160">
        <v>613</v>
      </c>
      <c r="AH86" s="160">
        <v>72.900000000000006</v>
      </c>
      <c r="AI86" s="160">
        <v>6555</v>
      </c>
      <c r="AJ86" s="160">
        <v>1.3</v>
      </c>
      <c r="AK86" s="160">
        <v>525</v>
      </c>
      <c r="AL86" s="111">
        <f>(1/3-0.21*(MIN(Table112345[[#This Row],[b (mm)]],AF86)/MAX(Table112345[[#This Row],[b (mm)]],AF86))*(MIN(Table112345[[#This Row],[b (mm)]],AF86)^4/(12*MAX(Table112345[[#This Row],[b (mm)]],AF86)^4)))*MAX(Table112345[[#This Row],[b (mm)]],AF86)*MIN(Table112345[[#This Row],[b (mm)]],AF86)^3</f>
        <v>69678906877.611313</v>
      </c>
      <c r="AM86" s="111">
        <f>Table112345[[#This Row],[b (mm)]]*AF86^3/12</f>
        <v>39004778472.666664</v>
      </c>
      <c r="AN86" s="160">
        <v>4928</v>
      </c>
      <c r="AP86" s="126"/>
    </row>
    <row r="87" spans="1:42" x14ac:dyDescent="0.3">
      <c r="A87" s="159" t="s">
        <v>102</v>
      </c>
      <c r="B87" s="150">
        <v>10</v>
      </c>
      <c r="C87" s="111">
        <v>86</v>
      </c>
      <c r="D87" s="111">
        <f>Table112345[[#This Row],[a (mm)]]/Table112345[[#This Row],[d (mm)]]</f>
        <v>3</v>
      </c>
      <c r="E87" s="111">
        <v>278</v>
      </c>
      <c r="F87" s="137">
        <f>Table112345[[#This Row],[d (mm)]]</f>
        <v>822</v>
      </c>
      <c r="G87" s="135">
        <f t="shared" si="24"/>
        <v>685548</v>
      </c>
      <c r="H87" s="135">
        <f t="shared" si="25"/>
        <v>6.6735569435994492E-7</v>
      </c>
      <c r="I87" s="111">
        <f>G87/(Table112345[[#This Row],[b (mm)]]*Table112345[[#This Row],[h]]^2)</f>
        <v>1.338705359821266E-3</v>
      </c>
      <c r="J87" s="135">
        <f t="shared" si="26"/>
        <v>0.24234499291707529</v>
      </c>
      <c r="K87" s="135">
        <f t="shared" si="27"/>
        <v>1.270614534792324E-7</v>
      </c>
      <c r="L87" s="135">
        <f>E87/(Table112345[[#This Row],[b (mm)]]*AE87)</f>
        <v>5.5171209360847491E-4</v>
      </c>
      <c r="M87" s="135">
        <f>Table112345[[#This Row],[M (KN.mm)]]/(Table112345[[#This Row],[b (mm)]]*Table112345[[#This Row],[d (mm)]])</f>
        <v>1.3605220228384991</v>
      </c>
      <c r="N87" s="135">
        <f>Table112345[[#This Row],[M (KN.mm)]]/(Table112345[[#This Row],[b (mm)]]*Table112345[[#This Row],[h (mm)]])</f>
        <v>1.2235766988766372</v>
      </c>
      <c r="O87" s="145">
        <f>Table112345[[#This Row],[M (KN.mm)]]/(Table112345[[#This Row],[b (mm)]]*Table112345[[#This Row],[h (mm)]]*Table112345[[#This Row],[L(mm)]])</f>
        <v>2.4829072623308384E-4</v>
      </c>
      <c r="P87" s="145">
        <f>Table112345[[#This Row],[M (KN.mm)]]/(Table112345[[#This Row],[b (mm)]]*Table112345[[#This Row],[d (mm)]]*Table112345[[#This Row],[L(mm)]])</f>
        <v>2.7607995593313699E-4</v>
      </c>
      <c r="Q87" s="145">
        <f>Table112345[[#This Row],[M (KN.mm)]]/(Table112345[[#This Row],[b (mm)]]*Table112345[[#This Row],[h (mm)]]*Table112345[[#This Row],[L(mm)]]*Table112345[[#This Row],[fc (Mpa)]])</f>
        <v>3.4059084531287214E-6</v>
      </c>
      <c r="R87" s="145">
        <f>Table112345[[#This Row],[M (KN.mm)]]/(Table112345[[#This Row],[b (mm)]]*Table112345[[#This Row],[h (mm)]]*Table112345[[#This Row],[L(mm)]]/2)</f>
        <v>4.9658145246616768E-4</v>
      </c>
      <c r="S87" s="145">
        <f>Table112345[[#This Row],[M (KN.mm)]]/(Table112345[[#This Row],[a (mm)]]*Table112345[[#This Row],[b (mm)]]*Table112345[[#This Row],[h (mm)]]*Table112345[[#This Row],[L(mm)]]/2)</f>
        <v>2.0137122971053027E-7</v>
      </c>
      <c r="T87" s="145">
        <f>Table112345[[#This Row],[M (KN.mm)]]/(Table112345[[#This Row],[a (mm)]]^2*Table112345[[#This Row],[b (mm)]]*Table112345[[#This Row],[h (mm)]])</f>
        <v>2.0120791160046497E-7</v>
      </c>
      <c r="U87" s="145">
        <f>Table112345[[#This Row],[M (KN.mm)]]/(Table112345[[#This Row],[b (mm)]]*Table112345[[#This Row],[d (mm)]]*Table112345[[#This Row],[pho (%)]])</f>
        <v>1.0465554021834609</v>
      </c>
      <c r="V87" s="111">
        <f>E87*224.8/(2*SQRT(Table112345[[#This Row],[fc (Mpa)]]*145.037)*Table112345[[#This Row],[b (mm)]]*Table112345[[#This Row],[d (mm)]]*(1/25.4)^2)</f>
        <v>0.38908373850819705</v>
      </c>
      <c r="W87" s="111">
        <f>Table112345[[#This Row],[M (KN.mm)]]/$G$88</f>
        <v>0.84218623589172259</v>
      </c>
      <c r="X87" s="111">
        <f>Table112345[[#This Row],[V/(2*sqrt(fc) bd)]]</f>
        <v>0.38908373850819705</v>
      </c>
      <c r="Y87" s="110">
        <f>Table112345[[#This Row],[a (mm)]]</f>
        <v>2466</v>
      </c>
      <c r="Z87" s="110">
        <f>Table112345[[#This Row],[width]]*Table112345[[#This Row],[h]]^2</f>
        <v>512097748</v>
      </c>
      <c r="AA87" s="110">
        <f>Table112345[[#This Row],[b (mm)]]</f>
        <v>613</v>
      </c>
      <c r="AB87" s="110">
        <f>Table112345[[#This Row],[a]]/Table112345[[#This Row],[h (mm)]]</f>
        <v>2.6980306345733043</v>
      </c>
      <c r="AC87" s="110">
        <f>Table112345[[#This Row],[h (mm)]]</f>
        <v>914</v>
      </c>
      <c r="AD87" s="111">
        <f>3*Table112345[[#This Row],[d (mm)]]</f>
        <v>2466</v>
      </c>
      <c r="AE87" s="160">
        <v>822</v>
      </c>
      <c r="AF87" s="160">
        <v>914</v>
      </c>
      <c r="AG87" s="160">
        <v>613</v>
      </c>
      <c r="AH87" s="160">
        <v>72.900000000000006</v>
      </c>
      <c r="AI87" s="160">
        <v>6555</v>
      </c>
      <c r="AJ87" s="160">
        <v>1.3</v>
      </c>
      <c r="AK87" s="160">
        <v>525</v>
      </c>
      <c r="AL87" s="111">
        <f>(1/3-0.21*(MIN(Table112345[[#This Row],[b (mm)]],AF87)/MAX(Table112345[[#This Row],[b (mm)]],AF87))*(MIN(Table112345[[#This Row],[b (mm)]],AF87)^4/(12*MAX(Table112345[[#This Row],[b (mm)]],AF87)^4)))*MAX(Table112345[[#This Row],[b (mm)]],AF87)*MIN(Table112345[[#This Row],[b (mm)]],AF87)^3</f>
        <v>69678906877.611313</v>
      </c>
      <c r="AM87" s="111">
        <f>Table112345[[#This Row],[b (mm)]]*AF87^3/12</f>
        <v>39004778472.666664</v>
      </c>
      <c r="AN87" s="160">
        <v>4928</v>
      </c>
      <c r="AP87" s="126"/>
    </row>
    <row r="88" spans="1:42" x14ac:dyDescent="0.3">
      <c r="A88" s="159" t="s">
        <v>102</v>
      </c>
      <c r="B88" s="150" t="s">
        <v>93</v>
      </c>
      <c r="C88" s="111">
        <v>87</v>
      </c>
      <c r="D88" s="111">
        <f>Table112345[[#This Row],[a (mm)]]/Table112345[[#This Row],[d (mm)]]</f>
        <v>3</v>
      </c>
      <c r="E88" s="166">
        <v>330.09325984251973</v>
      </c>
      <c r="F88" s="137">
        <f>Table112345[[#This Row],[d (mm)]]</f>
        <v>822</v>
      </c>
      <c r="G88" s="135">
        <f t="shared" si="24"/>
        <v>814009.97877165361</v>
      </c>
      <c r="H88" s="135">
        <f t="shared" si="25"/>
        <v>7.9240869289835415E-7</v>
      </c>
      <c r="I88" s="111">
        <f>G88/(Table112345[[#This Row],[b (mm)]]*Table112345[[#This Row],[h]]^2)</f>
        <v>1.5895597704750179E-3</v>
      </c>
      <c r="J88" s="135">
        <f t="shared" si="26"/>
        <v>0.28775700977881202</v>
      </c>
      <c r="K88" s="135">
        <f t="shared" si="27"/>
        <v>1.5087096899024638E-7</v>
      </c>
      <c r="L88" s="135">
        <f>E88/(Table112345[[#This Row],[b (mm)]]*AE88)</f>
        <v>6.5509512040921901E-4</v>
      </c>
      <c r="M88" s="135">
        <f>Table112345[[#This Row],[M (KN.mm)]]/(Table112345[[#This Row],[b (mm)]]*Table112345[[#This Row],[d (mm)]])</f>
        <v>1.6154645669291341</v>
      </c>
      <c r="N88" s="135">
        <f>Table112345[[#This Row],[M (KN.mm)]]/(Table112345[[#This Row],[b (mm)]]*Table112345[[#This Row],[h (mm)]])</f>
        <v>1.4528576302141665</v>
      </c>
      <c r="O88" s="145">
        <f>Table112345[[#This Row],[M (KN.mm)]]/(Table112345[[#This Row],[b (mm)]]*Table112345[[#This Row],[h (mm)]]*Table112345[[#This Row],[L(mm)]])</f>
        <v>2.9481688924800454E-4</v>
      </c>
      <c r="P88" s="145">
        <f>Table112345[[#This Row],[M (KN.mm)]]/(Table112345[[#This Row],[b (mm)]]*Table112345[[#This Row],[d (mm)]]*Table112345[[#This Row],[L(mm)]])</f>
        <v>3.2781342673074957E-4</v>
      </c>
      <c r="Q88" s="145">
        <f>Table112345[[#This Row],[M (KN.mm)]]/(Table112345[[#This Row],[b (mm)]]*Table112345[[#This Row],[h (mm)]]*Table112345[[#This Row],[L(mm)]]*Table112345[[#This Row],[fc (Mpa)]])</f>
        <v>4.0441274245268108E-6</v>
      </c>
      <c r="R88" s="145">
        <f>Table112345[[#This Row],[M (KN.mm)]]/(Table112345[[#This Row],[b (mm)]]*Table112345[[#This Row],[h (mm)]]*Table112345[[#This Row],[L(mm)]]/2)</f>
        <v>5.8963377849600908E-4</v>
      </c>
      <c r="S88" s="145">
        <f>Table112345[[#This Row],[M (KN.mm)]]/(Table112345[[#This Row],[a (mm)]]*Table112345[[#This Row],[b (mm)]]*Table112345[[#This Row],[h (mm)]]*Table112345[[#This Row],[L(mm)]]/2)</f>
        <v>2.3910534407786258E-7</v>
      </c>
      <c r="T88" s="145">
        <f>Table112345[[#This Row],[M (KN.mm)]]/(Table112345[[#This Row],[a (mm)]]^2*Table112345[[#This Row],[b (mm)]]*Table112345[[#This Row],[h (mm)]])</f>
        <v>2.3891142246871588E-7</v>
      </c>
      <c r="U88" s="145">
        <f>Table112345[[#This Row],[M (KN.mm)]]/(Table112345[[#This Row],[b (mm)]]*Table112345[[#This Row],[d (mm)]]*Table112345[[#This Row],[pho (%)]])</f>
        <v>1.2426650514839492</v>
      </c>
      <c r="V88" s="111">
        <f>E88*224.8/(2*SQRT(Table112345[[#This Row],[fc (Mpa)]]*145.037)*Table112345[[#This Row],[b (mm)]]*Table112345[[#This Row],[d (mm)]]*(1/25.4)^2)</f>
        <v>0.46199251653196149</v>
      </c>
      <c r="W88" s="111">
        <f>Table112345[[#This Row],[M (KN.mm)]]/$G$88</f>
        <v>1</v>
      </c>
      <c r="X88" s="111">
        <f>Table112345[[#This Row],[V/(2*sqrt(fc) bd)]]</f>
        <v>0.46199251653196149</v>
      </c>
      <c r="Y88" s="110">
        <f>Table112345[[#This Row],[a (mm)]]</f>
        <v>2466</v>
      </c>
      <c r="Z88" s="110">
        <f>Table112345[[#This Row],[width]]*Table112345[[#This Row],[h]]^2</f>
        <v>512097748</v>
      </c>
      <c r="AA88" s="110">
        <f>Table112345[[#This Row],[b (mm)]]</f>
        <v>613</v>
      </c>
      <c r="AB88" s="110">
        <f>Table112345[[#This Row],[a]]/Table112345[[#This Row],[h (mm)]]</f>
        <v>2.6980306345733043</v>
      </c>
      <c r="AC88" s="110">
        <f>Table112345[[#This Row],[h (mm)]]</f>
        <v>914</v>
      </c>
      <c r="AD88" s="111">
        <f>3*Table112345[[#This Row],[d (mm)]]</f>
        <v>2466</v>
      </c>
      <c r="AE88" s="160">
        <v>822</v>
      </c>
      <c r="AF88" s="160">
        <v>914</v>
      </c>
      <c r="AG88" s="160">
        <v>613</v>
      </c>
      <c r="AH88" s="160">
        <v>72.900000000000006</v>
      </c>
      <c r="AI88" s="160">
        <v>6555</v>
      </c>
      <c r="AJ88" s="160">
        <v>1.3</v>
      </c>
      <c r="AK88" s="160">
        <v>525</v>
      </c>
      <c r="AL88" s="111">
        <f>(1/3-0.21*(MIN(Table112345[[#This Row],[b (mm)]],AF88)/MAX(Table112345[[#This Row],[b (mm)]],AF88))*(MIN(Table112345[[#This Row],[b (mm)]],AF88)^4/(12*MAX(Table112345[[#This Row],[b (mm)]],AF88)^4)))*MAX(Table112345[[#This Row],[b (mm)]],AF88)*MIN(Table112345[[#This Row],[b (mm)]],AF88)^3</f>
        <v>69678906877.611313</v>
      </c>
      <c r="AM88" s="111">
        <f>Table112345[[#This Row],[b (mm)]]*AF88^3/12</f>
        <v>39004778472.666664</v>
      </c>
      <c r="AN88" s="160">
        <v>4928</v>
      </c>
      <c r="AP88" s="126"/>
    </row>
    <row r="89" spans="1:42" x14ac:dyDescent="0.3">
      <c r="A89" s="159" t="s">
        <v>102</v>
      </c>
      <c r="B89" s="150" t="s">
        <v>94</v>
      </c>
      <c r="C89" s="111">
        <v>88</v>
      </c>
      <c r="D89" s="111">
        <f>Table112345[[#This Row],[a (mm)]]/Table112345[[#This Row],[d (mm)]]</f>
        <v>3</v>
      </c>
      <c r="E89" s="166">
        <v>330.09325984251973</v>
      </c>
      <c r="F89" s="137">
        <f>Table112345[[#This Row],[d (mm)]]</f>
        <v>822</v>
      </c>
      <c r="G89" s="135">
        <f t="shared" si="24"/>
        <v>814009.97877165361</v>
      </c>
      <c r="H89" s="135">
        <f t="shared" si="25"/>
        <v>7.9240869289835415E-7</v>
      </c>
      <c r="I89" s="111">
        <f>G89/(Table112345[[#This Row],[b (mm)]]*Table112345[[#This Row],[h]]^2)</f>
        <v>1.5895597704750179E-3</v>
      </c>
      <c r="J89" s="135">
        <f t="shared" si="26"/>
        <v>0.28775700977881202</v>
      </c>
      <c r="K89" s="135">
        <f t="shared" si="27"/>
        <v>1.5087096899024638E-7</v>
      </c>
      <c r="L89" s="135">
        <f>E89/(Table112345[[#This Row],[b (mm)]]*AE89)</f>
        <v>6.5509512040921901E-4</v>
      </c>
      <c r="M89" s="135">
        <f>Table112345[[#This Row],[M (KN.mm)]]/(Table112345[[#This Row],[b (mm)]]*Table112345[[#This Row],[d (mm)]])</f>
        <v>1.6154645669291341</v>
      </c>
      <c r="N89" s="135">
        <f>Table112345[[#This Row],[M (KN.mm)]]/(Table112345[[#This Row],[b (mm)]]*Table112345[[#This Row],[h (mm)]])</f>
        <v>1.4528576302141665</v>
      </c>
      <c r="O89" s="145">
        <f>Table112345[[#This Row],[M (KN.mm)]]/(Table112345[[#This Row],[b (mm)]]*Table112345[[#This Row],[h (mm)]]*Table112345[[#This Row],[L(mm)]])</f>
        <v>2.9481688924800454E-4</v>
      </c>
      <c r="P89" s="145">
        <f>Table112345[[#This Row],[M (KN.mm)]]/(Table112345[[#This Row],[b (mm)]]*Table112345[[#This Row],[d (mm)]]*Table112345[[#This Row],[L(mm)]])</f>
        <v>3.2781342673074957E-4</v>
      </c>
      <c r="Q89" s="145">
        <f>Table112345[[#This Row],[M (KN.mm)]]/(Table112345[[#This Row],[b (mm)]]*Table112345[[#This Row],[h (mm)]]*Table112345[[#This Row],[L(mm)]]*Table112345[[#This Row],[fc (Mpa)]])</f>
        <v>4.0441274245268108E-6</v>
      </c>
      <c r="R89" s="145">
        <f>Table112345[[#This Row],[M (KN.mm)]]/(Table112345[[#This Row],[b (mm)]]*Table112345[[#This Row],[h (mm)]]*Table112345[[#This Row],[L(mm)]]/2)</f>
        <v>5.8963377849600908E-4</v>
      </c>
      <c r="S89" s="145">
        <f>Table112345[[#This Row],[M (KN.mm)]]/(Table112345[[#This Row],[a (mm)]]*Table112345[[#This Row],[b (mm)]]*Table112345[[#This Row],[h (mm)]]*Table112345[[#This Row],[L(mm)]]/2)</f>
        <v>2.3910534407786258E-7</v>
      </c>
      <c r="T89" s="145">
        <f>Table112345[[#This Row],[M (KN.mm)]]/(Table112345[[#This Row],[a (mm)]]^2*Table112345[[#This Row],[b (mm)]]*Table112345[[#This Row],[h (mm)]])</f>
        <v>2.3891142246871588E-7</v>
      </c>
      <c r="U89" s="145">
        <f>Table112345[[#This Row],[M (KN.mm)]]/(Table112345[[#This Row],[b (mm)]]*Table112345[[#This Row],[d (mm)]]*Table112345[[#This Row],[pho (%)]])</f>
        <v>1.2426650514839492</v>
      </c>
      <c r="V89" s="111">
        <f>E89*224.8/(2*SQRT(Table112345[[#This Row],[fc (Mpa)]]*145.037)*Table112345[[#This Row],[b (mm)]]*Table112345[[#This Row],[d (mm)]]*(1/25.4)^2)</f>
        <v>0.46199251653196149</v>
      </c>
      <c r="W89" s="111">
        <f>Table112345[[#This Row],[M (KN.mm)]]/$G$88</f>
        <v>1</v>
      </c>
      <c r="X89" s="111">
        <f>Table112345[[#This Row],[V/(2*sqrt(fc) bd)]]</f>
        <v>0.46199251653196149</v>
      </c>
      <c r="Y89" s="110">
        <f>Table112345[[#This Row],[a (mm)]]</f>
        <v>2466</v>
      </c>
      <c r="Z89" s="110">
        <f>Table112345[[#This Row],[width]]*Table112345[[#This Row],[h]]^2</f>
        <v>512097748</v>
      </c>
      <c r="AA89" s="110">
        <f>Table112345[[#This Row],[b (mm)]]</f>
        <v>613</v>
      </c>
      <c r="AB89" s="110">
        <f>Table112345[[#This Row],[a]]/Table112345[[#This Row],[h (mm)]]</f>
        <v>2.6980306345733043</v>
      </c>
      <c r="AC89" s="110">
        <f>Table112345[[#This Row],[h (mm)]]</f>
        <v>914</v>
      </c>
      <c r="AD89" s="111">
        <f>3*Table112345[[#This Row],[d (mm)]]</f>
        <v>2466</v>
      </c>
      <c r="AE89" s="160">
        <v>822</v>
      </c>
      <c r="AF89" s="160">
        <v>914</v>
      </c>
      <c r="AG89" s="160">
        <v>613</v>
      </c>
      <c r="AH89" s="160">
        <v>72.900000000000006</v>
      </c>
      <c r="AI89" s="160">
        <v>6555</v>
      </c>
      <c r="AJ89" s="160">
        <v>1.3</v>
      </c>
      <c r="AK89" s="160">
        <v>525</v>
      </c>
      <c r="AL89" s="111">
        <f>(1/3-0.21*(MIN(Table112345[[#This Row],[b (mm)]],AF89)/MAX(Table112345[[#This Row],[b (mm)]],AF89))*(MIN(Table112345[[#This Row],[b (mm)]],AF89)^4/(12*MAX(Table112345[[#This Row],[b (mm)]],AF89)^4)))*MAX(Table112345[[#This Row],[b (mm)]],AF89)*MIN(Table112345[[#This Row],[b (mm)]],AF89)^3</f>
        <v>69678906877.611313</v>
      </c>
      <c r="AM89" s="111">
        <f>Table112345[[#This Row],[b (mm)]]*AF89^3/12</f>
        <v>39004778472.666664</v>
      </c>
      <c r="AN89" s="160">
        <v>4928</v>
      </c>
      <c r="AP89" s="126"/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W327"/>
  <sheetViews>
    <sheetView tabSelected="1" zoomScale="85" zoomScaleNormal="85" workbookViewId="0">
      <selection activeCell="A41" sqref="A41:XFD41"/>
    </sheetView>
  </sheetViews>
  <sheetFormatPr defaultColWidth="9.109375" defaultRowHeight="14.4" x14ac:dyDescent="0.3"/>
  <cols>
    <col min="1" max="1" width="15" style="140" customWidth="1"/>
    <col min="2" max="2" width="8.33203125" style="2" customWidth="1"/>
    <col min="3" max="3" width="7.44140625" style="2" customWidth="1"/>
    <col min="4" max="4" width="15.33203125" style="2" customWidth="1"/>
    <col min="5" max="5" width="10.88671875" style="2" customWidth="1"/>
    <col min="6" max="6" width="12.88671875" style="2" customWidth="1"/>
    <col min="7" max="7" width="12" style="2" customWidth="1"/>
    <col min="8" max="8" width="10.5546875" style="2" customWidth="1"/>
    <col min="9" max="9" width="10.88671875" style="2" customWidth="1"/>
    <col min="10" max="10" width="17.6640625" style="2" customWidth="1"/>
    <col min="11" max="11" width="8.88671875" style="2" customWidth="1"/>
    <col min="12" max="12" width="8.44140625" style="2" customWidth="1"/>
    <col min="13" max="17" width="10" style="2" customWidth="1"/>
    <col min="18" max="29" width="14.6640625" style="2" customWidth="1"/>
    <col min="30" max="30" width="9.44140625" style="2" customWidth="1"/>
    <col min="31" max="32" width="9.5546875" style="2" customWidth="1"/>
    <col min="33" max="33" width="10.6640625" style="2" customWidth="1"/>
    <col min="34" max="34" width="9.88671875" style="2" customWidth="1"/>
    <col min="35" max="35" width="12.5546875" style="2" customWidth="1"/>
    <col min="36" max="36" width="11.6640625" style="2" customWidth="1"/>
    <col min="37" max="37" width="11" style="2" customWidth="1"/>
    <col min="38" max="38" width="12.44140625" style="2" customWidth="1"/>
    <col min="39" max="40" width="14.33203125" style="2" customWidth="1"/>
    <col min="41" max="41" width="15.33203125" customWidth="1"/>
    <col min="42" max="42" width="13.5546875" style="2" customWidth="1"/>
    <col min="43" max="43" width="12.44140625" style="1" customWidth="1"/>
    <col min="44" max="44" width="9.109375" style="1"/>
    <col min="45" max="16384" width="9.109375" style="2"/>
  </cols>
  <sheetData>
    <row r="1" spans="1:48" ht="80.25" customHeight="1" x14ac:dyDescent="0.3">
      <c r="A1" s="231" t="s">
        <v>59</v>
      </c>
      <c r="B1" s="74" t="s">
        <v>57</v>
      </c>
      <c r="C1" s="74" t="s">
        <v>58</v>
      </c>
      <c r="D1" s="74" t="s">
        <v>194</v>
      </c>
      <c r="E1" s="3" t="s">
        <v>24</v>
      </c>
      <c r="F1" s="74" t="s">
        <v>63</v>
      </c>
      <c r="G1" s="3" t="s">
        <v>23</v>
      </c>
      <c r="H1" s="3" t="s">
        <v>3</v>
      </c>
      <c r="I1" s="3" t="s">
        <v>307</v>
      </c>
      <c r="J1" s="3" t="s">
        <v>14</v>
      </c>
      <c r="K1" s="3" t="s">
        <v>20</v>
      </c>
      <c r="L1" s="3" t="s">
        <v>19</v>
      </c>
      <c r="M1" s="3" t="s">
        <v>53</v>
      </c>
      <c r="N1" s="3" t="s">
        <v>54</v>
      </c>
      <c r="O1" s="3" t="s">
        <v>79</v>
      </c>
      <c r="P1" s="3" t="s">
        <v>81</v>
      </c>
      <c r="Q1" s="3" t="s">
        <v>82</v>
      </c>
      <c r="R1" s="3" t="s">
        <v>84</v>
      </c>
      <c r="S1" s="3" t="s">
        <v>85</v>
      </c>
      <c r="T1" s="3" t="s">
        <v>88</v>
      </c>
      <c r="U1" s="3" t="s">
        <v>91</v>
      </c>
      <c r="V1" s="3" t="s">
        <v>140</v>
      </c>
      <c r="W1" s="3" t="s">
        <v>103</v>
      </c>
      <c r="X1" s="3" t="s">
        <v>302</v>
      </c>
      <c r="Y1" s="191" t="s">
        <v>60</v>
      </c>
      <c r="Z1" s="191" t="s">
        <v>306</v>
      </c>
      <c r="AA1" s="73" t="s">
        <v>304</v>
      </c>
      <c r="AB1" s="73" t="s">
        <v>305</v>
      </c>
      <c r="AC1" s="73" t="s">
        <v>67</v>
      </c>
      <c r="AD1" s="3" t="s">
        <v>5</v>
      </c>
      <c r="AE1" s="3" t="s">
        <v>9</v>
      </c>
      <c r="AF1" s="3" t="s">
        <v>12</v>
      </c>
      <c r="AG1" s="3" t="s">
        <v>76</v>
      </c>
      <c r="AH1" s="3" t="s">
        <v>77</v>
      </c>
      <c r="AI1" s="3" t="s">
        <v>10</v>
      </c>
      <c r="AJ1" s="3" t="s">
        <v>11</v>
      </c>
      <c r="AK1" s="3" t="s">
        <v>18</v>
      </c>
      <c r="AL1" s="3" t="s">
        <v>15</v>
      </c>
      <c r="AM1" s="3" t="s">
        <v>17</v>
      </c>
      <c r="AN1" s="3" t="s">
        <v>78</v>
      </c>
      <c r="AO1" t="s">
        <v>50</v>
      </c>
      <c r="AP1" s="1" t="s">
        <v>75</v>
      </c>
      <c r="AQ1" s="1" t="s">
        <v>80</v>
      </c>
      <c r="AR1" s="1" t="s">
        <v>90</v>
      </c>
    </row>
    <row r="2" spans="1:48" x14ac:dyDescent="0.3">
      <c r="A2" s="143" t="s">
        <v>141</v>
      </c>
      <c r="B2" s="143">
        <v>4</v>
      </c>
      <c r="C2" s="185">
        <v>1</v>
      </c>
      <c r="D2" s="185">
        <f>Table1123457[[#This Row],[a (mm)]]/Table1123457[[#This Row],[d (mm)]]</f>
        <v>2.95</v>
      </c>
      <c r="E2" s="226">
        <v>510</v>
      </c>
      <c r="F2" s="137">
        <f>Table1123457[[#This Row],[d (mm)]]</f>
        <v>916</v>
      </c>
      <c r="G2" s="111">
        <f>E2*AD2</f>
        <v>1378122.0000000002</v>
      </c>
      <c r="H2" s="111">
        <f t="shared" ref="H2:H66" si="0">G2/($AQ$5*AM2*0.001)</f>
        <v>3.0684391608388059E-7</v>
      </c>
      <c r="I2" s="111">
        <f>G2/(Table1123457[[#This Row],[b (mm)]]*Table1123457[[#This Row],[h]]^2)</f>
        <v>6.7680726903270906E-4</v>
      </c>
      <c r="J2" s="111">
        <f t="shared" ref="J2:J65" si="1">G2/(AI2*AK2*AE2*0.001)</f>
        <v>0.18610699931539348</v>
      </c>
      <c r="K2" s="111">
        <f t="shared" ref="K2:K65" si="2">E2/($AQ$4*AL2*0.001)</f>
        <v>2.3849298651825099E-8</v>
      </c>
      <c r="L2" s="111">
        <f>E2/(Table1123457[[#This Row],[b (mm)]]*AE2)</f>
        <v>2.7617488043252237E-4</v>
      </c>
      <c r="M2" s="111">
        <f>Table1123457[[#This Row],[M (KN.mm)]]/(Table1123457[[#This Row],[b (mm)]]*Table1123457[[#This Row],[d (mm)]])</f>
        <v>0.74627976190476208</v>
      </c>
      <c r="N2" s="111">
        <f>Table1123457[[#This Row],[M (KN.mm)]]/(Table1123457[[#This Row],[b (mm)]]*Table1123457[[#This Row],[h (mm)]])</f>
        <v>0.68019130537787265</v>
      </c>
      <c r="O2" s="111">
        <f>Table1123457[[#This Row],[M (KN.mm)]]/(Table1123457[[#This Row],[b (mm)]]*Table1123457[[#This Row],[h (mm)]]*Table1123457[[#This Row],[L(mm)]])</f>
        <v>1.259613528477542E-4</v>
      </c>
      <c r="P2" s="111">
        <f>Table1123457[[#This Row],[M (KN.mm)]]/(Table1123457[[#This Row],[b (mm)]]*Table1123457[[#This Row],[d (mm)]]*Table1123457[[#This Row],[L(mm)]])</f>
        <v>1.3819995590828927E-4</v>
      </c>
      <c r="Q2" s="111">
        <f>Table1123457[[#This Row],[M (KN.mm)]]/(Table1123457[[#This Row],[b (mm)]]*Table1123457[[#This Row],[h (mm)]]*Table1123457[[#This Row],[L(mm)]]*Table1123457[[#This Row],[fc (Mpa)]])</f>
        <v>1.9681461382461593E-6</v>
      </c>
      <c r="R2" s="111">
        <f>Table1123457[[#This Row],[M (KN.mm)]]/(Table1123457[[#This Row],[b (mm)]]*Table1123457[[#This Row],[h (mm)]]*Table1123457[[#This Row],[L(mm)]]/2)</f>
        <v>2.519227056955084E-4</v>
      </c>
      <c r="S2" s="111">
        <f>Table1123457[[#This Row],[M (KN.mm)]]/(Table1123457[[#This Row],[a (mm)]]*Table1123457[[#This Row],[b (mm)]]*Table1123457[[#This Row],[h (mm)]]*Table1123457[[#This Row],[L(mm)]]/2)</f>
        <v>9.3228741653285616E-8</v>
      </c>
      <c r="T2" s="111">
        <f>Table1123457[[#This Row],[M (KN.mm)]]/(Table1123457[[#This Row],[a (mm)]]^2*Table1123457[[#This Row],[b (mm)]]*Table1123457[[#This Row],[h (mm)]])</f>
        <v>9.3152839339749493E-8</v>
      </c>
      <c r="U2" s="111">
        <f>Table1123457[[#This Row],[M (KN.mm)]]/(Table1123457[[#This Row],[b (mm)]]*Table1123457[[#This Row],[d (mm)]]*Table1123457[[#This Row],[pho (%)]])</f>
        <v>0.98194705513784475</v>
      </c>
      <c r="V2" s="111">
        <f>E2*224.8/(2*SQRT(Table1123457[[#This Row],[fc (Mpa)]]*145.037)*Table1123457[[#This Row],[b (mm)]]*Table1123457[[#This Row],[d (mm)]]*(1/25.4)^2)</f>
        <v>0.207868426266826</v>
      </c>
      <c r="W2" s="111">
        <f>Table1123457[[#This Row],[M (KN.mm)]]/$G$8</f>
        <v>0.41695115845054398</v>
      </c>
      <c r="X2" s="111">
        <f>Table1123457[[#This Row],[V/(2*sqrt(fc) bd)]]</f>
        <v>0.207868426266826</v>
      </c>
      <c r="Y2" s="111">
        <f>Table1123457[[#This Row],[a (mm)]]</f>
        <v>2702.2000000000003</v>
      </c>
      <c r="Z2" s="111">
        <f>Table1123457[[#This Row],[width]]*Table1123457[[#This Row],[h]]^2</f>
        <v>2036210400</v>
      </c>
      <c r="AA2" s="111">
        <f>Table1123457[[#This Row],[b (mm)]]</f>
        <v>2016</v>
      </c>
      <c r="AB2" s="111">
        <f>Table1123457[[#This Row],[a (mm)]]/Table1123457[[#This Row],[h (mm)]]</f>
        <v>2.688756218905473</v>
      </c>
      <c r="AC2" s="111">
        <f>Table1123457[[#This Row],[h (mm)]]</f>
        <v>1005</v>
      </c>
      <c r="AD2" s="111">
        <f>2.95*Table1123457[[#This Row],[d (mm)]]</f>
        <v>2702.2000000000003</v>
      </c>
      <c r="AE2" s="111">
        <v>916</v>
      </c>
      <c r="AF2" s="111">
        <v>1005</v>
      </c>
      <c r="AG2" s="111">
        <v>2016</v>
      </c>
      <c r="AH2" s="7">
        <v>64</v>
      </c>
      <c r="AI2" s="111">
        <f>Table1123457[[#This Row],[pho (%)]]*Table1123457[[#This Row],[b (mm)]]*Table1123457[[#This Row],[h (mm)]]/100</f>
        <v>15398.208000000001</v>
      </c>
      <c r="AJ2" s="111">
        <v>0.76</v>
      </c>
      <c r="AK2" s="111">
        <v>525</v>
      </c>
      <c r="AL2" s="111">
        <f>(1/3-0.21*(MIN(Table1123457[[#This Row],[b (mm)]],AF2)/MAX(Table1123457[[#This Row],[b (mm)]],AF2))*(MIN(Table1123457[[#This Row],[b (mm)]],AF2)^4/(12*MAX(Table1123457[[#This Row],[b (mm)]],AF2)^4)))*MAX(Table1123457[[#This Row],[b (mm)]],AF2)*MIN(Table1123457[[#This Row],[b (mm)]],AF2)^3</f>
        <v>681027918417.11316</v>
      </c>
      <c r="AM2" s="111">
        <f>Table1123457[[#This Row],[b (mm)]]*AF2^3/12</f>
        <v>170532621000</v>
      </c>
      <c r="AN2" s="111">
        <v>5400</v>
      </c>
      <c r="AP2" s="1"/>
      <c r="AU2" s="367">
        <v>1020</v>
      </c>
      <c r="AV2" s="2">
        <f>AU2/2</f>
        <v>510</v>
      </c>
    </row>
    <row r="3" spans="1:48" x14ac:dyDescent="0.3">
      <c r="A3" s="143" t="s">
        <v>141</v>
      </c>
      <c r="B3" s="143">
        <v>5</v>
      </c>
      <c r="C3" s="185">
        <v>2</v>
      </c>
      <c r="D3" s="185">
        <f>Table1123457[[#This Row],[a (mm)]]/Table1123457[[#This Row],[d (mm)]]</f>
        <v>2.95</v>
      </c>
      <c r="E3" s="226">
        <v>698</v>
      </c>
      <c r="F3" s="137">
        <f>Table1123457[[#This Row],[d (mm)]]</f>
        <v>916</v>
      </c>
      <c r="G3" s="111">
        <f t="shared" ref="G3:G66" si="3">E3*AD3</f>
        <v>1886135.6</v>
      </c>
      <c r="H3" s="111">
        <f t="shared" si="0"/>
        <v>4.1995500671872281E-7</v>
      </c>
      <c r="I3" s="111">
        <f>G3/(Table1123457[[#This Row],[b (mm)]]*Table1123457[[#This Row],[h]]^2)</f>
        <v>9.262970074212371E-4</v>
      </c>
      <c r="J3" s="111">
        <f t="shared" si="1"/>
        <v>0.25471114808263651</v>
      </c>
      <c r="K3" s="111">
        <f t="shared" si="2"/>
        <v>3.2640804821517487E-8</v>
      </c>
      <c r="L3" s="111">
        <f>E3/(Table1123457[[#This Row],[b (mm)]]*AE3)</f>
        <v>3.7798052263117763E-4</v>
      </c>
      <c r="M3" s="111">
        <f>Table1123457[[#This Row],[M (KN.mm)]]/(Table1123457[[#This Row],[b (mm)]]*Table1123457[[#This Row],[d (mm)]])</f>
        <v>1.0213789682539682</v>
      </c>
      <c r="N3" s="111">
        <f>Table1123457[[#This Row],[M (KN.mm)]]/(Table1123457[[#This Row],[b (mm)]]*Table1123457[[#This Row],[h (mm)]])</f>
        <v>0.9309284924583433</v>
      </c>
      <c r="O3" s="111">
        <f>Table1123457[[#This Row],[M (KN.mm)]]/(Table1123457[[#This Row],[b (mm)]]*Table1123457[[#This Row],[h (mm)]]*Table1123457[[#This Row],[L(mm)]])</f>
        <v>1.7239416527006356E-4</v>
      </c>
      <c r="P3" s="111">
        <f>Table1123457[[#This Row],[M (KN.mm)]]/(Table1123457[[#This Row],[b (mm)]]*Table1123457[[#This Row],[d (mm)]]*Table1123457[[#This Row],[L(mm)]])</f>
        <v>1.8914425338036449E-4</v>
      </c>
      <c r="Q3" s="111">
        <f>Table1123457[[#This Row],[M (KN.mm)]]/(Table1123457[[#This Row],[b (mm)]]*Table1123457[[#This Row],[h (mm)]]*Table1123457[[#This Row],[L(mm)]]*Table1123457[[#This Row],[fc (Mpa)]])</f>
        <v>2.6936588323447431E-6</v>
      </c>
      <c r="R3" s="111">
        <f>Table1123457[[#This Row],[M (KN.mm)]]/(Table1123457[[#This Row],[b (mm)]]*Table1123457[[#This Row],[h (mm)]]*Table1123457[[#This Row],[L(mm)]]/2)</f>
        <v>3.4478833054012712E-4</v>
      </c>
      <c r="S3" s="111">
        <f>Table1123457[[#This Row],[M (KN.mm)]]/(Table1123457[[#This Row],[a (mm)]]*Table1123457[[#This Row],[b (mm)]]*Table1123457[[#This Row],[h (mm)]]*Table1123457[[#This Row],[L(mm)]]/2)</f>
        <v>1.2759541504704579E-7</v>
      </c>
      <c r="T3" s="111">
        <f>Table1123457[[#This Row],[M (KN.mm)]]/(Table1123457[[#This Row],[a (mm)]]^2*Table1123457[[#This Row],[b (mm)]]*Table1123457[[#This Row],[h (mm)]])</f>
        <v>1.2749153305714732E-7</v>
      </c>
      <c r="U3" s="111">
        <f>Table1123457[[#This Row],[M (KN.mm)]]/(Table1123457[[#This Row],[b (mm)]]*Table1123457[[#This Row],[d (mm)]]*Table1123457[[#This Row],[pho (%)]])</f>
        <v>1.3439196950710108</v>
      </c>
      <c r="V3" s="111">
        <f>E3*224.8/(2*SQRT(Table1123457[[#This Row],[fc (Mpa)]]*145.037)*Table1123457[[#This Row],[b (mm)]]*Table1123457[[#This Row],[d (mm)]]*(1/25.4)^2)</f>
        <v>0.28449443438087163</v>
      </c>
      <c r="W3" s="111">
        <f>Table1123457[[#This Row],[M (KN.mm)]]/$G$8</f>
        <v>0.57065080117348954</v>
      </c>
      <c r="X3" s="111">
        <f>Table1123457[[#This Row],[V/(2*sqrt(fc) bd)]]</f>
        <v>0.28449443438087163</v>
      </c>
      <c r="Y3" s="111">
        <f>Table1123457[[#This Row],[a (mm)]]</f>
        <v>2702.2000000000003</v>
      </c>
      <c r="Z3" s="111">
        <f>Table1123457[[#This Row],[width]]*Table1123457[[#This Row],[h]]^2</f>
        <v>2036210400</v>
      </c>
      <c r="AA3" s="111">
        <f>Table1123457[[#This Row],[b (mm)]]</f>
        <v>2016</v>
      </c>
      <c r="AB3" s="111">
        <f>Table1123457[[#This Row],[a (mm)]]/Table1123457[[#This Row],[h (mm)]]</f>
        <v>2.688756218905473</v>
      </c>
      <c r="AC3" s="111">
        <f>Table1123457[[#This Row],[h (mm)]]</f>
        <v>1005</v>
      </c>
      <c r="AD3" s="111">
        <f>2.95*Table1123457[[#This Row],[d (mm)]]</f>
        <v>2702.2000000000003</v>
      </c>
      <c r="AE3" s="111">
        <v>916</v>
      </c>
      <c r="AF3" s="111">
        <v>1005</v>
      </c>
      <c r="AG3" s="111">
        <v>2016</v>
      </c>
      <c r="AH3" s="7">
        <v>64</v>
      </c>
      <c r="AI3" s="111">
        <f>Table1123457[[#This Row],[pho (%)]]*Table1123457[[#This Row],[b (mm)]]*Table1123457[[#This Row],[h (mm)]]/100</f>
        <v>15398.208000000001</v>
      </c>
      <c r="AJ3" s="111">
        <v>0.76</v>
      </c>
      <c r="AK3" s="111">
        <v>525</v>
      </c>
      <c r="AL3" s="111">
        <f>(1/3-0.21*(MIN(Table1123457[[#This Row],[b (mm)]],AF3)/MAX(Table1123457[[#This Row],[b (mm)]],AF3))*(MIN(Table1123457[[#This Row],[b (mm)]],AF3)^4/(12*MAX(Table1123457[[#This Row],[b (mm)]],AF3)^4)))*MAX(Table1123457[[#This Row],[b (mm)]],AF3)*MIN(Table1123457[[#This Row],[b (mm)]],AF3)^3</f>
        <v>681027918417.11316</v>
      </c>
      <c r="AM3" s="111">
        <f>Table1123457[[#This Row],[b (mm)]]*AF3^3/12</f>
        <v>170532621000</v>
      </c>
      <c r="AN3" s="111">
        <v>5400</v>
      </c>
      <c r="AP3" s="1"/>
      <c r="AU3" s="367">
        <v>1396</v>
      </c>
      <c r="AV3" s="2">
        <f t="shared" ref="AV3:AV66" si="4">AU3/2</f>
        <v>698</v>
      </c>
    </row>
    <row r="4" spans="1:48" x14ac:dyDescent="0.3">
      <c r="A4" s="143" t="s">
        <v>141</v>
      </c>
      <c r="B4" s="143">
        <v>6</v>
      </c>
      <c r="C4" s="185">
        <v>3</v>
      </c>
      <c r="D4" s="185">
        <f>Table1123457[[#This Row],[a (mm)]]/Table1123457[[#This Row],[d (mm)]]</f>
        <v>2.95</v>
      </c>
      <c r="E4" s="226">
        <v>846.5</v>
      </c>
      <c r="F4" s="137">
        <f>Table1123457[[#This Row],[d (mm)]]</f>
        <v>916</v>
      </c>
      <c r="G4" s="111">
        <f t="shared" si="3"/>
        <v>2287412.3000000003</v>
      </c>
      <c r="H4" s="111">
        <f t="shared" si="0"/>
        <v>5.0930073522549982E-7</v>
      </c>
      <c r="I4" s="111">
        <f>G4/(Table1123457[[#This Row],[b (mm)]]*Table1123457[[#This Row],[h]]^2)</f>
        <v>1.1233673592866435E-3</v>
      </c>
      <c r="J4" s="111">
        <f t="shared" si="1"/>
        <v>0.30890112729505992</v>
      </c>
      <c r="K4" s="111">
        <f t="shared" si="2"/>
        <v>3.958515942896068E-8</v>
      </c>
      <c r="L4" s="111">
        <f>E4/(Table1123457[[#This Row],[b (mm)]]*AE4)</f>
        <v>4.5839614958064742E-4</v>
      </c>
      <c r="M4" s="111">
        <f>Table1123457[[#This Row],[M (KN.mm)]]/(Table1123457[[#This Row],[b (mm)]]*Table1123457[[#This Row],[d (mm)]])</f>
        <v>1.2386780753968256</v>
      </c>
      <c r="N4" s="111">
        <f>Table1123457[[#This Row],[M (KN.mm)]]/(Table1123457[[#This Row],[b (mm)]]*Table1123457[[#This Row],[h (mm)]])</f>
        <v>1.1289841960830769</v>
      </c>
      <c r="O4" s="111">
        <f>Table1123457[[#This Row],[M (KN.mm)]]/(Table1123457[[#This Row],[b (mm)]]*Table1123457[[#This Row],[h (mm)]]*Table1123457[[#This Row],[L(mm)]])</f>
        <v>2.0907114742279201E-4</v>
      </c>
      <c r="P4" s="111">
        <f>Table1123457[[#This Row],[M (KN.mm)]]/(Table1123457[[#This Row],[b (mm)]]*Table1123457[[#This Row],[d (mm)]]*Table1123457[[#This Row],[L(mm)]])</f>
        <v>2.2938482877718993E-4</v>
      </c>
      <c r="Q4" s="111">
        <f>Table1123457[[#This Row],[M (KN.mm)]]/(Table1123457[[#This Row],[b (mm)]]*Table1123457[[#This Row],[h (mm)]]*Table1123457[[#This Row],[L(mm)]]*Table1123457[[#This Row],[fc (Mpa)]])</f>
        <v>3.2667366784811252E-6</v>
      </c>
      <c r="R4" s="111">
        <f>Table1123457[[#This Row],[M (KN.mm)]]/(Table1123457[[#This Row],[b (mm)]]*Table1123457[[#This Row],[h (mm)]]*Table1123457[[#This Row],[L(mm)]]/2)</f>
        <v>4.1814229484558402E-4</v>
      </c>
      <c r="S4" s="111">
        <f>Table1123457[[#This Row],[M (KN.mm)]]/(Table1123457[[#This Row],[a (mm)]]*Table1123457[[#This Row],[b (mm)]]*Table1123457[[#This Row],[h (mm)]]*Table1123457[[#This Row],[L(mm)]]/2)</f>
        <v>1.5474143099903189E-7</v>
      </c>
      <c r="T4" s="111">
        <f>Table1123457[[#This Row],[M (KN.mm)]]/(Table1123457[[#This Row],[a (mm)]]^2*Table1123457[[#This Row],[b (mm)]]*Table1123457[[#This Row],[h (mm)]])</f>
        <v>1.546154480413685E-7</v>
      </c>
      <c r="U4" s="111">
        <f>Table1123457[[#This Row],[M (KN.mm)]]/(Table1123457[[#This Row],[b (mm)]]*Table1123457[[#This Row],[d (mm)]]*Table1123457[[#This Row],[pho (%)]])</f>
        <v>1.6298395728905599</v>
      </c>
      <c r="V4" s="111">
        <f>E4*224.8/(2*SQRT(Table1123457[[#This Row],[fc (Mpa)]]*145.037)*Table1123457[[#This Row],[b (mm)]]*Table1123457[[#This Row],[d (mm)]]*(1/25.4)^2)</f>
        <v>0.34502082908797693</v>
      </c>
      <c r="W4" s="111">
        <f>Table1123457[[#This Row],[M (KN.mm)]]/$G$8</f>
        <v>0.69205716789879501</v>
      </c>
      <c r="X4" s="111">
        <f>Table1123457[[#This Row],[V/(2*sqrt(fc) bd)]]</f>
        <v>0.34502082908797693</v>
      </c>
      <c r="Y4" s="111">
        <f>Table1123457[[#This Row],[a (mm)]]</f>
        <v>2702.2000000000003</v>
      </c>
      <c r="Z4" s="111">
        <f>Table1123457[[#This Row],[width]]*Table1123457[[#This Row],[h]]^2</f>
        <v>2036210400</v>
      </c>
      <c r="AA4" s="111">
        <f>Table1123457[[#This Row],[b (mm)]]</f>
        <v>2016</v>
      </c>
      <c r="AB4" s="111">
        <f>Table1123457[[#This Row],[a (mm)]]/Table1123457[[#This Row],[h (mm)]]</f>
        <v>2.688756218905473</v>
      </c>
      <c r="AC4" s="111">
        <f>Table1123457[[#This Row],[h (mm)]]</f>
        <v>1005</v>
      </c>
      <c r="AD4" s="111">
        <f>2.95*Table1123457[[#This Row],[d (mm)]]</f>
        <v>2702.2000000000003</v>
      </c>
      <c r="AE4" s="111">
        <v>916</v>
      </c>
      <c r="AF4" s="111">
        <v>1005</v>
      </c>
      <c r="AG4" s="111">
        <v>2016</v>
      </c>
      <c r="AH4" s="7">
        <v>64</v>
      </c>
      <c r="AI4" s="111">
        <f>Table1123457[[#This Row],[pho (%)]]*Table1123457[[#This Row],[b (mm)]]*Table1123457[[#This Row],[h (mm)]]/100</f>
        <v>15398.208000000001</v>
      </c>
      <c r="AJ4" s="111">
        <v>0.76</v>
      </c>
      <c r="AK4" s="111">
        <v>525</v>
      </c>
      <c r="AL4" s="111">
        <f>(1/3-0.21*(MIN(Table1123457[[#This Row],[b (mm)]],AF4)/MAX(Table1123457[[#This Row],[b (mm)]],AF4))*(MIN(Table1123457[[#This Row],[b (mm)]],AF4)^4/(12*MAX(Table1123457[[#This Row],[b (mm)]],AF4)^4)))*MAX(Table1123457[[#This Row],[b (mm)]],AF4)*MIN(Table1123457[[#This Row],[b (mm)]],AF4)^3</f>
        <v>681027918417.11316</v>
      </c>
      <c r="AM4" s="111">
        <f>Table1123457[[#This Row],[b (mm)]]*AF4^3/12</f>
        <v>170532621000</v>
      </c>
      <c r="AN4" s="111">
        <v>5400</v>
      </c>
      <c r="AP4" s="126" t="s">
        <v>7</v>
      </c>
      <c r="AQ4" s="107">
        <v>31.4</v>
      </c>
      <c r="AU4" s="367">
        <v>1693</v>
      </c>
      <c r="AV4" s="2">
        <f t="shared" si="4"/>
        <v>846.5</v>
      </c>
    </row>
    <row r="5" spans="1:48" x14ac:dyDescent="0.3">
      <c r="A5" s="143" t="s">
        <v>141</v>
      </c>
      <c r="B5" s="143">
        <v>7</v>
      </c>
      <c r="C5" s="185">
        <v>4</v>
      </c>
      <c r="D5" s="185">
        <f>Table1123457[[#This Row],[a (mm)]]/Table1123457[[#This Row],[d (mm)]]</f>
        <v>2.95</v>
      </c>
      <c r="E5" s="226">
        <v>997.5</v>
      </c>
      <c r="F5" s="137">
        <f>Table1123457[[#This Row],[d (mm)]]</f>
        <v>916</v>
      </c>
      <c r="G5" s="111">
        <f t="shared" si="3"/>
        <v>2695444.5000000005</v>
      </c>
      <c r="H5" s="111">
        <f t="shared" si="0"/>
        <v>6.0015060057582532E-7</v>
      </c>
      <c r="I5" s="111">
        <f>G5/(Table1123457[[#This Row],[b (mm)]]*Table1123457[[#This Row],[h]]^2)</f>
        <v>1.323755393843387E-3</v>
      </c>
      <c r="J5" s="111">
        <f t="shared" si="1"/>
        <v>0.36400339571981372</v>
      </c>
      <c r="K5" s="111">
        <f t="shared" si="2"/>
        <v>4.6646422363128506E-8</v>
      </c>
      <c r="L5" s="111">
        <f>E5/(Table1123457[[#This Row],[b (mm)]]*AE5)</f>
        <v>5.4016557496360993E-4</v>
      </c>
      <c r="M5" s="111">
        <f>Table1123457[[#This Row],[M (KN.mm)]]/(Table1123457[[#This Row],[b (mm)]]*Table1123457[[#This Row],[d (mm)]])</f>
        <v>1.459635416666667</v>
      </c>
      <c r="N5" s="111">
        <f>Table1123457[[#This Row],[M (KN.mm)]]/(Table1123457[[#This Row],[b (mm)]]*Table1123457[[#This Row],[h (mm)]])</f>
        <v>1.3303741708126038</v>
      </c>
      <c r="O5" s="111">
        <f>Table1123457[[#This Row],[M (KN.mm)]]/(Table1123457[[#This Row],[b (mm)]]*Table1123457[[#This Row],[h (mm)]]*Table1123457[[#This Row],[L(mm)]])</f>
        <v>2.4636558718751922E-4</v>
      </c>
      <c r="P5" s="111">
        <f>Table1123457[[#This Row],[M (KN.mm)]]/(Table1123457[[#This Row],[b (mm)]]*Table1123457[[#This Row],[d (mm)]]*Table1123457[[#This Row],[L(mm)]])</f>
        <v>2.7030285493827164E-4</v>
      </c>
      <c r="Q5" s="111">
        <f>Table1123457[[#This Row],[M (KN.mm)]]/(Table1123457[[#This Row],[b (mm)]]*Table1123457[[#This Row],[h (mm)]]*Table1123457[[#This Row],[L(mm)]]*Table1123457[[#This Row],[fc (Mpa)]])</f>
        <v>3.8494622998049878E-6</v>
      </c>
      <c r="R5" s="111">
        <f>Table1123457[[#This Row],[M (KN.mm)]]/(Table1123457[[#This Row],[b (mm)]]*Table1123457[[#This Row],[h (mm)]]*Table1123457[[#This Row],[L(mm)]]/2)</f>
        <v>4.9273117437503844E-4</v>
      </c>
      <c r="S5" s="111">
        <f>Table1123457[[#This Row],[M (KN.mm)]]/(Table1123457[[#This Row],[a (mm)]]*Table1123457[[#This Row],[b (mm)]]*Table1123457[[#This Row],[h (mm)]]*Table1123457[[#This Row],[L(mm)]]/2)</f>
        <v>1.8234445058657333E-7</v>
      </c>
      <c r="T5" s="111">
        <f>Table1123457[[#This Row],[M (KN.mm)]]/(Table1123457[[#This Row],[a (mm)]]^2*Table1123457[[#This Row],[b (mm)]]*Table1123457[[#This Row],[h (mm)]])</f>
        <v>1.8219599459098064E-7</v>
      </c>
      <c r="U5" s="111">
        <f>Table1123457[[#This Row],[M (KN.mm)]]/(Table1123457[[#This Row],[b (mm)]]*Table1123457[[#This Row],[d (mm)]]*Table1123457[[#This Row],[pho (%)]])</f>
        <v>1.920572916666667</v>
      </c>
      <c r="V5" s="111">
        <f>E5*224.8/(2*SQRT(Table1123457[[#This Row],[fc (Mpa)]]*145.037)*Table1123457[[#This Row],[b (mm)]]*Table1123457[[#This Row],[d (mm)]]*(1/25.4)^2)</f>
        <v>0.40656618666893907</v>
      </c>
      <c r="W5" s="111">
        <f>Table1123457[[#This Row],[M (KN.mm)]]/$G$8</f>
        <v>0.81550741285179928</v>
      </c>
      <c r="X5" s="111">
        <f>Table1123457[[#This Row],[V/(2*sqrt(fc) bd)]]</f>
        <v>0.40656618666893907</v>
      </c>
      <c r="Y5" s="111">
        <f>Table1123457[[#This Row],[a (mm)]]</f>
        <v>2702.2000000000003</v>
      </c>
      <c r="Z5" s="111">
        <f>Table1123457[[#This Row],[width]]*Table1123457[[#This Row],[h]]^2</f>
        <v>2036210400</v>
      </c>
      <c r="AA5" s="111">
        <f>Table1123457[[#This Row],[b (mm)]]</f>
        <v>2016</v>
      </c>
      <c r="AB5" s="111">
        <f>Table1123457[[#This Row],[a (mm)]]/Table1123457[[#This Row],[h (mm)]]</f>
        <v>2.688756218905473</v>
      </c>
      <c r="AC5" s="111">
        <f>Table1123457[[#This Row],[h (mm)]]</f>
        <v>1005</v>
      </c>
      <c r="AD5" s="111">
        <f>2.95*Table1123457[[#This Row],[d (mm)]]</f>
        <v>2702.2000000000003</v>
      </c>
      <c r="AE5" s="111">
        <v>916</v>
      </c>
      <c r="AF5" s="111">
        <v>1005</v>
      </c>
      <c r="AG5" s="111">
        <v>2016</v>
      </c>
      <c r="AH5" s="7">
        <v>64</v>
      </c>
      <c r="AI5" s="111">
        <f>Table1123457[[#This Row],[pho (%)]]*Table1123457[[#This Row],[b (mm)]]*Table1123457[[#This Row],[h (mm)]]/100</f>
        <v>15398.208000000001</v>
      </c>
      <c r="AJ5" s="111">
        <v>0.76</v>
      </c>
      <c r="AK5" s="111">
        <v>525</v>
      </c>
      <c r="AL5" s="111">
        <f>(1/3-0.21*(MIN(Table1123457[[#This Row],[b (mm)]],AF5)/MAX(Table1123457[[#This Row],[b (mm)]],AF5))*(MIN(Table1123457[[#This Row],[b (mm)]],AF5)^4/(12*MAX(Table1123457[[#This Row],[b (mm)]],AF5)^4)))*MAX(Table1123457[[#This Row],[b (mm)]],AF5)*MIN(Table1123457[[#This Row],[b (mm)]],AF5)^3</f>
        <v>681027918417.11316</v>
      </c>
      <c r="AM5" s="111">
        <f>Table1123457[[#This Row],[b (mm)]]*AF5^3/12</f>
        <v>170532621000</v>
      </c>
      <c r="AN5" s="111">
        <v>5400</v>
      </c>
      <c r="AP5" s="126" t="s">
        <v>8</v>
      </c>
      <c r="AQ5" s="107">
        <f>4700*SQRT(AQ4)</f>
        <v>26336.780365109171</v>
      </c>
      <c r="AU5" s="367">
        <v>1995</v>
      </c>
      <c r="AV5" s="2">
        <f t="shared" si="4"/>
        <v>997.5</v>
      </c>
    </row>
    <row r="6" spans="1:48" x14ac:dyDescent="0.3">
      <c r="A6" s="143" t="s">
        <v>141</v>
      </c>
      <c r="B6" s="143">
        <v>8</v>
      </c>
      <c r="C6" s="185">
        <v>5</v>
      </c>
      <c r="D6" s="185">
        <f>Table1123457[[#This Row],[a (mm)]]/Table1123457[[#This Row],[d (mm)]]</f>
        <v>2.95</v>
      </c>
      <c r="E6" s="226">
        <v>1098</v>
      </c>
      <c r="F6" s="137">
        <f>Table1123457[[#This Row],[d (mm)]]</f>
        <v>916</v>
      </c>
      <c r="G6" s="111">
        <f t="shared" si="3"/>
        <v>2967015.6</v>
      </c>
      <c r="H6" s="111">
        <f t="shared" si="0"/>
        <v>6.6061690168647222E-7</v>
      </c>
      <c r="I6" s="111">
        <f>G6/(Table1123457[[#This Row],[b (mm)]]*Table1123457[[#This Row],[h]]^2)</f>
        <v>1.4571262380351265E-3</v>
      </c>
      <c r="J6" s="111">
        <f t="shared" si="1"/>
        <v>0.40067742205549411</v>
      </c>
      <c r="K6" s="111">
        <f t="shared" si="2"/>
        <v>5.134613709745874E-8</v>
      </c>
      <c r="L6" s="111">
        <f>E6/(Table1123457[[#This Row],[b (mm)]]*AE6)</f>
        <v>5.9458827199001868E-4</v>
      </c>
      <c r="M6" s="111">
        <f>Table1123457[[#This Row],[M (KN.mm)]]/(Table1123457[[#This Row],[b (mm)]]*Table1123457[[#This Row],[d (mm)]])</f>
        <v>1.6066964285714287</v>
      </c>
      <c r="N6" s="111">
        <f>Table1123457[[#This Row],[M (KN.mm)]]/(Table1123457[[#This Row],[b (mm)]]*Table1123457[[#This Row],[h (mm)]])</f>
        <v>1.4644118692253021</v>
      </c>
      <c r="O6" s="111">
        <f>Table1123457[[#This Row],[M (KN.mm)]]/(Table1123457[[#This Row],[b (mm)]]*Table1123457[[#This Row],[h (mm)]]*Table1123457[[#This Row],[L(mm)]])</f>
        <v>2.7118738318987078E-4</v>
      </c>
      <c r="P6" s="111">
        <f>Table1123457[[#This Row],[M (KN.mm)]]/(Table1123457[[#This Row],[b (mm)]]*Table1123457[[#This Row],[d (mm)]]*Table1123457[[#This Row],[L(mm)]])</f>
        <v>2.975363756613757E-4</v>
      </c>
      <c r="Q6" s="111">
        <f>Table1123457[[#This Row],[M (KN.mm)]]/(Table1123457[[#This Row],[b (mm)]]*Table1123457[[#This Row],[h (mm)]]*Table1123457[[#This Row],[L(mm)]]*Table1123457[[#This Row],[fc (Mpa)]])</f>
        <v>4.2373028623417309E-6</v>
      </c>
      <c r="R6" s="111">
        <f>Table1123457[[#This Row],[M (KN.mm)]]/(Table1123457[[#This Row],[b (mm)]]*Table1123457[[#This Row],[h (mm)]]*Table1123457[[#This Row],[L(mm)]]/2)</f>
        <v>5.4237476637974155E-4</v>
      </c>
      <c r="S6" s="111">
        <f>Table1123457[[#This Row],[M (KN.mm)]]/(Table1123457[[#This Row],[a (mm)]]*Table1123457[[#This Row],[b (mm)]]*Table1123457[[#This Row],[h (mm)]]*Table1123457[[#This Row],[L(mm)]]/2)</f>
        <v>2.0071599673589724E-7</v>
      </c>
      <c r="T6" s="111">
        <f>Table1123457[[#This Row],[M (KN.mm)]]/(Table1123457[[#This Row],[a (mm)]]^2*Table1123457[[#This Row],[b (mm)]]*Table1123457[[#This Row],[h (mm)]])</f>
        <v>2.0055258351969593E-7</v>
      </c>
      <c r="U6" s="111">
        <f>Table1123457[[#This Row],[M (KN.mm)]]/(Table1123457[[#This Row],[b (mm)]]*Table1123457[[#This Row],[d (mm)]]*Table1123457[[#This Row],[pho (%)]])</f>
        <v>2.1140742481203008</v>
      </c>
      <c r="V6" s="111">
        <f>E6*224.8/(2*SQRT(Table1123457[[#This Row],[fc (Mpa)]]*145.037)*Table1123457[[#This Row],[b (mm)]]*Table1123457[[#This Row],[d (mm)]]*(1/25.4)^2)</f>
        <v>0.44752849419799012</v>
      </c>
      <c r="W6" s="111">
        <f>Table1123457[[#This Row],[M (KN.mm)]]/$G$8</f>
        <v>0.89767131760528873</v>
      </c>
      <c r="X6" s="111">
        <f>Table1123457[[#This Row],[V/(2*sqrt(fc) bd)]]</f>
        <v>0.44752849419799012</v>
      </c>
      <c r="Y6" s="111">
        <f>Table1123457[[#This Row],[a (mm)]]</f>
        <v>2702.2000000000003</v>
      </c>
      <c r="Z6" s="111">
        <f>Table1123457[[#This Row],[width]]*Table1123457[[#This Row],[h]]^2</f>
        <v>2036210400</v>
      </c>
      <c r="AA6" s="111">
        <f>Table1123457[[#This Row],[b (mm)]]</f>
        <v>2016</v>
      </c>
      <c r="AB6" s="111">
        <f>Table1123457[[#This Row],[a (mm)]]/Table1123457[[#This Row],[h (mm)]]</f>
        <v>2.688756218905473</v>
      </c>
      <c r="AC6" s="111">
        <f>Table1123457[[#This Row],[h (mm)]]</f>
        <v>1005</v>
      </c>
      <c r="AD6" s="111">
        <f>2.95*Table1123457[[#This Row],[d (mm)]]</f>
        <v>2702.2000000000003</v>
      </c>
      <c r="AE6" s="111">
        <v>916</v>
      </c>
      <c r="AF6" s="111">
        <v>1005</v>
      </c>
      <c r="AG6" s="111">
        <v>2016</v>
      </c>
      <c r="AH6" s="7">
        <v>64</v>
      </c>
      <c r="AI6" s="111">
        <f>Table1123457[[#This Row],[pho (%)]]*Table1123457[[#This Row],[b (mm)]]*Table1123457[[#This Row],[h (mm)]]/100</f>
        <v>15398.208000000001</v>
      </c>
      <c r="AJ6" s="111">
        <v>0.76</v>
      </c>
      <c r="AK6" s="111">
        <v>525</v>
      </c>
      <c r="AL6" s="111">
        <f>(1/3-0.21*(MIN(Table1123457[[#This Row],[b (mm)]],AF6)/MAX(Table1123457[[#This Row],[b (mm)]],AF6))*(MIN(Table1123457[[#This Row],[b (mm)]],AF6)^4/(12*MAX(Table1123457[[#This Row],[b (mm)]],AF6)^4)))*MAX(Table1123457[[#This Row],[b (mm)]],AF6)*MIN(Table1123457[[#This Row],[b (mm)]],AF6)^3</f>
        <v>681027918417.11316</v>
      </c>
      <c r="AM6" s="111">
        <f>Table1123457[[#This Row],[b (mm)]]*AF6^3/12</f>
        <v>170532621000</v>
      </c>
      <c r="AN6" s="111">
        <v>5400</v>
      </c>
      <c r="AP6" s="126" t="s">
        <v>16</v>
      </c>
      <c r="AQ6" s="107">
        <f>AQ5/(2*(1+0.15))</f>
        <v>11450.774071786596</v>
      </c>
      <c r="AU6" s="367">
        <v>2196</v>
      </c>
      <c r="AV6" s="2">
        <f t="shared" si="4"/>
        <v>1098</v>
      </c>
    </row>
    <row r="7" spans="1:48" x14ac:dyDescent="0.3">
      <c r="A7" s="143" t="s">
        <v>141</v>
      </c>
      <c r="B7" s="143">
        <v>9</v>
      </c>
      <c r="C7" s="185">
        <v>6</v>
      </c>
      <c r="D7" s="185">
        <f>Table1123457[[#This Row],[a (mm)]]/Table1123457[[#This Row],[d (mm)]]</f>
        <v>2.95</v>
      </c>
      <c r="E7" s="226">
        <v>1143</v>
      </c>
      <c r="F7" s="137">
        <f>Table1123457[[#This Row],[d (mm)]]</f>
        <v>917</v>
      </c>
      <c r="G7" s="111">
        <f t="shared" si="3"/>
        <v>3091986.45</v>
      </c>
      <c r="H7" s="111">
        <f t="shared" si="0"/>
        <v>6.8844211963548642E-7</v>
      </c>
      <c r="I7" s="111">
        <f>G7/(Table1123457[[#This Row],[b (mm)]]*Table1123457[[#This Row],[h]]^2)</f>
        <v>1.5185004702853891E-3</v>
      </c>
      <c r="J7" s="111">
        <f t="shared" si="1"/>
        <v>0.41709862787744056</v>
      </c>
      <c r="K7" s="111">
        <f t="shared" si="2"/>
        <v>5.3450486978502137E-8</v>
      </c>
      <c r="L7" s="111">
        <f>E7/(Table1123457[[#This Row],[b (mm)]]*AE7)</f>
        <v>6.1828166381056244E-4</v>
      </c>
      <c r="M7" s="111">
        <f>Table1123457[[#This Row],[M (KN.mm)]]/(Table1123457[[#This Row],[b (mm)]]*Table1123457[[#This Row],[d (mm)]])</f>
        <v>1.6725446428571429</v>
      </c>
      <c r="N7" s="111">
        <f>Table1123457[[#This Row],[M (KN.mm)]]/(Table1123457[[#This Row],[b (mm)]]*Table1123457[[#This Row],[h (mm)]])</f>
        <v>1.526092972636816</v>
      </c>
      <c r="O7" s="111">
        <f>Table1123457[[#This Row],[M (KN.mm)]]/(Table1123457[[#This Row],[b (mm)]]*Table1123457[[#This Row],[h (mm)]]*Table1123457[[#This Row],[L(mm)]])</f>
        <v>2.8260980974755852E-4</v>
      </c>
      <c r="P7" s="111">
        <f>Table1123457[[#This Row],[M (KN.mm)]]/(Table1123457[[#This Row],[b (mm)]]*Table1123457[[#This Row],[d (mm)]]*Table1123457[[#This Row],[L(mm)]])</f>
        <v>3.0973048941798946E-4</v>
      </c>
      <c r="Q7" s="111">
        <f>Table1123457[[#This Row],[M (KN.mm)]]/(Table1123457[[#This Row],[b (mm)]]*Table1123457[[#This Row],[h (mm)]]*Table1123457[[#This Row],[L(mm)]]*Table1123457[[#This Row],[fc (Mpa)]])</f>
        <v>4.4157782773056019E-6</v>
      </c>
      <c r="R7" s="111">
        <f>Table1123457[[#This Row],[M (KN.mm)]]/(Table1123457[[#This Row],[b (mm)]]*Table1123457[[#This Row],[h (mm)]]*Table1123457[[#This Row],[L(mm)]]/2)</f>
        <v>5.6521961949511704E-4</v>
      </c>
      <c r="S7" s="111">
        <f>Table1123457[[#This Row],[M (KN.mm)]]/(Table1123457[[#This Row],[a (mm)]]*Table1123457[[#This Row],[b (mm)]]*Table1123457[[#This Row],[h (mm)]]*Table1123457[[#This Row],[L(mm)]]/2)</f>
        <v>2.0894206217589304E-7</v>
      </c>
      <c r="T7" s="111">
        <f>Table1123457[[#This Row],[M (KN.mm)]]/(Table1123457[[#This Row],[a (mm)]]^2*Table1123457[[#This Row],[b (mm)]]*Table1123457[[#This Row],[h (mm)]])</f>
        <v>2.0854428326522045E-7</v>
      </c>
      <c r="U7" s="111">
        <f>Table1123457[[#This Row],[M (KN.mm)]]/(Table1123457[[#This Row],[b (mm)]]*Table1123457[[#This Row],[d (mm)]]*Table1123457[[#This Row],[pho (%)]])</f>
        <v>2.2007166353383458</v>
      </c>
      <c r="V7" s="111">
        <f>E7*224.8/(2*SQRT(Table1123457[[#This Row],[fc (Mpa)]]*145.037)*Table1123457[[#This Row],[b (mm)]]*Table1123457[[#This Row],[d (mm)]]*(1/25.4)^2)</f>
        <v>0.4653617890398179</v>
      </c>
      <c r="W7" s="111">
        <f>Table1123457[[#This Row],[M (KN.mm)]]/$G$8</f>
        <v>0.93548127977122841</v>
      </c>
      <c r="X7" s="111">
        <f>Table1123457[[#This Row],[V/(2*sqrt(fc) bd)]]</f>
        <v>0.4653617890398179</v>
      </c>
      <c r="Y7" s="111">
        <f>Table1123457[[#This Row],[a (mm)]]</f>
        <v>2705.15</v>
      </c>
      <c r="Z7" s="111">
        <f>Table1123457[[#This Row],[width]]*Table1123457[[#This Row],[h]]^2</f>
        <v>2036210400</v>
      </c>
      <c r="AA7" s="111">
        <f>Table1123457[[#This Row],[b (mm)]]</f>
        <v>2016</v>
      </c>
      <c r="AB7" s="111">
        <f>Table1123457[[#This Row],[a (mm)]]/Table1123457[[#This Row],[h (mm)]]</f>
        <v>2.6916915422885572</v>
      </c>
      <c r="AC7" s="111">
        <f>Table1123457[[#This Row],[h (mm)]]</f>
        <v>1005</v>
      </c>
      <c r="AD7" s="111">
        <f>2.95*Table1123457[[#This Row],[d (mm)]]</f>
        <v>2705.15</v>
      </c>
      <c r="AE7" s="111">
        <v>917</v>
      </c>
      <c r="AF7" s="111">
        <v>1005</v>
      </c>
      <c r="AG7" s="111">
        <v>2016</v>
      </c>
      <c r="AH7" s="7">
        <v>64</v>
      </c>
      <c r="AI7" s="111">
        <f>Table1123457[[#This Row],[pho (%)]]*Table1123457[[#This Row],[b (mm)]]*Table1123457[[#This Row],[h (mm)]]/100</f>
        <v>15398.208000000001</v>
      </c>
      <c r="AJ7" s="111">
        <v>0.76</v>
      </c>
      <c r="AK7" s="111">
        <v>525</v>
      </c>
      <c r="AL7" s="111">
        <f>(1/3-0.21*(MIN(Table1123457[[#This Row],[b (mm)]],AF7)/MAX(Table1123457[[#This Row],[b (mm)]],AF7))*(MIN(Table1123457[[#This Row],[b (mm)]],AF7)^4/(12*MAX(Table1123457[[#This Row],[b (mm)]],AF7)^4)))*MAX(Table1123457[[#This Row],[b (mm)]],AF7)*MIN(Table1123457[[#This Row],[b (mm)]],AF7)^3</f>
        <v>681027918417.11316</v>
      </c>
      <c r="AM7" s="111">
        <f>Table1123457[[#This Row],[b (mm)]]*AF7^3/12</f>
        <v>170532621000</v>
      </c>
      <c r="AN7" s="111">
        <v>5400</v>
      </c>
      <c r="AP7" s="107"/>
      <c r="AU7" s="367">
        <v>2286</v>
      </c>
      <c r="AV7" s="2">
        <f t="shared" si="4"/>
        <v>1143</v>
      </c>
    </row>
    <row r="8" spans="1:48" x14ac:dyDescent="0.3">
      <c r="A8" s="143" t="s">
        <v>141</v>
      </c>
      <c r="B8" s="233" t="s">
        <v>142</v>
      </c>
      <c r="C8" s="185">
        <v>7</v>
      </c>
      <c r="D8" s="185">
        <f>Table1123457[[#This Row],[a (mm)]]/Table1123457[[#This Row],[d (mm)]]</f>
        <v>2.95</v>
      </c>
      <c r="E8" s="226">
        <v>1220.5</v>
      </c>
      <c r="F8" s="137">
        <f>Table1123457[[#This Row],[d (mm)]]</f>
        <v>918</v>
      </c>
      <c r="G8" s="111">
        <f t="shared" si="3"/>
        <v>3305236.0500000003</v>
      </c>
      <c r="H8" s="111">
        <f t="shared" si="0"/>
        <v>7.3592292493960397E-7</v>
      </c>
      <c r="I8" s="111">
        <f>G8/(Table1123457[[#This Row],[b (mm)]]*Table1123457[[#This Row],[h]]^2)</f>
        <v>1.6232291368318324E-3</v>
      </c>
      <c r="J8" s="111">
        <f t="shared" si="1"/>
        <v>0.44537959345968176</v>
      </c>
      <c r="K8" s="111">
        <f t="shared" si="2"/>
        <v>5.7074645106965752E-8</v>
      </c>
      <c r="L8" s="111">
        <f>E8/(Table1123457[[#This Row],[b (mm)]]*AE8)</f>
        <v>6.5948447280146628E-4</v>
      </c>
      <c r="M8" s="111">
        <f>Table1123457[[#This Row],[M (KN.mm)]]/(Table1123457[[#This Row],[b (mm)]]*Table1123457[[#This Row],[d (mm)]])</f>
        <v>1.785949900793651</v>
      </c>
      <c r="N8" s="111">
        <f>Table1123457[[#This Row],[M (KN.mm)]]/(Table1123457[[#This Row],[b (mm)]]*Table1123457[[#This Row],[h (mm)]])</f>
        <v>1.6313452825159915</v>
      </c>
      <c r="O8" s="111">
        <f>Table1123457[[#This Row],[M (KN.mm)]]/(Table1123457[[#This Row],[b (mm)]]*Table1123457[[#This Row],[h (mm)]]*Table1123457[[#This Row],[L(mm)]])</f>
        <v>3.0210097824370216E-4</v>
      </c>
      <c r="P8" s="111">
        <f>Table1123457[[#This Row],[M (KN.mm)]]/(Table1123457[[#This Row],[b (mm)]]*Table1123457[[#This Row],[d (mm)]]*Table1123457[[#This Row],[L(mm)]])</f>
        <v>3.3073146310993534E-4</v>
      </c>
      <c r="Q8" s="111">
        <f>Table1123457[[#This Row],[M (KN.mm)]]/(Table1123457[[#This Row],[b (mm)]]*Table1123457[[#This Row],[h (mm)]]*Table1123457[[#This Row],[L(mm)]]*Table1123457[[#This Row],[fc (Mpa)]])</f>
        <v>4.7203277850578462E-6</v>
      </c>
      <c r="R8" s="111">
        <f>Table1123457[[#This Row],[M (KN.mm)]]/(Table1123457[[#This Row],[b (mm)]]*Table1123457[[#This Row],[h (mm)]]*Table1123457[[#This Row],[L(mm)]]/2)</f>
        <v>6.0420195648740432E-4</v>
      </c>
      <c r="S8" s="111">
        <f>Table1123457[[#This Row],[M (KN.mm)]]/(Table1123457[[#This Row],[a (mm)]]*Table1123457[[#This Row],[b (mm)]]*Table1123457[[#This Row],[h (mm)]]*Table1123457[[#This Row],[L(mm)]]/2)</f>
        <v>2.2310917487810798E-7</v>
      </c>
      <c r="T8" s="111">
        <f>Table1123457[[#This Row],[M (KN.mm)]]/(Table1123457[[#This Row],[a (mm)]]^2*Table1123457[[#This Row],[b (mm)]]*Table1123457[[#This Row],[h (mm)]])</f>
        <v>2.2244184933011757E-7</v>
      </c>
      <c r="U8" s="111">
        <f>Table1123457[[#This Row],[M (KN.mm)]]/(Table1123457[[#This Row],[b (mm)]]*Table1123457[[#This Row],[d (mm)]]*Table1123457[[#This Row],[pho (%)]])</f>
        <v>2.3499340799916459</v>
      </c>
      <c r="V8" s="111">
        <f>E8*224.8/(2*SQRT(Table1123457[[#This Row],[fc (Mpa)]]*145.037)*Table1123457[[#This Row],[b (mm)]]*Table1123457[[#This Row],[d (mm)]]*(1/25.4)^2)</f>
        <v>0.49637388923263198</v>
      </c>
      <c r="W8" s="111">
        <f>Table1123457[[#This Row],[M (KN.mm)]]/$G$8</f>
        <v>1</v>
      </c>
      <c r="X8" s="111">
        <f>Table1123457[[#This Row],[V/(2*sqrt(fc) bd)]]</f>
        <v>0.49637388923263198</v>
      </c>
      <c r="Y8" s="111">
        <f>Table1123457[[#This Row],[a (mm)]]</f>
        <v>2708.1000000000004</v>
      </c>
      <c r="Z8" s="111">
        <f>Table1123457[[#This Row],[width]]*Table1123457[[#This Row],[h]]^2</f>
        <v>2036210400</v>
      </c>
      <c r="AA8" s="111">
        <f>Table1123457[[#This Row],[b (mm)]]</f>
        <v>2016</v>
      </c>
      <c r="AB8" s="111">
        <f>Table1123457[[#This Row],[a (mm)]]/Table1123457[[#This Row],[h (mm)]]</f>
        <v>2.6946268656716423</v>
      </c>
      <c r="AC8" s="111">
        <f>Table1123457[[#This Row],[h (mm)]]</f>
        <v>1005</v>
      </c>
      <c r="AD8" s="111">
        <f>2.95*Table1123457[[#This Row],[d (mm)]]</f>
        <v>2708.1000000000004</v>
      </c>
      <c r="AE8" s="111">
        <v>918</v>
      </c>
      <c r="AF8" s="111">
        <v>1005</v>
      </c>
      <c r="AG8" s="111">
        <v>2016</v>
      </c>
      <c r="AH8" s="7">
        <v>64</v>
      </c>
      <c r="AI8" s="111">
        <f>Table1123457[[#This Row],[pho (%)]]*Table1123457[[#This Row],[b (mm)]]*Table1123457[[#This Row],[h (mm)]]/100</f>
        <v>15398.208000000001</v>
      </c>
      <c r="AJ8" s="111">
        <v>0.76</v>
      </c>
      <c r="AK8" s="111">
        <v>525</v>
      </c>
      <c r="AL8" s="111">
        <f>(1/3-0.21*(MIN(Table1123457[[#This Row],[b (mm)]],AF8)/MAX(Table1123457[[#This Row],[b (mm)]],AF8))*(MIN(Table1123457[[#This Row],[b (mm)]],AF8)^4/(12*MAX(Table1123457[[#This Row],[b (mm)]],AF8)^4)))*MAX(Table1123457[[#This Row],[b (mm)]],AF8)*MIN(Table1123457[[#This Row],[b (mm)]],AF8)^3</f>
        <v>681027918417.11316</v>
      </c>
      <c r="AM8" s="111">
        <f>Table1123457[[#This Row],[b (mm)]]*AF8^3/12</f>
        <v>170532621000</v>
      </c>
      <c r="AN8" s="111">
        <v>5400</v>
      </c>
      <c r="AP8" s="107"/>
      <c r="AU8" s="367">
        <v>2441</v>
      </c>
      <c r="AV8" s="2">
        <f t="shared" si="4"/>
        <v>1220.5</v>
      </c>
    </row>
    <row r="9" spans="1:48" x14ac:dyDescent="0.3">
      <c r="A9" s="234" t="s">
        <v>143</v>
      </c>
      <c r="B9" s="234">
        <v>1</v>
      </c>
      <c r="C9" s="185">
        <v>8</v>
      </c>
      <c r="D9" s="185">
        <f>Table1123457[[#This Row],[a (mm)]]/Table1123457[[#This Row],[d (mm)]]</f>
        <v>2.95</v>
      </c>
      <c r="E9" s="235">
        <v>28.3</v>
      </c>
      <c r="F9" s="137">
        <f>Table1123457[[#This Row],[d (mm)]]</f>
        <v>437</v>
      </c>
      <c r="G9" s="111">
        <f t="shared" si="3"/>
        <v>36482.945000000007</v>
      </c>
      <c r="H9" s="111">
        <f t="shared" si="0"/>
        <v>6.4454006083693439E-7</v>
      </c>
      <c r="I9" s="111">
        <f>G9/(Table1123457[[#This Row],[b (mm)]]*Table1123457[[#This Row],[h]]^2)</f>
        <v>6.6344388323384608E-4</v>
      </c>
      <c r="J9" s="111">
        <f t="shared" si="1"/>
        <v>0.14822286471068324</v>
      </c>
      <c r="K9" s="111">
        <f t="shared" si="2"/>
        <v>3.6980053329458945E-7</v>
      </c>
      <c r="L9" s="111">
        <f>E9/(Table1123457[[#This Row],[b (mm)]]*AE9)</f>
        <v>2.5903890160183069E-4</v>
      </c>
      <c r="M9" s="111">
        <f>Table1123457[[#This Row],[M (KN.mm)]]/(Table1123457[[#This Row],[b (mm)]]*Table1123457[[#This Row],[d (mm)]])</f>
        <v>0.33394000000000007</v>
      </c>
      <c r="N9" s="111">
        <f>Table1123457[[#This Row],[M (KN.mm)]]/(Table1123457[[#This Row],[b (mm)]]*Table1123457[[#This Row],[h (mm)]])</f>
        <v>0.31115518123667385</v>
      </c>
      <c r="O9" s="111">
        <f>Table1123457[[#This Row],[M (KN.mm)]]/(Table1123457[[#This Row],[b (mm)]]*Table1123457[[#This Row],[h (mm)]]*Table1123457[[#This Row],[L(mm)]])</f>
        <v>1.1967506970641301E-4</v>
      </c>
      <c r="P9" s="111">
        <f>Table1123457[[#This Row],[M (KN.mm)]]/(Table1123457[[#This Row],[b (mm)]]*Table1123457[[#This Row],[d (mm)]]*Table1123457[[#This Row],[L(mm)]])</f>
        <v>1.2843846153846156E-4</v>
      </c>
      <c r="Q9" s="111">
        <f>Table1123457[[#This Row],[M (KN.mm)]]/(Table1123457[[#This Row],[b (mm)]]*Table1123457[[#This Row],[h (mm)]]*Table1123457[[#This Row],[L(mm)]]*Table1123457[[#This Row],[fc (Mpa)]])</f>
        <v>3.1744050320003453E-6</v>
      </c>
      <c r="R9" s="111">
        <f>Table1123457[[#This Row],[M (KN.mm)]]/(Table1123457[[#This Row],[b (mm)]]*Table1123457[[#This Row],[h (mm)]]*Table1123457[[#This Row],[L(mm)]]/2)</f>
        <v>2.3935013941282603E-4</v>
      </c>
      <c r="S9" s="111">
        <f>Table1123457[[#This Row],[M (KN.mm)]]/(Table1123457[[#This Row],[a (mm)]]*Table1123457[[#This Row],[b (mm)]]*Table1123457[[#This Row],[h (mm)]]*Table1123457[[#This Row],[L(mm)]]/2)</f>
        <v>1.8566508118746929E-7</v>
      </c>
      <c r="T9" s="111">
        <f>Table1123457[[#This Row],[M (KN.mm)]]/(Table1123457[[#This Row],[a (mm)]]^2*Table1123457[[#This Row],[b (mm)]]*Table1123457[[#This Row],[h (mm)]])</f>
        <v>1.8722771248009155E-7</v>
      </c>
      <c r="U9" s="111">
        <f>Table1123457[[#This Row],[M (KN.mm)]]/(Table1123457[[#This Row],[b (mm)]]*Table1123457[[#This Row],[d (mm)]]*Table1123457[[#This Row],[pho (%)]])</f>
        <v>0.36496174863387987</v>
      </c>
      <c r="V9" s="111">
        <f>E9*224.8/(2*SQRT(Table1123457[[#This Row],[fc (Mpa)]]*145.037)*Table1123457[[#This Row],[b (mm)]]*Table1123457[[#This Row],[d (mm)]]*(1/25.4)^2)</f>
        <v>0.2540321332342847</v>
      </c>
      <c r="W9" s="111">
        <f>Table1123457[[#This Row],[M (KN.mm)]]/$G$15</f>
        <v>0.24716157205240177</v>
      </c>
      <c r="X9" s="111">
        <f>Table1123457[[#This Row],[V/(2*sqrt(fc) bd)]]</f>
        <v>0.2540321332342847</v>
      </c>
      <c r="Y9" s="111">
        <f>Table1123457[[#This Row],[a (mm)]]</f>
        <v>1289.1500000000001</v>
      </c>
      <c r="Z9" s="111">
        <f>Table1123457[[#This Row],[width]]*Table1123457[[#This Row],[h]]^2</f>
        <v>54990250</v>
      </c>
      <c r="AA9" s="111">
        <f>Table1123457[[#This Row],[b (mm)]]</f>
        <v>250</v>
      </c>
      <c r="AB9" s="111">
        <f>Table1123457[[#This Row],[a (mm)]]/Table1123457[[#This Row],[h (mm)]]</f>
        <v>2.7487206823027721</v>
      </c>
      <c r="AC9" s="111">
        <f>Table1123457[[#This Row],[h (mm)]]</f>
        <v>469</v>
      </c>
      <c r="AD9" s="111">
        <f>2.95*Table1123457[[#This Row],[d (mm)]]</f>
        <v>1289.1500000000001</v>
      </c>
      <c r="AE9" s="111">
        <v>437</v>
      </c>
      <c r="AF9" s="111">
        <v>469</v>
      </c>
      <c r="AG9" s="111">
        <v>250</v>
      </c>
      <c r="AH9" s="7">
        <v>37.700000000000003</v>
      </c>
      <c r="AI9" s="111">
        <f>Table1123457[[#This Row],[pho (%)]]*Table1123457[[#This Row],[b (mm)]]*Table1123457[[#This Row],[h (mm)]]/100</f>
        <v>1072.8375000000001</v>
      </c>
      <c r="AJ9" s="111">
        <v>0.91500000000000004</v>
      </c>
      <c r="AK9" s="111">
        <v>525</v>
      </c>
      <c r="AL9" s="111">
        <f>(1/3-0.21*(MIN(Table1123457[[#This Row],[b (mm)]],AF9)/MAX(Table1123457[[#This Row],[b (mm)]],AF9))*(MIN(Table1123457[[#This Row],[b (mm)]],AF9)^4/(12*MAX(Table1123457[[#This Row],[b (mm)]],AF9)^4)))*MAX(Table1123457[[#This Row],[b (mm)]],AF9)*MIN(Table1123457[[#This Row],[b (mm)]],AF9)^3</f>
        <v>2437189252.5972867</v>
      </c>
      <c r="AM9" s="111">
        <f>Table1123457[[#This Row],[b (mm)]]*AF9^3/12</f>
        <v>2149202270.8333335</v>
      </c>
      <c r="AN9" s="111">
        <v>2600</v>
      </c>
      <c r="AP9" s="107"/>
      <c r="AU9" s="370">
        <v>56.6</v>
      </c>
      <c r="AV9" s="2">
        <f t="shared" si="4"/>
        <v>28.3</v>
      </c>
    </row>
    <row r="10" spans="1:48" ht="12.75" customHeight="1" x14ac:dyDescent="0.3">
      <c r="A10" s="234" t="s">
        <v>143</v>
      </c>
      <c r="B10" s="234">
        <v>2</v>
      </c>
      <c r="C10" s="185">
        <v>9</v>
      </c>
      <c r="D10" s="185">
        <f>Table1123457[[#This Row],[a (mm)]]/Table1123457[[#This Row],[d (mm)]]</f>
        <v>2.95</v>
      </c>
      <c r="E10" s="235">
        <v>51</v>
      </c>
      <c r="F10" s="137">
        <f>Table1123457[[#This Row],[d (mm)]]</f>
        <v>437</v>
      </c>
      <c r="G10" s="111">
        <f t="shared" si="3"/>
        <v>65746.650000000009</v>
      </c>
      <c r="H10" s="111">
        <f t="shared" si="0"/>
        <v>1.1615386255365247E-6</v>
      </c>
      <c r="I10" s="111">
        <f>G10/(Table1123457[[#This Row],[b (mm)]]*Table1123457[[#This Row],[h]]^2)</f>
        <v>1.1956055846263657E-3</v>
      </c>
      <c r="J10" s="111">
        <f t="shared" si="1"/>
        <v>0.26711540990264471</v>
      </c>
      <c r="K10" s="111">
        <f t="shared" si="2"/>
        <v>6.664249893294721E-7</v>
      </c>
      <c r="L10" s="111">
        <f>E10/(Table1123457[[#This Row],[b (mm)]]*AE10)</f>
        <v>4.6681922196796337E-4</v>
      </c>
      <c r="M10" s="111">
        <f>Table1123457[[#This Row],[M (KN.mm)]]/(Table1123457[[#This Row],[b (mm)]]*Table1123457[[#This Row],[d (mm)]])</f>
        <v>0.60180000000000011</v>
      </c>
      <c r="N10" s="111">
        <f>Table1123457[[#This Row],[M (KN.mm)]]/(Table1123457[[#This Row],[b (mm)]]*Table1123457[[#This Row],[h (mm)]])</f>
        <v>0.56073901918976554</v>
      </c>
      <c r="O10" s="111">
        <f>Table1123457[[#This Row],[M (KN.mm)]]/(Table1123457[[#This Row],[b (mm)]]*Table1123457[[#This Row],[h (mm)]]*Table1123457[[#This Row],[L(mm)]])</f>
        <v>2.156688535345252E-4</v>
      </c>
      <c r="P10" s="111">
        <f>Table1123457[[#This Row],[M (KN.mm)]]/(Table1123457[[#This Row],[b (mm)]]*Table1123457[[#This Row],[d (mm)]]*Table1123457[[#This Row],[L(mm)]])</f>
        <v>2.3146153846153849E-4</v>
      </c>
      <c r="Q10" s="111">
        <f>Table1123457[[#This Row],[M (KN.mm)]]/(Table1123457[[#This Row],[b (mm)]]*Table1123457[[#This Row],[h (mm)]]*Table1123457[[#This Row],[L(mm)]]*Table1123457[[#This Row],[fc (Mpa)]])</f>
        <v>5.7206592449476182E-6</v>
      </c>
      <c r="R10" s="111">
        <f>Table1123457[[#This Row],[M (KN.mm)]]/(Table1123457[[#This Row],[b (mm)]]*Table1123457[[#This Row],[h (mm)]]*Table1123457[[#This Row],[L(mm)]]/2)</f>
        <v>4.313377070690504E-4</v>
      </c>
      <c r="S10" s="111">
        <f>Table1123457[[#This Row],[M (KN.mm)]]/(Table1123457[[#This Row],[a (mm)]]*Table1123457[[#This Row],[b (mm)]]*Table1123457[[#This Row],[h (mm)]]*Table1123457[[#This Row],[L(mm)]]/2)</f>
        <v>3.345907823519764E-7</v>
      </c>
      <c r="T10" s="111">
        <f>Table1123457[[#This Row],[M (KN.mm)]]/(Table1123457[[#This Row],[a (mm)]]^2*Table1123457[[#This Row],[b (mm)]]*Table1123457[[#This Row],[h (mm)]])</f>
        <v>3.3740683167790349E-7</v>
      </c>
      <c r="U10" s="111">
        <f>Table1123457[[#This Row],[M (KN.mm)]]/(Table1123457[[#This Row],[b (mm)]]*Table1123457[[#This Row],[d (mm)]]*Table1123457[[#This Row],[pho (%)]])</f>
        <v>0.65770491803278697</v>
      </c>
      <c r="V10" s="111">
        <f>E10*224.8/(2*SQRT(Table1123457[[#This Row],[fc (Mpa)]]*145.037)*Table1123457[[#This Row],[b (mm)]]*Table1123457[[#This Row],[d (mm)]]*(1/25.4)^2)</f>
        <v>0.45779642384977104</v>
      </c>
      <c r="W10" s="111">
        <f>Table1123457[[#This Row],[M (KN.mm)]]/$G$15</f>
        <v>0.44541484716157204</v>
      </c>
      <c r="X10" s="111">
        <f>Table1123457[[#This Row],[V/(2*sqrt(fc) bd)]]</f>
        <v>0.45779642384977104</v>
      </c>
      <c r="Y10" s="111">
        <f>Table1123457[[#This Row],[a (mm)]]</f>
        <v>1289.1500000000001</v>
      </c>
      <c r="Z10" s="111">
        <f>Table1123457[[#This Row],[width]]*Table1123457[[#This Row],[h]]^2</f>
        <v>54990250</v>
      </c>
      <c r="AA10" s="111">
        <f>Table1123457[[#This Row],[b (mm)]]</f>
        <v>250</v>
      </c>
      <c r="AB10" s="111">
        <f>Table1123457[[#This Row],[a (mm)]]/Table1123457[[#This Row],[h (mm)]]</f>
        <v>2.7487206823027721</v>
      </c>
      <c r="AC10" s="111">
        <f>Table1123457[[#This Row],[h (mm)]]</f>
        <v>469</v>
      </c>
      <c r="AD10" s="111">
        <f>2.95*Table1123457[[#This Row],[d (mm)]]</f>
        <v>1289.1500000000001</v>
      </c>
      <c r="AE10" s="111">
        <v>437</v>
      </c>
      <c r="AF10" s="111">
        <v>469</v>
      </c>
      <c r="AG10" s="111">
        <v>250</v>
      </c>
      <c r="AH10" s="7">
        <v>37.700000000000003</v>
      </c>
      <c r="AI10" s="111">
        <f>Table1123457[[#This Row],[pho (%)]]*Table1123457[[#This Row],[b (mm)]]*Table1123457[[#This Row],[h (mm)]]/100</f>
        <v>1072.8375000000001</v>
      </c>
      <c r="AJ10" s="111">
        <v>0.91500000000000004</v>
      </c>
      <c r="AK10" s="111">
        <v>525</v>
      </c>
      <c r="AL10" s="111">
        <f>(1/3-0.21*(MIN(Table1123457[[#This Row],[b (mm)]],AF10)/MAX(Table1123457[[#This Row],[b (mm)]],AF10))*(MIN(Table1123457[[#This Row],[b (mm)]],AF10)^4/(12*MAX(Table1123457[[#This Row],[b (mm)]],AF10)^4)))*MAX(Table1123457[[#This Row],[b (mm)]],AF10)*MIN(Table1123457[[#This Row],[b (mm)]],AF10)^3</f>
        <v>2437189252.5972867</v>
      </c>
      <c r="AM10" s="111">
        <f>Table1123457[[#This Row],[b (mm)]]*AF10^3/12</f>
        <v>2149202270.8333335</v>
      </c>
      <c r="AN10" s="111">
        <v>2600</v>
      </c>
      <c r="AP10" s="107"/>
      <c r="AU10" s="370">
        <v>102</v>
      </c>
      <c r="AV10" s="2">
        <f t="shared" si="4"/>
        <v>51</v>
      </c>
    </row>
    <row r="11" spans="1:48" x14ac:dyDescent="0.3">
      <c r="A11" s="234" t="s">
        <v>143</v>
      </c>
      <c r="B11" s="234">
        <v>3</v>
      </c>
      <c r="C11" s="185">
        <v>10</v>
      </c>
      <c r="D11" s="185">
        <f>Table1123457[[#This Row],[a (mm)]]/Table1123457[[#This Row],[d (mm)]]</f>
        <v>2.95</v>
      </c>
      <c r="E11" s="235">
        <v>76</v>
      </c>
      <c r="F11" s="137">
        <f>Table1123457[[#This Row],[d (mm)]]</f>
        <v>437</v>
      </c>
      <c r="G11" s="111">
        <f t="shared" si="3"/>
        <v>97975.400000000009</v>
      </c>
      <c r="H11" s="111">
        <f t="shared" si="0"/>
        <v>1.7309203047210956E-6</v>
      </c>
      <c r="I11" s="111">
        <f>G11/(Table1123457[[#This Row],[b (mm)]]*Table1123457[[#This Row],[h]]^2)</f>
        <v>1.7816867535608587E-3</v>
      </c>
      <c r="J11" s="111">
        <f t="shared" si="1"/>
        <v>0.39805433632550974</v>
      </c>
      <c r="K11" s="111">
        <f t="shared" si="2"/>
        <v>9.9310390566744856E-7</v>
      </c>
      <c r="L11" s="111">
        <f>E11/(Table1123457[[#This Row],[b (mm)]]*AE11)</f>
        <v>6.9565217391304353E-4</v>
      </c>
      <c r="M11" s="111">
        <f>Table1123457[[#This Row],[M (KN.mm)]]/(Table1123457[[#This Row],[b (mm)]]*Table1123457[[#This Row],[d (mm)]])</f>
        <v>0.89680000000000004</v>
      </c>
      <c r="N11" s="111">
        <f>Table1123457[[#This Row],[M (KN.mm)]]/(Table1123457[[#This Row],[b (mm)]]*Table1123457[[#This Row],[h (mm)]])</f>
        <v>0.83561108742004275</v>
      </c>
      <c r="O11" s="111">
        <f>Table1123457[[#This Row],[M (KN.mm)]]/(Table1123457[[#This Row],[b (mm)]]*Table1123457[[#This Row],[h (mm)]]*Table1123457[[#This Row],[L(mm)]])</f>
        <v>3.2138887977693948E-4</v>
      </c>
      <c r="P11" s="111">
        <f>Table1123457[[#This Row],[M (KN.mm)]]/(Table1123457[[#This Row],[b (mm)]]*Table1123457[[#This Row],[d (mm)]]*Table1123457[[#This Row],[L(mm)]])</f>
        <v>3.4492307692307698E-4</v>
      </c>
      <c r="Q11" s="111">
        <f>Table1123457[[#This Row],[M (KN.mm)]]/(Table1123457[[#This Row],[b (mm)]]*Table1123457[[#This Row],[h (mm)]]*Table1123457[[#This Row],[L(mm)]]*Table1123457[[#This Row],[fc (Mpa)]])</f>
        <v>8.5249039728631172E-6</v>
      </c>
      <c r="R11" s="111">
        <f>Table1123457[[#This Row],[M (KN.mm)]]/(Table1123457[[#This Row],[b (mm)]]*Table1123457[[#This Row],[h (mm)]]*Table1123457[[#This Row],[L(mm)]]/2)</f>
        <v>6.4277775955387897E-4</v>
      </c>
      <c r="S11" s="111">
        <f>Table1123457[[#This Row],[M (KN.mm)]]/(Table1123457[[#This Row],[a (mm)]]*Table1123457[[#This Row],[b (mm)]]*Table1123457[[#This Row],[h (mm)]]*Table1123457[[#This Row],[L(mm)]]/2)</f>
        <v>4.9860587174020017E-7</v>
      </c>
      <c r="T11" s="111">
        <f>Table1123457[[#This Row],[M (KN.mm)]]/(Table1123457[[#This Row],[a (mm)]]^2*Table1123457[[#This Row],[b (mm)]]*Table1123457[[#This Row],[h (mm)]])</f>
        <v>5.0280233740236594E-7</v>
      </c>
      <c r="U11" s="111">
        <f>Table1123457[[#This Row],[M (KN.mm)]]/(Table1123457[[#This Row],[b (mm)]]*Table1123457[[#This Row],[d (mm)]]*Table1123457[[#This Row],[pho (%)]])</f>
        <v>0.98010928961748645</v>
      </c>
      <c r="V11" s="111">
        <f>E11*224.8/(2*SQRT(Table1123457[[#This Row],[fc (Mpa)]]*145.037)*Table1123457[[#This Row],[b (mm)]]*Table1123457[[#This Row],[d (mm)]]*(1/25.4)^2)</f>
        <v>0.68220643554083515</v>
      </c>
      <c r="W11" s="111">
        <f>Table1123457[[#This Row],[M (KN.mm)]]/$G$15</f>
        <v>0.66375545851528384</v>
      </c>
      <c r="X11" s="111">
        <f>Table1123457[[#This Row],[V/(2*sqrt(fc) bd)]]</f>
        <v>0.68220643554083515</v>
      </c>
      <c r="Y11" s="111">
        <f>Table1123457[[#This Row],[a (mm)]]</f>
        <v>1289.1500000000001</v>
      </c>
      <c r="Z11" s="111">
        <f>Table1123457[[#This Row],[width]]*Table1123457[[#This Row],[h]]^2</f>
        <v>54990250</v>
      </c>
      <c r="AA11" s="111">
        <f>Table1123457[[#This Row],[b (mm)]]</f>
        <v>250</v>
      </c>
      <c r="AB11" s="111">
        <f>Table1123457[[#This Row],[a (mm)]]/Table1123457[[#This Row],[h (mm)]]</f>
        <v>2.7487206823027721</v>
      </c>
      <c r="AC11" s="111">
        <f>Table1123457[[#This Row],[h (mm)]]</f>
        <v>469</v>
      </c>
      <c r="AD11" s="111">
        <f>2.95*Table1123457[[#This Row],[d (mm)]]</f>
        <v>1289.1500000000001</v>
      </c>
      <c r="AE11" s="111">
        <v>437</v>
      </c>
      <c r="AF11" s="111">
        <v>469</v>
      </c>
      <c r="AG11" s="111">
        <v>250</v>
      </c>
      <c r="AH11" s="7">
        <v>37.700000000000003</v>
      </c>
      <c r="AI11" s="111">
        <f>Table1123457[[#This Row],[pho (%)]]*Table1123457[[#This Row],[b (mm)]]*Table1123457[[#This Row],[h (mm)]]/100</f>
        <v>1072.8375000000001</v>
      </c>
      <c r="AJ11" s="111">
        <v>0.91500000000000004</v>
      </c>
      <c r="AK11" s="111">
        <v>525</v>
      </c>
      <c r="AL11" s="111">
        <f>(1/3-0.21*(MIN(Table1123457[[#This Row],[b (mm)]],AF11)/MAX(Table1123457[[#This Row],[b (mm)]],AF11))*(MIN(Table1123457[[#This Row],[b (mm)]],AF11)^4/(12*MAX(Table1123457[[#This Row],[b (mm)]],AF11)^4)))*MAX(Table1123457[[#This Row],[b (mm)]],AF11)*MIN(Table1123457[[#This Row],[b (mm)]],AF11)^3</f>
        <v>2437189252.5972867</v>
      </c>
      <c r="AM11" s="111">
        <f>Table1123457[[#This Row],[b (mm)]]*AF11^3/12</f>
        <v>2149202270.8333335</v>
      </c>
      <c r="AN11" s="111">
        <v>2600</v>
      </c>
      <c r="AP11" s="107"/>
      <c r="AU11" s="370">
        <v>152</v>
      </c>
      <c r="AV11" s="2">
        <f t="shared" si="4"/>
        <v>76</v>
      </c>
    </row>
    <row r="12" spans="1:48" ht="17.25" customHeight="1" x14ac:dyDescent="0.3">
      <c r="A12" s="234" t="s">
        <v>143</v>
      </c>
      <c r="B12" s="234">
        <v>4</v>
      </c>
      <c r="C12" s="185">
        <v>11</v>
      </c>
      <c r="D12" s="185">
        <f>Table1123457[[#This Row],[a (mm)]]/Table1123457[[#This Row],[d (mm)]]</f>
        <v>2.95</v>
      </c>
      <c r="E12" s="235">
        <v>89.5</v>
      </c>
      <c r="F12" s="137">
        <f>Table1123457[[#This Row],[d (mm)]]</f>
        <v>437</v>
      </c>
      <c r="G12" s="111">
        <f t="shared" si="3"/>
        <v>115378.925</v>
      </c>
      <c r="H12" s="111">
        <f t="shared" si="0"/>
        <v>2.0383864114807638E-6</v>
      </c>
      <c r="I12" s="111">
        <f>G12/(Table1123457[[#This Row],[b (mm)]]*Table1123457[[#This Row],[h]]^2)</f>
        <v>2.0981705847854847E-3</v>
      </c>
      <c r="J12" s="111">
        <f t="shared" si="1"/>
        <v>0.46876135659385687</v>
      </c>
      <c r="K12" s="111">
        <f t="shared" si="2"/>
        <v>1.1695105204899561E-6</v>
      </c>
      <c r="L12" s="111">
        <f>E12/(Table1123457[[#This Row],[b (mm)]]*AE12)</f>
        <v>8.1922196796338671E-4</v>
      </c>
      <c r="M12" s="111">
        <f>Table1123457[[#This Row],[M (KN.mm)]]/(Table1123457[[#This Row],[b (mm)]]*Table1123457[[#This Row],[d (mm)]])</f>
        <v>1.0561</v>
      </c>
      <c r="N12" s="111">
        <f>Table1123457[[#This Row],[M (KN.mm)]]/(Table1123457[[#This Row],[b (mm)]]*Table1123457[[#This Row],[h (mm)]])</f>
        <v>0.98404200426439237</v>
      </c>
      <c r="O12" s="111">
        <f>Table1123457[[#This Row],[M (KN.mm)]]/(Table1123457[[#This Row],[b (mm)]]*Table1123457[[#This Row],[h (mm)]]*Table1123457[[#This Row],[L(mm)]])</f>
        <v>3.784776939478432E-4</v>
      </c>
      <c r="P12" s="111">
        <f>Table1123457[[#This Row],[M (KN.mm)]]/(Table1123457[[#This Row],[b (mm)]]*Table1123457[[#This Row],[d (mm)]]*Table1123457[[#This Row],[L(mm)]])</f>
        <v>4.0619230769230771E-4</v>
      </c>
      <c r="Q12" s="111">
        <f>Table1123457[[#This Row],[M (KN.mm)]]/(Table1123457[[#This Row],[b (mm)]]*Table1123457[[#This Row],[h (mm)]]*Table1123457[[#This Row],[L(mm)]]*Table1123457[[#This Row],[fc (Mpa)]])</f>
        <v>1.0039196125937487E-5</v>
      </c>
      <c r="R12" s="111">
        <f>Table1123457[[#This Row],[M (KN.mm)]]/(Table1123457[[#This Row],[b (mm)]]*Table1123457[[#This Row],[h (mm)]]*Table1123457[[#This Row],[L(mm)]]/2)</f>
        <v>7.569553878956864E-4</v>
      </c>
      <c r="S12" s="111">
        <f>Table1123457[[#This Row],[M (KN.mm)]]/(Table1123457[[#This Row],[a (mm)]]*Table1123457[[#This Row],[b (mm)]]*Table1123457[[#This Row],[h (mm)]]*Table1123457[[#This Row],[L(mm)]]/2)</f>
        <v>5.8717402000984089E-7</v>
      </c>
      <c r="T12" s="111">
        <f>Table1123457[[#This Row],[M (KN.mm)]]/(Table1123457[[#This Row],[a (mm)]]^2*Table1123457[[#This Row],[b (mm)]]*Table1123457[[#This Row],[h (mm)]])</f>
        <v>5.9211591049357565E-7</v>
      </c>
      <c r="U12" s="111">
        <f>Table1123457[[#This Row],[M (KN.mm)]]/(Table1123457[[#This Row],[b (mm)]]*Table1123457[[#This Row],[d (mm)]]*Table1123457[[#This Row],[pho (%)]])</f>
        <v>1.1542076502732241</v>
      </c>
      <c r="V12" s="111">
        <f>E12*224.8/(2*SQRT(Table1123457[[#This Row],[fc (Mpa)]]*145.037)*Table1123457[[#This Row],[b (mm)]]*Table1123457[[#This Row],[d (mm)]]*(1/25.4)^2)</f>
        <v>0.80338784185401002</v>
      </c>
      <c r="W12" s="111">
        <f>Table1123457[[#This Row],[M (KN.mm)]]/$G$15</f>
        <v>0.78165938864628814</v>
      </c>
      <c r="X12" s="111">
        <f>Table1123457[[#This Row],[V/(2*sqrt(fc) bd)]]</f>
        <v>0.80338784185401002</v>
      </c>
      <c r="Y12" s="111">
        <f>Table1123457[[#This Row],[a (mm)]]</f>
        <v>1289.1500000000001</v>
      </c>
      <c r="Z12" s="111">
        <f>Table1123457[[#This Row],[width]]*Table1123457[[#This Row],[h]]^2</f>
        <v>54990250</v>
      </c>
      <c r="AA12" s="111">
        <f>Table1123457[[#This Row],[b (mm)]]</f>
        <v>250</v>
      </c>
      <c r="AB12" s="111">
        <f>Table1123457[[#This Row],[a (mm)]]/Table1123457[[#This Row],[h (mm)]]</f>
        <v>2.7487206823027721</v>
      </c>
      <c r="AC12" s="111">
        <f>Table1123457[[#This Row],[h (mm)]]</f>
        <v>469</v>
      </c>
      <c r="AD12" s="111">
        <f>2.95*Table1123457[[#This Row],[d (mm)]]</f>
        <v>1289.1500000000001</v>
      </c>
      <c r="AE12" s="111">
        <v>437</v>
      </c>
      <c r="AF12" s="111">
        <v>469</v>
      </c>
      <c r="AG12" s="111">
        <v>250</v>
      </c>
      <c r="AH12" s="7">
        <v>37.700000000000003</v>
      </c>
      <c r="AI12" s="111">
        <f>Table1123457[[#This Row],[pho (%)]]*Table1123457[[#This Row],[b (mm)]]*Table1123457[[#This Row],[h (mm)]]/100</f>
        <v>1072.8375000000001</v>
      </c>
      <c r="AJ12" s="111">
        <v>0.91500000000000004</v>
      </c>
      <c r="AK12" s="111">
        <v>525</v>
      </c>
      <c r="AL12" s="111">
        <f>(1/3-0.21*(MIN(Table1123457[[#This Row],[b (mm)]],AF12)/MAX(Table1123457[[#This Row],[b (mm)]],AF12))*(MIN(Table1123457[[#This Row],[b (mm)]],AF12)^4/(12*MAX(Table1123457[[#This Row],[b (mm)]],AF12)^4)))*MAX(Table1123457[[#This Row],[b (mm)]],AF12)*MIN(Table1123457[[#This Row],[b (mm)]],AF12)^3</f>
        <v>2437189252.5972867</v>
      </c>
      <c r="AM12" s="111">
        <f>Table1123457[[#This Row],[b (mm)]]*AF12^3/12</f>
        <v>2149202270.8333335</v>
      </c>
      <c r="AN12" s="111">
        <v>2600</v>
      </c>
      <c r="AP12" s="107"/>
      <c r="AU12" s="370">
        <v>179</v>
      </c>
      <c r="AV12" s="2">
        <f t="shared" si="4"/>
        <v>89.5</v>
      </c>
    </row>
    <row r="13" spans="1:48" x14ac:dyDescent="0.3">
      <c r="A13" s="234" t="s">
        <v>143</v>
      </c>
      <c r="B13" s="234">
        <v>5</v>
      </c>
      <c r="C13" s="185">
        <v>12</v>
      </c>
      <c r="D13" s="185">
        <f>Table1123457[[#This Row],[a (mm)]]/Table1123457[[#This Row],[d (mm)]]</f>
        <v>2.95</v>
      </c>
      <c r="E13" s="235">
        <v>99.5</v>
      </c>
      <c r="F13" s="137">
        <f>Table1123457[[#This Row],[d (mm)]]</f>
        <v>437</v>
      </c>
      <c r="G13" s="111">
        <f t="shared" si="3"/>
        <v>128270.425</v>
      </c>
      <c r="H13" s="111">
        <f t="shared" si="0"/>
        <v>2.2661390831545922E-6</v>
      </c>
      <c r="I13" s="111">
        <f>G13/(Table1123457[[#This Row],[b (mm)]]*Table1123457[[#This Row],[h]]^2)</f>
        <v>2.3326030523592818E-3</v>
      </c>
      <c r="J13" s="111">
        <f t="shared" si="1"/>
        <v>0.52113692716300286</v>
      </c>
      <c r="K13" s="111">
        <f t="shared" si="2"/>
        <v>1.3001820870251467E-6</v>
      </c>
      <c r="L13" s="111">
        <f>E13/(Table1123457[[#This Row],[b (mm)]]*AE13)</f>
        <v>9.1075514874141878E-4</v>
      </c>
      <c r="M13" s="111">
        <f>Table1123457[[#This Row],[M (KN.mm)]]/(Table1123457[[#This Row],[b (mm)]]*Table1123457[[#This Row],[d (mm)]])</f>
        <v>1.1740999999999999</v>
      </c>
      <c r="N13" s="111">
        <f>Table1123457[[#This Row],[M (KN.mm)]]/(Table1123457[[#This Row],[b (mm)]]*Table1123457[[#This Row],[h (mm)]])</f>
        <v>1.0939908315565032</v>
      </c>
      <c r="O13" s="111">
        <f>Table1123457[[#This Row],[M (KN.mm)]]/(Table1123457[[#This Row],[b (mm)]]*Table1123457[[#This Row],[h (mm)]]*Table1123457[[#This Row],[L(mm)]])</f>
        <v>4.2076570444480894E-4</v>
      </c>
      <c r="P13" s="111">
        <f>Table1123457[[#This Row],[M (KN.mm)]]/(Table1123457[[#This Row],[b (mm)]]*Table1123457[[#This Row],[d (mm)]]*Table1123457[[#This Row],[L(mm)]])</f>
        <v>4.5157692307692309E-4</v>
      </c>
      <c r="Q13" s="111">
        <f>Table1123457[[#This Row],[M (KN.mm)]]/(Table1123457[[#This Row],[b (mm)]]*Table1123457[[#This Row],[h (mm)]]*Table1123457[[#This Row],[L(mm)]]*Table1123457[[#This Row],[fc (Mpa)]])</f>
        <v>1.1160894017103684E-5</v>
      </c>
      <c r="R13" s="111">
        <f>Table1123457[[#This Row],[M (KN.mm)]]/(Table1123457[[#This Row],[b (mm)]]*Table1123457[[#This Row],[h (mm)]]*Table1123457[[#This Row],[L(mm)]]/2)</f>
        <v>8.4153140888961787E-4</v>
      </c>
      <c r="S13" s="111">
        <f>Table1123457[[#This Row],[M (KN.mm)]]/(Table1123457[[#This Row],[a (mm)]]*Table1123457[[#This Row],[b (mm)]]*Table1123457[[#This Row],[h (mm)]]*Table1123457[[#This Row],[L(mm)]]/2)</f>
        <v>6.5278005576513035E-7</v>
      </c>
      <c r="T13" s="111">
        <f>Table1123457[[#This Row],[M (KN.mm)]]/(Table1123457[[#This Row],[a (mm)]]^2*Table1123457[[#This Row],[b (mm)]]*Table1123457[[#This Row],[h (mm)]])</f>
        <v>6.5827411278336065E-7</v>
      </c>
      <c r="U13" s="111">
        <f>Table1123457[[#This Row],[M (KN.mm)]]/(Table1123457[[#This Row],[b (mm)]]*Table1123457[[#This Row],[d (mm)]]*Table1123457[[#This Row],[pho (%)]])</f>
        <v>1.2831693989071038</v>
      </c>
      <c r="V13" s="111">
        <f>E13*224.8/(2*SQRT(Table1123457[[#This Row],[fc (Mpa)]]*145.037)*Table1123457[[#This Row],[b (mm)]]*Table1123457[[#This Row],[d (mm)]]*(1/25.4)^2)</f>
        <v>0.89315184653043567</v>
      </c>
      <c r="W13" s="111">
        <f>Table1123457[[#This Row],[M (KN.mm)]]/$G$15</f>
        <v>0.86899563318777284</v>
      </c>
      <c r="X13" s="111">
        <f>Table1123457[[#This Row],[V/(2*sqrt(fc) bd)]]</f>
        <v>0.89315184653043567</v>
      </c>
      <c r="Y13" s="111">
        <f>Table1123457[[#This Row],[a (mm)]]</f>
        <v>1289.1500000000001</v>
      </c>
      <c r="Z13" s="111">
        <f>Table1123457[[#This Row],[width]]*Table1123457[[#This Row],[h]]^2</f>
        <v>54990250</v>
      </c>
      <c r="AA13" s="111">
        <f>Table1123457[[#This Row],[b (mm)]]</f>
        <v>250</v>
      </c>
      <c r="AB13" s="111">
        <f>Table1123457[[#This Row],[a (mm)]]/Table1123457[[#This Row],[h (mm)]]</f>
        <v>2.7487206823027721</v>
      </c>
      <c r="AC13" s="111">
        <f>Table1123457[[#This Row],[h (mm)]]</f>
        <v>469</v>
      </c>
      <c r="AD13" s="111">
        <f>2.95*Table1123457[[#This Row],[d (mm)]]</f>
        <v>1289.1500000000001</v>
      </c>
      <c r="AE13" s="111">
        <v>437</v>
      </c>
      <c r="AF13" s="111">
        <v>469</v>
      </c>
      <c r="AG13" s="111">
        <v>250</v>
      </c>
      <c r="AH13" s="7">
        <v>37.700000000000003</v>
      </c>
      <c r="AI13" s="111">
        <f>Table1123457[[#This Row],[pho (%)]]*Table1123457[[#This Row],[b (mm)]]*Table1123457[[#This Row],[h (mm)]]/100</f>
        <v>1072.8375000000001</v>
      </c>
      <c r="AJ13" s="111">
        <v>0.91500000000000004</v>
      </c>
      <c r="AK13" s="160">
        <v>525</v>
      </c>
      <c r="AL13" s="111">
        <f>(1/3-0.21*(MIN(Table1123457[[#This Row],[b (mm)]],AF13)/MAX(Table1123457[[#This Row],[b (mm)]],AF13))*(MIN(Table1123457[[#This Row],[b (mm)]],AF13)^4/(12*MAX(Table1123457[[#This Row],[b (mm)]],AF13)^4)))*MAX(Table1123457[[#This Row],[b (mm)]],AF13)*MIN(Table1123457[[#This Row],[b (mm)]],AF13)^3</f>
        <v>2437189252.5972867</v>
      </c>
      <c r="AM13" s="111">
        <f>Table1123457[[#This Row],[b (mm)]]*AF13^3/12</f>
        <v>2149202270.8333335</v>
      </c>
      <c r="AN13" s="111">
        <v>2600</v>
      </c>
      <c r="AP13" s="107"/>
      <c r="AU13" s="370">
        <v>199</v>
      </c>
      <c r="AV13" s="2">
        <f t="shared" si="4"/>
        <v>99.5</v>
      </c>
    </row>
    <row r="14" spans="1:48" x14ac:dyDescent="0.3">
      <c r="A14" s="234" t="s">
        <v>143</v>
      </c>
      <c r="B14" s="234">
        <v>6</v>
      </c>
      <c r="C14" s="185">
        <v>13</v>
      </c>
      <c r="D14" s="185">
        <f>Table1123457[[#This Row],[a (mm)]]/Table1123457[[#This Row],[d (mm)]]</f>
        <v>2.95</v>
      </c>
      <c r="E14" s="235">
        <v>109.5</v>
      </c>
      <c r="F14" s="137">
        <f>Table1123457[[#This Row],[d (mm)]]</f>
        <v>437</v>
      </c>
      <c r="G14" s="111">
        <f t="shared" si="3"/>
        <v>141161.92500000002</v>
      </c>
      <c r="H14" s="111">
        <f t="shared" si="0"/>
        <v>2.493891754828421E-6</v>
      </c>
      <c r="I14" s="111">
        <f>G14/(Table1123457[[#This Row],[b (mm)]]*Table1123457[[#This Row],[h]]^2)</f>
        <v>2.5670355199330793E-3</v>
      </c>
      <c r="J14" s="111">
        <f t="shared" si="1"/>
        <v>0.57351249773214896</v>
      </c>
      <c r="K14" s="111">
        <f t="shared" si="2"/>
        <v>1.4308536535603371E-6</v>
      </c>
      <c r="L14" s="111">
        <f>E14/(Table1123457[[#This Row],[b (mm)]]*AE14)</f>
        <v>1.0022883295194508E-3</v>
      </c>
      <c r="M14" s="111">
        <f>Table1123457[[#This Row],[M (KN.mm)]]/(Table1123457[[#This Row],[b (mm)]]*Table1123457[[#This Row],[d (mm)]])</f>
        <v>1.2921000000000002</v>
      </c>
      <c r="N14" s="111">
        <f>Table1123457[[#This Row],[M (KN.mm)]]/(Table1123457[[#This Row],[b (mm)]]*Table1123457[[#This Row],[h (mm)]])</f>
        <v>1.2039396588486142</v>
      </c>
      <c r="O14" s="111">
        <f>Table1123457[[#This Row],[M (KN.mm)]]/(Table1123457[[#This Row],[b (mm)]]*Table1123457[[#This Row],[h (mm)]]*Table1123457[[#This Row],[L(mm)]])</f>
        <v>4.6305371494177473E-4</v>
      </c>
      <c r="P14" s="111">
        <f>Table1123457[[#This Row],[M (KN.mm)]]/(Table1123457[[#This Row],[b (mm)]]*Table1123457[[#This Row],[d (mm)]]*Table1123457[[#This Row],[L(mm)]])</f>
        <v>4.9696153846153857E-4</v>
      </c>
      <c r="Q14" s="111">
        <f>Table1123457[[#This Row],[M (KN.mm)]]/(Table1123457[[#This Row],[b (mm)]]*Table1123457[[#This Row],[h (mm)]]*Table1123457[[#This Row],[L(mm)]]*Table1123457[[#This Row],[fc (Mpa)]])</f>
        <v>1.2282591908269886E-5</v>
      </c>
      <c r="R14" s="111">
        <f>Table1123457[[#This Row],[M (KN.mm)]]/(Table1123457[[#This Row],[b (mm)]]*Table1123457[[#This Row],[h (mm)]]*Table1123457[[#This Row],[L(mm)]]/2)</f>
        <v>9.2610742988354945E-4</v>
      </c>
      <c r="S14" s="111">
        <f>Table1123457[[#This Row],[M (KN.mm)]]/(Table1123457[[#This Row],[a (mm)]]*Table1123457[[#This Row],[b (mm)]]*Table1123457[[#This Row],[h (mm)]]*Table1123457[[#This Row],[L(mm)]]/2)</f>
        <v>7.1838609152041993E-7</v>
      </c>
      <c r="T14" s="111">
        <f>Table1123457[[#This Row],[M (KN.mm)]]/(Table1123457[[#This Row],[a (mm)]]^2*Table1123457[[#This Row],[b (mm)]]*Table1123457[[#This Row],[h (mm)]])</f>
        <v>7.2443231507314576E-7</v>
      </c>
      <c r="U14" s="111">
        <f>Table1123457[[#This Row],[M (KN.mm)]]/(Table1123457[[#This Row],[b (mm)]]*Table1123457[[#This Row],[d (mm)]]*Table1123457[[#This Row],[pho (%)]])</f>
        <v>1.4121311475409837</v>
      </c>
      <c r="V14" s="111">
        <f>E14*224.8/(2*SQRT(Table1123457[[#This Row],[fc (Mpa)]]*145.037)*Table1123457[[#This Row],[b (mm)]]*Table1123457[[#This Row],[d (mm)]]*(1/25.4)^2)</f>
        <v>0.98291585120686131</v>
      </c>
      <c r="W14" s="111">
        <f>Table1123457[[#This Row],[M (KN.mm)]]/$G$15</f>
        <v>0.95633187772925765</v>
      </c>
      <c r="X14" s="111">
        <f>Table1123457[[#This Row],[V/(2*sqrt(fc) bd)]]</f>
        <v>0.98291585120686131</v>
      </c>
      <c r="Y14" s="111">
        <f>Table1123457[[#This Row],[a (mm)]]</f>
        <v>1289.1500000000001</v>
      </c>
      <c r="Z14" s="111">
        <f>Table1123457[[#This Row],[width]]*Table1123457[[#This Row],[h]]^2</f>
        <v>54990250</v>
      </c>
      <c r="AA14" s="111">
        <f>Table1123457[[#This Row],[b (mm)]]</f>
        <v>250</v>
      </c>
      <c r="AB14" s="111">
        <f>Table1123457[[#This Row],[a (mm)]]/Table1123457[[#This Row],[h (mm)]]</f>
        <v>2.7487206823027721</v>
      </c>
      <c r="AC14" s="111">
        <f>Table1123457[[#This Row],[h (mm)]]</f>
        <v>469</v>
      </c>
      <c r="AD14" s="111">
        <f>2.95*Table1123457[[#This Row],[d (mm)]]</f>
        <v>1289.1500000000001</v>
      </c>
      <c r="AE14" s="111">
        <v>437</v>
      </c>
      <c r="AF14" s="111">
        <v>469</v>
      </c>
      <c r="AG14" s="111">
        <v>250</v>
      </c>
      <c r="AH14" s="7">
        <v>37.700000000000003</v>
      </c>
      <c r="AI14" s="111">
        <f>Table1123457[[#This Row],[pho (%)]]*Table1123457[[#This Row],[b (mm)]]*Table1123457[[#This Row],[h (mm)]]/100</f>
        <v>1072.8375000000001</v>
      </c>
      <c r="AJ14" s="111">
        <v>0.91500000000000004</v>
      </c>
      <c r="AK14" s="160">
        <v>525</v>
      </c>
      <c r="AL14" s="111">
        <f>(1/3-0.21*(MIN(Table1123457[[#This Row],[b (mm)]],AF14)/MAX(Table1123457[[#This Row],[b (mm)]],AF14))*(MIN(Table1123457[[#This Row],[b (mm)]],AF14)^4/(12*MAX(Table1123457[[#This Row],[b (mm)]],AF14)^4)))*MAX(Table1123457[[#This Row],[b (mm)]],AF14)*MIN(Table1123457[[#This Row],[b (mm)]],AF14)^3</f>
        <v>2437189252.5972867</v>
      </c>
      <c r="AM14" s="111">
        <f>Table1123457[[#This Row],[b (mm)]]*AF14^3/12</f>
        <v>2149202270.8333335</v>
      </c>
      <c r="AN14" s="111">
        <v>2600</v>
      </c>
      <c r="AP14" s="107"/>
      <c r="AU14" s="370">
        <v>219</v>
      </c>
      <c r="AV14" s="2">
        <f t="shared" si="4"/>
        <v>109.5</v>
      </c>
    </row>
    <row r="15" spans="1:48" x14ac:dyDescent="0.3">
      <c r="A15" s="234" t="s">
        <v>143</v>
      </c>
      <c r="B15" s="234" t="s">
        <v>142</v>
      </c>
      <c r="C15" s="185">
        <v>14</v>
      </c>
      <c r="D15" s="185">
        <f>Table1123457[[#This Row],[a (mm)]]/Table1123457[[#This Row],[d (mm)]]</f>
        <v>2.95</v>
      </c>
      <c r="E15" s="235">
        <v>114.5</v>
      </c>
      <c r="F15" s="137">
        <f>Table1123457[[#This Row],[d (mm)]]</f>
        <v>437</v>
      </c>
      <c r="G15" s="111">
        <f t="shared" si="3"/>
        <v>147607.67500000002</v>
      </c>
      <c r="H15" s="111">
        <f t="shared" si="0"/>
        <v>2.607768090665335E-6</v>
      </c>
      <c r="I15" s="111">
        <f>G15/(Table1123457[[#This Row],[b (mm)]]*Table1123457[[#This Row],[h]]^2)</f>
        <v>2.6842517537199778E-3</v>
      </c>
      <c r="J15" s="111">
        <f t="shared" si="1"/>
        <v>0.59970028301672196</v>
      </c>
      <c r="K15" s="111">
        <f t="shared" si="2"/>
        <v>1.4961894368279325E-6</v>
      </c>
      <c r="L15" s="111">
        <f>E15/(Table1123457[[#This Row],[b (mm)]]*AE15)</f>
        <v>1.0480549199084668E-3</v>
      </c>
      <c r="M15" s="111">
        <f>Table1123457[[#This Row],[M (KN.mm)]]/(Table1123457[[#This Row],[b (mm)]]*Table1123457[[#This Row],[d (mm)]])</f>
        <v>1.3511000000000002</v>
      </c>
      <c r="N15" s="111">
        <f>Table1123457[[#This Row],[M (KN.mm)]]/(Table1123457[[#This Row],[b (mm)]]*Table1123457[[#This Row],[h (mm)]])</f>
        <v>1.2589140724946697</v>
      </c>
      <c r="O15" s="111">
        <f>Table1123457[[#This Row],[M (KN.mm)]]/(Table1123457[[#This Row],[b (mm)]]*Table1123457[[#This Row],[h (mm)]]*Table1123457[[#This Row],[L(mm)]])</f>
        <v>4.8419772019025754E-4</v>
      </c>
      <c r="P15" s="111">
        <f>Table1123457[[#This Row],[M (KN.mm)]]/(Table1123457[[#This Row],[b (mm)]]*Table1123457[[#This Row],[d (mm)]]*Table1123457[[#This Row],[L(mm)]])</f>
        <v>5.1965384615384623E-4</v>
      </c>
      <c r="Q15" s="111">
        <f>Table1123457[[#This Row],[M (KN.mm)]]/(Table1123457[[#This Row],[b (mm)]]*Table1123457[[#This Row],[h (mm)]]*Table1123457[[#This Row],[L(mm)]]*Table1123457[[#This Row],[fc (Mpa)]])</f>
        <v>1.2843440853852986E-5</v>
      </c>
      <c r="R15" s="111">
        <f>Table1123457[[#This Row],[M (KN.mm)]]/(Table1123457[[#This Row],[b (mm)]]*Table1123457[[#This Row],[h (mm)]]*Table1123457[[#This Row],[L(mm)]]/2)</f>
        <v>9.6839544038051508E-4</v>
      </c>
      <c r="S15" s="111">
        <f>Table1123457[[#This Row],[M (KN.mm)]]/(Table1123457[[#This Row],[a (mm)]]*Table1123457[[#This Row],[b (mm)]]*Table1123457[[#This Row],[h (mm)]]*Table1123457[[#This Row],[L(mm)]]/2)</f>
        <v>7.5118910939806471E-7</v>
      </c>
      <c r="T15" s="111">
        <f>Table1123457[[#This Row],[M (KN.mm)]]/(Table1123457[[#This Row],[a (mm)]]^2*Table1123457[[#This Row],[b (mm)]]*Table1123457[[#This Row],[h (mm)]])</f>
        <v>7.575114162180382E-7</v>
      </c>
      <c r="U15" s="111">
        <f>Table1123457[[#This Row],[M (KN.mm)]]/(Table1123457[[#This Row],[b (mm)]]*Table1123457[[#This Row],[d (mm)]]*Table1123457[[#This Row],[pho (%)]])</f>
        <v>1.4766120218579237</v>
      </c>
      <c r="V15" s="111">
        <f>E15*224.8/(2*SQRT(Table1123457[[#This Row],[fc (Mpa)]]*145.037)*Table1123457[[#This Row],[b (mm)]]*Table1123457[[#This Row],[d (mm)]]*(1/25.4)^2)</f>
        <v>1.0277978535450742</v>
      </c>
      <c r="W15" s="111">
        <f>Table1123457[[#This Row],[M (KN.mm)]]/$G$15</f>
        <v>1</v>
      </c>
      <c r="X15" s="111">
        <f>Table1123457[[#This Row],[V/(2*sqrt(fc) bd)]]</f>
        <v>1.0277978535450742</v>
      </c>
      <c r="Y15" s="111">
        <f>Table1123457[[#This Row],[a (mm)]]</f>
        <v>1289.1500000000001</v>
      </c>
      <c r="Z15" s="111">
        <f>Table1123457[[#This Row],[width]]*Table1123457[[#This Row],[h]]^2</f>
        <v>54990250</v>
      </c>
      <c r="AA15" s="111">
        <f>Table1123457[[#This Row],[b (mm)]]</f>
        <v>250</v>
      </c>
      <c r="AB15" s="111">
        <f>Table1123457[[#This Row],[a (mm)]]/Table1123457[[#This Row],[h (mm)]]</f>
        <v>2.7487206823027721</v>
      </c>
      <c r="AC15" s="111">
        <f>Table1123457[[#This Row],[h (mm)]]</f>
        <v>469</v>
      </c>
      <c r="AD15" s="111">
        <f>2.95*Table1123457[[#This Row],[d (mm)]]</f>
        <v>1289.1500000000001</v>
      </c>
      <c r="AE15" s="111">
        <v>437</v>
      </c>
      <c r="AF15" s="111">
        <v>469</v>
      </c>
      <c r="AG15" s="111">
        <v>250</v>
      </c>
      <c r="AH15" s="7">
        <v>37.700000000000003</v>
      </c>
      <c r="AI15" s="111">
        <f>Table1123457[[#This Row],[pho (%)]]*Table1123457[[#This Row],[b (mm)]]*Table1123457[[#This Row],[h (mm)]]/100</f>
        <v>1072.8375000000001</v>
      </c>
      <c r="AJ15" s="111">
        <v>0.91500000000000004</v>
      </c>
      <c r="AK15" s="160">
        <v>525</v>
      </c>
      <c r="AL15" s="111">
        <f>(1/3-0.21*(MIN(Table1123457[[#This Row],[b (mm)]],AF15)/MAX(Table1123457[[#This Row],[b (mm)]],AF15))*(MIN(Table1123457[[#This Row],[b (mm)]],AF15)^4/(12*MAX(Table1123457[[#This Row],[b (mm)]],AF15)^4)))*MAX(Table1123457[[#This Row],[b (mm)]],AF15)*MIN(Table1123457[[#This Row],[b (mm)]],AF15)^3</f>
        <v>2437189252.5972867</v>
      </c>
      <c r="AM15" s="111">
        <f>Table1123457[[#This Row],[b (mm)]]*AF15^3/12</f>
        <v>2149202270.8333335</v>
      </c>
      <c r="AN15" s="111">
        <v>2600</v>
      </c>
      <c r="AP15" s="107"/>
      <c r="AU15" s="370">
        <v>229</v>
      </c>
      <c r="AV15" s="2">
        <f t="shared" si="4"/>
        <v>114.5</v>
      </c>
    </row>
    <row r="16" spans="1:48" x14ac:dyDescent="0.3">
      <c r="A16" s="236" t="s">
        <v>144</v>
      </c>
      <c r="B16" s="236">
        <v>1</v>
      </c>
      <c r="C16" s="185">
        <v>15</v>
      </c>
      <c r="D16" s="185">
        <f>Table1123457[[#This Row],[a (mm)]]/Table1123457[[#This Row],[d (mm)]]</f>
        <v>2.9500000000000006</v>
      </c>
      <c r="E16" s="237">
        <v>50</v>
      </c>
      <c r="F16" s="137">
        <f>Table1123457[[#This Row],[d (mm)]]</f>
        <v>439</v>
      </c>
      <c r="G16" s="111">
        <f t="shared" si="3"/>
        <v>64752.500000000007</v>
      </c>
      <c r="H16" s="111">
        <f t="shared" si="0"/>
        <v>1.1294639521273108E-6</v>
      </c>
      <c r="I16" s="111">
        <f>G16/(Table1123457[[#This Row],[b (mm)]]*Table1123457[[#This Row],[h]]^2)</f>
        <v>1.1675479284712926E-3</v>
      </c>
      <c r="J16" s="111">
        <f t="shared" si="1"/>
        <v>0.26393888070231009</v>
      </c>
      <c r="K16" s="111">
        <f t="shared" si="2"/>
        <v>6.5055247594639811E-7</v>
      </c>
      <c r="L16" s="111">
        <f>E16/(Table1123457[[#This Row],[b (mm)]]*AE16)</f>
        <v>4.5558086560364467E-4</v>
      </c>
      <c r="M16" s="111">
        <f>Table1123457[[#This Row],[M (KN.mm)]]/(Table1123457[[#This Row],[b (mm)]]*Table1123457[[#This Row],[d (mm)]])</f>
        <v>0.59000000000000008</v>
      </c>
      <c r="N16" s="111">
        <f>Table1123457[[#This Row],[M (KN.mm)]]/(Table1123457[[#This Row],[b (mm)]]*Table1123457[[#This Row],[h (mm)]])</f>
        <v>0.54991507430997888</v>
      </c>
      <c r="O16" s="111">
        <f>Table1123457[[#This Row],[M (KN.mm)]]/(Table1123457[[#This Row],[b (mm)]]*Table1123457[[#This Row],[h (mm)]]*Table1123457[[#This Row],[L(mm)]])</f>
        <v>2.1150579781153032E-4</v>
      </c>
      <c r="P16" s="111">
        <f>Table1123457[[#This Row],[M (KN.mm)]]/(Table1123457[[#This Row],[b (mm)]]*Table1123457[[#This Row],[d (mm)]]*Table1123457[[#This Row],[L(mm)]])</f>
        <v>2.2692307692307695E-4</v>
      </c>
      <c r="Q16" s="111">
        <f>Table1123457[[#This Row],[M (KN.mm)]]/(Table1123457[[#This Row],[b (mm)]]*Table1123457[[#This Row],[h (mm)]]*Table1123457[[#This Row],[L(mm)]]*Table1123457[[#This Row],[fc (Mpa)]])</f>
        <v>5.4936570860137744E-6</v>
      </c>
      <c r="R16" s="111">
        <f>Table1123457[[#This Row],[M (KN.mm)]]/(Table1123457[[#This Row],[b (mm)]]*Table1123457[[#This Row],[h (mm)]]*Table1123457[[#This Row],[L(mm)]]/2)</f>
        <v>4.2301159562306063E-4</v>
      </c>
      <c r="S16" s="111">
        <f>Table1123457[[#This Row],[M (KN.mm)]]/(Table1123457[[#This Row],[a (mm)]]*Table1123457[[#This Row],[b (mm)]]*Table1123457[[#This Row],[h (mm)]]*Table1123457[[#This Row],[L(mm)]]/2)</f>
        <v>3.2663726931242854E-7</v>
      </c>
      <c r="T16" s="111">
        <f>Table1123457[[#This Row],[M (KN.mm)]]/(Table1123457[[#This Row],[a (mm)]]^2*Table1123457[[#This Row],[b (mm)]]*Table1123457[[#This Row],[h (mm)]])</f>
        <v>3.2788575738863907E-7</v>
      </c>
      <c r="U16" s="111">
        <f>Table1123457[[#This Row],[M (KN.mm)]]/(Table1123457[[#This Row],[b (mm)]]*Table1123457[[#This Row],[d (mm)]]*Table1123457[[#This Row],[pho (%)]])</f>
        <v>0.65265486725663724</v>
      </c>
      <c r="V16" s="111">
        <f>E16*224.8/(2*SQRT(Table1123457[[#This Row],[fc (Mpa)]]*145.037)*Table1123457[[#This Row],[b (mm)]]*Table1123457[[#This Row],[d (mm)]]*(1/25.4)^2)</f>
        <v>0.4421090969026375</v>
      </c>
      <c r="W16" s="111">
        <f>Table1123457[[#This Row],[M (KN.mm)]]/$G$21</f>
        <v>0.4464285714285714</v>
      </c>
      <c r="X16" s="111">
        <f>Table1123457[[#This Row],[V/(2*sqrt(fc) bd)]]</f>
        <v>0.4421090969026375</v>
      </c>
      <c r="Y16" s="111">
        <f>Table1123457[[#This Row],[a (mm)]]</f>
        <v>1295.0500000000002</v>
      </c>
      <c r="Z16" s="111">
        <f>Table1123457[[#This Row],[width]]*Table1123457[[#This Row],[h]]^2</f>
        <v>55460250</v>
      </c>
      <c r="AA16" s="111">
        <f>Table1123457[[#This Row],[b (mm)]]</f>
        <v>250</v>
      </c>
      <c r="AB16" s="111">
        <f>Table1123457[[#This Row],[a (mm)]]/Table1123457[[#This Row],[h (mm)]]</f>
        <v>2.7495753715498941</v>
      </c>
      <c r="AC16" s="111">
        <f>Table1123457[[#This Row],[h (mm)]]</f>
        <v>471</v>
      </c>
      <c r="AD16" s="111">
        <f>2.95*Table1123457[[#This Row],[d (mm)]]</f>
        <v>1295.0500000000002</v>
      </c>
      <c r="AE16" s="111">
        <v>439</v>
      </c>
      <c r="AF16" s="111">
        <v>471</v>
      </c>
      <c r="AG16" s="111">
        <v>250</v>
      </c>
      <c r="AH16" s="7">
        <v>38.5</v>
      </c>
      <c r="AI16" s="111">
        <f>Table1123457[[#This Row],[pho (%)]]*Table1123457[[#This Row],[b (mm)]]*Table1123457[[#This Row],[h (mm)]]/100</f>
        <v>1064.46</v>
      </c>
      <c r="AJ16" s="160">
        <v>0.90400000000000003</v>
      </c>
      <c r="AK16" s="160">
        <v>525</v>
      </c>
      <c r="AL16" s="111">
        <f>(1/3-0.21*(MIN(Table1123457[[#This Row],[b (mm)]],AF16)/MAX(Table1123457[[#This Row],[b (mm)]],AF16))*(MIN(Table1123457[[#This Row],[b (mm)]],AF16)^4/(12*MAX(Table1123457[[#This Row],[b (mm)]],AF16)^4)))*MAX(Table1123457[[#This Row],[b (mm)]],AF16)*MIN(Table1123457[[#This Row],[b (mm)]],AF16)^3</f>
        <v>2447699066.2153602</v>
      </c>
      <c r="AM16" s="111">
        <f>Table1123457[[#This Row],[b (mm)]]*AF16^3/12</f>
        <v>2176814812.5</v>
      </c>
      <c r="AN16" s="111">
        <v>2600</v>
      </c>
      <c r="AP16" s="107"/>
      <c r="AU16" s="369">
        <v>100</v>
      </c>
      <c r="AV16" s="2">
        <f t="shared" si="4"/>
        <v>50</v>
      </c>
    </row>
    <row r="17" spans="1:48" x14ac:dyDescent="0.3">
      <c r="A17" s="236" t="s">
        <v>144</v>
      </c>
      <c r="B17" s="236">
        <v>2</v>
      </c>
      <c r="C17" s="185">
        <v>16</v>
      </c>
      <c r="D17" s="185">
        <f>Table1123457[[#This Row],[a (mm)]]/Table1123457[[#This Row],[d (mm)]]</f>
        <v>2.9500000000000006</v>
      </c>
      <c r="E17" s="237">
        <v>75</v>
      </c>
      <c r="F17" s="137">
        <f>Table1123457[[#This Row],[d (mm)]]</f>
        <v>439</v>
      </c>
      <c r="G17" s="111">
        <f t="shared" si="3"/>
        <v>97128.750000000015</v>
      </c>
      <c r="H17" s="111">
        <f t="shared" si="0"/>
        <v>1.6941959281909662E-6</v>
      </c>
      <c r="I17" s="111">
        <f>G17/(Table1123457[[#This Row],[b (mm)]]*Table1123457[[#This Row],[h]]^2)</f>
        <v>1.7513218927069391E-3</v>
      </c>
      <c r="J17" s="111">
        <f t="shared" si="1"/>
        <v>0.39590832105346513</v>
      </c>
      <c r="K17" s="111">
        <f t="shared" si="2"/>
        <v>9.7582871391959711E-7</v>
      </c>
      <c r="L17" s="111">
        <f>E17/(Table1123457[[#This Row],[b (mm)]]*AE17)</f>
        <v>6.83371298405467E-4</v>
      </c>
      <c r="M17" s="111">
        <f>Table1123457[[#This Row],[M (KN.mm)]]/(Table1123457[[#This Row],[b (mm)]]*Table1123457[[#This Row],[d (mm)]])</f>
        <v>0.88500000000000012</v>
      </c>
      <c r="N17" s="111">
        <f>Table1123457[[#This Row],[M (KN.mm)]]/(Table1123457[[#This Row],[b (mm)]]*Table1123457[[#This Row],[h (mm)]])</f>
        <v>0.82487261146496826</v>
      </c>
      <c r="O17" s="111">
        <f>Table1123457[[#This Row],[M (KN.mm)]]/(Table1123457[[#This Row],[b (mm)]]*Table1123457[[#This Row],[h (mm)]]*Table1123457[[#This Row],[L(mm)]])</f>
        <v>3.1725869671729551E-4</v>
      </c>
      <c r="P17" s="111">
        <f>Table1123457[[#This Row],[M (KN.mm)]]/(Table1123457[[#This Row],[b (mm)]]*Table1123457[[#This Row],[d (mm)]]*Table1123457[[#This Row],[L(mm)]])</f>
        <v>3.4038461538461544E-4</v>
      </c>
      <c r="Q17" s="111">
        <f>Table1123457[[#This Row],[M (KN.mm)]]/(Table1123457[[#This Row],[b (mm)]]*Table1123457[[#This Row],[h (mm)]]*Table1123457[[#This Row],[L(mm)]]*Table1123457[[#This Row],[fc (Mpa)]])</f>
        <v>8.2404856290206621E-6</v>
      </c>
      <c r="R17" s="111">
        <f>Table1123457[[#This Row],[M (KN.mm)]]/(Table1123457[[#This Row],[b (mm)]]*Table1123457[[#This Row],[h (mm)]]*Table1123457[[#This Row],[L(mm)]]/2)</f>
        <v>6.3451739343459103E-4</v>
      </c>
      <c r="S17" s="111">
        <f>Table1123457[[#This Row],[M (KN.mm)]]/(Table1123457[[#This Row],[a (mm)]]*Table1123457[[#This Row],[b (mm)]]*Table1123457[[#This Row],[h (mm)]]*Table1123457[[#This Row],[L(mm)]]/2)</f>
        <v>4.8995590396864283E-7</v>
      </c>
      <c r="T17" s="111">
        <f>Table1123457[[#This Row],[M (KN.mm)]]/(Table1123457[[#This Row],[a (mm)]]^2*Table1123457[[#This Row],[b (mm)]]*Table1123457[[#This Row],[h (mm)]])</f>
        <v>4.9182863608295862E-7</v>
      </c>
      <c r="U17" s="111">
        <f>Table1123457[[#This Row],[M (KN.mm)]]/(Table1123457[[#This Row],[b (mm)]]*Table1123457[[#This Row],[d (mm)]]*Table1123457[[#This Row],[pho (%)]])</f>
        <v>0.97898230088495586</v>
      </c>
      <c r="V17" s="111">
        <f>E17*224.8/(2*SQRT(Table1123457[[#This Row],[fc (Mpa)]]*145.037)*Table1123457[[#This Row],[b (mm)]]*Table1123457[[#This Row],[d (mm)]]*(1/25.4)^2)</f>
        <v>0.66316364535395633</v>
      </c>
      <c r="W17" s="111">
        <f>Table1123457[[#This Row],[M (KN.mm)]]/$G$21</f>
        <v>0.6696428571428571</v>
      </c>
      <c r="X17" s="111">
        <f>Table1123457[[#This Row],[V/(2*sqrt(fc) bd)]]</f>
        <v>0.66316364535395633</v>
      </c>
      <c r="Y17" s="111">
        <f>Table1123457[[#This Row],[a (mm)]]</f>
        <v>1295.0500000000002</v>
      </c>
      <c r="Z17" s="111">
        <f>Table1123457[[#This Row],[width]]*Table1123457[[#This Row],[h]]^2</f>
        <v>55460250</v>
      </c>
      <c r="AA17" s="111">
        <f>Table1123457[[#This Row],[b (mm)]]</f>
        <v>250</v>
      </c>
      <c r="AB17" s="111">
        <f>Table1123457[[#This Row],[a (mm)]]/Table1123457[[#This Row],[h (mm)]]</f>
        <v>2.7495753715498941</v>
      </c>
      <c r="AC17" s="111">
        <f>Table1123457[[#This Row],[h (mm)]]</f>
        <v>471</v>
      </c>
      <c r="AD17" s="111">
        <f>2.95*Table1123457[[#This Row],[d (mm)]]</f>
        <v>1295.0500000000002</v>
      </c>
      <c r="AE17" s="111">
        <v>439</v>
      </c>
      <c r="AF17" s="111">
        <v>471</v>
      </c>
      <c r="AG17" s="111">
        <v>250</v>
      </c>
      <c r="AH17" s="7">
        <v>38.5</v>
      </c>
      <c r="AI17" s="111">
        <f>Table1123457[[#This Row],[pho (%)]]*Table1123457[[#This Row],[b (mm)]]*Table1123457[[#This Row],[h (mm)]]/100</f>
        <v>1064.46</v>
      </c>
      <c r="AJ17" s="160">
        <v>0.90400000000000003</v>
      </c>
      <c r="AK17" s="160">
        <v>525</v>
      </c>
      <c r="AL17" s="111">
        <f>(1/3-0.21*(MIN(Table1123457[[#This Row],[b (mm)]],AF17)/MAX(Table1123457[[#This Row],[b (mm)]],AF17))*(MIN(Table1123457[[#This Row],[b (mm)]],AF17)^4/(12*MAX(Table1123457[[#This Row],[b (mm)]],AF17)^4)))*MAX(Table1123457[[#This Row],[b (mm)]],AF17)*MIN(Table1123457[[#This Row],[b (mm)]],AF17)^3</f>
        <v>2447699066.2153602</v>
      </c>
      <c r="AM17" s="111">
        <f>Table1123457[[#This Row],[b (mm)]]*AF17^3/12</f>
        <v>2176814812.5</v>
      </c>
      <c r="AN17" s="111">
        <v>2600</v>
      </c>
      <c r="AP17" s="107"/>
      <c r="AU17" s="369">
        <v>150</v>
      </c>
      <c r="AV17" s="2">
        <f t="shared" si="4"/>
        <v>75</v>
      </c>
    </row>
    <row r="18" spans="1:48" s="129" customFormat="1" x14ac:dyDescent="0.3">
      <c r="A18" s="236" t="s">
        <v>144</v>
      </c>
      <c r="B18" s="236">
        <v>3</v>
      </c>
      <c r="C18" s="185">
        <v>17</v>
      </c>
      <c r="D18" s="185">
        <f>Table1123457[[#This Row],[a (mm)]]/Table1123457[[#This Row],[d (mm)]]</f>
        <v>2.9500000000000006</v>
      </c>
      <c r="E18" s="237">
        <v>90.5</v>
      </c>
      <c r="F18" s="137">
        <f>Table1123457[[#This Row],[d (mm)]]</f>
        <v>439</v>
      </c>
      <c r="G18" s="111">
        <f t="shared" si="3"/>
        <v>117202.02500000002</v>
      </c>
      <c r="H18" s="111">
        <f t="shared" si="0"/>
        <v>2.0443297533504327E-6</v>
      </c>
      <c r="I18" s="111">
        <f>G18/(Table1123457[[#This Row],[b (mm)]]*Table1123457[[#This Row],[h]]^2)</f>
        <v>2.1132617505330398E-3</v>
      </c>
      <c r="J18" s="111">
        <f t="shared" si="1"/>
        <v>0.47772937407118127</v>
      </c>
      <c r="K18" s="111">
        <f t="shared" si="2"/>
        <v>1.1774999814629806E-6</v>
      </c>
      <c r="L18" s="111">
        <f>E18/(Table1123457[[#This Row],[b (mm)]]*AE18)</f>
        <v>8.246013667425968E-4</v>
      </c>
      <c r="M18" s="111">
        <f>Table1123457[[#This Row],[M (KN.mm)]]/(Table1123457[[#This Row],[b (mm)]]*Table1123457[[#This Row],[d (mm)]])</f>
        <v>1.0679000000000003</v>
      </c>
      <c r="N18" s="111">
        <f>Table1123457[[#This Row],[M (KN.mm)]]/(Table1123457[[#This Row],[b (mm)]]*Table1123457[[#This Row],[h (mm)]])</f>
        <v>0.99534628450106177</v>
      </c>
      <c r="O18" s="111">
        <f>Table1123457[[#This Row],[M (KN.mm)]]/(Table1123457[[#This Row],[b (mm)]]*Table1123457[[#This Row],[h (mm)]]*Table1123457[[#This Row],[L(mm)]])</f>
        <v>3.8282549403886992E-4</v>
      </c>
      <c r="P18" s="111">
        <f>Table1123457[[#This Row],[M (KN.mm)]]/(Table1123457[[#This Row],[b (mm)]]*Table1123457[[#This Row],[d (mm)]]*Table1123457[[#This Row],[L(mm)]])</f>
        <v>4.107307692307693E-4</v>
      </c>
      <c r="Q18" s="111">
        <f>Table1123457[[#This Row],[M (KN.mm)]]/(Table1123457[[#This Row],[b (mm)]]*Table1123457[[#This Row],[h (mm)]]*Table1123457[[#This Row],[L(mm)]]*Table1123457[[#This Row],[fc (Mpa)]])</f>
        <v>9.9435193256849332E-6</v>
      </c>
      <c r="R18" s="111">
        <f>Table1123457[[#This Row],[M (KN.mm)]]/(Table1123457[[#This Row],[b (mm)]]*Table1123457[[#This Row],[h (mm)]]*Table1123457[[#This Row],[L(mm)]]/2)</f>
        <v>7.6565098807773984E-4</v>
      </c>
      <c r="S18" s="111">
        <f>Table1123457[[#This Row],[M (KN.mm)]]/(Table1123457[[#This Row],[a (mm)]]*Table1123457[[#This Row],[b (mm)]]*Table1123457[[#This Row],[h (mm)]]*Table1123457[[#This Row],[L(mm)]]/2)</f>
        <v>5.9121345745549573E-7</v>
      </c>
      <c r="T18" s="111">
        <f>Table1123457[[#This Row],[M (KN.mm)]]/(Table1123457[[#This Row],[a (mm)]]^2*Table1123457[[#This Row],[b (mm)]]*Table1123457[[#This Row],[h (mm)]])</f>
        <v>5.9347322087343672E-7</v>
      </c>
      <c r="U18" s="111">
        <f>Table1123457[[#This Row],[M (KN.mm)]]/(Table1123457[[#This Row],[b (mm)]]*Table1123457[[#This Row],[d (mm)]]*Table1123457[[#This Row],[pho (%)]])</f>
        <v>1.1813053097345134</v>
      </c>
      <c r="V18" s="111">
        <f>E18*224.8/(2*SQRT(Table1123457[[#This Row],[fc (Mpa)]]*145.037)*Table1123457[[#This Row],[b (mm)]]*Table1123457[[#This Row],[d (mm)]]*(1/25.4)^2)</f>
        <v>0.80021746539377403</v>
      </c>
      <c r="W18" s="111">
        <f>Table1123457[[#This Row],[M (KN.mm)]]/$G$21</f>
        <v>0.8080357142857143</v>
      </c>
      <c r="X18" s="111">
        <f>Table1123457[[#This Row],[V/(2*sqrt(fc) bd)]]</f>
        <v>0.80021746539377403</v>
      </c>
      <c r="Y18" s="111">
        <f>Table1123457[[#This Row],[a (mm)]]</f>
        <v>1295.0500000000002</v>
      </c>
      <c r="Z18" s="111">
        <f>Table1123457[[#This Row],[width]]*Table1123457[[#This Row],[h]]^2</f>
        <v>55460250</v>
      </c>
      <c r="AA18" s="111">
        <f>Table1123457[[#This Row],[b (mm)]]</f>
        <v>250</v>
      </c>
      <c r="AB18" s="111">
        <f>Table1123457[[#This Row],[a (mm)]]/Table1123457[[#This Row],[h (mm)]]</f>
        <v>2.7495753715498941</v>
      </c>
      <c r="AC18" s="111">
        <f>Table1123457[[#This Row],[h (mm)]]</f>
        <v>471</v>
      </c>
      <c r="AD18" s="111">
        <f>2.95*Table1123457[[#This Row],[d (mm)]]</f>
        <v>1295.0500000000002</v>
      </c>
      <c r="AE18" s="111">
        <v>439</v>
      </c>
      <c r="AF18" s="111">
        <v>471</v>
      </c>
      <c r="AG18" s="111">
        <v>250</v>
      </c>
      <c r="AH18" s="7">
        <v>38.5</v>
      </c>
      <c r="AI18" s="111">
        <f>Table1123457[[#This Row],[pho (%)]]*Table1123457[[#This Row],[b (mm)]]*Table1123457[[#This Row],[h (mm)]]/100</f>
        <v>1064.46</v>
      </c>
      <c r="AJ18" s="160">
        <v>0.90400000000000003</v>
      </c>
      <c r="AK18" s="160">
        <v>525</v>
      </c>
      <c r="AL18" s="111">
        <f>(1/3-0.21*(MIN(Table1123457[[#This Row],[b (mm)]],AF18)/MAX(Table1123457[[#This Row],[b (mm)]],AF18))*(MIN(Table1123457[[#This Row],[b (mm)]],AF18)^4/(12*MAX(Table1123457[[#This Row],[b (mm)]],AF18)^4)))*MAX(Table1123457[[#This Row],[b (mm)]],AF18)*MIN(Table1123457[[#This Row],[b (mm)]],AF18)^3</f>
        <v>2447699066.2153602</v>
      </c>
      <c r="AM18" s="111">
        <f>Table1123457[[#This Row],[b (mm)]]*AF18^3/12</f>
        <v>2176814812.5</v>
      </c>
      <c r="AN18" s="111">
        <v>2600</v>
      </c>
      <c r="AO18"/>
      <c r="AP18" s="128"/>
      <c r="AQ18" s="138"/>
      <c r="AR18" s="1"/>
      <c r="AU18" s="369">
        <v>181</v>
      </c>
      <c r="AV18" s="2">
        <f t="shared" si="4"/>
        <v>90.5</v>
      </c>
    </row>
    <row r="19" spans="1:48" s="129" customFormat="1" x14ac:dyDescent="0.3">
      <c r="A19" s="236" t="s">
        <v>144</v>
      </c>
      <c r="B19" s="236">
        <v>4</v>
      </c>
      <c r="C19" s="185">
        <v>18</v>
      </c>
      <c r="D19" s="185">
        <f>Table1123457[[#This Row],[a (mm)]]/Table1123457[[#This Row],[d (mm)]]</f>
        <v>2.9500000000000006</v>
      </c>
      <c r="E19" s="237">
        <v>100</v>
      </c>
      <c r="F19" s="137">
        <f>Table1123457[[#This Row],[d (mm)]]</f>
        <v>439</v>
      </c>
      <c r="G19" s="111">
        <f t="shared" si="3"/>
        <v>129505.00000000001</v>
      </c>
      <c r="H19" s="111">
        <f t="shared" si="0"/>
        <v>2.2589279042546216E-6</v>
      </c>
      <c r="I19" s="111">
        <f>G19/(Table1123457[[#This Row],[b (mm)]]*Table1123457[[#This Row],[h]]^2)</f>
        <v>2.3350958569425852E-3</v>
      </c>
      <c r="J19" s="111">
        <f t="shared" si="1"/>
        <v>0.52787776140462017</v>
      </c>
      <c r="K19" s="111">
        <f t="shared" si="2"/>
        <v>1.3011049518927962E-6</v>
      </c>
      <c r="L19" s="111">
        <f>E19/(Table1123457[[#This Row],[b (mm)]]*AE19)</f>
        <v>9.1116173120728934E-4</v>
      </c>
      <c r="M19" s="111">
        <f>Table1123457[[#This Row],[M (KN.mm)]]/(Table1123457[[#This Row],[b (mm)]]*Table1123457[[#This Row],[d (mm)]])</f>
        <v>1.1800000000000002</v>
      </c>
      <c r="N19" s="111">
        <f>Table1123457[[#This Row],[M (KN.mm)]]/(Table1123457[[#This Row],[b (mm)]]*Table1123457[[#This Row],[h (mm)]])</f>
        <v>1.0998301486199578</v>
      </c>
      <c r="O19" s="111">
        <f>Table1123457[[#This Row],[M (KN.mm)]]/(Table1123457[[#This Row],[b (mm)]]*Table1123457[[#This Row],[h (mm)]]*Table1123457[[#This Row],[L(mm)]])</f>
        <v>4.2301159562306063E-4</v>
      </c>
      <c r="P19" s="111">
        <f>Table1123457[[#This Row],[M (KN.mm)]]/(Table1123457[[#This Row],[b (mm)]]*Table1123457[[#This Row],[d (mm)]]*Table1123457[[#This Row],[L(mm)]])</f>
        <v>4.5384615384615391E-4</v>
      </c>
      <c r="Q19" s="111">
        <f>Table1123457[[#This Row],[M (KN.mm)]]/(Table1123457[[#This Row],[b (mm)]]*Table1123457[[#This Row],[h (mm)]]*Table1123457[[#This Row],[L(mm)]]*Table1123457[[#This Row],[fc (Mpa)]])</f>
        <v>1.0987314172027549E-5</v>
      </c>
      <c r="R19" s="111">
        <f>Table1123457[[#This Row],[M (KN.mm)]]/(Table1123457[[#This Row],[b (mm)]]*Table1123457[[#This Row],[h (mm)]]*Table1123457[[#This Row],[L(mm)]]/2)</f>
        <v>8.4602319124612126E-4</v>
      </c>
      <c r="S19" s="111">
        <f>Table1123457[[#This Row],[M (KN.mm)]]/(Table1123457[[#This Row],[a (mm)]]*Table1123457[[#This Row],[b (mm)]]*Table1123457[[#This Row],[h (mm)]]*Table1123457[[#This Row],[L(mm)]]/2)</f>
        <v>6.5327453862485708E-7</v>
      </c>
      <c r="T19" s="111">
        <f>Table1123457[[#This Row],[M (KN.mm)]]/(Table1123457[[#This Row],[a (mm)]]^2*Table1123457[[#This Row],[b (mm)]]*Table1123457[[#This Row],[h (mm)]])</f>
        <v>6.5577151477727813E-7</v>
      </c>
      <c r="U19" s="111">
        <f>Table1123457[[#This Row],[M (KN.mm)]]/(Table1123457[[#This Row],[b (mm)]]*Table1123457[[#This Row],[d (mm)]]*Table1123457[[#This Row],[pho (%)]])</f>
        <v>1.3053097345132745</v>
      </c>
      <c r="V19" s="111">
        <f>E19*224.8/(2*SQRT(Table1123457[[#This Row],[fc (Mpa)]]*145.037)*Table1123457[[#This Row],[b (mm)]]*Table1123457[[#This Row],[d (mm)]]*(1/25.4)^2)</f>
        <v>0.884218193805275</v>
      </c>
      <c r="W19" s="111">
        <f>Table1123457[[#This Row],[M (KN.mm)]]/$G$21</f>
        <v>0.89285714285714279</v>
      </c>
      <c r="X19" s="111">
        <f>Table1123457[[#This Row],[V/(2*sqrt(fc) bd)]]</f>
        <v>0.884218193805275</v>
      </c>
      <c r="Y19" s="111">
        <f>Table1123457[[#This Row],[a (mm)]]</f>
        <v>1295.0500000000002</v>
      </c>
      <c r="Z19" s="111">
        <f>Table1123457[[#This Row],[width]]*Table1123457[[#This Row],[h]]^2</f>
        <v>55460250</v>
      </c>
      <c r="AA19" s="111">
        <f>Table1123457[[#This Row],[b (mm)]]</f>
        <v>250</v>
      </c>
      <c r="AB19" s="111">
        <f>Table1123457[[#This Row],[a (mm)]]/Table1123457[[#This Row],[h (mm)]]</f>
        <v>2.7495753715498941</v>
      </c>
      <c r="AC19" s="111">
        <f>Table1123457[[#This Row],[h (mm)]]</f>
        <v>471</v>
      </c>
      <c r="AD19" s="111">
        <f>2.95*Table1123457[[#This Row],[d (mm)]]</f>
        <v>1295.0500000000002</v>
      </c>
      <c r="AE19" s="111">
        <v>439</v>
      </c>
      <c r="AF19" s="111">
        <v>471</v>
      </c>
      <c r="AG19" s="111">
        <v>250</v>
      </c>
      <c r="AH19" s="7">
        <v>38.5</v>
      </c>
      <c r="AI19" s="111">
        <f>Table1123457[[#This Row],[pho (%)]]*Table1123457[[#This Row],[b (mm)]]*Table1123457[[#This Row],[h (mm)]]/100</f>
        <v>1064.46</v>
      </c>
      <c r="AJ19" s="160">
        <v>0.90400000000000003</v>
      </c>
      <c r="AK19" s="160">
        <v>525</v>
      </c>
      <c r="AL19" s="111">
        <f>(1/3-0.21*(MIN(Table1123457[[#This Row],[b (mm)]],AF19)/MAX(Table1123457[[#This Row],[b (mm)]],AF19))*(MIN(Table1123457[[#This Row],[b (mm)]],AF19)^4/(12*MAX(Table1123457[[#This Row],[b (mm)]],AF19)^4)))*MAX(Table1123457[[#This Row],[b (mm)]],AF19)*MIN(Table1123457[[#This Row],[b (mm)]],AF19)^3</f>
        <v>2447699066.2153602</v>
      </c>
      <c r="AM19" s="111">
        <f>Table1123457[[#This Row],[b (mm)]]*AF19^3/12</f>
        <v>2176814812.5</v>
      </c>
      <c r="AN19" s="111">
        <v>2600</v>
      </c>
      <c r="AO19"/>
      <c r="AP19" s="128"/>
      <c r="AQ19" s="138"/>
      <c r="AR19" s="1"/>
      <c r="AU19" s="369">
        <v>200</v>
      </c>
      <c r="AV19" s="2">
        <f t="shared" si="4"/>
        <v>100</v>
      </c>
    </row>
    <row r="20" spans="1:48" s="129" customFormat="1" x14ac:dyDescent="0.3">
      <c r="A20" s="236" t="s">
        <v>144</v>
      </c>
      <c r="B20" s="236">
        <v>5</v>
      </c>
      <c r="C20" s="185">
        <v>19</v>
      </c>
      <c r="D20" s="185">
        <f>Table1123457[[#This Row],[a (mm)]]/Table1123457[[#This Row],[d (mm)]]</f>
        <v>2.9500000000000006</v>
      </c>
      <c r="E20" s="237">
        <v>110</v>
      </c>
      <c r="F20" s="137">
        <f>Table1123457[[#This Row],[d (mm)]]</f>
        <v>439</v>
      </c>
      <c r="G20" s="111">
        <f t="shared" si="3"/>
        <v>142455.50000000003</v>
      </c>
      <c r="H20" s="111">
        <f t="shared" si="0"/>
        <v>2.4848206946800838E-6</v>
      </c>
      <c r="I20" s="111">
        <f>G20/(Table1123457[[#This Row],[b (mm)]]*Table1123457[[#This Row],[h]]^2)</f>
        <v>2.5686054426368441E-3</v>
      </c>
      <c r="J20" s="111">
        <f t="shared" si="1"/>
        <v>0.58066553754508221</v>
      </c>
      <c r="K20" s="111">
        <f t="shared" si="2"/>
        <v>1.4312154470820758E-6</v>
      </c>
      <c r="L20" s="111">
        <f>E20/(Table1123457[[#This Row],[b (mm)]]*AE20)</f>
        <v>1.0022779043280183E-3</v>
      </c>
      <c r="M20" s="111">
        <f>Table1123457[[#This Row],[M (KN.mm)]]/(Table1123457[[#This Row],[b (mm)]]*Table1123457[[#This Row],[d (mm)]])</f>
        <v>1.2980000000000003</v>
      </c>
      <c r="N20" s="111">
        <f>Table1123457[[#This Row],[M (KN.mm)]]/(Table1123457[[#This Row],[b (mm)]]*Table1123457[[#This Row],[h (mm)]])</f>
        <v>1.2098131634819536</v>
      </c>
      <c r="O20" s="111">
        <f>Table1123457[[#This Row],[M (KN.mm)]]/(Table1123457[[#This Row],[b (mm)]]*Table1123457[[#This Row],[h (mm)]]*Table1123457[[#This Row],[L(mm)]])</f>
        <v>4.6531275518536672E-4</v>
      </c>
      <c r="P20" s="111">
        <f>Table1123457[[#This Row],[M (KN.mm)]]/(Table1123457[[#This Row],[b (mm)]]*Table1123457[[#This Row],[d (mm)]]*Table1123457[[#This Row],[L(mm)]])</f>
        <v>4.9923076923076928E-4</v>
      </c>
      <c r="Q20" s="111">
        <f>Table1123457[[#This Row],[M (KN.mm)]]/(Table1123457[[#This Row],[b (mm)]]*Table1123457[[#This Row],[h (mm)]]*Table1123457[[#This Row],[L(mm)]]*Table1123457[[#This Row],[fc (Mpa)]])</f>
        <v>1.2086045589230305E-5</v>
      </c>
      <c r="R20" s="111">
        <f>Table1123457[[#This Row],[M (KN.mm)]]/(Table1123457[[#This Row],[b (mm)]]*Table1123457[[#This Row],[h (mm)]]*Table1123457[[#This Row],[L(mm)]]/2)</f>
        <v>9.3062551037073344E-4</v>
      </c>
      <c r="S20" s="111">
        <f>Table1123457[[#This Row],[M (KN.mm)]]/(Table1123457[[#This Row],[a (mm)]]*Table1123457[[#This Row],[b (mm)]]*Table1123457[[#This Row],[h (mm)]]*Table1123457[[#This Row],[L(mm)]]/2)</f>
        <v>7.1860199248734286E-7</v>
      </c>
      <c r="T20" s="111">
        <f>Table1123457[[#This Row],[M (KN.mm)]]/(Table1123457[[#This Row],[a (mm)]]^2*Table1123457[[#This Row],[b (mm)]]*Table1123457[[#This Row],[h (mm)]])</f>
        <v>7.2134866625500606E-7</v>
      </c>
      <c r="U20" s="111">
        <f>Table1123457[[#This Row],[M (KN.mm)]]/(Table1123457[[#This Row],[b (mm)]]*Table1123457[[#This Row],[d (mm)]]*Table1123457[[#This Row],[pho (%)]])</f>
        <v>1.4358407079646021</v>
      </c>
      <c r="V20" s="111">
        <f>E20*224.8/(2*SQRT(Table1123457[[#This Row],[fc (Mpa)]]*145.037)*Table1123457[[#This Row],[b (mm)]]*Table1123457[[#This Row],[d (mm)]]*(1/25.4)^2)</f>
        <v>0.97264001318580251</v>
      </c>
      <c r="W20" s="111">
        <f>Table1123457[[#This Row],[M (KN.mm)]]/$G$21</f>
        <v>0.9821428571428571</v>
      </c>
      <c r="X20" s="111">
        <f>Table1123457[[#This Row],[V/(2*sqrt(fc) bd)]]</f>
        <v>0.97264001318580251</v>
      </c>
      <c r="Y20" s="111">
        <f>Table1123457[[#This Row],[a (mm)]]</f>
        <v>1295.0500000000002</v>
      </c>
      <c r="Z20" s="111">
        <f>Table1123457[[#This Row],[width]]*Table1123457[[#This Row],[h]]^2</f>
        <v>55460250</v>
      </c>
      <c r="AA20" s="111">
        <f>Table1123457[[#This Row],[b (mm)]]</f>
        <v>250</v>
      </c>
      <c r="AB20" s="111">
        <f>Table1123457[[#This Row],[a (mm)]]/Table1123457[[#This Row],[h (mm)]]</f>
        <v>2.7495753715498941</v>
      </c>
      <c r="AC20" s="111">
        <f>Table1123457[[#This Row],[h (mm)]]</f>
        <v>471</v>
      </c>
      <c r="AD20" s="111">
        <f>2.95*Table1123457[[#This Row],[d (mm)]]</f>
        <v>1295.0500000000002</v>
      </c>
      <c r="AE20" s="111">
        <v>439</v>
      </c>
      <c r="AF20" s="111">
        <v>471</v>
      </c>
      <c r="AG20" s="111">
        <v>250</v>
      </c>
      <c r="AH20" s="7">
        <v>38.5</v>
      </c>
      <c r="AI20" s="111">
        <f>Table1123457[[#This Row],[pho (%)]]*Table1123457[[#This Row],[b (mm)]]*Table1123457[[#This Row],[h (mm)]]/100</f>
        <v>1064.46</v>
      </c>
      <c r="AJ20" s="160">
        <v>0.90400000000000003</v>
      </c>
      <c r="AK20" s="160">
        <v>525</v>
      </c>
      <c r="AL20" s="111">
        <f>(1/3-0.21*(MIN(Table1123457[[#This Row],[b (mm)]],AF20)/MAX(Table1123457[[#This Row],[b (mm)]],AF20))*(MIN(Table1123457[[#This Row],[b (mm)]],AF20)^4/(12*MAX(Table1123457[[#This Row],[b (mm)]],AF20)^4)))*MAX(Table1123457[[#This Row],[b (mm)]],AF20)*MIN(Table1123457[[#This Row],[b (mm)]],AF20)^3</f>
        <v>2447699066.2153602</v>
      </c>
      <c r="AM20" s="111">
        <f>Table1123457[[#This Row],[b (mm)]]*AF20^3/12</f>
        <v>2176814812.5</v>
      </c>
      <c r="AN20" s="111">
        <v>2600</v>
      </c>
      <c r="AO20"/>
      <c r="AP20" s="128"/>
      <c r="AQ20" s="138"/>
      <c r="AR20" s="1"/>
      <c r="AU20" s="369">
        <v>220</v>
      </c>
      <c r="AV20" s="2">
        <f t="shared" si="4"/>
        <v>110</v>
      </c>
    </row>
    <row r="21" spans="1:48" s="129" customFormat="1" x14ac:dyDescent="0.3">
      <c r="A21" s="236" t="s">
        <v>144</v>
      </c>
      <c r="B21" s="236" t="s">
        <v>142</v>
      </c>
      <c r="C21" s="185">
        <v>20</v>
      </c>
      <c r="D21" s="185">
        <f>Table1123457[[#This Row],[a (mm)]]/Table1123457[[#This Row],[d (mm)]]</f>
        <v>2.9500000000000006</v>
      </c>
      <c r="E21" s="237">
        <v>112</v>
      </c>
      <c r="F21" s="137">
        <f>Table1123457[[#This Row],[d (mm)]]</f>
        <v>439</v>
      </c>
      <c r="G21" s="111">
        <f t="shared" si="3"/>
        <v>145045.60000000003</v>
      </c>
      <c r="H21" s="111">
        <f t="shared" si="0"/>
        <v>2.5299992527651763E-6</v>
      </c>
      <c r="I21" s="111">
        <f>G21/(Table1123457[[#This Row],[b (mm)]]*Table1123457[[#This Row],[h]]^2)</f>
        <v>2.6153073597756957E-3</v>
      </c>
      <c r="J21" s="111">
        <f t="shared" si="1"/>
        <v>0.59122309277317464</v>
      </c>
      <c r="K21" s="111">
        <f t="shared" si="2"/>
        <v>1.4572375461199316E-6</v>
      </c>
      <c r="L21" s="111">
        <f>E21/(Table1123457[[#This Row],[b (mm)]]*AE21)</f>
        <v>1.0205011389521641E-3</v>
      </c>
      <c r="M21" s="111">
        <f>Table1123457[[#This Row],[M (KN.mm)]]/(Table1123457[[#This Row],[b (mm)]]*Table1123457[[#This Row],[d (mm)]])</f>
        <v>1.3216000000000003</v>
      </c>
      <c r="N21" s="111">
        <f>Table1123457[[#This Row],[M (KN.mm)]]/(Table1123457[[#This Row],[b (mm)]]*Table1123457[[#This Row],[h (mm)]])</f>
        <v>1.2318097664543528</v>
      </c>
      <c r="O21" s="111">
        <f>Table1123457[[#This Row],[M (KN.mm)]]/(Table1123457[[#This Row],[b (mm)]]*Table1123457[[#This Row],[h (mm)]]*Table1123457[[#This Row],[L(mm)]])</f>
        <v>4.7377298709782797E-4</v>
      </c>
      <c r="P21" s="111">
        <f>Table1123457[[#This Row],[M (KN.mm)]]/(Table1123457[[#This Row],[b (mm)]]*Table1123457[[#This Row],[d (mm)]]*Table1123457[[#This Row],[L(mm)]])</f>
        <v>5.0830769230769245E-4</v>
      </c>
      <c r="Q21" s="111">
        <f>Table1123457[[#This Row],[M (KN.mm)]]/(Table1123457[[#This Row],[b (mm)]]*Table1123457[[#This Row],[h (mm)]]*Table1123457[[#This Row],[L(mm)]]*Table1123457[[#This Row],[fc (Mpa)]])</f>
        <v>1.2305791872670856E-5</v>
      </c>
      <c r="R21" s="111">
        <f>Table1123457[[#This Row],[M (KN.mm)]]/(Table1123457[[#This Row],[b (mm)]]*Table1123457[[#This Row],[h (mm)]]*Table1123457[[#This Row],[L(mm)]]/2)</f>
        <v>9.4754597419565594E-4</v>
      </c>
      <c r="S21" s="111">
        <f>Table1123457[[#This Row],[M (KN.mm)]]/(Table1123457[[#This Row],[a (mm)]]*Table1123457[[#This Row],[b (mm)]]*Table1123457[[#This Row],[h (mm)]]*Table1123457[[#This Row],[L(mm)]]/2)</f>
        <v>7.3166748325983997E-7</v>
      </c>
      <c r="T21" s="111">
        <f>Table1123457[[#This Row],[M (KN.mm)]]/(Table1123457[[#This Row],[a (mm)]]^2*Table1123457[[#This Row],[b (mm)]]*Table1123457[[#This Row],[h (mm)]])</f>
        <v>7.3446409655055163E-7</v>
      </c>
      <c r="U21" s="111">
        <f>Table1123457[[#This Row],[M (KN.mm)]]/(Table1123457[[#This Row],[b (mm)]]*Table1123457[[#This Row],[d (mm)]]*Table1123457[[#This Row],[pho (%)]])</f>
        <v>1.4619469026548677</v>
      </c>
      <c r="V21" s="111">
        <f>E21*224.8/(2*SQRT(Table1123457[[#This Row],[fc (Mpa)]]*145.037)*Table1123457[[#This Row],[b (mm)]]*Table1123457[[#This Row],[d (mm)]]*(1/25.4)^2)</f>
        <v>0.99032437706190812</v>
      </c>
      <c r="W21" s="111">
        <f>Table1123457[[#This Row],[M (KN.mm)]]/$G$21</f>
        <v>1</v>
      </c>
      <c r="X21" s="111">
        <f>Table1123457[[#This Row],[V/(2*sqrt(fc) bd)]]</f>
        <v>0.99032437706190812</v>
      </c>
      <c r="Y21" s="111">
        <f>Table1123457[[#This Row],[a (mm)]]</f>
        <v>1295.0500000000002</v>
      </c>
      <c r="Z21" s="111">
        <f>Table1123457[[#This Row],[width]]*Table1123457[[#This Row],[h]]^2</f>
        <v>55460250</v>
      </c>
      <c r="AA21" s="111">
        <f>Table1123457[[#This Row],[b (mm)]]</f>
        <v>250</v>
      </c>
      <c r="AB21" s="111">
        <f>Table1123457[[#This Row],[a (mm)]]/Table1123457[[#This Row],[h (mm)]]</f>
        <v>2.7495753715498941</v>
      </c>
      <c r="AC21" s="111">
        <f>Table1123457[[#This Row],[h (mm)]]</f>
        <v>471</v>
      </c>
      <c r="AD21" s="111">
        <f>2.95*Table1123457[[#This Row],[d (mm)]]</f>
        <v>1295.0500000000002</v>
      </c>
      <c r="AE21" s="111">
        <v>439</v>
      </c>
      <c r="AF21" s="111">
        <v>471</v>
      </c>
      <c r="AG21" s="111">
        <v>250</v>
      </c>
      <c r="AH21" s="7">
        <v>38.5</v>
      </c>
      <c r="AI21" s="111">
        <f>Table1123457[[#This Row],[pho (%)]]*Table1123457[[#This Row],[b (mm)]]*Table1123457[[#This Row],[h (mm)]]/100</f>
        <v>1064.46</v>
      </c>
      <c r="AJ21" s="160">
        <v>0.90400000000000003</v>
      </c>
      <c r="AK21" s="160">
        <v>525</v>
      </c>
      <c r="AL21" s="111">
        <f>(1/3-0.21*(MIN(Table1123457[[#This Row],[b (mm)]],AF21)/MAX(Table1123457[[#This Row],[b (mm)]],AF21))*(MIN(Table1123457[[#This Row],[b (mm)]],AF21)^4/(12*MAX(Table1123457[[#This Row],[b (mm)]],AF21)^4)))*MAX(Table1123457[[#This Row],[b (mm)]],AF21)*MIN(Table1123457[[#This Row],[b (mm)]],AF21)^3</f>
        <v>2447699066.2153602</v>
      </c>
      <c r="AM21" s="111">
        <f>Table1123457[[#This Row],[b (mm)]]*AF21^3/12</f>
        <v>2176814812.5</v>
      </c>
      <c r="AN21" s="111">
        <v>2600</v>
      </c>
      <c r="AO21"/>
      <c r="AP21" s="128"/>
      <c r="AQ21" s="138"/>
      <c r="AR21" s="1"/>
      <c r="AU21" s="369">
        <v>224</v>
      </c>
      <c r="AV21" s="2">
        <f t="shared" si="4"/>
        <v>112</v>
      </c>
    </row>
    <row r="22" spans="1:48" s="129" customFormat="1" ht="16.5" customHeight="1" x14ac:dyDescent="0.3">
      <c r="A22" s="238" t="s">
        <v>145</v>
      </c>
      <c r="B22" s="238">
        <v>1</v>
      </c>
      <c r="C22" s="185">
        <v>21</v>
      </c>
      <c r="D22" s="185">
        <f>Table1123457[[#This Row],[a (mm)]]/Table1123457[[#This Row],[d (mm)]]</f>
        <v>2.9500000000000006</v>
      </c>
      <c r="E22" s="184">
        <v>126.5</v>
      </c>
      <c r="F22" s="137">
        <f>Table1123457[[#This Row],[d (mm)]]</f>
        <v>439</v>
      </c>
      <c r="G22" s="111">
        <f t="shared" si="3"/>
        <v>163823.82500000001</v>
      </c>
      <c r="H22" s="111">
        <f t="shared" si="0"/>
        <v>7.1296002966120159E-7</v>
      </c>
      <c r="I22" s="111">
        <f>G22/(Table1123457[[#This Row],[b (mm)]]*Table1123457[[#This Row],[h]]^2)</f>
        <v>7.3700006462883486E-4</v>
      </c>
      <c r="J22" s="111">
        <f t="shared" si="1"/>
        <v>0.16569168945713289</v>
      </c>
      <c r="K22" s="111">
        <f t="shared" si="2"/>
        <v>1.1557802130509489E-7</v>
      </c>
      <c r="L22" s="111">
        <f>E22/(Table1123457[[#This Row],[b (mm)]]*AE22)</f>
        <v>2.8757973801826872E-4</v>
      </c>
      <c r="M22" s="111">
        <f>Table1123457[[#This Row],[M (KN.mm)]]/(Table1123457[[#This Row],[b (mm)]]*Table1123457[[#This Row],[d (mm)]])</f>
        <v>0.37243013972055888</v>
      </c>
      <c r="N22" s="111">
        <f>Table1123457[[#This Row],[M (KN.mm)]]/(Table1123457[[#This Row],[b (mm)]]*Table1123457[[#This Row],[h (mm)]])</f>
        <v>0.34712703044018123</v>
      </c>
      <c r="O22" s="111">
        <f>Table1123457[[#This Row],[M (KN.mm)]]/(Table1123457[[#This Row],[b (mm)]]*Table1123457[[#This Row],[h (mm)]]*Table1123457[[#This Row],[L(mm)]])</f>
        <v>1.3351039632314662E-4</v>
      </c>
      <c r="P22" s="111">
        <f>Table1123457[[#This Row],[M (KN.mm)]]/(Table1123457[[#This Row],[b (mm)]]*Table1123457[[#This Row],[d (mm)]]*Table1123457[[#This Row],[L(mm)]])</f>
        <v>1.432423614309842E-4</v>
      </c>
      <c r="Q22" s="111">
        <f>Table1123457[[#This Row],[M (KN.mm)]]/(Table1123457[[#This Row],[b (mm)]]*Table1123457[[#This Row],[h (mm)]]*Table1123457[[#This Row],[L(mm)]]*Table1123457[[#This Row],[fc (Mpa)]])</f>
        <v>3.4233434954652983E-6</v>
      </c>
      <c r="R22" s="111">
        <f>Table1123457[[#This Row],[M (KN.mm)]]/(Table1123457[[#This Row],[b (mm)]]*Table1123457[[#This Row],[h (mm)]]*Table1123457[[#This Row],[L(mm)]]/2)</f>
        <v>2.6702079264629325E-4</v>
      </c>
      <c r="S22" s="111">
        <f>Table1123457[[#This Row],[M (KN.mm)]]/(Table1123457[[#This Row],[a (mm)]]*Table1123457[[#This Row],[b (mm)]]*Table1123457[[#This Row],[h (mm)]]*Table1123457[[#This Row],[L(mm)]]/2)</f>
        <v>2.061857014372366E-7</v>
      </c>
      <c r="T22" s="111">
        <f>Table1123457[[#This Row],[M (KN.mm)]]/(Table1123457[[#This Row],[a (mm)]]^2*Table1123457[[#This Row],[b (mm)]]*Table1123457[[#This Row],[h (mm)]])</f>
        <v>2.0697379396039343E-7</v>
      </c>
      <c r="U22" s="111">
        <f>Table1123457[[#This Row],[M (KN.mm)]]/(Table1123457[[#This Row],[b (mm)]]*Table1123457[[#This Row],[d (mm)]]*Table1123457[[#This Row],[pho (%)]])</f>
        <v>0.40971412510512528</v>
      </c>
      <c r="V22" s="111">
        <f>E22*224.8/(2*SQRT(Table1123457[[#This Row],[fc (Mpa)]]*145.037)*Table1123457[[#This Row],[b (mm)]]*Table1123457[[#This Row],[d (mm)]]*(1/25.4)^2)</f>
        <v>0.27728113345764938</v>
      </c>
      <c r="W22" s="111">
        <f>Table1123457[[#This Row],[M (KN.mm)]]/$G$28</f>
        <v>0.26857749469214437</v>
      </c>
      <c r="X22" s="111">
        <f>Table1123457[[#This Row],[V/(2*sqrt(fc) bd)]]</f>
        <v>0.27728113345764938</v>
      </c>
      <c r="Y22" s="111">
        <f>Table1123457[[#This Row],[a (mm)]]</f>
        <v>1295.0500000000002</v>
      </c>
      <c r="Z22" s="111">
        <f>Table1123457[[#This Row],[width]]*Table1123457[[#This Row],[h]]^2</f>
        <v>222284682</v>
      </c>
      <c r="AA22" s="111">
        <f>Table1123457[[#This Row],[b (mm)]]</f>
        <v>1002</v>
      </c>
      <c r="AB22" s="111">
        <f>Table1123457[[#This Row],[a (mm)]]/Table1123457[[#This Row],[h (mm)]]</f>
        <v>2.7495753715498941</v>
      </c>
      <c r="AC22" s="111">
        <f>Table1123457[[#This Row],[h (mm)]]</f>
        <v>471</v>
      </c>
      <c r="AD22" s="111">
        <f>2.95*Table1123457[[#This Row],[d (mm)]]</f>
        <v>1295.0500000000002</v>
      </c>
      <c r="AE22" s="111">
        <v>439</v>
      </c>
      <c r="AF22" s="111">
        <v>471</v>
      </c>
      <c r="AG22" s="111">
        <v>1002</v>
      </c>
      <c r="AH22" s="7">
        <v>39</v>
      </c>
      <c r="AI22" s="111">
        <f>Table1123457[[#This Row],[pho (%)]]*Table1123457[[#This Row],[b (mm)]]*Table1123457[[#This Row],[h (mm)]]/100</f>
        <v>4289.9527799999996</v>
      </c>
      <c r="AJ22" s="160">
        <v>0.90900000000000003</v>
      </c>
      <c r="AK22" s="160">
        <v>525</v>
      </c>
      <c r="AL22" s="111">
        <f>(1/3-0.21*(MIN(Table1123457[[#This Row],[b (mm)]],AF22)/MAX(Table1123457[[#This Row],[b (mm)]],AF22))*(MIN(Table1123457[[#This Row],[b (mm)]],AF22)^4/(12*MAX(Table1123457[[#This Row],[b (mm)]],AF22)^4)))*MAX(Table1123457[[#This Row],[b (mm)]],AF22)*MIN(Table1123457[[#This Row],[b (mm)]],AF22)^3</f>
        <v>34856648131.633789</v>
      </c>
      <c r="AM22" s="111">
        <f>Table1123457[[#This Row],[b (mm)]]*AF22^3/12</f>
        <v>8724673768.5</v>
      </c>
      <c r="AN22" s="111">
        <v>2600</v>
      </c>
      <c r="AO22"/>
      <c r="AP22" s="138"/>
      <c r="AQ22" s="138"/>
      <c r="AR22" s="1"/>
      <c r="AU22" s="366">
        <v>253</v>
      </c>
      <c r="AV22" s="2">
        <f t="shared" si="4"/>
        <v>126.5</v>
      </c>
    </row>
    <row r="23" spans="1:48" s="129" customFormat="1" x14ac:dyDescent="0.3">
      <c r="A23" s="238" t="s">
        <v>145</v>
      </c>
      <c r="B23" s="238">
        <v>2</v>
      </c>
      <c r="C23" s="185">
        <v>22</v>
      </c>
      <c r="D23" s="185">
        <f>Table1123457[[#This Row],[a (mm)]]/Table1123457[[#This Row],[d (mm)]]</f>
        <v>2.9500000000000006</v>
      </c>
      <c r="E23" s="184">
        <v>200.5</v>
      </c>
      <c r="F23" s="137">
        <f>Table1123457[[#This Row],[d (mm)]]</f>
        <v>439</v>
      </c>
      <c r="G23" s="111">
        <f t="shared" si="3"/>
        <v>259657.52500000002</v>
      </c>
      <c r="H23" s="111">
        <f t="shared" si="0"/>
        <v>1.1300275568938412E-6</v>
      </c>
      <c r="I23" s="111">
        <f>G23/(Table1123457[[#This Row],[b (mm)]]*Table1123457[[#This Row],[h]]^2)</f>
        <v>1.1681305372180347E-3</v>
      </c>
      <c r="J23" s="111">
        <f t="shared" si="1"/>
        <v>0.26261805325023829</v>
      </c>
      <c r="K23" s="111">
        <f t="shared" si="2"/>
        <v>1.8318887961795672E-7</v>
      </c>
      <c r="L23" s="111">
        <f>E23/(Table1123457[[#This Row],[b (mm)]]*AE23)</f>
        <v>4.558082013649239E-4</v>
      </c>
      <c r="M23" s="111">
        <f>Table1123457[[#This Row],[M (KN.mm)]]/(Table1123457[[#This Row],[b (mm)]]*Table1123457[[#This Row],[d (mm)]])</f>
        <v>0.59029441117764481</v>
      </c>
      <c r="N23" s="111">
        <f>Table1123457[[#This Row],[M (KN.mm)]]/(Table1123457[[#This Row],[b (mm)]]*Table1123457[[#This Row],[h (mm)]])</f>
        <v>0.55018948302969439</v>
      </c>
      <c r="O23" s="111">
        <f>Table1123457[[#This Row],[M (KN.mm)]]/(Table1123457[[#This Row],[b (mm)]]*Table1123457[[#This Row],[h (mm)]]*Table1123457[[#This Row],[L(mm)]])</f>
        <v>2.1161133962680552E-4</v>
      </c>
      <c r="P23" s="111">
        <f>Table1123457[[#This Row],[M (KN.mm)]]/(Table1123457[[#This Row],[b (mm)]]*Table1123457[[#This Row],[d (mm)]]*Table1123457[[#This Row],[L(mm)]])</f>
        <v>2.2703631199140183E-4</v>
      </c>
      <c r="Q23" s="111">
        <f>Table1123457[[#This Row],[M (KN.mm)]]/(Table1123457[[#This Row],[b (mm)]]*Table1123457[[#This Row],[h (mm)]]*Table1123457[[#This Row],[L(mm)]]*Table1123457[[#This Row],[fc (Mpa)]])</f>
        <v>5.4259317853027063E-6</v>
      </c>
      <c r="R23" s="111">
        <f>Table1123457[[#This Row],[M (KN.mm)]]/(Table1123457[[#This Row],[b (mm)]]*Table1123457[[#This Row],[h (mm)]]*Table1123457[[#This Row],[L(mm)]]/2)</f>
        <v>4.2322267925361105E-4</v>
      </c>
      <c r="S23" s="111">
        <f>Table1123457[[#This Row],[M (KN.mm)]]/(Table1123457[[#This Row],[a (mm)]]*Table1123457[[#This Row],[b (mm)]]*Table1123457[[#This Row],[h (mm)]]*Table1123457[[#This Row],[L(mm)]]/2)</f>
        <v>3.2680026196178609E-7</v>
      </c>
      <c r="T23" s="111">
        <f>Table1123457[[#This Row],[M (KN.mm)]]/(Table1123457[[#This Row],[a (mm)]]^2*Table1123457[[#This Row],[b (mm)]]*Table1123457[[#This Row],[h (mm)]])</f>
        <v>3.2804937303603858E-7</v>
      </c>
      <c r="U23" s="111">
        <f>Table1123457[[#This Row],[M (KN.mm)]]/(Table1123457[[#This Row],[b (mm)]]*Table1123457[[#This Row],[d (mm)]]*Table1123457[[#This Row],[pho (%)]])</f>
        <v>0.64938879117452664</v>
      </c>
      <c r="V23" s="111">
        <f>E23*224.8/(2*SQRT(Table1123457[[#This Row],[fc (Mpa)]]*145.037)*Table1123457[[#This Row],[b (mm)]]*Table1123457[[#This Row],[d (mm)]]*(1/25.4)^2)</f>
        <v>0.4394851166660767</v>
      </c>
      <c r="W23" s="111">
        <f>Table1123457[[#This Row],[M (KN.mm)]]/$G$28</f>
        <v>0.42569002123142252</v>
      </c>
      <c r="X23" s="111">
        <f>Table1123457[[#This Row],[V/(2*sqrt(fc) bd)]]</f>
        <v>0.4394851166660767</v>
      </c>
      <c r="Y23" s="111">
        <f>Table1123457[[#This Row],[a (mm)]]</f>
        <v>1295.0500000000002</v>
      </c>
      <c r="Z23" s="111">
        <f>Table1123457[[#This Row],[width]]*Table1123457[[#This Row],[h]]^2</f>
        <v>222284682</v>
      </c>
      <c r="AA23" s="111">
        <f>Table1123457[[#This Row],[b (mm)]]</f>
        <v>1002</v>
      </c>
      <c r="AB23" s="111">
        <f>Table1123457[[#This Row],[a (mm)]]/Table1123457[[#This Row],[h (mm)]]</f>
        <v>2.7495753715498941</v>
      </c>
      <c r="AC23" s="111">
        <f>Table1123457[[#This Row],[h (mm)]]</f>
        <v>471</v>
      </c>
      <c r="AD23" s="111">
        <f>2.95*Table1123457[[#This Row],[d (mm)]]</f>
        <v>1295.0500000000002</v>
      </c>
      <c r="AE23" s="111">
        <v>439</v>
      </c>
      <c r="AF23" s="111">
        <v>471</v>
      </c>
      <c r="AG23" s="111">
        <v>1002</v>
      </c>
      <c r="AH23" s="7">
        <v>39</v>
      </c>
      <c r="AI23" s="111">
        <f>Table1123457[[#This Row],[pho (%)]]*Table1123457[[#This Row],[b (mm)]]*Table1123457[[#This Row],[h (mm)]]/100</f>
        <v>4289.9527799999996</v>
      </c>
      <c r="AJ23" s="160">
        <v>0.90900000000000003</v>
      </c>
      <c r="AK23" s="160">
        <v>525</v>
      </c>
      <c r="AL23" s="111">
        <f>(1/3-0.21*(MIN(Table1123457[[#This Row],[b (mm)]],AF23)/MAX(Table1123457[[#This Row],[b (mm)]],AF23))*(MIN(Table1123457[[#This Row],[b (mm)]],AF23)^4/(12*MAX(Table1123457[[#This Row],[b (mm)]],AF23)^4)))*MAX(Table1123457[[#This Row],[b (mm)]],AF23)*MIN(Table1123457[[#This Row],[b (mm)]],AF23)^3</f>
        <v>34856648131.633789</v>
      </c>
      <c r="AM23" s="111">
        <f>Table1123457[[#This Row],[b (mm)]]*AF23^3/12</f>
        <v>8724673768.5</v>
      </c>
      <c r="AN23" s="111">
        <v>2600</v>
      </c>
      <c r="AO23"/>
      <c r="AP23" s="138"/>
      <c r="AQ23" s="138"/>
      <c r="AR23" s="1"/>
      <c r="AU23" s="366">
        <v>401</v>
      </c>
      <c r="AV23" s="2">
        <f t="shared" si="4"/>
        <v>200.5</v>
      </c>
    </row>
    <row r="24" spans="1:48" s="129" customFormat="1" x14ac:dyDescent="0.3">
      <c r="A24" s="238" t="s">
        <v>145</v>
      </c>
      <c r="B24" s="238">
        <v>3</v>
      </c>
      <c r="C24" s="185">
        <v>23</v>
      </c>
      <c r="D24" s="185">
        <f>Table1123457[[#This Row],[a (mm)]]/Table1123457[[#This Row],[d (mm)]]</f>
        <v>2.9500000000000006</v>
      </c>
      <c r="E24" s="184">
        <v>300</v>
      </c>
      <c r="F24" s="137">
        <f>Table1123457[[#This Row],[d (mm)]]</f>
        <v>439</v>
      </c>
      <c r="G24" s="111">
        <f t="shared" si="3"/>
        <v>388515.00000000006</v>
      </c>
      <c r="H24" s="111">
        <f t="shared" si="0"/>
        <v>1.6908142995917826E-6</v>
      </c>
      <c r="I24" s="111">
        <f>G24/(Table1123457[[#This Row],[b (mm)]]*Table1123457[[#This Row],[h]]^2)</f>
        <v>1.7478262402264861E-3</v>
      </c>
      <c r="J24" s="111">
        <f t="shared" si="1"/>
        <v>0.39294471808015707</v>
      </c>
      <c r="K24" s="111">
        <f t="shared" si="2"/>
        <v>2.7409807424133176E-7</v>
      </c>
      <c r="L24" s="111">
        <f>E24/(Table1123457[[#This Row],[b (mm)]]*AE24)</f>
        <v>6.8200728383779137E-4</v>
      </c>
      <c r="M24" s="111">
        <f>Table1123457[[#This Row],[M (KN.mm)]]/(Table1123457[[#This Row],[b (mm)]]*Table1123457[[#This Row],[d (mm)]])</f>
        <v>0.88323353293413187</v>
      </c>
      <c r="N24" s="111">
        <f>Table1123457[[#This Row],[M (KN.mm)]]/(Table1123457[[#This Row],[b (mm)]]*Table1123457[[#This Row],[h (mm)]])</f>
        <v>0.82322615914667496</v>
      </c>
      <c r="O24" s="111">
        <f>Table1123457[[#This Row],[M (KN.mm)]]/(Table1123457[[#This Row],[b (mm)]]*Table1123457[[#This Row],[h (mm)]]*Table1123457[[#This Row],[L(mm)]])</f>
        <v>3.1662544582564421E-4</v>
      </c>
      <c r="P24" s="111">
        <f>Table1123457[[#This Row],[M (KN.mm)]]/(Table1123457[[#This Row],[b (mm)]]*Table1123457[[#This Row],[d (mm)]]*Table1123457[[#This Row],[L(mm)]])</f>
        <v>3.3970520497466608E-4</v>
      </c>
      <c r="Q24" s="111">
        <f>Table1123457[[#This Row],[M (KN.mm)]]/(Table1123457[[#This Row],[b (mm)]]*Table1123457[[#This Row],[h (mm)]]*Table1123457[[#This Row],[L(mm)]]*Table1123457[[#This Row],[fc (Mpa)]])</f>
        <v>8.1186011750165174E-6</v>
      </c>
      <c r="R24" s="111">
        <f>Table1123457[[#This Row],[M (KN.mm)]]/(Table1123457[[#This Row],[b (mm)]]*Table1123457[[#This Row],[h (mm)]]*Table1123457[[#This Row],[L(mm)]]/2)</f>
        <v>6.3325089165128842E-4</v>
      </c>
      <c r="S24" s="111">
        <f>Table1123457[[#This Row],[M (KN.mm)]]/(Table1123457[[#This Row],[a (mm)]]*Table1123457[[#This Row],[b (mm)]]*Table1123457[[#This Row],[h (mm)]]*Table1123457[[#This Row],[L(mm)]]/2)</f>
        <v>4.8897794807249792E-7</v>
      </c>
      <c r="T24" s="111">
        <f>Table1123457[[#This Row],[M (KN.mm)]]/(Table1123457[[#This Row],[a (mm)]]^2*Table1123457[[#This Row],[b (mm)]]*Table1123457[[#This Row],[h (mm)]])</f>
        <v>4.9084694219856152E-7</v>
      </c>
      <c r="U24" s="111">
        <f>Table1123457[[#This Row],[M (KN.mm)]]/(Table1123457[[#This Row],[b (mm)]]*Table1123457[[#This Row],[d (mm)]]*Table1123457[[#This Row],[pho (%)]])</f>
        <v>0.97165405163270835</v>
      </c>
      <c r="V24" s="111">
        <f>E24*224.8/(2*SQRT(Table1123457[[#This Row],[fc (Mpa)]]*145.037)*Table1123457[[#This Row],[b (mm)]]*Table1123457[[#This Row],[d (mm)]]*(1/25.4)^2)</f>
        <v>0.65758371570984042</v>
      </c>
      <c r="W24" s="111">
        <f>Table1123457[[#This Row],[M (KN.mm)]]/$G$28</f>
        <v>0.63694267515923575</v>
      </c>
      <c r="X24" s="111">
        <f>Table1123457[[#This Row],[V/(2*sqrt(fc) bd)]]</f>
        <v>0.65758371570984042</v>
      </c>
      <c r="Y24" s="111">
        <f>Table1123457[[#This Row],[a (mm)]]</f>
        <v>1295.0500000000002</v>
      </c>
      <c r="Z24" s="111">
        <f>Table1123457[[#This Row],[width]]*Table1123457[[#This Row],[h]]^2</f>
        <v>222284682</v>
      </c>
      <c r="AA24" s="111">
        <f>Table1123457[[#This Row],[b (mm)]]</f>
        <v>1002</v>
      </c>
      <c r="AB24" s="111">
        <f>Table1123457[[#This Row],[a (mm)]]/Table1123457[[#This Row],[h (mm)]]</f>
        <v>2.7495753715498941</v>
      </c>
      <c r="AC24" s="111">
        <f>Table1123457[[#This Row],[h (mm)]]</f>
        <v>471</v>
      </c>
      <c r="AD24" s="111">
        <f>2.95*Table1123457[[#This Row],[d (mm)]]</f>
        <v>1295.0500000000002</v>
      </c>
      <c r="AE24" s="111">
        <v>439</v>
      </c>
      <c r="AF24" s="111">
        <v>471</v>
      </c>
      <c r="AG24" s="111">
        <v>1002</v>
      </c>
      <c r="AH24" s="7">
        <v>39</v>
      </c>
      <c r="AI24" s="111">
        <f>Table1123457[[#This Row],[pho (%)]]*Table1123457[[#This Row],[b (mm)]]*Table1123457[[#This Row],[h (mm)]]/100</f>
        <v>4289.9527799999996</v>
      </c>
      <c r="AJ24" s="160">
        <v>0.90900000000000003</v>
      </c>
      <c r="AK24" s="160">
        <v>525</v>
      </c>
      <c r="AL24" s="111">
        <f>(1/3-0.21*(MIN(Table1123457[[#This Row],[b (mm)]],AF24)/MAX(Table1123457[[#This Row],[b (mm)]],AF24))*(MIN(Table1123457[[#This Row],[b (mm)]],AF24)^4/(12*MAX(Table1123457[[#This Row],[b (mm)]],AF24)^4)))*MAX(Table1123457[[#This Row],[b (mm)]],AF24)*MIN(Table1123457[[#This Row],[b (mm)]],AF24)^3</f>
        <v>34856648131.633789</v>
      </c>
      <c r="AM24" s="111">
        <f>Table1123457[[#This Row],[b (mm)]]*AF24^3/12</f>
        <v>8724673768.5</v>
      </c>
      <c r="AN24" s="111">
        <v>2600</v>
      </c>
      <c r="AO24"/>
      <c r="AP24" s="138"/>
      <c r="AQ24" s="138"/>
      <c r="AR24" s="1"/>
      <c r="AU24" s="366">
        <v>600</v>
      </c>
      <c r="AV24" s="2">
        <f t="shared" si="4"/>
        <v>300</v>
      </c>
    </row>
    <row r="25" spans="1:48" s="129" customFormat="1" x14ac:dyDescent="0.3">
      <c r="A25" s="238" t="s">
        <v>145</v>
      </c>
      <c r="B25" s="238">
        <v>4</v>
      </c>
      <c r="C25" s="185">
        <v>24</v>
      </c>
      <c r="D25" s="185">
        <f>Table1123457[[#This Row],[a (mm)]]/Table1123457[[#This Row],[d (mm)]]</f>
        <v>2.9500000000000006</v>
      </c>
      <c r="E25" s="184">
        <v>361</v>
      </c>
      <c r="F25" s="137">
        <f>Table1123457[[#This Row],[d (mm)]]</f>
        <v>439</v>
      </c>
      <c r="G25" s="111">
        <f t="shared" si="3"/>
        <v>467513.05000000005</v>
      </c>
      <c r="H25" s="111">
        <f t="shared" si="0"/>
        <v>2.0346132071754452E-6</v>
      </c>
      <c r="I25" s="111">
        <f>G25/(Table1123457[[#This Row],[b (mm)]]*Table1123457[[#This Row],[h]]^2)</f>
        <v>2.1032175757392047E-3</v>
      </c>
      <c r="J25" s="111">
        <f t="shared" si="1"/>
        <v>0.47284347742312227</v>
      </c>
      <c r="K25" s="111">
        <f t="shared" si="2"/>
        <v>3.298313493370692E-7</v>
      </c>
      <c r="L25" s="111">
        <f>E25/(Table1123457[[#This Row],[b (mm)]]*AE25)</f>
        <v>8.2068209821814227E-4</v>
      </c>
      <c r="M25" s="111">
        <f>Table1123457[[#This Row],[M (KN.mm)]]/(Table1123457[[#This Row],[b (mm)]]*Table1123457[[#This Row],[d (mm)]])</f>
        <v>1.0628243512974054</v>
      </c>
      <c r="N25" s="111">
        <f>Table1123457[[#This Row],[M (KN.mm)]]/(Table1123457[[#This Row],[b (mm)]]*Table1123457[[#This Row],[h (mm)]])</f>
        <v>0.99061547817316542</v>
      </c>
      <c r="O25" s="111">
        <f>Table1123457[[#This Row],[M (KN.mm)]]/(Table1123457[[#This Row],[b (mm)]]*Table1123457[[#This Row],[h (mm)]]*Table1123457[[#This Row],[L(mm)]])</f>
        <v>3.8100595314352517E-4</v>
      </c>
      <c r="P25" s="111">
        <f>Table1123457[[#This Row],[M (KN.mm)]]/(Table1123457[[#This Row],[b (mm)]]*Table1123457[[#This Row],[d (mm)]]*Table1123457[[#This Row],[L(mm)]])</f>
        <v>4.0877859665284822E-4</v>
      </c>
      <c r="Q25" s="111">
        <f>Table1123457[[#This Row],[M (KN.mm)]]/(Table1123457[[#This Row],[b (mm)]]*Table1123457[[#This Row],[h (mm)]]*Table1123457[[#This Row],[L(mm)]]*Table1123457[[#This Row],[fc (Mpa)]])</f>
        <v>9.769383413936543E-6</v>
      </c>
      <c r="R25" s="111">
        <f>Table1123457[[#This Row],[M (KN.mm)]]/(Table1123457[[#This Row],[b (mm)]]*Table1123457[[#This Row],[h (mm)]]*Table1123457[[#This Row],[L(mm)]]/2)</f>
        <v>7.6201190628705034E-4</v>
      </c>
      <c r="S25" s="111">
        <f>Table1123457[[#This Row],[M (KN.mm)]]/(Table1123457[[#This Row],[a (mm)]]*Table1123457[[#This Row],[b (mm)]]*Table1123457[[#This Row],[h (mm)]]*Table1123457[[#This Row],[L(mm)]]/2)</f>
        <v>5.8840346418057241E-7</v>
      </c>
      <c r="T25" s="111">
        <f>Table1123457[[#This Row],[M (KN.mm)]]/(Table1123457[[#This Row],[a (mm)]]^2*Table1123457[[#This Row],[b (mm)]]*Table1123457[[#This Row],[h (mm)]])</f>
        <v>5.9065248711226896E-7</v>
      </c>
      <c r="U25" s="111">
        <f>Table1123457[[#This Row],[M (KN.mm)]]/(Table1123457[[#This Row],[b (mm)]]*Table1123457[[#This Row],[d (mm)]]*Table1123457[[#This Row],[pho (%)]])</f>
        <v>1.1692237087980255</v>
      </c>
      <c r="V25" s="111">
        <f>E25*224.8/(2*SQRT(Table1123457[[#This Row],[fc (Mpa)]]*145.037)*Table1123457[[#This Row],[b (mm)]]*Table1123457[[#This Row],[d (mm)]]*(1/25.4)^2)</f>
        <v>0.79129240457084127</v>
      </c>
      <c r="W25" s="111">
        <f>Table1123457[[#This Row],[M (KN.mm)]]/$G$28</f>
        <v>0.76645435244161364</v>
      </c>
      <c r="X25" s="111">
        <f>Table1123457[[#This Row],[V/(2*sqrt(fc) bd)]]</f>
        <v>0.79129240457084127</v>
      </c>
      <c r="Y25" s="111">
        <f>Table1123457[[#This Row],[a (mm)]]</f>
        <v>1295.0500000000002</v>
      </c>
      <c r="Z25" s="111">
        <f>Table1123457[[#This Row],[width]]*Table1123457[[#This Row],[h]]^2</f>
        <v>222284682</v>
      </c>
      <c r="AA25" s="111">
        <f>Table1123457[[#This Row],[b (mm)]]</f>
        <v>1002</v>
      </c>
      <c r="AB25" s="111">
        <f>Table1123457[[#This Row],[a (mm)]]/Table1123457[[#This Row],[h (mm)]]</f>
        <v>2.7495753715498941</v>
      </c>
      <c r="AC25" s="111">
        <f>Table1123457[[#This Row],[h (mm)]]</f>
        <v>471</v>
      </c>
      <c r="AD25" s="111">
        <f>2.95*Table1123457[[#This Row],[d (mm)]]</f>
        <v>1295.0500000000002</v>
      </c>
      <c r="AE25" s="111">
        <v>439</v>
      </c>
      <c r="AF25" s="111">
        <v>471</v>
      </c>
      <c r="AG25" s="111">
        <v>1002</v>
      </c>
      <c r="AH25" s="7">
        <v>39</v>
      </c>
      <c r="AI25" s="111">
        <f>Table1123457[[#This Row],[pho (%)]]*Table1123457[[#This Row],[b (mm)]]*Table1123457[[#This Row],[h (mm)]]/100</f>
        <v>4289.9527799999996</v>
      </c>
      <c r="AJ25" s="160">
        <v>0.90900000000000003</v>
      </c>
      <c r="AK25" s="160">
        <v>525</v>
      </c>
      <c r="AL25" s="111">
        <f>(1/3-0.21*(MIN(Table1123457[[#This Row],[b (mm)]],AF25)/MAX(Table1123457[[#This Row],[b (mm)]],AF25))*(MIN(Table1123457[[#This Row],[b (mm)]],AF25)^4/(12*MAX(Table1123457[[#This Row],[b (mm)]],AF25)^4)))*MAX(Table1123457[[#This Row],[b (mm)]],AF25)*MIN(Table1123457[[#This Row],[b (mm)]],AF25)^3</f>
        <v>34856648131.633789</v>
      </c>
      <c r="AM25" s="111">
        <f>Table1123457[[#This Row],[b (mm)]]*AF25^3/12</f>
        <v>8724673768.5</v>
      </c>
      <c r="AN25" s="111">
        <v>2600</v>
      </c>
      <c r="AO25"/>
      <c r="AP25" s="138"/>
      <c r="AQ25" s="138"/>
      <c r="AR25" s="1"/>
      <c r="AU25" s="366">
        <v>722</v>
      </c>
      <c r="AV25" s="2">
        <f t="shared" si="4"/>
        <v>361</v>
      </c>
    </row>
    <row r="26" spans="1:48" s="129" customFormat="1" x14ac:dyDescent="0.3">
      <c r="A26" s="238" t="s">
        <v>145</v>
      </c>
      <c r="B26" s="238">
        <v>5</v>
      </c>
      <c r="C26" s="185">
        <v>25</v>
      </c>
      <c r="D26" s="185">
        <f>Table1123457[[#This Row],[a (mm)]]/Table1123457[[#This Row],[d (mm)]]</f>
        <v>2.9500000000000006</v>
      </c>
      <c r="E26" s="184">
        <v>400.5</v>
      </c>
      <c r="F26" s="137">
        <f>Table1123457[[#This Row],[d (mm)]]</f>
        <v>439</v>
      </c>
      <c r="G26" s="111">
        <f t="shared" si="3"/>
        <v>518667.52500000008</v>
      </c>
      <c r="H26" s="111">
        <f t="shared" si="0"/>
        <v>2.25723708995503E-6</v>
      </c>
      <c r="I26" s="111">
        <f>G26/(Table1123457[[#This Row],[b (mm)]]*Table1123457[[#This Row],[h]]^2)</f>
        <v>2.3333480307023589E-3</v>
      </c>
      <c r="J26" s="111">
        <f t="shared" si="1"/>
        <v>0.52458119863700969</v>
      </c>
      <c r="K26" s="111">
        <f t="shared" si="2"/>
        <v>3.6592092911217789E-7</v>
      </c>
      <c r="L26" s="111">
        <f>E26/(Table1123457[[#This Row],[b (mm)]]*AE26)</f>
        <v>9.1047972392345152E-4</v>
      </c>
      <c r="M26" s="111">
        <f>Table1123457[[#This Row],[M (KN.mm)]]/(Table1123457[[#This Row],[b (mm)]]*Table1123457[[#This Row],[d (mm)]])</f>
        <v>1.1791167664670661</v>
      </c>
      <c r="N26" s="111">
        <f>Table1123457[[#This Row],[M (KN.mm)]]/(Table1123457[[#This Row],[b (mm)]]*Table1123457[[#This Row],[h (mm)]])</f>
        <v>1.099006922460811</v>
      </c>
      <c r="O26" s="111">
        <f>Table1123457[[#This Row],[M (KN.mm)]]/(Table1123457[[#This Row],[b (mm)]]*Table1123457[[#This Row],[h (mm)]]*Table1123457[[#This Row],[L(mm)]])</f>
        <v>4.2269497017723503E-4</v>
      </c>
      <c r="P26" s="111">
        <f>Table1123457[[#This Row],[M (KN.mm)]]/(Table1123457[[#This Row],[b (mm)]]*Table1123457[[#This Row],[d (mm)]]*Table1123457[[#This Row],[L(mm)]])</f>
        <v>4.5350644864117922E-4</v>
      </c>
      <c r="Q26" s="111">
        <f>Table1123457[[#This Row],[M (KN.mm)]]/(Table1123457[[#This Row],[b (mm)]]*Table1123457[[#This Row],[h (mm)]]*Table1123457[[#This Row],[L(mm)]]*Table1123457[[#This Row],[fc (Mpa)]])</f>
        <v>1.0838332568647051E-5</v>
      </c>
      <c r="R26" s="111">
        <f>Table1123457[[#This Row],[M (KN.mm)]]/(Table1123457[[#This Row],[b (mm)]]*Table1123457[[#This Row],[h (mm)]]*Table1123457[[#This Row],[L(mm)]]/2)</f>
        <v>8.4538994035447007E-4</v>
      </c>
      <c r="S26" s="111">
        <f>Table1123457[[#This Row],[M (KN.mm)]]/(Table1123457[[#This Row],[a (mm)]]*Table1123457[[#This Row],[b (mm)]]*Table1123457[[#This Row],[h (mm)]]*Table1123457[[#This Row],[L(mm)]]/2)</f>
        <v>6.5278556067678467E-7</v>
      </c>
      <c r="T26" s="111">
        <f>Table1123457[[#This Row],[M (KN.mm)]]/(Table1123457[[#This Row],[a (mm)]]^2*Table1123457[[#This Row],[b (mm)]]*Table1123457[[#This Row],[h (mm)]])</f>
        <v>6.5528066783507958E-7</v>
      </c>
      <c r="U26" s="111">
        <f>Table1123457[[#This Row],[M (KN.mm)]]/(Table1123457[[#This Row],[b (mm)]]*Table1123457[[#This Row],[d (mm)]]*Table1123457[[#This Row],[pho (%)]])</f>
        <v>1.2971581589296657</v>
      </c>
      <c r="V26" s="111">
        <f>E26*224.8/(2*SQRT(Table1123457[[#This Row],[fc (Mpa)]]*145.037)*Table1123457[[#This Row],[b (mm)]]*Table1123457[[#This Row],[d (mm)]]*(1/25.4)^2)</f>
        <v>0.87787426047263706</v>
      </c>
      <c r="W26" s="111">
        <f>Table1123457[[#This Row],[M (KN.mm)]]/$G$28</f>
        <v>0.85031847133757965</v>
      </c>
      <c r="X26" s="111">
        <f>Table1123457[[#This Row],[V/(2*sqrt(fc) bd)]]</f>
        <v>0.87787426047263706</v>
      </c>
      <c r="Y26" s="111">
        <f>Table1123457[[#This Row],[a (mm)]]</f>
        <v>1295.0500000000002</v>
      </c>
      <c r="Z26" s="111">
        <f>Table1123457[[#This Row],[width]]*Table1123457[[#This Row],[h]]^2</f>
        <v>222284682</v>
      </c>
      <c r="AA26" s="111">
        <f>Table1123457[[#This Row],[b (mm)]]</f>
        <v>1002</v>
      </c>
      <c r="AB26" s="111">
        <f>Table1123457[[#This Row],[a (mm)]]/Table1123457[[#This Row],[h (mm)]]</f>
        <v>2.7495753715498941</v>
      </c>
      <c r="AC26" s="111">
        <f>Table1123457[[#This Row],[h (mm)]]</f>
        <v>471</v>
      </c>
      <c r="AD26" s="111">
        <f>2.95*Table1123457[[#This Row],[d (mm)]]</f>
        <v>1295.0500000000002</v>
      </c>
      <c r="AE26" s="111">
        <v>439</v>
      </c>
      <c r="AF26" s="111">
        <v>471</v>
      </c>
      <c r="AG26" s="111">
        <v>1002</v>
      </c>
      <c r="AH26" s="7">
        <v>39</v>
      </c>
      <c r="AI26" s="111">
        <f>Table1123457[[#This Row],[pho (%)]]*Table1123457[[#This Row],[b (mm)]]*Table1123457[[#This Row],[h (mm)]]/100</f>
        <v>4289.9527799999996</v>
      </c>
      <c r="AJ26" s="160">
        <v>0.90900000000000003</v>
      </c>
      <c r="AK26" s="160">
        <v>525</v>
      </c>
      <c r="AL26" s="111">
        <f>(1/3-0.21*(MIN(Table1123457[[#This Row],[b (mm)]],AF26)/MAX(Table1123457[[#This Row],[b (mm)]],AF26))*(MIN(Table1123457[[#This Row],[b (mm)]],AF26)^4/(12*MAX(Table1123457[[#This Row],[b (mm)]],AF26)^4)))*MAX(Table1123457[[#This Row],[b (mm)]],AF26)*MIN(Table1123457[[#This Row],[b (mm)]],AF26)^3</f>
        <v>34856648131.633789</v>
      </c>
      <c r="AM26" s="111">
        <f>Table1123457[[#This Row],[b (mm)]]*AF26^3/12</f>
        <v>8724673768.5</v>
      </c>
      <c r="AN26" s="111">
        <v>2600</v>
      </c>
      <c r="AO26"/>
      <c r="AP26" s="138"/>
      <c r="AQ26" s="138"/>
      <c r="AR26" s="1"/>
      <c r="AU26" s="366">
        <v>801</v>
      </c>
      <c r="AV26" s="2">
        <f t="shared" si="4"/>
        <v>400.5</v>
      </c>
    </row>
    <row r="27" spans="1:48" s="129" customFormat="1" x14ac:dyDescent="0.3">
      <c r="A27" s="238" t="s">
        <v>145</v>
      </c>
      <c r="B27" s="238">
        <v>6</v>
      </c>
      <c r="C27" s="185">
        <v>26</v>
      </c>
      <c r="D27" s="185">
        <f>Table1123457[[#This Row],[a (mm)]]/Table1123457[[#This Row],[d (mm)]]</f>
        <v>2.9500000000000006</v>
      </c>
      <c r="E27" s="184">
        <v>441</v>
      </c>
      <c r="F27" s="137">
        <f>Table1123457[[#This Row],[d (mm)]]</f>
        <v>439</v>
      </c>
      <c r="G27" s="111">
        <f t="shared" si="3"/>
        <v>571117.05000000005</v>
      </c>
      <c r="H27" s="111">
        <f t="shared" si="0"/>
        <v>2.4854970203999202E-6</v>
      </c>
      <c r="I27" s="111">
        <f>G27/(Table1123457[[#This Row],[b (mm)]]*Table1123457[[#This Row],[h]]^2)</f>
        <v>2.5693045731329345E-3</v>
      </c>
      <c r="J27" s="111">
        <f t="shared" si="1"/>
        <v>0.57762873557783079</v>
      </c>
      <c r="K27" s="111">
        <f t="shared" si="2"/>
        <v>4.0292416913475769E-7</v>
      </c>
      <c r="L27" s="111">
        <f>E27/(Table1123457[[#This Row],[b (mm)]]*AE27)</f>
        <v>1.0025507072415534E-3</v>
      </c>
      <c r="M27" s="111">
        <f>Table1123457[[#This Row],[M (KN.mm)]]/(Table1123457[[#This Row],[b (mm)]]*Table1123457[[#This Row],[d (mm)]])</f>
        <v>1.2983532934131738</v>
      </c>
      <c r="N27" s="111">
        <f>Table1123457[[#This Row],[M (KN.mm)]]/(Table1123457[[#This Row],[b (mm)]]*Table1123457[[#This Row],[h (mm)]])</f>
        <v>1.210142453945612</v>
      </c>
      <c r="O27" s="111">
        <f>Table1123457[[#This Row],[M (KN.mm)]]/(Table1123457[[#This Row],[b (mm)]]*Table1123457[[#This Row],[h (mm)]]*Table1123457[[#This Row],[L(mm)]])</f>
        <v>4.6543940536369693E-4</v>
      </c>
      <c r="P27" s="111">
        <f>Table1123457[[#This Row],[M (KN.mm)]]/(Table1123457[[#This Row],[b (mm)]]*Table1123457[[#This Row],[d (mm)]]*Table1123457[[#This Row],[L(mm)]])</f>
        <v>4.9936665131275915E-4</v>
      </c>
      <c r="Q27" s="111">
        <f>Table1123457[[#This Row],[M (KN.mm)]]/(Table1123457[[#This Row],[b (mm)]]*Table1123457[[#This Row],[h (mm)]]*Table1123457[[#This Row],[L(mm)]]*Table1123457[[#This Row],[fc (Mpa)]])</f>
        <v>1.193434372727428E-5</v>
      </c>
      <c r="R27" s="111">
        <f>Table1123457[[#This Row],[M (KN.mm)]]/(Table1123457[[#This Row],[b (mm)]]*Table1123457[[#This Row],[h (mm)]]*Table1123457[[#This Row],[L(mm)]]/2)</f>
        <v>9.3087881072739386E-4</v>
      </c>
      <c r="S27" s="111">
        <f>Table1123457[[#This Row],[M (KN.mm)]]/(Table1123457[[#This Row],[a (mm)]]*Table1123457[[#This Row],[b (mm)]]*Table1123457[[#This Row],[h (mm)]]*Table1123457[[#This Row],[L(mm)]]/2)</f>
        <v>7.1879758366657186E-7</v>
      </c>
      <c r="T27" s="111">
        <f>Table1123457[[#This Row],[M (KN.mm)]]/(Table1123457[[#This Row],[a (mm)]]^2*Table1123457[[#This Row],[b (mm)]]*Table1123457[[#This Row],[h (mm)]])</f>
        <v>7.2154500503188538E-7</v>
      </c>
      <c r="U27" s="111">
        <f>Table1123457[[#This Row],[M (KN.mm)]]/(Table1123457[[#This Row],[b (mm)]]*Table1123457[[#This Row],[d (mm)]]*Table1123457[[#This Row],[pho (%)]])</f>
        <v>1.428331455900081</v>
      </c>
      <c r="V27" s="111">
        <f>E27*224.8/(2*SQRT(Table1123457[[#This Row],[fc (Mpa)]]*145.037)*Table1123457[[#This Row],[b (mm)]]*Table1123457[[#This Row],[d (mm)]]*(1/25.4)^2)</f>
        <v>0.96664806209346543</v>
      </c>
      <c r="W27" s="111">
        <f>Table1123457[[#This Row],[M (KN.mm)]]/$G$28</f>
        <v>0.93630573248407645</v>
      </c>
      <c r="X27" s="111">
        <f>Table1123457[[#This Row],[V/(2*sqrt(fc) bd)]]</f>
        <v>0.96664806209346543</v>
      </c>
      <c r="Y27" s="111">
        <f>Table1123457[[#This Row],[a (mm)]]</f>
        <v>1295.0500000000002</v>
      </c>
      <c r="Z27" s="111">
        <f>Table1123457[[#This Row],[width]]*Table1123457[[#This Row],[h]]^2</f>
        <v>222284682</v>
      </c>
      <c r="AA27" s="111">
        <f>Table1123457[[#This Row],[b (mm)]]</f>
        <v>1002</v>
      </c>
      <c r="AB27" s="111">
        <f>Table1123457[[#This Row],[a (mm)]]/Table1123457[[#This Row],[h (mm)]]</f>
        <v>2.7495753715498941</v>
      </c>
      <c r="AC27" s="111">
        <f>Table1123457[[#This Row],[h (mm)]]</f>
        <v>471</v>
      </c>
      <c r="AD27" s="111">
        <f>2.95*Table1123457[[#This Row],[d (mm)]]</f>
        <v>1295.0500000000002</v>
      </c>
      <c r="AE27" s="111">
        <v>439</v>
      </c>
      <c r="AF27" s="111">
        <v>471</v>
      </c>
      <c r="AG27" s="111">
        <v>1002</v>
      </c>
      <c r="AH27" s="7">
        <v>39</v>
      </c>
      <c r="AI27" s="111">
        <f>Table1123457[[#This Row],[pho (%)]]*Table1123457[[#This Row],[b (mm)]]*Table1123457[[#This Row],[h (mm)]]/100</f>
        <v>4289.9527799999996</v>
      </c>
      <c r="AJ27" s="160">
        <v>0.90900000000000003</v>
      </c>
      <c r="AK27" s="160">
        <v>525</v>
      </c>
      <c r="AL27" s="111">
        <f>(1/3-0.21*(MIN(Table1123457[[#This Row],[b (mm)]],AF27)/MAX(Table1123457[[#This Row],[b (mm)]],AF27))*(MIN(Table1123457[[#This Row],[b (mm)]],AF27)^4/(12*MAX(Table1123457[[#This Row],[b (mm)]],AF27)^4)))*MAX(Table1123457[[#This Row],[b (mm)]],AF27)*MIN(Table1123457[[#This Row],[b (mm)]],AF27)^3</f>
        <v>34856648131.633789</v>
      </c>
      <c r="AM27" s="111">
        <f>Table1123457[[#This Row],[b (mm)]]*AF27^3/12</f>
        <v>8724673768.5</v>
      </c>
      <c r="AN27" s="111">
        <v>2600</v>
      </c>
      <c r="AO27"/>
      <c r="AP27" s="138"/>
      <c r="AQ27" s="138"/>
      <c r="AR27" s="1"/>
      <c r="AU27" s="366">
        <v>882</v>
      </c>
      <c r="AV27" s="2">
        <f t="shared" si="4"/>
        <v>441</v>
      </c>
    </row>
    <row r="28" spans="1:48" s="129" customFormat="1" x14ac:dyDescent="0.3">
      <c r="A28" s="238" t="s">
        <v>145</v>
      </c>
      <c r="B28" s="238" t="s">
        <v>142</v>
      </c>
      <c r="C28" s="185">
        <v>27</v>
      </c>
      <c r="D28" s="185">
        <f>Table1123457[[#This Row],[a (mm)]]/Table1123457[[#This Row],[d (mm)]]</f>
        <v>2.9500000000000006</v>
      </c>
      <c r="E28" s="184">
        <v>471</v>
      </c>
      <c r="F28" s="137">
        <f>Table1123457[[#This Row],[d (mm)]]</f>
        <v>439</v>
      </c>
      <c r="G28" s="111">
        <f t="shared" si="3"/>
        <v>609968.55000000005</v>
      </c>
      <c r="H28" s="111">
        <f t="shared" si="0"/>
        <v>2.6545784503590987E-6</v>
      </c>
      <c r="I28" s="111">
        <f>G28/(Table1123457[[#This Row],[b (mm)]]*Table1123457[[#This Row],[h]]^2)</f>
        <v>2.7440871971555827E-3</v>
      </c>
      <c r="J28" s="111">
        <f t="shared" si="1"/>
        <v>0.61692320738584649</v>
      </c>
      <c r="K28" s="111">
        <f t="shared" si="2"/>
        <v>4.3033397655889085E-7</v>
      </c>
      <c r="L28" s="111">
        <f>E28/(Table1123457[[#This Row],[b (mm)]]*AE28)</f>
        <v>1.0707514356253325E-3</v>
      </c>
      <c r="M28" s="111">
        <f>Table1123457[[#This Row],[M (KN.mm)]]/(Table1123457[[#This Row],[b (mm)]]*Table1123457[[#This Row],[d (mm)]])</f>
        <v>1.386676646706587</v>
      </c>
      <c r="N28" s="111">
        <f>Table1123457[[#This Row],[M (KN.mm)]]/(Table1123457[[#This Row],[b (mm)]]*Table1123457[[#This Row],[h (mm)]])</f>
        <v>1.2924650698602795</v>
      </c>
      <c r="O28" s="111">
        <f>Table1123457[[#This Row],[M (KN.mm)]]/(Table1123457[[#This Row],[b (mm)]]*Table1123457[[#This Row],[h (mm)]]*Table1123457[[#This Row],[L(mm)]])</f>
        <v>4.9710194994626131E-4</v>
      </c>
      <c r="P28" s="111">
        <f>Table1123457[[#This Row],[M (KN.mm)]]/(Table1123457[[#This Row],[b (mm)]]*Table1123457[[#This Row],[d (mm)]]*Table1123457[[#This Row],[L(mm)]])</f>
        <v>5.3333717181022571E-4</v>
      </c>
      <c r="Q28" s="111">
        <f>Table1123457[[#This Row],[M (KN.mm)]]/(Table1123457[[#This Row],[b (mm)]]*Table1123457[[#This Row],[h (mm)]]*Table1123457[[#This Row],[L(mm)]]*Table1123457[[#This Row],[fc (Mpa)]])</f>
        <v>1.2746203844775933E-5</v>
      </c>
      <c r="R28" s="111">
        <f>Table1123457[[#This Row],[M (KN.mm)]]/(Table1123457[[#This Row],[b (mm)]]*Table1123457[[#This Row],[h (mm)]]*Table1123457[[#This Row],[L(mm)]]/2)</f>
        <v>9.9420389989252262E-4</v>
      </c>
      <c r="S28" s="111">
        <f>Table1123457[[#This Row],[M (KN.mm)]]/(Table1123457[[#This Row],[a (mm)]]*Table1123457[[#This Row],[b (mm)]]*Table1123457[[#This Row],[h (mm)]]*Table1123457[[#This Row],[L(mm)]]/2)</f>
        <v>7.676953784738217E-7</v>
      </c>
      <c r="T28" s="111">
        <f>Table1123457[[#This Row],[M (KN.mm)]]/(Table1123457[[#This Row],[a (mm)]]^2*Table1123457[[#This Row],[b (mm)]]*Table1123457[[#This Row],[h (mm)]])</f>
        <v>7.7062969925174151E-7</v>
      </c>
      <c r="U28" s="111">
        <f>Table1123457[[#This Row],[M (KN.mm)]]/(Table1123457[[#This Row],[b (mm)]]*Table1123457[[#This Row],[d (mm)]]*Table1123457[[#This Row],[pho (%)]])</f>
        <v>1.5254968610633519</v>
      </c>
      <c r="V28" s="111">
        <f>E28*224.8/(2*SQRT(Table1123457[[#This Row],[fc (Mpa)]]*145.037)*Table1123457[[#This Row],[b (mm)]]*Table1123457[[#This Row],[d (mm)]]*(1/25.4)^2)</f>
        <v>1.0324064336644494</v>
      </c>
      <c r="W28" s="111">
        <f>Table1123457[[#This Row],[M (KN.mm)]]/$G$28</f>
        <v>1</v>
      </c>
      <c r="X28" s="111">
        <f>Table1123457[[#This Row],[V/(2*sqrt(fc) bd)]]</f>
        <v>1.0324064336644494</v>
      </c>
      <c r="Y28" s="111">
        <f>Table1123457[[#This Row],[a (mm)]]</f>
        <v>1295.0500000000002</v>
      </c>
      <c r="Z28" s="111">
        <f>Table1123457[[#This Row],[width]]*Table1123457[[#This Row],[h]]^2</f>
        <v>222284682</v>
      </c>
      <c r="AA28" s="111">
        <f>Table1123457[[#This Row],[b (mm)]]</f>
        <v>1002</v>
      </c>
      <c r="AB28" s="111">
        <f>Table1123457[[#This Row],[a (mm)]]/Table1123457[[#This Row],[h (mm)]]</f>
        <v>2.7495753715498941</v>
      </c>
      <c r="AC28" s="111">
        <f>Table1123457[[#This Row],[h (mm)]]</f>
        <v>471</v>
      </c>
      <c r="AD28" s="111">
        <f>2.95*Table1123457[[#This Row],[d (mm)]]</f>
        <v>1295.0500000000002</v>
      </c>
      <c r="AE28" s="111">
        <v>439</v>
      </c>
      <c r="AF28" s="111">
        <v>471</v>
      </c>
      <c r="AG28" s="111">
        <v>1002</v>
      </c>
      <c r="AH28" s="7">
        <v>39</v>
      </c>
      <c r="AI28" s="111">
        <f>Table1123457[[#This Row],[pho (%)]]*Table1123457[[#This Row],[b (mm)]]*Table1123457[[#This Row],[h (mm)]]/100</f>
        <v>4289.9527799999996</v>
      </c>
      <c r="AJ28" s="160">
        <v>0.90900000000000003</v>
      </c>
      <c r="AK28" s="160">
        <v>525</v>
      </c>
      <c r="AL28" s="111">
        <f>(1/3-0.21*(MIN(Table1123457[[#This Row],[b (mm)]],AF28)/MAX(Table1123457[[#This Row],[b (mm)]],AF28))*(MIN(Table1123457[[#This Row],[b (mm)]],AF28)^4/(12*MAX(Table1123457[[#This Row],[b (mm)]],AF28)^4)))*MAX(Table1123457[[#This Row],[b (mm)]],AF28)*MIN(Table1123457[[#This Row],[b (mm)]],AF28)^3</f>
        <v>34856648131.633789</v>
      </c>
      <c r="AM28" s="111">
        <f>Table1123457[[#This Row],[b (mm)]]*AF28^3/12</f>
        <v>8724673768.5</v>
      </c>
      <c r="AN28" s="111">
        <v>2600</v>
      </c>
      <c r="AO28"/>
      <c r="AP28" s="138"/>
      <c r="AQ28" s="138"/>
      <c r="AR28" s="1"/>
      <c r="AU28" s="366">
        <v>942</v>
      </c>
      <c r="AV28" s="2">
        <f t="shared" si="4"/>
        <v>471</v>
      </c>
    </row>
    <row r="29" spans="1:48" s="129" customFormat="1" x14ac:dyDescent="0.3">
      <c r="A29" s="164" t="s">
        <v>146</v>
      </c>
      <c r="B29" s="164">
        <v>1</v>
      </c>
      <c r="C29" s="185">
        <v>28</v>
      </c>
      <c r="D29" s="185">
        <f>Table1123457[[#This Row],[a (mm)]]/Table1123457[[#This Row],[d (mm)]]</f>
        <v>2.95</v>
      </c>
      <c r="E29" s="239">
        <v>126.5</v>
      </c>
      <c r="F29" s="137">
        <f>Table1123457[[#This Row],[d (mm)]]</f>
        <v>438</v>
      </c>
      <c r="G29" s="111">
        <f t="shared" si="3"/>
        <v>163450.65000000002</v>
      </c>
      <c r="H29" s="111">
        <f t="shared" si="0"/>
        <v>7.158860846842236E-7</v>
      </c>
      <c r="I29" s="111">
        <f>G29/(Table1123457[[#This Row],[b (mm)]]*Table1123457[[#This Row],[h]]^2)</f>
        <v>7.38453604335015E-4</v>
      </c>
      <c r="J29" s="111">
        <f t="shared" si="1"/>
        <v>0.16567969318842382</v>
      </c>
      <c r="K29" s="111">
        <f t="shared" si="2"/>
        <v>1.1631584093608893E-7</v>
      </c>
      <c r="L29" s="111">
        <f>E29/(Table1123457[[#This Row],[b (mm)]]*AE29)</f>
        <v>2.8823631276260264E-4</v>
      </c>
      <c r="M29" s="111">
        <f>Table1123457[[#This Row],[M (KN.mm)]]/(Table1123457[[#This Row],[b (mm)]]*Table1123457[[#This Row],[d (mm)]])</f>
        <v>0.37243013972055894</v>
      </c>
      <c r="N29" s="111">
        <f>Table1123457[[#This Row],[M (KN.mm)]]/(Table1123457[[#This Row],[b (mm)]]*Table1123457[[#This Row],[h (mm)]])</f>
        <v>0.34707319403745707</v>
      </c>
      <c r="O29" s="111">
        <f>Table1123457[[#This Row],[M (KN.mm)]]/(Table1123457[[#This Row],[b (mm)]]*Table1123457[[#This Row],[h (mm)]]*Table1123457[[#This Row],[L(mm)]])</f>
        <v>1.3348969001440657E-4</v>
      </c>
      <c r="P29" s="111">
        <f>Table1123457[[#This Row],[M (KN.mm)]]/(Table1123457[[#This Row],[b (mm)]]*Table1123457[[#This Row],[d (mm)]]*Table1123457[[#This Row],[L(mm)]])</f>
        <v>1.432423614309842E-4</v>
      </c>
      <c r="Q29" s="111">
        <f>Table1123457[[#This Row],[M (KN.mm)]]/(Table1123457[[#This Row],[b (mm)]]*Table1123457[[#This Row],[h (mm)]]*Table1123457[[#This Row],[L(mm)]]*Table1123457[[#This Row],[fc (Mpa)]])</f>
        <v>3.5221554093510967E-6</v>
      </c>
      <c r="R29" s="111">
        <f>Table1123457[[#This Row],[M (KN.mm)]]/(Table1123457[[#This Row],[b (mm)]]*Table1123457[[#This Row],[h (mm)]]*Table1123457[[#This Row],[L(mm)]]/2)</f>
        <v>2.6697938002881314E-4</v>
      </c>
      <c r="S29" s="111">
        <f>Table1123457[[#This Row],[M (KN.mm)]]/(Table1123457[[#This Row],[a (mm)]]*Table1123457[[#This Row],[b (mm)]]*Table1123457[[#This Row],[h (mm)]]*Table1123457[[#This Row],[L(mm)]]/2)</f>
        <v>2.0662439441901795E-7</v>
      </c>
      <c r="T29" s="111">
        <f>Table1123457[[#This Row],[M (KN.mm)]]/(Table1123457[[#This Row],[a (mm)]]^2*Table1123457[[#This Row],[b (mm)]]*Table1123457[[#This Row],[h (mm)]])</f>
        <v>2.0788771205380645E-7</v>
      </c>
      <c r="U29" s="111">
        <f>Table1123457[[#This Row],[M (KN.mm)]]/(Table1123457[[#This Row],[b (mm)]]*Table1123457[[#This Row],[d (mm)]]*Table1123457[[#This Row],[pho (%)]])</f>
        <v>0.40881464294243569</v>
      </c>
      <c r="V29" s="111">
        <f>E29*224.8/(2*SQRT(Table1123457[[#This Row],[fc (Mpa)]]*145.037)*Table1123457[[#This Row],[b (mm)]]*Table1123457[[#This Row],[d (mm)]]*(1/25.4)^2)</f>
        <v>0.28191840453559208</v>
      </c>
      <c r="W29" s="111">
        <f>Table1123457[[#This Row],[M (KN.mm)]]/$G$34</f>
        <v>0.28749999999999998</v>
      </c>
      <c r="X29" s="111">
        <f>Table1123457[[#This Row],[V/(2*sqrt(fc) bd)]]</f>
        <v>0.28191840453559208</v>
      </c>
      <c r="Y29" s="111">
        <f>Table1123457[[#This Row],[a (mm)]]</f>
        <v>1292.1000000000001</v>
      </c>
      <c r="Z29" s="111">
        <f>Table1123457[[#This Row],[width]]*Table1123457[[#This Row],[h]]^2</f>
        <v>221341800</v>
      </c>
      <c r="AA29" s="111">
        <f>Table1123457[[#This Row],[b (mm)]]</f>
        <v>1002</v>
      </c>
      <c r="AB29" s="111">
        <f>Table1123457[[#This Row],[a (mm)]]/Table1123457[[#This Row],[h (mm)]]</f>
        <v>2.7491489361702133</v>
      </c>
      <c r="AC29" s="111">
        <f>Table1123457[[#This Row],[h (mm)]]</f>
        <v>470</v>
      </c>
      <c r="AD29" s="111">
        <f>2.95*Table1123457[[#This Row],[d (mm)]]</f>
        <v>1292.1000000000001</v>
      </c>
      <c r="AE29" s="111">
        <v>438</v>
      </c>
      <c r="AF29" s="111">
        <v>470</v>
      </c>
      <c r="AG29" s="111">
        <v>1002</v>
      </c>
      <c r="AH29" s="7">
        <v>37.9</v>
      </c>
      <c r="AI29" s="111">
        <f>Table1123457[[#This Row],[pho (%)]]*Table1123457[[#This Row],[b (mm)]]*Table1123457[[#This Row],[h (mm)]]/100</f>
        <v>4290.2633999999998</v>
      </c>
      <c r="AJ29" s="160">
        <v>0.91100000000000003</v>
      </c>
      <c r="AK29" s="160">
        <v>525</v>
      </c>
      <c r="AL29" s="111">
        <f>(1/3-0.21*(MIN(Table1123457[[#This Row],[b (mm)]],AF29)/MAX(Table1123457[[#This Row],[b (mm)]],AF29))*(MIN(Table1123457[[#This Row],[b (mm)]],AF29)^4/(12*MAX(Table1123457[[#This Row],[b (mm)]],AF29)^4)))*MAX(Table1123457[[#This Row],[b (mm)]],AF29)*MIN(Table1123457[[#This Row],[b (mm)]],AF29)^3</f>
        <v>34635543946.209015</v>
      </c>
      <c r="AM29" s="111">
        <f>Table1123457[[#This Row],[b (mm)]]*AF29^3/12</f>
        <v>8669220500</v>
      </c>
      <c r="AN29" s="111">
        <v>2600</v>
      </c>
      <c r="AO29"/>
      <c r="AP29" s="138"/>
      <c r="AQ29" s="138"/>
      <c r="AR29" s="1"/>
      <c r="AU29" s="371">
        <v>253</v>
      </c>
      <c r="AV29" s="2">
        <f t="shared" si="4"/>
        <v>126.5</v>
      </c>
    </row>
    <row r="30" spans="1:48" s="129" customFormat="1" x14ac:dyDescent="0.3">
      <c r="A30" s="164" t="s">
        <v>146</v>
      </c>
      <c r="B30" s="164">
        <v>2</v>
      </c>
      <c r="C30" s="185">
        <v>29</v>
      </c>
      <c r="D30" s="185">
        <f>Table1123457[[#This Row],[a (mm)]]/Table1123457[[#This Row],[d (mm)]]</f>
        <v>2.95</v>
      </c>
      <c r="E30" s="239">
        <v>202</v>
      </c>
      <c r="F30" s="137">
        <f>Table1123457[[#This Row],[d (mm)]]</f>
        <v>438</v>
      </c>
      <c r="G30" s="111">
        <f t="shared" si="3"/>
        <v>261004.20000000004</v>
      </c>
      <c r="H30" s="111">
        <f t="shared" si="0"/>
        <v>1.1431540640807366E-6</v>
      </c>
      <c r="I30" s="111">
        <f>G30/(Table1123457[[#This Row],[b (mm)]]*Table1123457[[#This Row],[h]]^2)</f>
        <v>1.1791907357760715E-3</v>
      </c>
      <c r="J30" s="111">
        <f t="shared" si="1"/>
        <v>0.26456362074357009</v>
      </c>
      <c r="K30" s="111">
        <f t="shared" si="2"/>
        <v>1.8573754837225268E-7</v>
      </c>
      <c r="L30" s="111">
        <f>E30/(Table1123457[[#This Row],[b (mm)]]*AE30)</f>
        <v>4.602666812493734E-4</v>
      </c>
      <c r="M30" s="111">
        <f>Table1123457[[#This Row],[M (KN.mm)]]/(Table1123457[[#This Row],[b (mm)]]*Table1123457[[#This Row],[d (mm)]])</f>
        <v>0.59471057884231548</v>
      </c>
      <c r="N30" s="111">
        <f>Table1123457[[#This Row],[M (KN.mm)]]/(Table1123457[[#This Row],[b (mm)]]*Table1123457[[#This Row],[h (mm)]])</f>
        <v>0.55421964581475358</v>
      </c>
      <c r="O30" s="111">
        <f>Table1123457[[#This Row],[M (KN.mm)]]/(Table1123457[[#This Row],[b (mm)]]*Table1123457[[#This Row],[h (mm)]]*Table1123457[[#This Row],[L(mm)]])</f>
        <v>2.1316140223644368E-4</v>
      </c>
      <c r="P30" s="111">
        <f>Table1123457[[#This Row],[M (KN.mm)]]/(Table1123457[[#This Row],[b (mm)]]*Table1123457[[#This Row],[d (mm)]]*Table1123457[[#This Row],[L(mm)]])</f>
        <v>2.2873483801627518E-4</v>
      </c>
      <c r="Q30" s="111">
        <f>Table1123457[[#This Row],[M (KN.mm)]]/(Table1123457[[#This Row],[b (mm)]]*Table1123457[[#This Row],[h (mm)]]*Table1123457[[#This Row],[L(mm)]]*Table1123457[[#This Row],[fc (Mpa)]])</f>
        <v>5.624311404655506E-6</v>
      </c>
      <c r="R30" s="111">
        <f>Table1123457[[#This Row],[M (KN.mm)]]/(Table1123457[[#This Row],[b (mm)]]*Table1123457[[#This Row],[h (mm)]]*Table1123457[[#This Row],[L(mm)]]/2)</f>
        <v>4.2632280447288737E-4</v>
      </c>
      <c r="S30" s="111">
        <f>Table1123457[[#This Row],[M (KN.mm)]]/(Table1123457[[#This Row],[a (mm)]]*Table1123457[[#This Row],[b (mm)]]*Table1123457[[#This Row],[h (mm)]]*Table1123457[[#This Row],[L(mm)]]/2)</f>
        <v>3.2994567330151481E-7</v>
      </c>
      <c r="T30" s="111">
        <f>Table1123457[[#This Row],[M (KN.mm)]]/(Table1123457[[#This Row],[a (mm)]]^2*Table1123457[[#This Row],[b (mm)]]*Table1123457[[#This Row],[h (mm)]])</f>
        <v>3.319629868369083E-7</v>
      </c>
      <c r="U30" s="111">
        <f>Table1123457[[#This Row],[M (KN.mm)]]/(Table1123457[[#This Row],[b (mm)]]*Table1123457[[#This Row],[d (mm)]]*Table1123457[[#This Row],[pho (%)]])</f>
        <v>0.65281073418475899</v>
      </c>
      <c r="V30" s="111">
        <f>E30*224.8/(2*SQRT(Table1123457[[#This Row],[fc (Mpa)]]*145.037)*Table1123457[[#This Row],[b (mm)]]*Table1123457[[#This Row],[d (mm)]]*(1/25.4)^2)</f>
        <v>0.4501780056615779</v>
      </c>
      <c r="W30" s="111">
        <f>Table1123457[[#This Row],[M (KN.mm)]]/$G$34</f>
        <v>0.45909090909090905</v>
      </c>
      <c r="X30" s="111">
        <f>Table1123457[[#This Row],[V/(2*sqrt(fc) bd)]]</f>
        <v>0.4501780056615779</v>
      </c>
      <c r="Y30" s="111">
        <f>Table1123457[[#This Row],[a (mm)]]</f>
        <v>1292.1000000000001</v>
      </c>
      <c r="Z30" s="111">
        <f>Table1123457[[#This Row],[width]]*Table1123457[[#This Row],[h]]^2</f>
        <v>221341800</v>
      </c>
      <c r="AA30" s="111">
        <f>Table1123457[[#This Row],[b (mm)]]</f>
        <v>1002</v>
      </c>
      <c r="AB30" s="111">
        <f>Table1123457[[#This Row],[a (mm)]]/Table1123457[[#This Row],[h (mm)]]</f>
        <v>2.7491489361702133</v>
      </c>
      <c r="AC30" s="111">
        <f>Table1123457[[#This Row],[h (mm)]]</f>
        <v>470</v>
      </c>
      <c r="AD30" s="111">
        <f>2.95*Table1123457[[#This Row],[d (mm)]]</f>
        <v>1292.1000000000001</v>
      </c>
      <c r="AE30" s="111">
        <v>438</v>
      </c>
      <c r="AF30" s="111">
        <v>470</v>
      </c>
      <c r="AG30" s="111">
        <v>1002</v>
      </c>
      <c r="AH30" s="7">
        <v>37.9</v>
      </c>
      <c r="AI30" s="111">
        <f>Table1123457[[#This Row],[pho (%)]]*Table1123457[[#This Row],[b (mm)]]*Table1123457[[#This Row],[h (mm)]]/100</f>
        <v>4290.2633999999998</v>
      </c>
      <c r="AJ30" s="160">
        <v>0.91100000000000003</v>
      </c>
      <c r="AK30" s="160">
        <v>525</v>
      </c>
      <c r="AL30" s="111">
        <f>(1/3-0.21*(MIN(Table1123457[[#This Row],[b (mm)]],AF30)/MAX(Table1123457[[#This Row],[b (mm)]],AF30))*(MIN(Table1123457[[#This Row],[b (mm)]],AF30)^4/(12*MAX(Table1123457[[#This Row],[b (mm)]],AF30)^4)))*MAX(Table1123457[[#This Row],[b (mm)]],AF30)*MIN(Table1123457[[#This Row],[b (mm)]],AF30)^3</f>
        <v>34635543946.209015</v>
      </c>
      <c r="AM30" s="111">
        <f>Table1123457[[#This Row],[b (mm)]]*AF30^3/12</f>
        <v>8669220500</v>
      </c>
      <c r="AN30" s="111">
        <v>2600</v>
      </c>
      <c r="AO30"/>
      <c r="AP30" s="138"/>
      <c r="AQ30" s="138"/>
      <c r="AR30" s="1"/>
      <c r="AU30" s="371">
        <v>404</v>
      </c>
      <c r="AV30" s="2">
        <f t="shared" si="4"/>
        <v>202</v>
      </c>
    </row>
    <row r="31" spans="1:48" x14ac:dyDescent="0.3">
      <c r="A31" s="164" t="s">
        <v>146</v>
      </c>
      <c r="B31" s="164">
        <v>3</v>
      </c>
      <c r="C31" s="185">
        <v>30</v>
      </c>
      <c r="D31" s="185">
        <f>Table1123457[[#This Row],[a (mm)]]/Table1123457[[#This Row],[d (mm)]]</f>
        <v>2.95</v>
      </c>
      <c r="E31" s="239">
        <v>300</v>
      </c>
      <c r="F31" s="137">
        <f>Table1123457[[#This Row],[d (mm)]]</f>
        <v>438</v>
      </c>
      <c r="G31" s="111">
        <f>E31*AD31</f>
        <v>387630.00000000006</v>
      </c>
      <c r="H31" s="111">
        <f t="shared" si="0"/>
        <v>1.6977535605159453E-6</v>
      </c>
      <c r="I31" s="111">
        <f>G31/(Table1123457[[#This Row],[b (mm)]]*Table1123457[[#This Row],[h]]^2)</f>
        <v>1.7512733699644625E-3</v>
      </c>
      <c r="J31" s="111">
        <f t="shared" si="1"/>
        <v>0.39291626843104466</v>
      </c>
      <c r="K31" s="111">
        <f t="shared" si="2"/>
        <v>2.7584784411720695E-7</v>
      </c>
      <c r="L31" s="111">
        <f>E31/(Table1123457[[#This Row],[b (mm)]]*AE31)</f>
        <v>6.8356437809312886E-4</v>
      </c>
      <c r="M31" s="111">
        <f>Table1123457[[#This Row],[M (KN.mm)]]/(Table1123457[[#This Row],[b (mm)]]*Table1123457[[#This Row],[d (mm)]])</f>
        <v>0.88323353293413187</v>
      </c>
      <c r="N31" s="111">
        <f>Table1123457[[#This Row],[M (KN.mm)]]/(Table1123457[[#This Row],[b (mm)]]*Table1123457[[#This Row],[h (mm)]])</f>
        <v>0.82309848388329732</v>
      </c>
      <c r="O31" s="111">
        <f>Table1123457[[#This Row],[M (KN.mm)]]/(Table1123457[[#This Row],[b (mm)]]*Table1123457[[#This Row],[h (mm)]]*Table1123457[[#This Row],[L(mm)]])</f>
        <v>3.1657633995511435E-4</v>
      </c>
      <c r="P31" s="111">
        <f>Table1123457[[#This Row],[M (KN.mm)]]/(Table1123457[[#This Row],[b (mm)]]*Table1123457[[#This Row],[d (mm)]]*Table1123457[[#This Row],[L(mm)]])</f>
        <v>3.3970520497466608E-4</v>
      </c>
      <c r="Q31" s="111">
        <f>Table1123457[[#This Row],[M (KN.mm)]]/(Table1123457[[#This Row],[b (mm)]]*Table1123457[[#This Row],[h (mm)]]*Table1123457[[#This Row],[L(mm)]]*Table1123457[[#This Row],[fc (Mpa)]])</f>
        <v>8.3529377296863958E-6</v>
      </c>
      <c r="R31" s="111">
        <f>Table1123457[[#This Row],[M (KN.mm)]]/(Table1123457[[#This Row],[b (mm)]]*Table1123457[[#This Row],[h (mm)]]*Table1123457[[#This Row],[L(mm)]]/2)</f>
        <v>6.331526799102287E-4</v>
      </c>
      <c r="S31" s="111">
        <f>Table1123457[[#This Row],[M (KN.mm)]]/(Table1123457[[#This Row],[a (mm)]]*Table1123457[[#This Row],[b (mm)]]*Table1123457[[#This Row],[h (mm)]]*Table1123457[[#This Row],[L(mm)]]/2)</f>
        <v>4.9001832668541806E-7</v>
      </c>
      <c r="T31" s="111">
        <f>Table1123457[[#This Row],[M (KN.mm)]]/(Table1123457[[#This Row],[a (mm)]]^2*Table1123457[[#This Row],[b (mm)]]*Table1123457[[#This Row],[h (mm)]])</f>
        <v>4.9301433688649748E-7</v>
      </c>
      <c r="U31" s="111">
        <f>Table1123457[[#This Row],[M (KN.mm)]]/(Table1123457[[#This Row],[b (mm)]]*Table1123457[[#This Row],[d (mm)]]*Table1123457[[#This Row],[pho (%)]])</f>
        <v>0.96952089235360239</v>
      </c>
      <c r="V31" s="111">
        <f>E31*224.8/(2*SQRT(Table1123457[[#This Row],[fc (Mpa)]]*145.037)*Table1123457[[#This Row],[b (mm)]]*Table1123457[[#This Row],[d (mm)]]*(1/25.4)^2)</f>
        <v>0.6685811965270958</v>
      </c>
      <c r="W31" s="111">
        <f>Table1123457[[#This Row],[M (KN.mm)]]/$G$34</f>
        <v>0.68181818181818177</v>
      </c>
      <c r="X31" s="111">
        <f>Table1123457[[#This Row],[V/(2*sqrt(fc) bd)]]</f>
        <v>0.6685811965270958</v>
      </c>
      <c r="Y31" s="111">
        <f>Table1123457[[#This Row],[a (mm)]]</f>
        <v>1292.1000000000001</v>
      </c>
      <c r="Z31" s="111">
        <f>Table1123457[[#This Row],[width]]*Table1123457[[#This Row],[h]]^2</f>
        <v>221341800</v>
      </c>
      <c r="AA31" s="111">
        <f>Table1123457[[#This Row],[b (mm)]]</f>
        <v>1002</v>
      </c>
      <c r="AB31" s="111">
        <f>Table1123457[[#This Row],[a (mm)]]/Table1123457[[#This Row],[h (mm)]]</f>
        <v>2.7491489361702133</v>
      </c>
      <c r="AC31" s="111">
        <f>Table1123457[[#This Row],[h (mm)]]</f>
        <v>470</v>
      </c>
      <c r="AD31" s="111">
        <f>2.95*Table1123457[[#This Row],[d (mm)]]</f>
        <v>1292.1000000000001</v>
      </c>
      <c r="AE31" s="111">
        <v>438</v>
      </c>
      <c r="AF31" s="111">
        <v>470</v>
      </c>
      <c r="AG31" s="111">
        <v>1002</v>
      </c>
      <c r="AH31" s="7">
        <v>37.9</v>
      </c>
      <c r="AI31" s="111">
        <f>Table1123457[[#This Row],[pho (%)]]*Table1123457[[#This Row],[b (mm)]]*Table1123457[[#This Row],[h (mm)]]/100</f>
        <v>4290.2633999999998</v>
      </c>
      <c r="AJ31" s="160">
        <v>0.91100000000000003</v>
      </c>
      <c r="AK31" s="160">
        <v>525</v>
      </c>
      <c r="AL31" s="111">
        <f>(1/3-0.21*(MIN(Table1123457[[#This Row],[b (mm)]],AF31)/MAX(Table1123457[[#This Row],[b (mm)]],AF31))*(MIN(Table1123457[[#This Row],[b (mm)]],AF31)^4/(12*MAX(Table1123457[[#This Row],[b (mm)]],AF31)^4)))*MAX(Table1123457[[#This Row],[b (mm)]],AF31)*MIN(Table1123457[[#This Row],[b (mm)]],AF31)^3</f>
        <v>34635543946.209015</v>
      </c>
      <c r="AM31" s="111">
        <f>Table1123457[[#This Row],[b (mm)]]*AF31^3/12</f>
        <v>8669220500</v>
      </c>
      <c r="AN31" s="111">
        <v>2600</v>
      </c>
      <c r="AP31" s="1"/>
      <c r="AU31" s="371">
        <v>600</v>
      </c>
      <c r="AV31" s="2">
        <f t="shared" si="4"/>
        <v>300</v>
      </c>
    </row>
    <row r="32" spans="1:48" x14ac:dyDescent="0.3">
      <c r="A32" s="164" t="s">
        <v>146</v>
      </c>
      <c r="B32" s="164">
        <v>4</v>
      </c>
      <c r="C32" s="185">
        <v>31</v>
      </c>
      <c r="D32" s="185">
        <f>Table1123457[[#This Row],[a (mm)]]/Table1123457[[#This Row],[d (mm)]]</f>
        <v>2.95</v>
      </c>
      <c r="E32" s="239">
        <v>361</v>
      </c>
      <c r="F32" s="137">
        <f>Table1123457[[#This Row],[d (mm)]]</f>
        <v>438</v>
      </c>
      <c r="G32" s="111">
        <f t="shared" si="3"/>
        <v>466448.10000000003</v>
      </c>
      <c r="H32" s="111">
        <f t="shared" si="0"/>
        <v>2.0429634511541874E-6</v>
      </c>
      <c r="I32" s="111">
        <f>G32/(Table1123457[[#This Row],[b (mm)]]*Table1123457[[#This Row],[h]]^2)</f>
        <v>2.1073656218572362E-3</v>
      </c>
      <c r="J32" s="111">
        <f t="shared" si="1"/>
        <v>0.47280924301202371</v>
      </c>
      <c r="K32" s="111">
        <f t="shared" si="2"/>
        <v>3.3193690575437235E-7</v>
      </c>
      <c r="L32" s="111">
        <f>E32/(Table1123457[[#This Row],[b (mm)]]*AE32)</f>
        <v>8.2255580163873162E-4</v>
      </c>
      <c r="M32" s="111">
        <f>Table1123457[[#This Row],[M (KN.mm)]]/(Table1123457[[#This Row],[b (mm)]]*Table1123457[[#This Row],[d (mm)]])</f>
        <v>1.0628243512974054</v>
      </c>
      <c r="N32" s="111">
        <f>Table1123457[[#This Row],[M (KN.mm)]]/(Table1123457[[#This Row],[b (mm)]]*Table1123457[[#This Row],[h (mm)]])</f>
        <v>0.99046184227290113</v>
      </c>
      <c r="O32" s="111">
        <f>Table1123457[[#This Row],[M (KN.mm)]]/(Table1123457[[#This Row],[b (mm)]]*Table1123457[[#This Row],[h (mm)]]*Table1123457[[#This Row],[L(mm)]])</f>
        <v>3.8094686241265426E-4</v>
      </c>
      <c r="P32" s="111">
        <f>Table1123457[[#This Row],[M (KN.mm)]]/(Table1123457[[#This Row],[b (mm)]]*Table1123457[[#This Row],[d (mm)]]*Table1123457[[#This Row],[L(mm)]])</f>
        <v>4.0877859665284816E-4</v>
      </c>
      <c r="Q32" s="111">
        <f>Table1123457[[#This Row],[M (KN.mm)]]/(Table1123457[[#This Row],[b (mm)]]*Table1123457[[#This Row],[h (mm)]]*Table1123457[[#This Row],[L(mm)]]*Table1123457[[#This Row],[fc (Mpa)]])</f>
        <v>1.0051368401389294E-5</v>
      </c>
      <c r="R32" s="111">
        <f>Table1123457[[#This Row],[M (KN.mm)]]/(Table1123457[[#This Row],[b (mm)]]*Table1123457[[#This Row],[h (mm)]]*Table1123457[[#This Row],[L(mm)]]/2)</f>
        <v>7.6189372482530853E-4</v>
      </c>
      <c r="S32" s="111">
        <f>Table1123457[[#This Row],[M (KN.mm)]]/(Table1123457[[#This Row],[a (mm)]]*Table1123457[[#This Row],[b (mm)]]*Table1123457[[#This Row],[h (mm)]]*Table1123457[[#This Row],[L(mm)]]/2)</f>
        <v>5.8965538644478631E-7</v>
      </c>
      <c r="T32" s="111">
        <f>Table1123457[[#This Row],[M (KN.mm)]]/(Table1123457[[#This Row],[a (mm)]]^2*Table1123457[[#This Row],[b (mm)]]*Table1123457[[#This Row],[h (mm)]])</f>
        <v>5.9326058538675192E-7</v>
      </c>
      <c r="U32" s="111">
        <f>Table1123457[[#This Row],[M (KN.mm)]]/(Table1123457[[#This Row],[b (mm)]]*Table1123457[[#This Row],[d (mm)]]*Table1123457[[#This Row],[pho (%)]])</f>
        <v>1.1666568071321681</v>
      </c>
      <c r="V32" s="111">
        <f>E32*224.8/(2*SQRT(Table1123457[[#This Row],[fc (Mpa)]]*145.037)*Table1123457[[#This Row],[b (mm)]]*Table1123457[[#This Row],[d (mm)]]*(1/25.4)^2)</f>
        <v>0.80452603982093862</v>
      </c>
      <c r="W32" s="111">
        <f>Table1123457[[#This Row],[M (KN.mm)]]/$G$34</f>
        <v>0.82045454545454533</v>
      </c>
      <c r="X32" s="111">
        <f>Table1123457[[#This Row],[V/(2*sqrt(fc) bd)]]</f>
        <v>0.80452603982093862</v>
      </c>
      <c r="Y32" s="111">
        <f>Table1123457[[#This Row],[a (mm)]]</f>
        <v>1292.1000000000001</v>
      </c>
      <c r="Z32" s="111">
        <f>Table1123457[[#This Row],[width]]*Table1123457[[#This Row],[h]]^2</f>
        <v>221341800</v>
      </c>
      <c r="AA32" s="111">
        <f>Table1123457[[#This Row],[b (mm)]]</f>
        <v>1002</v>
      </c>
      <c r="AB32" s="111">
        <f>Table1123457[[#This Row],[a (mm)]]/Table1123457[[#This Row],[h (mm)]]</f>
        <v>2.7491489361702133</v>
      </c>
      <c r="AC32" s="111">
        <f>Table1123457[[#This Row],[h (mm)]]</f>
        <v>470</v>
      </c>
      <c r="AD32" s="111">
        <f>2.95*Table1123457[[#This Row],[d (mm)]]</f>
        <v>1292.1000000000001</v>
      </c>
      <c r="AE32" s="111">
        <v>438</v>
      </c>
      <c r="AF32" s="111">
        <v>470</v>
      </c>
      <c r="AG32" s="111">
        <v>1002</v>
      </c>
      <c r="AH32" s="7">
        <v>37.9</v>
      </c>
      <c r="AI32" s="111">
        <f>Table1123457[[#This Row],[pho (%)]]*Table1123457[[#This Row],[b (mm)]]*Table1123457[[#This Row],[h (mm)]]/100</f>
        <v>4290.2633999999998</v>
      </c>
      <c r="AJ32" s="160">
        <v>0.91100000000000003</v>
      </c>
      <c r="AK32" s="160">
        <v>525</v>
      </c>
      <c r="AL32" s="111">
        <f>(1/3-0.21*(MIN(Table1123457[[#This Row],[b (mm)]],AF32)/MAX(Table1123457[[#This Row],[b (mm)]],AF32))*(MIN(Table1123457[[#This Row],[b (mm)]],AF32)^4/(12*MAX(Table1123457[[#This Row],[b (mm)]],AF32)^4)))*MAX(Table1123457[[#This Row],[b (mm)]],AF32)*MIN(Table1123457[[#This Row],[b (mm)]],AF32)^3</f>
        <v>34635543946.209015</v>
      </c>
      <c r="AM32" s="111">
        <f>Table1123457[[#This Row],[b (mm)]]*AF32^3/12</f>
        <v>8669220500</v>
      </c>
      <c r="AN32" s="111">
        <v>2600</v>
      </c>
      <c r="AP32" s="1"/>
      <c r="AU32" s="371">
        <v>722</v>
      </c>
      <c r="AV32" s="2">
        <f t="shared" si="4"/>
        <v>361</v>
      </c>
    </row>
    <row r="33" spans="1:49" x14ac:dyDescent="0.3">
      <c r="A33" s="164" t="s">
        <v>146</v>
      </c>
      <c r="B33" s="164">
        <v>5</v>
      </c>
      <c r="C33" s="185">
        <v>32</v>
      </c>
      <c r="D33" s="185">
        <f>Table1123457[[#This Row],[a (mm)]]/Table1123457[[#This Row],[d (mm)]]</f>
        <v>2.95</v>
      </c>
      <c r="E33" s="239">
        <v>401</v>
      </c>
      <c r="F33" s="137">
        <f>Table1123457[[#This Row],[d (mm)]]</f>
        <v>438</v>
      </c>
      <c r="G33" s="111">
        <f t="shared" si="3"/>
        <v>518132.10000000003</v>
      </c>
      <c r="H33" s="111">
        <f t="shared" si="0"/>
        <v>2.2693305925563135E-6</v>
      </c>
      <c r="I33" s="111">
        <f>G33/(Table1123457[[#This Row],[b (mm)]]*Table1123457[[#This Row],[h]]^2)</f>
        <v>2.3408687378524981E-3</v>
      </c>
      <c r="J33" s="111">
        <f t="shared" si="1"/>
        <v>0.52519807880282965</v>
      </c>
      <c r="K33" s="111">
        <f t="shared" si="2"/>
        <v>3.6871661830333329E-7</v>
      </c>
      <c r="L33" s="111">
        <f>E33/(Table1123457[[#This Row],[b (mm)]]*AE33)</f>
        <v>9.136977187178155E-4</v>
      </c>
      <c r="M33" s="111">
        <f>Table1123457[[#This Row],[M (KN.mm)]]/(Table1123457[[#This Row],[b (mm)]]*Table1123457[[#This Row],[d (mm)]])</f>
        <v>1.1805888223552894</v>
      </c>
      <c r="N33" s="111">
        <f>Table1123457[[#This Row],[M (KN.mm)]]/(Table1123457[[#This Row],[b (mm)]]*Table1123457[[#This Row],[h (mm)]])</f>
        <v>1.1002083067906741</v>
      </c>
      <c r="O33" s="111">
        <f>Table1123457[[#This Row],[M (KN.mm)]]/(Table1123457[[#This Row],[b (mm)]]*Table1123457[[#This Row],[h (mm)]]*Table1123457[[#This Row],[L(mm)]])</f>
        <v>4.2315704107333615E-4</v>
      </c>
      <c r="P33" s="111">
        <f>Table1123457[[#This Row],[M (KN.mm)]]/(Table1123457[[#This Row],[b (mm)]]*Table1123457[[#This Row],[d (mm)]]*Table1123457[[#This Row],[L(mm)]])</f>
        <v>4.5407262398280366E-4</v>
      </c>
      <c r="Q33" s="111">
        <f>Table1123457[[#This Row],[M (KN.mm)]]/(Table1123457[[#This Row],[b (mm)]]*Table1123457[[#This Row],[h (mm)]]*Table1123457[[#This Row],[L(mm)]]*Table1123457[[#This Row],[fc (Mpa)]])</f>
        <v>1.1165093432014147E-5</v>
      </c>
      <c r="R33" s="111">
        <f>Table1123457[[#This Row],[M (KN.mm)]]/(Table1123457[[#This Row],[b (mm)]]*Table1123457[[#This Row],[h (mm)]]*Table1123457[[#This Row],[L(mm)]]/2)</f>
        <v>8.4631408214667231E-4</v>
      </c>
      <c r="S33" s="111">
        <f>Table1123457[[#This Row],[M (KN.mm)]]/(Table1123457[[#This Row],[a (mm)]]*Table1123457[[#This Row],[b (mm)]]*Table1123457[[#This Row],[h (mm)]]*Table1123457[[#This Row],[L(mm)]]/2)</f>
        <v>6.5499116333617541E-7</v>
      </c>
      <c r="T33" s="111">
        <f>Table1123457[[#This Row],[M (KN.mm)]]/(Table1123457[[#This Row],[a (mm)]]^2*Table1123457[[#This Row],[b (mm)]]*Table1123457[[#This Row],[h (mm)]])</f>
        <v>6.5899583030495163E-7</v>
      </c>
      <c r="U33" s="111">
        <f>Table1123457[[#This Row],[M (KN.mm)]]/(Table1123457[[#This Row],[b (mm)]]*Table1123457[[#This Row],[d (mm)]]*Table1123457[[#This Row],[pho (%)]])</f>
        <v>1.2959262594459817</v>
      </c>
      <c r="V33" s="111">
        <f>E33*224.8/(2*SQRT(Table1123457[[#This Row],[fc (Mpa)]]*145.037)*Table1123457[[#This Row],[b (mm)]]*Table1123457[[#This Row],[d (mm)]]*(1/25.4)^2)</f>
        <v>0.89367019935788472</v>
      </c>
      <c r="W33" s="111">
        <f>Table1123457[[#This Row],[M (KN.mm)]]/$G$34</f>
        <v>0.91136363636363626</v>
      </c>
      <c r="X33" s="111">
        <f>Table1123457[[#This Row],[V/(2*sqrt(fc) bd)]]</f>
        <v>0.89367019935788472</v>
      </c>
      <c r="Y33" s="111">
        <f>Table1123457[[#This Row],[a (mm)]]</f>
        <v>1292.1000000000001</v>
      </c>
      <c r="Z33" s="111">
        <f>Table1123457[[#This Row],[width]]*Table1123457[[#This Row],[h]]^2</f>
        <v>221341800</v>
      </c>
      <c r="AA33" s="111">
        <f>Table1123457[[#This Row],[b (mm)]]</f>
        <v>1002</v>
      </c>
      <c r="AB33" s="111">
        <f>Table1123457[[#This Row],[a (mm)]]/Table1123457[[#This Row],[h (mm)]]</f>
        <v>2.7491489361702133</v>
      </c>
      <c r="AC33" s="111">
        <f>Table1123457[[#This Row],[h (mm)]]</f>
        <v>470</v>
      </c>
      <c r="AD33" s="111">
        <f>2.95*Table1123457[[#This Row],[d (mm)]]</f>
        <v>1292.1000000000001</v>
      </c>
      <c r="AE33" s="111">
        <v>438</v>
      </c>
      <c r="AF33" s="111">
        <v>470</v>
      </c>
      <c r="AG33" s="111">
        <v>1002</v>
      </c>
      <c r="AH33" s="7">
        <v>37.9</v>
      </c>
      <c r="AI33" s="111">
        <f>Table1123457[[#This Row],[pho (%)]]*Table1123457[[#This Row],[b (mm)]]*Table1123457[[#This Row],[h (mm)]]/100</f>
        <v>4290.2633999999998</v>
      </c>
      <c r="AJ33" s="160">
        <v>0.91100000000000003</v>
      </c>
      <c r="AK33" s="160">
        <v>525</v>
      </c>
      <c r="AL33" s="111">
        <f>(1/3-0.21*(MIN(Table1123457[[#This Row],[b (mm)]],AF33)/MAX(Table1123457[[#This Row],[b (mm)]],AF33))*(MIN(Table1123457[[#This Row],[b (mm)]],AF33)^4/(12*MAX(Table1123457[[#This Row],[b (mm)]],AF33)^4)))*MAX(Table1123457[[#This Row],[b (mm)]],AF33)*MIN(Table1123457[[#This Row],[b (mm)]],AF33)^3</f>
        <v>34635543946.209015</v>
      </c>
      <c r="AM33" s="111">
        <f>Table1123457[[#This Row],[b (mm)]]*AF33^3/12</f>
        <v>8669220500</v>
      </c>
      <c r="AN33" s="111">
        <v>2600</v>
      </c>
      <c r="AP33" s="1"/>
      <c r="AU33" s="371">
        <v>802</v>
      </c>
      <c r="AV33" s="2">
        <f t="shared" si="4"/>
        <v>401</v>
      </c>
    </row>
    <row r="34" spans="1:49" x14ac:dyDescent="0.3">
      <c r="A34" s="164" t="s">
        <v>146</v>
      </c>
      <c r="B34" s="164" t="s">
        <v>142</v>
      </c>
      <c r="C34" s="185">
        <v>33</v>
      </c>
      <c r="D34" s="185">
        <f>Table1123457[[#This Row],[a (mm)]]/Table1123457[[#This Row],[d (mm)]]</f>
        <v>2.95</v>
      </c>
      <c r="E34" s="239">
        <v>440</v>
      </c>
      <c r="F34" s="137">
        <f>Table1123457[[#This Row],[d (mm)]]</f>
        <v>438</v>
      </c>
      <c r="G34" s="111">
        <f t="shared" si="3"/>
        <v>568524.00000000012</v>
      </c>
      <c r="H34" s="111">
        <f t="shared" si="0"/>
        <v>2.4900385554233865E-6</v>
      </c>
      <c r="I34" s="111">
        <f>G34/(Table1123457[[#This Row],[b (mm)]]*Table1123457[[#This Row],[h]]^2)</f>
        <v>2.5685342759478786E-3</v>
      </c>
      <c r="J34" s="111">
        <f t="shared" si="1"/>
        <v>0.57627719369886554</v>
      </c>
      <c r="K34" s="111">
        <f t="shared" si="2"/>
        <v>4.0457683803857018E-7</v>
      </c>
      <c r="L34" s="111">
        <f>E34/(Table1123457[[#This Row],[b (mm)]]*AE34)</f>
        <v>1.0025610878699222E-3</v>
      </c>
      <c r="M34" s="111">
        <f>Table1123457[[#This Row],[M (KN.mm)]]/(Table1123457[[#This Row],[b (mm)]]*Table1123457[[#This Row],[d (mm)]])</f>
        <v>1.2954091816367268</v>
      </c>
      <c r="N34" s="111">
        <f>Table1123457[[#This Row],[M (KN.mm)]]/(Table1123457[[#This Row],[b (mm)]]*Table1123457[[#This Row],[h (mm)]])</f>
        <v>1.2072111096955029</v>
      </c>
      <c r="O34" s="111">
        <f>Table1123457[[#This Row],[M (KN.mm)]]/(Table1123457[[#This Row],[b (mm)]]*Table1123457[[#This Row],[h (mm)]]*Table1123457[[#This Row],[L(mm)]])</f>
        <v>4.643119652675011E-4</v>
      </c>
      <c r="P34" s="111">
        <f>Table1123457[[#This Row],[M (KN.mm)]]/(Table1123457[[#This Row],[b (mm)]]*Table1123457[[#This Row],[d (mm)]]*Table1123457[[#This Row],[L(mm)]])</f>
        <v>4.9823430062951029E-4</v>
      </c>
      <c r="Q34" s="111">
        <f>Table1123457[[#This Row],[M (KN.mm)]]/(Table1123457[[#This Row],[b (mm)]]*Table1123457[[#This Row],[h (mm)]]*Table1123457[[#This Row],[L(mm)]]*Table1123457[[#This Row],[fc (Mpa)]])</f>
        <v>1.225097533687338E-5</v>
      </c>
      <c r="R34" s="111">
        <f>Table1123457[[#This Row],[M (KN.mm)]]/(Table1123457[[#This Row],[b (mm)]]*Table1123457[[#This Row],[h (mm)]]*Table1123457[[#This Row],[L(mm)]]/2)</f>
        <v>9.2862393053500219E-4</v>
      </c>
      <c r="S34" s="111">
        <f>Table1123457[[#This Row],[M (KN.mm)]]/(Table1123457[[#This Row],[a (mm)]]*Table1123457[[#This Row],[b (mm)]]*Table1123457[[#This Row],[h (mm)]]*Table1123457[[#This Row],[L(mm)]]/2)</f>
        <v>7.1869354580527982E-7</v>
      </c>
      <c r="T34" s="111">
        <f>Table1123457[[#This Row],[M (KN.mm)]]/(Table1123457[[#This Row],[a (mm)]]^2*Table1123457[[#This Row],[b (mm)]]*Table1123457[[#This Row],[h (mm)]])</f>
        <v>7.2308769410019643E-7</v>
      </c>
      <c r="U34" s="111">
        <f>Table1123457[[#This Row],[M (KN.mm)]]/(Table1123457[[#This Row],[b (mm)]]*Table1123457[[#This Row],[d (mm)]]*Table1123457[[#This Row],[pho (%)]])</f>
        <v>1.4219639754519504</v>
      </c>
      <c r="V34" s="111">
        <f>E34*224.8/(2*SQRT(Table1123457[[#This Row],[fc (Mpa)]]*145.037)*Table1123457[[#This Row],[b (mm)]]*Table1123457[[#This Row],[d (mm)]]*(1/25.4)^2)</f>
        <v>0.9805857549064072</v>
      </c>
      <c r="W34" s="111">
        <f>Table1123457[[#This Row],[M (KN.mm)]]/$G$34</f>
        <v>1</v>
      </c>
      <c r="X34" s="111">
        <f>Table1123457[[#This Row],[V/(2*sqrt(fc) bd)]]</f>
        <v>0.9805857549064072</v>
      </c>
      <c r="Y34" s="111">
        <f>Table1123457[[#This Row],[a (mm)]]</f>
        <v>1292.1000000000001</v>
      </c>
      <c r="Z34" s="111">
        <f>Table1123457[[#This Row],[width]]*Table1123457[[#This Row],[h]]^2</f>
        <v>221341800</v>
      </c>
      <c r="AA34" s="111">
        <f>Table1123457[[#This Row],[b (mm)]]</f>
        <v>1002</v>
      </c>
      <c r="AB34" s="111">
        <f>Table1123457[[#This Row],[a (mm)]]/Table1123457[[#This Row],[h (mm)]]</f>
        <v>2.7491489361702133</v>
      </c>
      <c r="AC34" s="111">
        <f>Table1123457[[#This Row],[h (mm)]]</f>
        <v>470</v>
      </c>
      <c r="AD34" s="111">
        <f>2.95*Table1123457[[#This Row],[d (mm)]]</f>
        <v>1292.1000000000001</v>
      </c>
      <c r="AE34" s="111">
        <v>438</v>
      </c>
      <c r="AF34" s="111">
        <v>470</v>
      </c>
      <c r="AG34" s="111">
        <v>1002</v>
      </c>
      <c r="AH34" s="7">
        <v>37.9</v>
      </c>
      <c r="AI34" s="111">
        <f>Table1123457[[#This Row],[pho (%)]]*Table1123457[[#This Row],[b (mm)]]*Table1123457[[#This Row],[h (mm)]]/100</f>
        <v>4290.2633999999998</v>
      </c>
      <c r="AJ34" s="160">
        <v>0.91100000000000003</v>
      </c>
      <c r="AK34" s="160">
        <v>525</v>
      </c>
      <c r="AL34" s="111">
        <f>(1/3-0.21*(MIN(Table1123457[[#This Row],[b (mm)]],AF34)/MAX(Table1123457[[#This Row],[b (mm)]],AF34))*(MIN(Table1123457[[#This Row],[b (mm)]],AF34)^4/(12*MAX(Table1123457[[#This Row],[b (mm)]],AF34)^4)))*MAX(Table1123457[[#This Row],[b (mm)]],AF34)*MIN(Table1123457[[#This Row],[b (mm)]],AF34)^3</f>
        <v>34635543946.209015</v>
      </c>
      <c r="AM34" s="111">
        <f>Table1123457[[#This Row],[b (mm)]]*AF34^3/12</f>
        <v>8669220500</v>
      </c>
      <c r="AN34" s="111">
        <v>2600</v>
      </c>
      <c r="AP34" s="1"/>
      <c r="AU34" s="371">
        <v>880</v>
      </c>
      <c r="AV34" s="2">
        <f t="shared" si="4"/>
        <v>440</v>
      </c>
    </row>
    <row r="35" spans="1:49" x14ac:dyDescent="0.3">
      <c r="A35" s="163" t="s">
        <v>147</v>
      </c>
      <c r="B35" s="163">
        <v>1</v>
      </c>
      <c r="C35" s="185">
        <v>34</v>
      </c>
      <c r="D35" s="185">
        <f>Table1123457[[#This Row],[a (mm)]]/Table1123457[[#This Row],[d (mm)]]</f>
        <v>2.95</v>
      </c>
      <c r="E35" s="240">
        <v>377</v>
      </c>
      <c r="F35" s="137">
        <f>Table1123457[[#This Row],[d (mm)]]</f>
        <v>440</v>
      </c>
      <c r="G35" s="111">
        <f t="shared" si="3"/>
        <v>489346</v>
      </c>
      <c r="H35" s="111">
        <f t="shared" si="0"/>
        <v>7.0560903728021039E-7</v>
      </c>
      <c r="I35" s="111">
        <f>G35/(Table1123457[[#This Row],[b (mm)]]*Table1123457[[#This Row],[h]]^2)</f>
        <v>7.3094982938041119E-4</v>
      </c>
      <c r="J35" s="111">
        <f t="shared" si="1"/>
        <v>0.16448706040942182</v>
      </c>
      <c r="K35" s="111">
        <f t="shared" si="2"/>
        <v>1.1398945165377624E-7</v>
      </c>
      <c r="L35" s="111">
        <f>E35/(Table1123457[[#This Row],[b (mm)]]*AE35)</f>
        <v>2.8513084253516867E-4</v>
      </c>
      <c r="M35" s="111">
        <f>Table1123457[[#This Row],[M (KN.mm)]]/(Table1123457[[#This Row],[b (mm)]]*Table1123457[[#This Row],[d (mm)]])</f>
        <v>0.37009983361064891</v>
      </c>
      <c r="N35" s="111">
        <f>Table1123457[[#This Row],[M (KN.mm)]]/(Table1123457[[#This Row],[b (mm)]]*Table1123457[[#This Row],[h (mm)]])</f>
        <v>0.34500831946755406</v>
      </c>
      <c r="O35" s="111">
        <f>Table1123457[[#This Row],[M (KN.mm)]]/(Table1123457[[#This Row],[b (mm)]]*Table1123457[[#This Row],[h (mm)]]*Table1123457[[#This Row],[L(mm)]])</f>
        <v>1.3269550748752079E-4</v>
      </c>
      <c r="P35" s="111">
        <f>Table1123457[[#This Row],[M (KN.mm)]]/(Table1123457[[#This Row],[b (mm)]]*Table1123457[[#This Row],[d (mm)]]*Table1123457[[#This Row],[L(mm)]])</f>
        <v>1.4234608985024959E-4</v>
      </c>
      <c r="Q35" s="111">
        <f>Table1123457[[#This Row],[M (KN.mm)]]/(Table1123457[[#This Row],[b (mm)]]*Table1123457[[#This Row],[h (mm)]]*Table1123457[[#This Row],[L(mm)]]*Table1123457[[#This Row],[fc (Mpa)]])</f>
        <v>3.2683622533872119E-6</v>
      </c>
      <c r="R35" s="111">
        <f>Table1123457[[#This Row],[M (KN.mm)]]/(Table1123457[[#This Row],[b (mm)]]*Table1123457[[#This Row],[h (mm)]]*Table1123457[[#This Row],[L(mm)]]/2)</f>
        <v>2.6539101497504157E-4</v>
      </c>
      <c r="S35" s="111">
        <f>Table1123457[[#This Row],[M (KN.mm)]]/(Table1123457[[#This Row],[a (mm)]]*Table1123457[[#This Row],[b (mm)]]*Table1123457[[#This Row],[h (mm)]]*Table1123457[[#This Row],[L(mm)]]/2)</f>
        <v>2.0446149073577935E-7</v>
      </c>
      <c r="T35" s="111">
        <f>Table1123457[[#This Row],[M (KN.mm)]]/(Table1123457[[#This Row],[a (mm)]]^2*Table1123457[[#This Row],[b (mm)]]*Table1123457[[#This Row],[h (mm)]])</f>
        <v>2.0477653155355406E-7</v>
      </c>
      <c r="U35" s="111">
        <f>Table1123457[[#This Row],[M (KN.mm)]]/(Table1123457[[#This Row],[b (mm)]]*Table1123457[[#This Row],[d (mm)]]*Table1123457[[#This Row],[pho (%)]])</f>
        <v>0.40759893569454725</v>
      </c>
      <c r="V35" s="111">
        <f>E35*224.8/(2*SQRT(Table1123457[[#This Row],[fc (Mpa)]]*145.037)*Table1123457[[#This Row],[b (mm)]]*Table1123457[[#This Row],[d (mm)]]*(1/25.4)^2)</f>
        <v>0.26944834537515466</v>
      </c>
      <c r="W35" s="111">
        <f>Table1123457[[#This Row],[M (KN.mm)]]/$G$41</f>
        <v>0.29407176287051484</v>
      </c>
      <c r="X35" s="111">
        <f>Table1123457[[#This Row],[V/(2*sqrt(fc) bd)]]</f>
        <v>0.26944834537515466</v>
      </c>
      <c r="Y35" s="111">
        <f>Table1123457[[#This Row],[a (mm)]]</f>
        <v>1298</v>
      </c>
      <c r="Z35" s="111">
        <f>Table1123457[[#This Row],[width]]*Table1123457[[#This Row],[h]]^2</f>
        <v>669465920</v>
      </c>
      <c r="AA35" s="111">
        <f>Table1123457[[#This Row],[b (mm)]]</f>
        <v>3005</v>
      </c>
      <c r="AB35" s="111">
        <f>Table1123457[[#This Row],[a (mm)]]/Table1123457[[#This Row],[h (mm)]]</f>
        <v>2.75</v>
      </c>
      <c r="AC35" s="111">
        <f>Table1123457[[#This Row],[h (mm)]]</f>
        <v>472</v>
      </c>
      <c r="AD35" s="111">
        <f>2.95*Table1123457[[#This Row],[d (mm)]]</f>
        <v>1298</v>
      </c>
      <c r="AE35" s="111">
        <v>440</v>
      </c>
      <c r="AF35" s="111">
        <v>472</v>
      </c>
      <c r="AG35" s="111">
        <v>3005</v>
      </c>
      <c r="AH35" s="7">
        <v>40.6</v>
      </c>
      <c r="AI35" s="111">
        <f>Table1123457[[#This Row],[pho (%)]]*Table1123457[[#This Row],[b (mm)]]*Table1123457[[#This Row],[h (mm)]]/100</f>
        <v>12878.708799999999</v>
      </c>
      <c r="AJ35" s="160">
        <v>0.90800000000000003</v>
      </c>
      <c r="AK35" s="160">
        <v>525</v>
      </c>
      <c r="AL35" s="111">
        <f>(1/3-0.21*(MIN(Table1123457[[#This Row],[b (mm)]],AF35)/MAX(Table1123457[[#This Row],[b (mm)]],AF35))*(MIN(Table1123457[[#This Row],[b (mm)]],AF35)^4/(12*MAX(Table1123457[[#This Row],[b (mm)]],AF35)^4)))*MAX(Table1123457[[#This Row],[b (mm)]],AF35)*MIN(Table1123457[[#This Row],[b (mm)]],AF35)^3</f>
        <v>105328776062.70901</v>
      </c>
      <c r="AM35" s="111">
        <f>Table1123457[[#This Row],[b (mm)]]*AF35^3/12</f>
        <v>26332326186.666668</v>
      </c>
      <c r="AN35" s="111">
        <v>2600</v>
      </c>
      <c r="AP35" s="1"/>
      <c r="AU35" s="372">
        <v>754</v>
      </c>
      <c r="AV35" s="2">
        <f t="shared" si="4"/>
        <v>377</v>
      </c>
    </row>
    <row r="36" spans="1:49" x14ac:dyDescent="0.3">
      <c r="A36" s="163" t="s">
        <v>147</v>
      </c>
      <c r="B36" s="163">
        <v>2</v>
      </c>
      <c r="C36" s="185">
        <v>35</v>
      </c>
      <c r="D36" s="185">
        <f>Table1123457[[#This Row],[a (mm)]]/Table1123457[[#This Row],[d (mm)]]</f>
        <v>2.95</v>
      </c>
      <c r="E36" s="240">
        <v>596.5</v>
      </c>
      <c r="F36" s="137">
        <f>Table1123457[[#This Row],[d (mm)]]</f>
        <v>440</v>
      </c>
      <c r="G36" s="111">
        <f t="shared" si="3"/>
        <v>774257</v>
      </c>
      <c r="H36" s="111">
        <f t="shared" si="0"/>
        <v>1.116434458190041E-6</v>
      </c>
      <c r="I36" s="111">
        <f>G36/(Table1123457[[#This Row],[b (mm)]]*Table1123457[[#This Row],[h]]^2)</f>
        <v>1.1565293719507036E-3</v>
      </c>
      <c r="J36" s="111">
        <f t="shared" si="1"/>
        <v>0.26025605181490746</v>
      </c>
      <c r="K36" s="111">
        <f t="shared" si="2"/>
        <v>1.8035731541505976E-7</v>
      </c>
      <c r="L36" s="111">
        <f>E36/(Table1123457[[#This Row],[b (mm)]]*AE36)</f>
        <v>4.5114203600060503E-4</v>
      </c>
      <c r="M36" s="111">
        <f>Table1123457[[#This Row],[M (KN.mm)]]/(Table1123457[[#This Row],[b (mm)]]*Table1123457[[#This Row],[d (mm)]])</f>
        <v>0.58558236272878539</v>
      </c>
      <c r="N36" s="111">
        <f>Table1123457[[#This Row],[M (KN.mm)]]/(Table1123457[[#This Row],[b (mm)]]*Table1123457[[#This Row],[h (mm)]])</f>
        <v>0.54588186356073209</v>
      </c>
      <c r="O36" s="111">
        <f>Table1123457[[#This Row],[M (KN.mm)]]/(Table1123457[[#This Row],[b (mm)]]*Table1123457[[#This Row],[h (mm)]]*Table1123457[[#This Row],[L(mm)]])</f>
        <v>2.0995456290797388E-4</v>
      </c>
      <c r="P36" s="111">
        <f>Table1123457[[#This Row],[M (KN.mm)]]/(Table1123457[[#This Row],[b (mm)]]*Table1123457[[#This Row],[d (mm)]]*Table1123457[[#This Row],[L(mm)]])</f>
        <v>2.2522398566491745E-4</v>
      </c>
      <c r="Q36" s="111">
        <f>Table1123457[[#This Row],[M (KN.mm)]]/(Table1123457[[#This Row],[b (mm)]]*Table1123457[[#This Row],[h (mm)]]*Table1123457[[#This Row],[L(mm)]]*Table1123457[[#This Row],[fc (Mpa)]])</f>
        <v>5.1712946529057607E-6</v>
      </c>
      <c r="R36" s="111">
        <f>Table1123457[[#This Row],[M (KN.mm)]]/(Table1123457[[#This Row],[b (mm)]]*Table1123457[[#This Row],[h (mm)]]*Table1123457[[#This Row],[L(mm)]]/2)</f>
        <v>4.1990912581594777E-4</v>
      </c>
      <c r="S36" s="111">
        <f>Table1123457[[#This Row],[M (KN.mm)]]/(Table1123457[[#This Row],[a (mm)]]*Table1123457[[#This Row],[b (mm)]]*Table1123457[[#This Row],[h (mm)]]*Table1123457[[#This Row],[L(mm)]]/2)</f>
        <v>3.2350471942677027E-7</v>
      </c>
      <c r="T36" s="111">
        <f>Table1123457[[#This Row],[M (KN.mm)]]/(Table1123457[[#This Row],[a (mm)]]^2*Table1123457[[#This Row],[b (mm)]]*Table1123457[[#This Row],[h (mm)]])</f>
        <v>3.2400318586656495E-7</v>
      </c>
      <c r="U36" s="111">
        <f>Table1123457[[#This Row],[M (KN.mm)]]/(Table1123457[[#This Row],[b (mm)]]*Table1123457[[#This Row],[d (mm)]]*Table1123457[[#This Row],[pho (%)]])</f>
        <v>0.64491449639734066</v>
      </c>
      <c r="V36" s="111">
        <f>E36*224.8/(2*SQRT(Table1123457[[#This Row],[fc (Mpa)]]*145.037)*Table1123457[[#This Row],[b (mm)]]*Table1123457[[#This Row],[d (mm)]]*(1/25.4)^2)</f>
        <v>0.42632874805379245</v>
      </c>
      <c r="W36" s="111">
        <f>Table1123457[[#This Row],[M (KN.mm)]]/$G$41</f>
        <v>0.46528861154446177</v>
      </c>
      <c r="X36" s="111">
        <f>Table1123457[[#This Row],[V/(2*sqrt(fc) bd)]]</f>
        <v>0.42632874805379245</v>
      </c>
      <c r="Y36" s="111">
        <f>Table1123457[[#This Row],[a (mm)]]</f>
        <v>1298</v>
      </c>
      <c r="Z36" s="111">
        <f>Table1123457[[#This Row],[width]]*Table1123457[[#This Row],[h]]^2</f>
        <v>669465920</v>
      </c>
      <c r="AA36" s="111">
        <f>Table1123457[[#This Row],[b (mm)]]</f>
        <v>3005</v>
      </c>
      <c r="AB36" s="111">
        <f>Table1123457[[#This Row],[a (mm)]]/Table1123457[[#This Row],[h (mm)]]</f>
        <v>2.75</v>
      </c>
      <c r="AC36" s="111">
        <f>Table1123457[[#This Row],[h (mm)]]</f>
        <v>472</v>
      </c>
      <c r="AD36" s="111">
        <f>2.95*Table1123457[[#This Row],[d (mm)]]</f>
        <v>1298</v>
      </c>
      <c r="AE36" s="111">
        <v>440</v>
      </c>
      <c r="AF36" s="111">
        <v>472</v>
      </c>
      <c r="AG36" s="111">
        <v>3005</v>
      </c>
      <c r="AH36" s="7">
        <v>40.6</v>
      </c>
      <c r="AI36" s="111">
        <f>Table1123457[[#This Row],[pho (%)]]*Table1123457[[#This Row],[b (mm)]]*Table1123457[[#This Row],[h (mm)]]/100</f>
        <v>12878.708799999999</v>
      </c>
      <c r="AJ36" s="160">
        <v>0.90800000000000003</v>
      </c>
      <c r="AK36" s="160">
        <v>525</v>
      </c>
      <c r="AL36" s="111">
        <f>(1/3-0.21*(MIN(Table1123457[[#This Row],[b (mm)]],AF36)/MAX(Table1123457[[#This Row],[b (mm)]],AF36))*(MIN(Table1123457[[#This Row],[b (mm)]],AF36)^4/(12*MAX(Table1123457[[#This Row],[b (mm)]],AF36)^4)))*MAX(Table1123457[[#This Row],[b (mm)]],AF36)*MIN(Table1123457[[#This Row],[b (mm)]],AF36)^3</f>
        <v>105328776062.70901</v>
      </c>
      <c r="AM36" s="111">
        <f>Table1123457[[#This Row],[b (mm)]]*AF36^3/12</f>
        <v>26332326186.666668</v>
      </c>
      <c r="AN36" s="111">
        <v>2600</v>
      </c>
      <c r="AP36" s="1"/>
      <c r="AU36" s="372">
        <v>1193</v>
      </c>
      <c r="AV36" s="2">
        <f t="shared" si="4"/>
        <v>596.5</v>
      </c>
    </row>
    <row r="37" spans="1:49" x14ac:dyDescent="0.3">
      <c r="A37" s="163" t="s">
        <v>147</v>
      </c>
      <c r="B37" s="163">
        <v>3</v>
      </c>
      <c r="C37" s="185">
        <v>36</v>
      </c>
      <c r="D37" s="185">
        <f>Table1123457[[#This Row],[a (mm)]]/Table1123457[[#This Row],[d (mm)]]</f>
        <v>2.95</v>
      </c>
      <c r="E37" s="240">
        <v>896.5</v>
      </c>
      <c r="F37" s="137">
        <f>Table1123457[[#This Row],[d (mm)]]</f>
        <v>440</v>
      </c>
      <c r="G37" s="111">
        <f t="shared" si="3"/>
        <v>1163657</v>
      </c>
      <c r="H37" s="111">
        <f t="shared" si="0"/>
        <v>1.6779270608002881E-6</v>
      </c>
      <c r="I37" s="111">
        <f>G37/(Table1123457[[#This Row],[b (mm)]]*Table1123457[[#This Row],[h]]^2)</f>
        <v>1.7381870611128346E-3</v>
      </c>
      <c r="J37" s="111">
        <f t="shared" si="1"/>
        <v>0.39114761182240493</v>
      </c>
      <c r="K37" s="111">
        <f t="shared" si="2"/>
        <v>2.7106510187695065E-7</v>
      </c>
      <c r="L37" s="111">
        <f>E37/(Table1123457[[#This Row],[b (mm)]]*AE37)</f>
        <v>6.7803660565723793E-4</v>
      </c>
      <c r="M37" s="111">
        <f>Table1123457[[#This Row],[M (KN.mm)]]/(Table1123457[[#This Row],[b (mm)]]*Table1123457[[#This Row],[d (mm)]])</f>
        <v>0.88009151414309483</v>
      </c>
      <c r="N37" s="111">
        <f>Table1123457[[#This Row],[M (KN.mm)]]/(Table1123457[[#This Row],[b (mm)]]*Table1123457[[#This Row],[h (mm)]])</f>
        <v>0.82042429284525786</v>
      </c>
      <c r="O37" s="111">
        <f>Table1123457[[#This Row],[M (KN.mm)]]/(Table1123457[[#This Row],[b (mm)]]*Table1123457[[#This Row],[h (mm)]]*Table1123457[[#This Row],[L(mm)]])</f>
        <v>3.1554780494048379E-4</v>
      </c>
      <c r="P37" s="111">
        <f>Table1123457[[#This Row],[M (KN.mm)]]/(Table1123457[[#This Row],[b (mm)]]*Table1123457[[#This Row],[d (mm)]]*Table1123457[[#This Row],[L(mm)]])</f>
        <v>3.3849673620888263E-4</v>
      </c>
      <c r="Q37" s="111">
        <f>Table1123457[[#This Row],[M (KN.mm)]]/(Table1123457[[#This Row],[b (mm)]]*Table1123457[[#This Row],[h (mm)]]*Table1123457[[#This Row],[L(mm)]]*Table1123457[[#This Row],[fc (Mpa)]])</f>
        <v>7.7721134221794036E-6</v>
      </c>
      <c r="R37" s="111">
        <f>Table1123457[[#This Row],[M (KN.mm)]]/(Table1123457[[#This Row],[b (mm)]]*Table1123457[[#This Row],[h (mm)]]*Table1123457[[#This Row],[L(mm)]]/2)</f>
        <v>6.3109560988096759E-4</v>
      </c>
      <c r="S37" s="111">
        <f>Table1123457[[#This Row],[M (KN.mm)]]/(Table1123457[[#This Row],[a (mm)]]*Table1123457[[#This Row],[b (mm)]]*Table1123457[[#This Row],[h (mm)]]*Table1123457[[#This Row],[L(mm)]]/2)</f>
        <v>4.86206170940653E-7</v>
      </c>
      <c r="T37" s="111">
        <f>Table1123457[[#This Row],[M (KN.mm)]]/(Table1123457[[#This Row],[a (mm)]]^2*Table1123457[[#This Row],[b (mm)]]*Table1123457[[#This Row],[h (mm)]])</f>
        <v>4.8695533299140899E-7</v>
      </c>
      <c r="U37" s="111">
        <f>Table1123457[[#This Row],[M (KN.mm)]]/(Table1123457[[#This Row],[b (mm)]]*Table1123457[[#This Row],[d (mm)]]*Table1123457[[#This Row],[pho (%)]])</f>
        <v>0.96926378209591935</v>
      </c>
      <c r="V37" s="111">
        <f>E37*224.8/(2*SQRT(Table1123457[[#This Row],[fc (Mpa)]]*145.037)*Table1123457[[#This Row],[b (mm)]]*Table1123457[[#This Row],[d (mm)]]*(1/25.4)^2)</f>
        <v>0.64074387699953883</v>
      </c>
      <c r="W37" s="111">
        <f>Table1123457[[#This Row],[M (KN.mm)]]/$G$41</f>
        <v>0.69929797191887677</v>
      </c>
      <c r="X37" s="111">
        <f>Table1123457[[#This Row],[V/(2*sqrt(fc) bd)]]</f>
        <v>0.64074387699953883</v>
      </c>
      <c r="Y37" s="111">
        <f>Table1123457[[#This Row],[a (mm)]]</f>
        <v>1298</v>
      </c>
      <c r="Z37" s="111">
        <f>Table1123457[[#This Row],[width]]*Table1123457[[#This Row],[h]]^2</f>
        <v>669465920</v>
      </c>
      <c r="AA37" s="111">
        <f>Table1123457[[#This Row],[b (mm)]]</f>
        <v>3005</v>
      </c>
      <c r="AB37" s="111">
        <f>Table1123457[[#This Row],[a (mm)]]/Table1123457[[#This Row],[h (mm)]]</f>
        <v>2.75</v>
      </c>
      <c r="AC37" s="111">
        <f>Table1123457[[#This Row],[h (mm)]]</f>
        <v>472</v>
      </c>
      <c r="AD37" s="111">
        <f>2.95*Table1123457[[#This Row],[d (mm)]]</f>
        <v>1298</v>
      </c>
      <c r="AE37" s="111">
        <v>440</v>
      </c>
      <c r="AF37" s="111">
        <v>472</v>
      </c>
      <c r="AG37" s="111">
        <v>3005</v>
      </c>
      <c r="AH37" s="7">
        <v>40.6</v>
      </c>
      <c r="AI37" s="111">
        <f>Table1123457[[#This Row],[pho (%)]]*Table1123457[[#This Row],[b (mm)]]*Table1123457[[#This Row],[h (mm)]]/100</f>
        <v>12878.708799999999</v>
      </c>
      <c r="AJ37" s="160">
        <v>0.90800000000000003</v>
      </c>
      <c r="AK37" s="160">
        <v>525</v>
      </c>
      <c r="AL37" s="111">
        <f>(1/3-0.21*(MIN(Table1123457[[#This Row],[b (mm)]],AF37)/MAX(Table1123457[[#This Row],[b (mm)]],AF37))*(MIN(Table1123457[[#This Row],[b (mm)]],AF37)^4/(12*MAX(Table1123457[[#This Row],[b (mm)]],AF37)^4)))*MAX(Table1123457[[#This Row],[b (mm)]],AF37)*MIN(Table1123457[[#This Row],[b (mm)]],AF37)^3</f>
        <v>105328776062.70901</v>
      </c>
      <c r="AM37" s="111">
        <f>Table1123457[[#This Row],[b (mm)]]*AF37^3/12</f>
        <v>26332326186.666668</v>
      </c>
      <c r="AN37" s="111">
        <v>2600</v>
      </c>
      <c r="AP37" s="1"/>
      <c r="AU37" s="372">
        <v>1793</v>
      </c>
      <c r="AV37" s="2">
        <f t="shared" si="4"/>
        <v>896.5</v>
      </c>
    </row>
    <row r="38" spans="1:49" x14ac:dyDescent="0.3">
      <c r="A38" s="163" t="s">
        <v>147</v>
      </c>
      <c r="B38" s="163">
        <v>5</v>
      </c>
      <c r="C38" s="185">
        <v>37</v>
      </c>
      <c r="D38" s="185">
        <f>Table1123457[[#This Row],[a (mm)]]/Table1123457[[#This Row],[d (mm)]]</f>
        <v>2.95</v>
      </c>
      <c r="E38" s="240">
        <v>897.5</v>
      </c>
      <c r="F38" s="137">
        <f>Table1123457[[#This Row],[d (mm)]]</f>
        <v>440</v>
      </c>
      <c r="G38" s="111">
        <f t="shared" si="3"/>
        <v>1164955</v>
      </c>
      <c r="H38" s="111">
        <f t="shared" si="0"/>
        <v>1.679798702808989E-6</v>
      </c>
      <c r="I38" s="111">
        <f>G38/(Table1123457[[#This Row],[b (mm)]]*Table1123457[[#This Row],[h]]^2)</f>
        <v>1.7401259200767083E-3</v>
      </c>
      <c r="J38" s="111">
        <f t="shared" si="1"/>
        <v>0.39158391702242995</v>
      </c>
      <c r="K38" s="111">
        <f t="shared" si="2"/>
        <v>2.7136746116515695E-7</v>
      </c>
      <c r="L38" s="111">
        <f>E38/(Table1123457[[#This Row],[b (mm)]]*AE38)</f>
        <v>6.7879292088942667E-4</v>
      </c>
      <c r="M38" s="111">
        <f>Table1123457[[#This Row],[M (KN.mm)]]/(Table1123457[[#This Row],[b (mm)]]*Table1123457[[#This Row],[d (mm)]])</f>
        <v>0.88107321131447591</v>
      </c>
      <c r="N38" s="111">
        <f>Table1123457[[#This Row],[M (KN.mm)]]/(Table1123457[[#This Row],[b (mm)]]*Table1123457[[#This Row],[h (mm)]])</f>
        <v>0.82133943427620637</v>
      </c>
      <c r="O38" s="111">
        <f>Table1123457[[#This Row],[M (KN.mm)]]/(Table1123457[[#This Row],[b (mm)]]*Table1123457[[#This Row],[h (mm)]]*Table1123457[[#This Row],[L(mm)]])</f>
        <v>3.158997824139255E-4</v>
      </c>
      <c r="P38" s="111">
        <f>Table1123457[[#This Row],[M (KN.mm)]]/(Table1123457[[#This Row],[b (mm)]]*Table1123457[[#This Row],[d (mm)]]*Table1123457[[#This Row],[L(mm)]])</f>
        <v>3.388743120440292E-4</v>
      </c>
      <c r="Q38" s="111">
        <f>Table1123457[[#This Row],[M (KN.mm)]]/(Table1123457[[#This Row],[b (mm)]]*Table1123457[[#This Row],[h (mm)]]*Table1123457[[#This Row],[L(mm)]]*Table1123457[[#This Row],[fc (Mpa)]])</f>
        <v>7.7807828180769828E-6</v>
      </c>
      <c r="R38" s="111">
        <f>Table1123457[[#This Row],[M (KN.mm)]]/(Table1123457[[#This Row],[b (mm)]]*Table1123457[[#This Row],[h (mm)]]*Table1123457[[#This Row],[L(mm)]]/2)</f>
        <v>6.3179956482785099E-4</v>
      </c>
      <c r="S38" s="111">
        <f>Table1123457[[#This Row],[M (KN.mm)]]/(Table1123457[[#This Row],[a (mm)]]*Table1123457[[#This Row],[b (mm)]]*Table1123457[[#This Row],[h (mm)]]*Table1123457[[#This Row],[L(mm)]]/2)</f>
        <v>4.8674850911236594E-7</v>
      </c>
      <c r="T38" s="111">
        <f>Table1123457[[#This Row],[M (KN.mm)]]/(Table1123457[[#This Row],[a (mm)]]^2*Table1123457[[#This Row],[b (mm)]]*Table1123457[[#This Row],[h (mm)]])</f>
        <v>4.8749850681515854E-7</v>
      </c>
      <c r="U38" s="111">
        <f>Table1123457[[#This Row],[M (KN.mm)]]/(Table1123457[[#This Row],[b (mm)]]*Table1123457[[#This Row],[d (mm)]]*Table1123457[[#This Row],[pho (%)]])</f>
        <v>0.97034494638158131</v>
      </c>
      <c r="V38" s="111">
        <f>E38*224.8/(2*SQRT(Table1123457[[#This Row],[fc (Mpa)]]*145.037)*Table1123457[[#This Row],[b (mm)]]*Table1123457[[#This Row],[d (mm)]]*(1/25.4)^2)</f>
        <v>0.64145859409602457</v>
      </c>
      <c r="W38" s="111">
        <f>Table1123457[[#This Row],[M (KN.mm)]]/$G$41</f>
        <v>0.7000780031201248</v>
      </c>
      <c r="X38" s="111">
        <f>Table1123457[[#This Row],[V/(2*sqrt(fc) bd)]]</f>
        <v>0.64145859409602457</v>
      </c>
      <c r="Y38" s="111">
        <f>Table1123457[[#This Row],[a (mm)]]</f>
        <v>1298</v>
      </c>
      <c r="Z38" s="111">
        <f>Table1123457[[#This Row],[width]]*Table1123457[[#This Row],[h]]^2</f>
        <v>669465920</v>
      </c>
      <c r="AA38" s="111">
        <f>Table1123457[[#This Row],[b (mm)]]</f>
        <v>3005</v>
      </c>
      <c r="AB38" s="111">
        <f>Table1123457[[#This Row],[a (mm)]]/Table1123457[[#This Row],[h (mm)]]</f>
        <v>2.75</v>
      </c>
      <c r="AC38" s="111">
        <f>Table1123457[[#This Row],[h (mm)]]</f>
        <v>472</v>
      </c>
      <c r="AD38" s="111">
        <f>2.95*Table1123457[[#This Row],[d (mm)]]</f>
        <v>1298</v>
      </c>
      <c r="AE38" s="111">
        <v>440</v>
      </c>
      <c r="AF38" s="111">
        <v>472</v>
      </c>
      <c r="AG38" s="111">
        <v>3005</v>
      </c>
      <c r="AH38" s="7">
        <v>40.6</v>
      </c>
      <c r="AI38" s="111">
        <f>Table1123457[[#This Row],[pho (%)]]*Table1123457[[#This Row],[b (mm)]]*Table1123457[[#This Row],[h (mm)]]/100</f>
        <v>12878.708799999999</v>
      </c>
      <c r="AJ38" s="160">
        <v>0.90800000000000003</v>
      </c>
      <c r="AK38" s="160">
        <v>525</v>
      </c>
      <c r="AL38" s="111">
        <f>(1/3-0.21*(MIN(Table1123457[[#This Row],[b (mm)]],AF38)/MAX(Table1123457[[#This Row],[b (mm)]],AF38))*(MIN(Table1123457[[#This Row],[b (mm)]],AF38)^4/(12*MAX(Table1123457[[#This Row],[b (mm)]],AF38)^4)))*MAX(Table1123457[[#This Row],[b (mm)]],AF38)*MIN(Table1123457[[#This Row],[b (mm)]],AF38)^3</f>
        <v>105328776062.70901</v>
      </c>
      <c r="AM38" s="111">
        <f>Table1123457[[#This Row],[b (mm)]]*AF38^3/12</f>
        <v>26332326186.666668</v>
      </c>
      <c r="AN38" s="111">
        <v>2600</v>
      </c>
      <c r="AP38" s="139"/>
      <c r="AQ38" s="139"/>
      <c r="AR38" s="139"/>
      <c r="AS38" s="139"/>
      <c r="AT38" s="139"/>
      <c r="AU38" s="372">
        <v>1795</v>
      </c>
      <c r="AV38" s="2">
        <f t="shared" si="4"/>
        <v>897.5</v>
      </c>
      <c r="AW38" s="1"/>
    </row>
    <row r="39" spans="1:49" x14ac:dyDescent="0.3">
      <c r="A39" s="163" t="s">
        <v>147</v>
      </c>
      <c r="B39" s="163">
        <v>6</v>
      </c>
      <c r="C39" s="185">
        <v>38</v>
      </c>
      <c r="D39" s="185">
        <f>Table1123457[[#This Row],[a (mm)]]/Table1123457[[#This Row],[d (mm)]]</f>
        <v>2.95</v>
      </c>
      <c r="E39" s="240">
        <v>1076</v>
      </c>
      <c r="F39" s="137">
        <f>Table1123457[[#This Row],[d (mm)]]</f>
        <v>440</v>
      </c>
      <c r="G39" s="111">
        <f t="shared" si="3"/>
        <v>1396648</v>
      </c>
      <c r="H39" s="111">
        <f t="shared" si="0"/>
        <v>2.013886801362086E-6</v>
      </c>
      <c r="I39" s="111">
        <f>G39/(Table1123457[[#This Row],[b (mm)]]*Table1123457[[#This Row],[h]]^2)</f>
        <v>2.0862122451281761E-3</v>
      </c>
      <c r="J39" s="111">
        <f t="shared" si="1"/>
        <v>0.46946439522689093</v>
      </c>
      <c r="K39" s="111">
        <f t="shared" si="2"/>
        <v>3.2533859410998205E-7</v>
      </c>
      <c r="L39" s="111">
        <f>E39/(Table1123457[[#This Row],[b (mm)]]*AE39)</f>
        <v>8.1379518983512329E-4</v>
      </c>
      <c r="M39" s="111">
        <f>Table1123457[[#This Row],[M (KN.mm)]]/(Table1123457[[#This Row],[b (mm)]]*Table1123457[[#This Row],[d (mm)]])</f>
        <v>1.0563061564059901</v>
      </c>
      <c r="N39" s="111">
        <f>Table1123457[[#This Row],[M (KN.mm)]]/(Table1123457[[#This Row],[b (mm)]]*Table1123457[[#This Row],[h (mm)]])</f>
        <v>0.98469217970049916</v>
      </c>
      <c r="O39" s="111">
        <f>Table1123457[[#This Row],[M (KN.mm)]]/(Table1123457[[#This Row],[b (mm)]]*Table1123457[[#This Row],[h (mm)]]*Table1123457[[#This Row],[L(mm)]])</f>
        <v>3.7872776142326893E-4</v>
      </c>
      <c r="P39" s="111">
        <f>Table1123457[[#This Row],[M (KN.mm)]]/(Table1123457[[#This Row],[b (mm)]]*Table1123457[[#This Row],[d (mm)]]*Table1123457[[#This Row],[L(mm)]])</f>
        <v>4.0627159861768845E-4</v>
      </c>
      <c r="Q39" s="111">
        <f>Table1123457[[#This Row],[M (KN.mm)]]/(Table1123457[[#This Row],[b (mm)]]*Table1123457[[#This Row],[h (mm)]]*Table1123457[[#This Row],[L(mm)]]*Table1123457[[#This Row],[fc (Mpa)]])</f>
        <v>9.3282699857948015E-6</v>
      </c>
      <c r="R39" s="111">
        <f>Table1123457[[#This Row],[M (KN.mm)]]/(Table1123457[[#This Row],[b (mm)]]*Table1123457[[#This Row],[h (mm)]]*Table1123457[[#This Row],[L(mm)]]/2)</f>
        <v>7.5745552284653785E-4</v>
      </c>
      <c r="S39" s="111">
        <f>Table1123457[[#This Row],[M (KN.mm)]]/(Table1123457[[#This Row],[a (mm)]]*Table1123457[[#This Row],[b (mm)]]*Table1123457[[#This Row],[h (mm)]]*Table1123457[[#This Row],[L(mm)]]/2)</f>
        <v>5.8355587276312621E-7</v>
      </c>
      <c r="T39" s="111">
        <f>Table1123457[[#This Row],[M (KN.mm)]]/(Table1123457[[#This Row],[a (mm)]]^2*Table1123457[[#This Row],[b (mm)]]*Table1123457[[#This Row],[h (mm)]])</f>
        <v>5.8445503435444074E-7</v>
      </c>
      <c r="U39" s="111">
        <f>Table1123457[[#This Row],[M (KN.mm)]]/(Table1123457[[#This Row],[b (mm)]]*Table1123457[[#This Row],[d (mm)]]*Table1123457[[#This Row],[pho (%)]])</f>
        <v>1.1633327713722357</v>
      </c>
      <c r="V39" s="111">
        <f>E39*224.8/(2*SQRT(Table1123457[[#This Row],[fc (Mpa)]]*145.037)*Table1123457[[#This Row],[b (mm)]]*Table1123457[[#This Row],[d (mm)]]*(1/25.4)^2)</f>
        <v>0.7690355958187437</v>
      </c>
      <c r="W39" s="111">
        <f>Table1123457[[#This Row],[M (KN.mm)]]/$G$41</f>
        <v>0.83931357254290173</v>
      </c>
      <c r="X39" s="111">
        <f>Table1123457[[#This Row],[V/(2*sqrt(fc) bd)]]</f>
        <v>0.7690355958187437</v>
      </c>
      <c r="Y39" s="111">
        <f>Table1123457[[#This Row],[a (mm)]]</f>
        <v>1298</v>
      </c>
      <c r="Z39" s="111">
        <f>Table1123457[[#This Row],[width]]*Table1123457[[#This Row],[h]]^2</f>
        <v>669465920</v>
      </c>
      <c r="AA39" s="111">
        <f>Table1123457[[#This Row],[b (mm)]]</f>
        <v>3005</v>
      </c>
      <c r="AB39" s="111">
        <f>Table1123457[[#This Row],[a (mm)]]/Table1123457[[#This Row],[h (mm)]]</f>
        <v>2.75</v>
      </c>
      <c r="AC39" s="111">
        <f>Table1123457[[#This Row],[h (mm)]]</f>
        <v>472</v>
      </c>
      <c r="AD39" s="111">
        <f>2.95*Table1123457[[#This Row],[d (mm)]]</f>
        <v>1298</v>
      </c>
      <c r="AE39" s="111">
        <v>440</v>
      </c>
      <c r="AF39" s="111">
        <v>472</v>
      </c>
      <c r="AG39" s="111">
        <v>3005</v>
      </c>
      <c r="AH39" s="7">
        <v>40.6</v>
      </c>
      <c r="AI39" s="111">
        <f>Table1123457[[#This Row],[pho (%)]]*Table1123457[[#This Row],[b (mm)]]*Table1123457[[#This Row],[h (mm)]]/100</f>
        <v>12878.708799999999</v>
      </c>
      <c r="AJ39" s="160">
        <v>0.90800000000000003</v>
      </c>
      <c r="AK39" s="160">
        <v>525</v>
      </c>
      <c r="AL39" s="111">
        <f>(1/3-0.21*(MIN(Table1123457[[#This Row],[b (mm)]],AF39)/MAX(Table1123457[[#This Row],[b (mm)]],AF39))*(MIN(Table1123457[[#This Row],[b (mm)]],AF39)^4/(12*MAX(Table1123457[[#This Row],[b (mm)]],AF39)^4)))*MAX(Table1123457[[#This Row],[b (mm)]],AF39)*MIN(Table1123457[[#This Row],[b (mm)]],AF39)^3</f>
        <v>105328776062.70901</v>
      </c>
      <c r="AM39" s="111">
        <f>Table1123457[[#This Row],[b (mm)]]*AF39^3/12</f>
        <v>26332326186.666668</v>
      </c>
      <c r="AN39" s="111">
        <v>2600</v>
      </c>
      <c r="AP39" s="139"/>
      <c r="AQ39" s="139"/>
      <c r="AR39" s="139"/>
      <c r="AS39" s="139"/>
      <c r="AT39" s="139"/>
      <c r="AU39" s="372">
        <v>2152</v>
      </c>
      <c r="AV39" s="2">
        <f t="shared" si="4"/>
        <v>1076</v>
      </c>
      <c r="AW39" s="1"/>
    </row>
    <row r="40" spans="1:49" x14ac:dyDescent="0.3">
      <c r="A40" s="163" t="s">
        <v>147</v>
      </c>
      <c r="B40" s="163">
        <v>7</v>
      </c>
      <c r="C40" s="185">
        <v>39</v>
      </c>
      <c r="D40" s="185">
        <f>Table1123457[[#This Row],[a (mm)]]/Table1123457[[#This Row],[d (mm)]]</f>
        <v>2.95</v>
      </c>
      <c r="E40" s="240">
        <v>1197</v>
      </c>
      <c r="F40" s="137">
        <f>Table1123457[[#This Row],[d (mm)]]</f>
        <v>440</v>
      </c>
      <c r="G40" s="111">
        <f t="shared" si="3"/>
        <v>1553706</v>
      </c>
      <c r="H40" s="111">
        <f t="shared" si="0"/>
        <v>2.2403554844148857E-6</v>
      </c>
      <c r="I40" s="111">
        <f>G40/(Table1123457[[#This Row],[b (mm)]]*Table1123457[[#This Row],[h]]^2)</f>
        <v>2.3208141797569025E-3</v>
      </c>
      <c r="J40" s="111">
        <f t="shared" si="1"/>
        <v>0.5222573244299149</v>
      </c>
      <c r="K40" s="111">
        <f t="shared" si="2"/>
        <v>3.6192406798294471E-7</v>
      </c>
      <c r="L40" s="111">
        <f>E40/(Table1123457[[#This Row],[b (mm)]]*AE40)</f>
        <v>9.0530933292996526E-4</v>
      </c>
      <c r="M40" s="111">
        <f>Table1123457[[#This Row],[M (KN.mm)]]/(Table1123457[[#This Row],[b (mm)]]*Table1123457[[#This Row],[d (mm)]])</f>
        <v>1.1750915141430949</v>
      </c>
      <c r="N40" s="111">
        <f>Table1123457[[#This Row],[M (KN.mm)]]/(Table1123457[[#This Row],[b (mm)]]*Table1123457[[#This Row],[h (mm)]])</f>
        <v>1.095424292845258</v>
      </c>
      <c r="O40" s="111">
        <f>Table1123457[[#This Row],[M (KN.mm)]]/(Table1123457[[#This Row],[b (mm)]]*Table1123457[[#This Row],[h (mm)]]*Table1123457[[#This Row],[L(mm)]])</f>
        <v>4.2131703570971458E-4</v>
      </c>
      <c r="P40" s="111">
        <f>Table1123457[[#This Row],[M (KN.mm)]]/(Table1123457[[#This Row],[b (mm)]]*Table1123457[[#This Row],[d (mm)]]*Table1123457[[#This Row],[L(mm)]])</f>
        <v>4.5195827467042109E-4</v>
      </c>
      <c r="Q40" s="111">
        <f>Table1123457[[#This Row],[M (KN.mm)]]/(Table1123457[[#This Row],[b (mm)]]*Table1123457[[#This Row],[h (mm)]]*Table1123457[[#This Row],[L(mm)]]*Table1123457[[#This Row],[fc (Mpa)]])</f>
        <v>1.0377266889401837E-5</v>
      </c>
      <c r="R40" s="111">
        <f>Table1123457[[#This Row],[M (KN.mm)]]/(Table1123457[[#This Row],[b (mm)]]*Table1123457[[#This Row],[h (mm)]]*Table1123457[[#This Row],[L(mm)]]/2)</f>
        <v>8.4263407141942916E-4</v>
      </c>
      <c r="S40" s="111">
        <f>Table1123457[[#This Row],[M (KN.mm)]]/(Table1123457[[#This Row],[a (mm)]]*Table1123457[[#This Row],[b (mm)]]*Table1123457[[#This Row],[h (mm)]]*Table1123457[[#This Row],[L(mm)]]/2)</f>
        <v>6.4917879154039231E-7</v>
      </c>
      <c r="T40" s="111">
        <f>Table1123457[[#This Row],[M (KN.mm)]]/(Table1123457[[#This Row],[a (mm)]]^2*Table1123457[[#This Row],[b (mm)]]*Table1123457[[#This Row],[h (mm)]])</f>
        <v>6.5017906702812787E-7</v>
      </c>
      <c r="U40" s="111">
        <f>Table1123457[[#This Row],[M (KN.mm)]]/(Table1123457[[#This Row],[b (mm)]]*Table1123457[[#This Row],[d (mm)]]*Table1123457[[#This Row],[pho (%)]])</f>
        <v>1.294153649937329</v>
      </c>
      <c r="V40" s="111">
        <f>E40*224.8/(2*SQRT(Table1123457[[#This Row],[fc (Mpa)]]*145.037)*Table1123457[[#This Row],[b (mm)]]*Table1123457[[#This Row],[d (mm)]]*(1/25.4)^2)</f>
        <v>0.85551636449352819</v>
      </c>
      <c r="W40" s="111">
        <f>Table1123457[[#This Row],[M (KN.mm)]]/$G$41</f>
        <v>0.93369734789391579</v>
      </c>
      <c r="X40" s="111">
        <f>Table1123457[[#This Row],[V/(2*sqrt(fc) bd)]]</f>
        <v>0.85551636449352819</v>
      </c>
      <c r="Y40" s="111">
        <f>Table1123457[[#This Row],[a (mm)]]</f>
        <v>1298</v>
      </c>
      <c r="Z40" s="111">
        <f>Table1123457[[#This Row],[width]]*Table1123457[[#This Row],[h]]^2</f>
        <v>669465920</v>
      </c>
      <c r="AA40" s="111">
        <f>Table1123457[[#This Row],[b (mm)]]</f>
        <v>3005</v>
      </c>
      <c r="AB40" s="111">
        <f>Table1123457[[#This Row],[a (mm)]]/Table1123457[[#This Row],[h (mm)]]</f>
        <v>2.75</v>
      </c>
      <c r="AC40" s="111">
        <f>Table1123457[[#This Row],[h (mm)]]</f>
        <v>472</v>
      </c>
      <c r="AD40" s="111">
        <f>2.95*Table1123457[[#This Row],[d (mm)]]</f>
        <v>1298</v>
      </c>
      <c r="AE40" s="111">
        <v>440</v>
      </c>
      <c r="AF40" s="111">
        <v>472</v>
      </c>
      <c r="AG40" s="111">
        <v>3005</v>
      </c>
      <c r="AH40" s="7">
        <v>40.6</v>
      </c>
      <c r="AI40" s="111">
        <f>Table1123457[[#This Row],[pho (%)]]*Table1123457[[#This Row],[b (mm)]]*Table1123457[[#This Row],[h (mm)]]/100</f>
        <v>12878.708799999999</v>
      </c>
      <c r="AJ40" s="160">
        <v>0.90800000000000003</v>
      </c>
      <c r="AK40" s="160">
        <v>525</v>
      </c>
      <c r="AL40" s="111">
        <f>(1/3-0.21*(MIN(Table1123457[[#This Row],[b (mm)]],AF40)/MAX(Table1123457[[#This Row],[b (mm)]],AF40))*(MIN(Table1123457[[#This Row],[b (mm)]],AF40)^4/(12*MAX(Table1123457[[#This Row],[b (mm)]],AF40)^4)))*MAX(Table1123457[[#This Row],[b (mm)]],AF40)*MIN(Table1123457[[#This Row],[b (mm)]],AF40)^3</f>
        <v>105328776062.70901</v>
      </c>
      <c r="AM40" s="111">
        <f>Table1123457[[#This Row],[b (mm)]]*AF40^3/12</f>
        <v>26332326186.666668</v>
      </c>
      <c r="AN40" s="111">
        <v>2600</v>
      </c>
      <c r="AP40" s="139"/>
      <c r="AQ40" s="139"/>
      <c r="AR40" s="139"/>
      <c r="AS40" s="139"/>
      <c r="AT40" s="139"/>
      <c r="AU40" s="372">
        <v>2394</v>
      </c>
      <c r="AV40" s="2">
        <f t="shared" si="4"/>
        <v>1197</v>
      </c>
      <c r="AW40" s="1"/>
    </row>
    <row r="41" spans="1:49" x14ac:dyDescent="0.3">
      <c r="A41" s="163" t="s">
        <v>147</v>
      </c>
      <c r="B41" s="163" t="s">
        <v>142</v>
      </c>
      <c r="C41" s="185">
        <v>40</v>
      </c>
      <c r="D41" s="185">
        <f>Table1123457[[#This Row],[a (mm)]]/Table1123457[[#This Row],[d (mm)]]</f>
        <v>2.95</v>
      </c>
      <c r="E41" s="240">
        <v>1282</v>
      </c>
      <c r="F41" s="137">
        <f>Table1123457[[#This Row],[d (mm)]]</f>
        <v>440</v>
      </c>
      <c r="G41" s="111">
        <f t="shared" si="3"/>
        <v>1664036</v>
      </c>
      <c r="H41" s="111">
        <f t="shared" si="0"/>
        <v>2.3994450551544555E-6</v>
      </c>
      <c r="I41" s="111">
        <f>G41/(Table1123457[[#This Row],[b (mm)]]*Table1123457[[#This Row],[h]]^2)</f>
        <v>2.4856171916861729E-3</v>
      </c>
      <c r="J41" s="111">
        <f t="shared" si="1"/>
        <v>0.55934326643203924</v>
      </c>
      <c r="K41" s="111">
        <f t="shared" si="2"/>
        <v>3.8762460748048045E-7</v>
      </c>
      <c r="L41" s="111">
        <f>E41/(Table1123457[[#This Row],[b (mm)]]*AE41)</f>
        <v>9.695961276660112E-4</v>
      </c>
      <c r="M41" s="111">
        <f>Table1123457[[#This Row],[M (KN.mm)]]/(Table1123457[[#This Row],[b (mm)]]*Table1123457[[#This Row],[d (mm)]])</f>
        <v>1.2585357737104825</v>
      </c>
      <c r="N41" s="111">
        <f>Table1123457[[#This Row],[M (KN.mm)]]/(Table1123457[[#This Row],[b (mm)]]*Table1123457[[#This Row],[h (mm)]])</f>
        <v>1.1732113144758736</v>
      </c>
      <c r="O41" s="111">
        <f>Table1123457[[#This Row],[M (KN.mm)]]/(Table1123457[[#This Row],[b (mm)]]*Table1123457[[#This Row],[h (mm)]]*Table1123457[[#This Row],[L(mm)]])</f>
        <v>4.5123512095225903E-4</v>
      </c>
      <c r="P41" s="111">
        <f>Table1123457[[#This Row],[M (KN.mm)]]/(Table1123457[[#This Row],[b (mm)]]*Table1123457[[#This Row],[d (mm)]]*Table1123457[[#This Row],[L(mm)]])</f>
        <v>4.8405222065787788E-4</v>
      </c>
      <c r="Q41" s="111">
        <f>Table1123457[[#This Row],[M (KN.mm)]]/(Table1123457[[#This Row],[b (mm)]]*Table1123457[[#This Row],[h (mm)]]*Table1123457[[#This Row],[L(mm)]]*Table1123457[[#This Row],[fc (Mpa)]])</f>
        <v>1.1114165540696035E-5</v>
      </c>
      <c r="R41" s="111">
        <f>Table1123457[[#This Row],[M (KN.mm)]]/(Table1123457[[#This Row],[b (mm)]]*Table1123457[[#This Row],[h (mm)]]*Table1123457[[#This Row],[L(mm)]]/2)</f>
        <v>9.0247024190451806E-4</v>
      </c>
      <c r="S41" s="111">
        <f>Table1123457[[#This Row],[M (KN.mm)]]/(Table1123457[[#This Row],[a (mm)]]*Table1123457[[#This Row],[b (mm)]]*Table1123457[[#This Row],[h (mm)]]*Table1123457[[#This Row],[L(mm)]]/2)</f>
        <v>6.9527753613599238E-7</v>
      </c>
      <c r="T41" s="111">
        <f>Table1123457[[#This Row],[M (KN.mm)]]/(Table1123457[[#This Row],[a (mm)]]^2*Table1123457[[#This Row],[b (mm)]]*Table1123457[[#This Row],[h (mm)]])</f>
        <v>6.9634884204683366E-7</v>
      </c>
      <c r="U41" s="111">
        <f>Table1123457[[#This Row],[M (KN.mm)]]/(Table1123457[[#This Row],[b (mm)]]*Table1123457[[#This Row],[d (mm)]]*Table1123457[[#This Row],[pho (%)]])</f>
        <v>1.3860526142185929</v>
      </c>
      <c r="V41" s="111">
        <f>E41*224.8/(2*SQRT(Table1123457[[#This Row],[fc (Mpa)]]*145.037)*Table1123457[[#This Row],[b (mm)]]*Table1123457[[#This Row],[d (mm)]]*(1/25.4)^2)</f>
        <v>0.91626731769482295</v>
      </c>
      <c r="W41" s="111">
        <f>Table1123457[[#This Row],[M (KN.mm)]]/$G$41</f>
        <v>1</v>
      </c>
      <c r="X41" s="111">
        <f>Table1123457[[#This Row],[V/(2*sqrt(fc) bd)]]</f>
        <v>0.91626731769482295</v>
      </c>
      <c r="Y41" s="111">
        <f>Table1123457[[#This Row],[a (mm)]]</f>
        <v>1298</v>
      </c>
      <c r="Z41" s="111">
        <f>Table1123457[[#This Row],[width]]*Table1123457[[#This Row],[h]]^2</f>
        <v>669465920</v>
      </c>
      <c r="AA41" s="111">
        <f>Table1123457[[#This Row],[b (mm)]]</f>
        <v>3005</v>
      </c>
      <c r="AB41" s="111">
        <f>Table1123457[[#This Row],[a (mm)]]/Table1123457[[#This Row],[h (mm)]]</f>
        <v>2.75</v>
      </c>
      <c r="AC41" s="111">
        <f>Table1123457[[#This Row],[h (mm)]]</f>
        <v>472</v>
      </c>
      <c r="AD41" s="111">
        <f>2.95*Table1123457[[#This Row],[d (mm)]]</f>
        <v>1298</v>
      </c>
      <c r="AE41" s="111">
        <v>440</v>
      </c>
      <c r="AF41" s="111">
        <v>472</v>
      </c>
      <c r="AG41" s="111">
        <v>3005</v>
      </c>
      <c r="AH41" s="7">
        <v>40.6</v>
      </c>
      <c r="AI41" s="111">
        <f>Table1123457[[#This Row],[pho (%)]]*Table1123457[[#This Row],[b (mm)]]*Table1123457[[#This Row],[h (mm)]]/100</f>
        <v>12878.708799999999</v>
      </c>
      <c r="AJ41" s="160">
        <v>0.90800000000000003</v>
      </c>
      <c r="AK41" s="160">
        <v>525</v>
      </c>
      <c r="AL41" s="111">
        <f>(1/3-0.21*(MIN(Table1123457[[#This Row],[b (mm)]],AF41)/MAX(Table1123457[[#This Row],[b (mm)]],AF41))*(MIN(Table1123457[[#This Row],[b (mm)]],AF41)^4/(12*MAX(Table1123457[[#This Row],[b (mm)]],AF41)^4)))*MAX(Table1123457[[#This Row],[b (mm)]],AF41)*MIN(Table1123457[[#This Row],[b (mm)]],AF41)^3</f>
        <v>105328776062.70901</v>
      </c>
      <c r="AM41" s="111">
        <f>Table1123457[[#This Row],[b (mm)]]*AF41^3/12</f>
        <v>26332326186.666668</v>
      </c>
      <c r="AN41" s="111">
        <v>2600</v>
      </c>
      <c r="AP41" s="139"/>
      <c r="AQ41" s="139"/>
      <c r="AR41" s="139"/>
      <c r="AS41" s="139"/>
      <c r="AT41" s="139"/>
      <c r="AU41" s="372">
        <v>2564</v>
      </c>
      <c r="AV41" s="2">
        <f t="shared" si="4"/>
        <v>1282</v>
      </c>
      <c r="AW41" s="1"/>
    </row>
    <row r="42" spans="1:49" x14ac:dyDescent="0.3">
      <c r="A42" s="161" t="s">
        <v>148</v>
      </c>
      <c r="B42" s="161">
        <v>1</v>
      </c>
      <c r="C42" s="185">
        <v>41</v>
      </c>
      <c r="D42" s="185">
        <f>Table1123457[[#This Row],[a (mm)]]/Table1123457[[#This Row],[d (mm)]]</f>
        <v>3.3876221498371337</v>
      </c>
      <c r="E42" s="224">
        <v>48.9</v>
      </c>
      <c r="F42" s="137">
        <f>Table1123457[[#This Row],[d (mm)]]</f>
        <v>307</v>
      </c>
      <c r="G42" s="111">
        <f t="shared" si="3"/>
        <v>50856</v>
      </c>
      <c r="H42" s="111">
        <f t="shared" si="0"/>
        <v>8.533533343956048E-7</v>
      </c>
      <c r="I42" s="111">
        <f>G42/(Table1123457[[#This Row],[b (mm)]]*Table1123457[[#This Row],[h]]^2)</f>
        <v>6.3490686640614959E-4</v>
      </c>
      <c r="J42" s="111">
        <f t="shared" si="1"/>
        <v>0.14359161981595822</v>
      </c>
      <c r="K42" s="111">
        <f t="shared" si="2"/>
        <v>1.7230171050691617E-7</v>
      </c>
      <c r="L42" s="111">
        <f>E42/(Table1123457[[#This Row],[b (mm)]]*AE42)</f>
        <v>2.2852709845358655E-4</v>
      </c>
      <c r="M42" s="111">
        <f>Table1123457[[#This Row],[M (KN.mm)]]/(Table1123457[[#This Row],[b (mm)]]*Table1123457[[#This Row],[d (mm)]])</f>
        <v>0.23766818239173004</v>
      </c>
      <c r="N42" s="111">
        <f>Table1123457[[#This Row],[M (KN.mm)]]/(Table1123457[[#This Row],[b (mm)]]*Table1123457[[#This Row],[h (mm)]])</f>
        <v>0.21523342771168472</v>
      </c>
      <c r="O42" s="111">
        <f>Table1123457[[#This Row],[M (KN.mm)]]/(Table1123457[[#This Row],[b (mm)]]*Table1123457[[#This Row],[h (mm)]]*Table1123457[[#This Row],[L(mm)]])</f>
        <v>1.034776094767715E-4</v>
      </c>
      <c r="P42" s="111">
        <f>Table1123457[[#This Row],[M (KN.mm)]]/(Table1123457[[#This Row],[b (mm)]]*Table1123457[[#This Row],[d (mm)]]*Table1123457[[#This Row],[L(mm)]])</f>
        <v>1.1426354922679328E-4</v>
      </c>
      <c r="Q42" s="111">
        <f>Table1123457[[#This Row],[M (KN.mm)]]/(Table1123457[[#This Row],[b (mm)]]*Table1123457[[#This Row],[h (mm)]]*Table1123457[[#This Row],[L(mm)]]*Table1123457[[#This Row],[fc (Mpa)]])</f>
        <v>2.7594029193805735E-6</v>
      </c>
      <c r="R42" s="111">
        <f>Table1123457[[#This Row],[M (KN.mm)]]/(Table1123457[[#This Row],[b (mm)]]*Table1123457[[#This Row],[h (mm)]]*Table1123457[[#This Row],[L(mm)]]/2)</f>
        <v>2.06955218953543E-4</v>
      </c>
      <c r="S42" s="111">
        <f>Table1123457[[#This Row],[M (KN.mm)]]/(Table1123457[[#This Row],[a (mm)]]*Table1123457[[#This Row],[b (mm)]]*Table1123457[[#This Row],[h (mm)]]*Table1123457[[#This Row],[L(mm)]]/2)</f>
        <v>1.9899540283994518E-7</v>
      </c>
      <c r="T42" s="111">
        <f>Table1123457[[#This Row],[M (KN.mm)]]/(Table1123457[[#This Row],[a (mm)]]^2*Table1123457[[#This Row],[b (mm)]]*Table1123457[[#This Row],[h (mm)]])</f>
        <v>1.9899540283994518E-7</v>
      </c>
      <c r="U42" s="111">
        <f>Table1123457[[#This Row],[M (KN.mm)]]/(Table1123457[[#This Row],[b (mm)]]*Table1123457[[#This Row],[d (mm)]]*Table1123457[[#This Row],[pho (%)]])</f>
        <v>0.25555718536745164</v>
      </c>
      <c r="V42" s="111">
        <f>E42*224.8/(2*SQRT(Table1123457[[#This Row],[fc (Mpa)]]*145.037)*Table1123457[[#This Row],[b (mm)]]*Table1123457[[#This Row],[d (mm)]]*(1/25.4)^2)</f>
        <v>0.22470690194685131</v>
      </c>
      <c r="W42" s="111">
        <f>Table1123457[[#This Row],[M (KN.mm)]]/$G$48</f>
        <v>0.20589473684210527</v>
      </c>
      <c r="X42" s="111">
        <f>Table1123457[[#This Row],[V/(2*sqrt(fc) bd)]]</f>
        <v>0.22470690194685131</v>
      </c>
      <c r="Y42" s="111">
        <f>Table1123457[[#This Row],[a (mm)]]</f>
        <v>1040</v>
      </c>
      <c r="Z42" s="111">
        <f>Table1123457[[#This Row],[width]]*Table1123457[[#This Row],[h]]^2</f>
        <v>80099937</v>
      </c>
      <c r="AA42" s="111">
        <f>Table1123457[[#This Row],[b (mm)]]</f>
        <v>697</v>
      </c>
      <c r="AB42" s="111">
        <f>Table1123457[[#This Row],[a (mm)]]/Table1123457[[#This Row],[h (mm)]]</f>
        <v>3.0678466076696167</v>
      </c>
      <c r="AC42" s="111">
        <f>Table1123457[[#This Row],[h (mm)]]</f>
        <v>339</v>
      </c>
      <c r="AD42" s="111">
        <v>1040</v>
      </c>
      <c r="AE42" s="111">
        <v>307</v>
      </c>
      <c r="AF42" s="111">
        <v>339</v>
      </c>
      <c r="AG42" s="111">
        <v>697</v>
      </c>
      <c r="AH42" s="7">
        <v>37.5</v>
      </c>
      <c r="AI42" s="111">
        <f>Table1123457[[#This Row],[pho (%)]]*Table1123457[[#This Row],[b (mm)]]*Table1123457[[#This Row],[h (mm)]]/100</f>
        <v>2197.4319</v>
      </c>
      <c r="AJ42" s="160">
        <v>0.93</v>
      </c>
      <c r="AK42" s="160">
        <v>525</v>
      </c>
      <c r="AL42" s="111">
        <f>(1/3-0.21*(MIN(Table1123457[[#This Row],[b (mm)]],AF42)/MAX(Table1123457[[#This Row],[b (mm)]],AF42))*(MIN(Table1123457[[#This Row],[b (mm)]],AF42)^4/(12*MAX(Table1123457[[#This Row],[b (mm)]],AF42)^4)))*MAX(Table1123457[[#This Row],[b (mm)]],AF42)*MIN(Table1123457[[#This Row],[b (mm)]],AF42)^3</f>
        <v>9038359724.8259487</v>
      </c>
      <c r="AM42" s="111">
        <f>Table1123457[[#This Row],[b (mm)]]*AF42^3/12</f>
        <v>2262823220.25</v>
      </c>
      <c r="AN42" s="111">
        <v>2080</v>
      </c>
      <c r="AP42" s="139"/>
      <c r="AQ42" s="139"/>
      <c r="AR42" s="139"/>
      <c r="AS42" s="139"/>
      <c r="AT42" s="139"/>
      <c r="AU42" s="365">
        <v>97.8</v>
      </c>
      <c r="AV42" s="2">
        <f t="shared" si="4"/>
        <v>48.9</v>
      </c>
      <c r="AW42" s="1"/>
    </row>
    <row r="43" spans="1:49" x14ac:dyDescent="0.3">
      <c r="A43" s="161" t="s">
        <v>148</v>
      </c>
      <c r="B43" s="161">
        <v>2</v>
      </c>
      <c r="C43" s="185">
        <v>42</v>
      </c>
      <c r="D43" s="185">
        <f>Table1123457[[#This Row],[a (mm)]]/Table1123457[[#This Row],[d (mm)]]</f>
        <v>3.3876221498371337</v>
      </c>
      <c r="E43" s="224">
        <v>100</v>
      </c>
      <c r="F43" s="137">
        <f>Table1123457[[#This Row],[d (mm)]]</f>
        <v>307</v>
      </c>
      <c r="G43" s="111">
        <f t="shared" si="3"/>
        <v>104000</v>
      </c>
      <c r="H43" s="111">
        <f t="shared" si="0"/>
        <v>1.7450988433447951E-6</v>
      </c>
      <c r="I43" s="111">
        <f>G43/(Table1123457[[#This Row],[b (mm)]]*Table1123457[[#This Row],[h]]^2)</f>
        <v>1.2983780499103263E-3</v>
      </c>
      <c r="J43" s="111">
        <f t="shared" si="1"/>
        <v>0.29364339430666303</v>
      </c>
      <c r="K43" s="111">
        <f t="shared" si="2"/>
        <v>3.5235523621046253E-7</v>
      </c>
      <c r="L43" s="111">
        <f>E43/(Table1123457[[#This Row],[b (mm)]]*AE43)</f>
        <v>4.6733557965968623E-4</v>
      </c>
      <c r="M43" s="111">
        <f>Table1123457[[#This Row],[M (KN.mm)]]/(Table1123457[[#This Row],[b (mm)]]*Table1123457[[#This Row],[d (mm)]])</f>
        <v>0.4860290028460737</v>
      </c>
      <c r="N43" s="111">
        <f>Table1123457[[#This Row],[M (KN.mm)]]/(Table1123457[[#This Row],[b (mm)]]*Table1123457[[#This Row],[h (mm)]])</f>
        <v>0.44015015891960063</v>
      </c>
      <c r="O43" s="111">
        <f>Table1123457[[#This Row],[M (KN.mm)]]/(Table1123457[[#This Row],[b (mm)]]*Table1123457[[#This Row],[h (mm)]]*Table1123457[[#This Row],[L(mm)]])</f>
        <v>2.1161065332673108E-4</v>
      </c>
      <c r="P43" s="111">
        <f>Table1123457[[#This Row],[M (KN.mm)]]/(Table1123457[[#This Row],[b (mm)]]*Table1123457[[#This Row],[d (mm)]]*Table1123457[[#This Row],[L(mm)]])</f>
        <v>2.3366778982984311E-4</v>
      </c>
      <c r="Q43" s="111">
        <f>Table1123457[[#This Row],[M (KN.mm)]]/(Table1123457[[#This Row],[b (mm)]]*Table1123457[[#This Row],[h (mm)]]*Table1123457[[#This Row],[L(mm)]]*Table1123457[[#This Row],[fc (Mpa)]])</f>
        <v>5.6429507553794955E-6</v>
      </c>
      <c r="R43" s="111">
        <f>Table1123457[[#This Row],[M (KN.mm)]]/(Table1123457[[#This Row],[b (mm)]]*Table1123457[[#This Row],[h (mm)]]*Table1123457[[#This Row],[L(mm)]]/2)</f>
        <v>4.2322130665346216E-4</v>
      </c>
      <c r="S43" s="111">
        <f>Table1123457[[#This Row],[M (KN.mm)]]/(Table1123457[[#This Row],[a (mm)]]*Table1123457[[#This Row],[b (mm)]]*Table1123457[[#This Row],[h (mm)]]*Table1123457[[#This Row],[L(mm)]]/2)</f>
        <v>4.0694356408986747E-7</v>
      </c>
      <c r="T43" s="111">
        <f>Table1123457[[#This Row],[M (KN.mm)]]/(Table1123457[[#This Row],[a (mm)]]^2*Table1123457[[#This Row],[b (mm)]]*Table1123457[[#This Row],[h (mm)]])</f>
        <v>4.0694356408986747E-7</v>
      </c>
      <c r="U43" s="111">
        <f>Table1123457[[#This Row],[M (KN.mm)]]/(Table1123457[[#This Row],[b (mm)]]*Table1123457[[#This Row],[d (mm)]]*Table1123457[[#This Row],[pho (%)]])</f>
        <v>0.52261183101728348</v>
      </c>
      <c r="V43" s="111">
        <f>E43*224.8/(2*SQRT(Table1123457[[#This Row],[fc (Mpa)]]*145.037)*Table1123457[[#This Row],[b (mm)]]*Table1123457[[#This Row],[d (mm)]]*(1/25.4)^2)</f>
        <v>0.45952331686472664</v>
      </c>
      <c r="W43" s="111">
        <f>Table1123457[[#This Row],[M (KN.mm)]]/$G$48</f>
        <v>0.42105263157894735</v>
      </c>
      <c r="X43" s="111">
        <f>Table1123457[[#This Row],[V/(2*sqrt(fc) bd)]]</f>
        <v>0.45952331686472664</v>
      </c>
      <c r="Y43" s="111">
        <f>Table1123457[[#This Row],[a (mm)]]</f>
        <v>1040</v>
      </c>
      <c r="Z43" s="111">
        <f>Table1123457[[#This Row],[width]]*Table1123457[[#This Row],[h]]^2</f>
        <v>80099937</v>
      </c>
      <c r="AA43" s="111">
        <f>Table1123457[[#This Row],[b (mm)]]</f>
        <v>697</v>
      </c>
      <c r="AB43" s="111">
        <f>Table1123457[[#This Row],[a (mm)]]/Table1123457[[#This Row],[h (mm)]]</f>
        <v>3.0678466076696167</v>
      </c>
      <c r="AC43" s="111">
        <f>Table1123457[[#This Row],[h (mm)]]</f>
        <v>339</v>
      </c>
      <c r="AD43" s="111">
        <v>1040</v>
      </c>
      <c r="AE43" s="111">
        <v>307</v>
      </c>
      <c r="AF43" s="111">
        <v>339</v>
      </c>
      <c r="AG43" s="111">
        <v>697</v>
      </c>
      <c r="AH43" s="7">
        <v>37.5</v>
      </c>
      <c r="AI43" s="111">
        <f>Table1123457[[#This Row],[pho (%)]]*Table1123457[[#This Row],[b (mm)]]*Table1123457[[#This Row],[h (mm)]]/100</f>
        <v>2197.4319</v>
      </c>
      <c r="AJ43" s="160">
        <v>0.93</v>
      </c>
      <c r="AK43" s="160">
        <v>525</v>
      </c>
      <c r="AL43" s="111">
        <f>(1/3-0.21*(MIN(Table1123457[[#This Row],[b (mm)]],AF43)/MAX(Table1123457[[#This Row],[b (mm)]],AF43))*(MIN(Table1123457[[#This Row],[b (mm)]],AF43)^4/(12*MAX(Table1123457[[#This Row],[b (mm)]],AF43)^4)))*MAX(Table1123457[[#This Row],[b (mm)]],AF43)*MIN(Table1123457[[#This Row],[b (mm)]],AF43)^3</f>
        <v>9038359724.8259487</v>
      </c>
      <c r="AM43" s="111">
        <f>Table1123457[[#This Row],[b (mm)]]*AF43^3/12</f>
        <v>2262823220.25</v>
      </c>
      <c r="AN43" s="111">
        <v>2080</v>
      </c>
      <c r="AP43" s="139"/>
      <c r="AQ43" s="139"/>
      <c r="AR43" s="139"/>
      <c r="AS43" s="139"/>
      <c r="AT43" s="139"/>
      <c r="AU43" s="365">
        <v>200</v>
      </c>
      <c r="AV43" s="2">
        <f t="shared" si="4"/>
        <v>100</v>
      </c>
      <c r="AW43" s="1"/>
    </row>
    <row r="44" spans="1:49" x14ac:dyDescent="0.3">
      <c r="A44" s="161" t="s">
        <v>148</v>
      </c>
      <c r="B44" s="161">
        <v>3</v>
      </c>
      <c r="C44" s="185">
        <v>43</v>
      </c>
      <c r="D44" s="185">
        <f>Table1123457[[#This Row],[a (mm)]]/Table1123457[[#This Row],[d (mm)]]</f>
        <v>3.3876221498371337</v>
      </c>
      <c r="E44" s="224">
        <v>137.5</v>
      </c>
      <c r="F44" s="137">
        <f>Table1123457[[#This Row],[d (mm)]]</f>
        <v>307</v>
      </c>
      <c r="G44" s="111">
        <f t="shared" si="3"/>
        <v>143000</v>
      </c>
      <c r="H44" s="111">
        <f t="shared" si="0"/>
        <v>2.3995109095990934E-6</v>
      </c>
      <c r="I44" s="111">
        <f>G44/(Table1123457[[#This Row],[b (mm)]]*Table1123457[[#This Row],[h]]^2)</f>
        <v>1.7852698186266989E-3</v>
      </c>
      <c r="J44" s="111">
        <f t="shared" si="1"/>
        <v>0.40375966717166167</v>
      </c>
      <c r="K44" s="111">
        <f t="shared" si="2"/>
        <v>4.8448844978938601E-7</v>
      </c>
      <c r="L44" s="111">
        <f>E44/(Table1123457[[#This Row],[b (mm)]]*AE44)</f>
        <v>6.4258642203206858E-4</v>
      </c>
      <c r="M44" s="111">
        <f>Table1123457[[#This Row],[M (KN.mm)]]/(Table1123457[[#This Row],[b (mm)]]*Table1123457[[#This Row],[d (mm)]])</f>
        <v>0.66828987891335134</v>
      </c>
      <c r="N44" s="111">
        <f>Table1123457[[#This Row],[M (KN.mm)]]/(Table1123457[[#This Row],[b (mm)]]*Table1123457[[#This Row],[h (mm)]])</f>
        <v>0.60520646851445092</v>
      </c>
      <c r="O44" s="111">
        <f>Table1123457[[#This Row],[M (KN.mm)]]/(Table1123457[[#This Row],[b (mm)]]*Table1123457[[#This Row],[h (mm)]]*Table1123457[[#This Row],[L(mm)]])</f>
        <v>2.9096464832425523E-4</v>
      </c>
      <c r="P44" s="111">
        <f>Table1123457[[#This Row],[M (KN.mm)]]/(Table1123457[[#This Row],[b (mm)]]*Table1123457[[#This Row],[d (mm)]]*Table1123457[[#This Row],[L(mm)]])</f>
        <v>3.2129321101603429E-4</v>
      </c>
      <c r="Q44" s="111">
        <f>Table1123457[[#This Row],[M (KN.mm)]]/(Table1123457[[#This Row],[b (mm)]]*Table1123457[[#This Row],[h (mm)]]*Table1123457[[#This Row],[L(mm)]]*Table1123457[[#This Row],[fc (Mpa)]])</f>
        <v>7.7590572886468062E-6</v>
      </c>
      <c r="R44" s="111">
        <f>Table1123457[[#This Row],[M (KN.mm)]]/(Table1123457[[#This Row],[b (mm)]]*Table1123457[[#This Row],[h (mm)]]*Table1123457[[#This Row],[L(mm)]]/2)</f>
        <v>5.8192929664851046E-4</v>
      </c>
      <c r="S44" s="111">
        <f>Table1123457[[#This Row],[M (KN.mm)]]/(Table1123457[[#This Row],[a (mm)]]*Table1123457[[#This Row],[b (mm)]]*Table1123457[[#This Row],[h (mm)]]*Table1123457[[#This Row],[L(mm)]]/2)</f>
        <v>5.5954740062356776E-7</v>
      </c>
      <c r="T44" s="111">
        <f>Table1123457[[#This Row],[M (KN.mm)]]/(Table1123457[[#This Row],[a (mm)]]^2*Table1123457[[#This Row],[b (mm)]]*Table1123457[[#This Row],[h (mm)]])</f>
        <v>5.5954740062356776E-7</v>
      </c>
      <c r="U44" s="111">
        <f>Table1123457[[#This Row],[M (KN.mm)]]/(Table1123457[[#This Row],[b (mm)]]*Table1123457[[#This Row],[d (mm)]]*Table1123457[[#This Row],[pho (%)]])</f>
        <v>0.7185912676487648</v>
      </c>
      <c r="V44" s="111">
        <f>E44*224.8/(2*SQRT(Table1123457[[#This Row],[fc (Mpa)]]*145.037)*Table1123457[[#This Row],[b (mm)]]*Table1123457[[#This Row],[d (mm)]]*(1/25.4)^2)</f>
        <v>0.63184456068899919</v>
      </c>
      <c r="W44" s="111">
        <f>Table1123457[[#This Row],[M (KN.mm)]]/$G$48</f>
        <v>0.57894736842105265</v>
      </c>
      <c r="X44" s="111">
        <f>Table1123457[[#This Row],[V/(2*sqrt(fc) bd)]]</f>
        <v>0.63184456068899919</v>
      </c>
      <c r="Y44" s="111">
        <f>Table1123457[[#This Row],[a (mm)]]</f>
        <v>1040</v>
      </c>
      <c r="Z44" s="111">
        <f>Table1123457[[#This Row],[width]]*Table1123457[[#This Row],[h]]^2</f>
        <v>80099937</v>
      </c>
      <c r="AA44" s="111">
        <f>Table1123457[[#This Row],[b (mm)]]</f>
        <v>697</v>
      </c>
      <c r="AB44" s="111">
        <f>Table1123457[[#This Row],[a (mm)]]/Table1123457[[#This Row],[h (mm)]]</f>
        <v>3.0678466076696167</v>
      </c>
      <c r="AC44" s="111">
        <f>Table1123457[[#This Row],[h (mm)]]</f>
        <v>339</v>
      </c>
      <c r="AD44" s="111">
        <v>1040</v>
      </c>
      <c r="AE44" s="111">
        <v>307</v>
      </c>
      <c r="AF44" s="111">
        <v>339</v>
      </c>
      <c r="AG44" s="111">
        <v>697</v>
      </c>
      <c r="AH44" s="7">
        <v>37.5</v>
      </c>
      <c r="AI44" s="111">
        <f>Table1123457[[#This Row],[pho (%)]]*Table1123457[[#This Row],[b (mm)]]*Table1123457[[#This Row],[h (mm)]]/100</f>
        <v>2197.4319</v>
      </c>
      <c r="AJ44" s="160">
        <v>0.93</v>
      </c>
      <c r="AK44" s="160">
        <v>525</v>
      </c>
      <c r="AL44" s="111">
        <f>(1/3-0.21*(MIN(Table1123457[[#This Row],[b (mm)]],AF44)/MAX(Table1123457[[#This Row],[b (mm)]],AF44))*(MIN(Table1123457[[#This Row],[b (mm)]],AF44)^4/(12*MAX(Table1123457[[#This Row],[b (mm)]],AF44)^4)))*MAX(Table1123457[[#This Row],[b (mm)]],AF44)*MIN(Table1123457[[#This Row],[b (mm)]],AF44)^3</f>
        <v>9038359724.8259487</v>
      </c>
      <c r="AM44" s="111">
        <f>Table1123457[[#This Row],[b (mm)]]*AF44^3/12</f>
        <v>2262823220.25</v>
      </c>
      <c r="AN44" s="111">
        <v>2080</v>
      </c>
      <c r="AP44" s="139"/>
      <c r="AQ44" s="139"/>
      <c r="AR44" s="139"/>
      <c r="AS44" s="139"/>
      <c r="AT44" s="139"/>
      <c r="AU44" s="365">
        <v>275</v>
      </c>
      <c r="AV44" s="2">
        <f t="shared" si="4"/>
        <v>137.5</v>
      </c>
      <c r="AW44" s="1"/>
    </row>
    <row r="45" spans="1:49" x14ac:dyDescent="0.3">
      <c r="A45" s="161" t="s">
        <v>148</v>
      </c>
      <c r="B45" s="161">
        <v>4</v>
      </c>
      <c r="C45" s="185">
        <v>44</v>
      </c>
      <c r="D45" s="185">
        <f>Table1123457[[#This Row],[a (mm)]]/Table1123457[[#This Row],[d (mm)]]</f>
        <v>3.3876221498371337</v>
      </c>
      <c r="E45" s="224">
        <v>174.5</v>
      </c>
      <c r="F45" s="137">
        <f>Table1123457[[#This Row],[d (mm)]]</f>
        <v>307</v>
      </c>
      <c r="G45" s="111">
        <f t="shared" si="3"/>
        <v>181480</v>
      </c>
      <c r="H45" s="111">
        <f t="shared" si="0"/>
        <v>3.0451974816366674E-6</v>
      </c>
      <c r="I45" s="111">
        <f>G45/(Table1123457[[#This Row],[b (mm)]]*Table1123457[[#This Row],[h]]^2)</f>
        <v>2.2656696970935197E-3</v>
      </c>
      <c r="J45" s="111">
        <f t="shared" si="1"/>
        <v>0.51240772306512694</v>
      </c>
      <c r="K45" s="111">
        <f t="shared" si="2"/>
        <v>6.1485988718725707E-7</v>
      </c>
      <c r="L45" s="111">
        <f>E45/(Table1123457[[#This Row],[b (mm)]]*AE45)</f>
        <v>8.1550058650615249E-4</v>
      </c>
      <c r="M45" s="111">
        <f>Table1123457[[#This Row],[M (KN.mm)]]/(Table1123457[[#This Row],[b (mm)]]*Table1123457[[#This Row],[d (mm)]])</f>
        <v>0.8481206099663986</v>
      </c>
      <c r="N45" s="111">
        <f>Table1123457[[#This Row],[M (KN.mm)]]/(Table1123457[[#This Row],[b (mm)]]*Table1123457[[#This Row],[h (mm)]])</f>
        <v>0.76806202731470308</v>
      </c>
      <c r="O45" s="111">
        <f>Table1123457[[#This Row],[M (KN.mm)]]/(Table1123457[[#This Row],[b (mm)]]*Table1123457[[#This Row],[h (mm)]]*Table1123457[[#This Row],[L(mm)]])</f>
        <v>3.6926059005514575E-4</v>
      </c>
      <c r="P45" s="111">
        <f>Table1123457[[#This Row],[M (KN.mm)]]/(Table1123457[[#This Row],[b (mm)]]*Table1123457[[#This Row],[d (mm)]]*Table1123457[[#This Row],[L(mm)]])</f>
        <v>4.0775029325307625E-4</v>
      </c>
      <c r="Q45" s="111">
        <f>Table1123457[[#This Row],[M (KN.mm)]]/(Table1123457[[#This Row],[b (mm)]]*Table1123457[[#This Row],[h (mm)]]*Table1123457[[#This Row],[L(mm)]]*Table1123457[[#This Row],[fc (Mpa)]])</f>
        <v>9.8469490681372204E-6</v>
      </c>
      <c r="R45" s="111">
        <f>Table1123457[[#This Row],[M (KN.mm)]]/(Table1123457[[#This Row],[b (mm)]]*Table1123457[[#This Row],[h (mm)]]*Table1123457[[#This Row],[L(mm)]]/2)</f>
        <v>7.3852118011029149E-4</v>
      </c>
      <c r="S45" s="111">
        <f>Table1123457[[#This Row],[M (KN.mm)]]/(Table1123457[[#This Row],[a (mm)]]*Table1123457[[#This Row],[b (mm)]]*Table1123457[[#This Row],[h (mm)]]*Table1123457[[#This Row],[L(mm)]]/2)</f>
        <v>7.1011651933681871E-7</v>
      </c>
      <c r="T45" s="111">
        <f>Table1123457[[#This Row],[M (KN.mm)]]/(Table1123457[[#This Row],[a (mm)]]^2*Table1123457[[#This Row],[b (mm)]]*Table1123457[[#This Row],[h (mm)]])</f>
        <v>7.1011651933681871E-7</v>
      </c>
      <c r="U45" s="111">
        <f>Table1123457[[#This Row],[M (KN.mm)]]/(Table1123457[[#This Row],[b (mm)]]*Table1123457[[#This Row],[d (mm)]]*Table1123457[[#This Row],[pho (%)]])</f>
        <v>0.91195764512515975</v>
      </c>
      <c r="V45" s="111">
        <f>E45*224.8/(2*SQRT(Table1123457[[#This Row],[fc (Mpa)]]*145.037)*Table1123457[[#This Row],[b (mm)]]*Table1123457[[#This Row],[d (mm)]]*(1/25.4)^2)</f>
        <v>0.80186818792894798</v>
      </c>
      <c r="W45" s="111">
        <f>Table1123457[[#This Row],[M (KN.mm)]]/$G$48</f>
        <v>0.73473684210526313</v>
      </c>
      <c r="X45" s="111">
        <f>Table1123457[[#This Row],[V/(2*sqrt(fc) bd)]]</f>
        <v>0.80186818792894798</v>
      </c>
      <c r="Y45" s="111">
        <f>Table1123457[[#This Row],[a (mm)]]</f>
        <v>1040</v>
      </c>
      <c r="Z45" s="111">
        <f>Table1123457[[#This Row],[width]]*Table1123457[[#This Row],[h]]^2</f>
        <v>80099937</v>
      </c>
      <c r="AA45" s="111">
        <f>Table1123457[[#This Row],[b (mm)]]</f>
        <v>697</v>
      </c>
      <c r="AB45" s="111">
        <f>Table1123457[[#This Row],[a (mm)]]/Table1123457[[#This Row],[h (mm)]]</f>
        <v>3.0678466076696167</v>
      </c>
      <c r="AC45" s="111">
        <f>Table1123457[[#This Row],[h (mm)]]</f>
        <v>339</v>
      </c>
      <c r="AD45" s="111">
        <v>1040</v>
      </c>
      <c r="AE45" s="111">
        <v>307</v>
      </c>
      <c r="AF45" s="111">
        <v>339</v>
      </c>
      <c r="AG45" s="111">
        <v>697</v>
      </c>
      <c r="AH45" s="7">
        <v>37.5</v>
      </c>
      <c r="AI45" s="111">
        <f>Table1123457[[#This Row],[pho (%)]]*Table1123457[[#This Row],[b (mm)]]*Table1123457[[#This Row],[h (mm)]]/100</f>
        <v>2197.4319</v>
      </c>
      <c r="AJ45" s="160">
        <v>0.93</v>
      </c>
      <c r="AK45" s="160">
        <v>525</v>
      </c>
      <c r="AL45" s="111">
        <f>(1/3-0.21*(MIN(Table1123457[[#This Row],[b (mm)]],AF45)/MAX(Table1123457[[#This Row],[b (mm)]],AF45))*(MIN(Table1123457[[#This Row],[b (mm)]],AF45)^4/(12*MAX(Table1123457[[#This Row],[b (mm)]],AF45)^4)))*MAX(Table1123457[[#This Row],[b (mm)]],AF45)*MIN(Table1123457[[#This Row],[b (mm)]],AF45)^3</f>
        <v>9038359724.8259487</v>
      </c>
      <c r="AM45" s="111">
        <f>Table1123457[[#This Row],[b (mm)]]*AF45^3/12</f>
        <v>2262823220.25</v>
      </c>
      <c r="AN45" s="111">
        <v>2080</v>
      </c>
      <c r="AP45" s="139"/>
      <c r="AQ45" s="139"/>
      <c r="AR45" s="139"/>
      <c r="AS45" s="139"/>
      <c r="AT45" s="139"/>
      <c r="AU45" s="365">
        <v>349</v>
      </c>
      <c r="AV45" s="2">
        <f t="shared" si="4"/>
        <v>174.5</v>
      </c>
      <c r="AW45" s="1"/>
    </row>
    <row r="46" spans="1:49" x14ac:dyDescent="0.3">
      <c r="A46" s="161" t="s">
        <v>148</v>
      </c>
      <c r="B46" s="161">
        <v>5</v>
      </c>
      <c r="C46" s="185">
        <v>45</v>
      </c>
      <c r="D46" s="185">
        <f>Table1123457[[#This Row],[a (mm)]]/Table1123457[[#This Row],[d (mm)]]</f>
        <v>3.3876221498371337</v>
      </c>
      <c r="E46" s="224">
        <v>199.5</v>
      </c>
      <c r="F46" s="137">
        <f>Table1123457[[#This Row],[d (mm)]]</f>
        <v>307</v>
      </c>
      <c r="G46" s="111">
        <f t="shared" si="3"/>
        <v>207480</v>
      </c>
      <c r="H46" s="111">
        <f t="shared" si="0"/>
        <v>3.4814721924728663E-6</v>
      </c>
      <c r="I46" s="111">
        <f>G46/(Table1123457[[#This Row],[b (mm)]]*Table1123457[[#This Row],[h]]^2)</f>
        <v>2.590264209571101E-3</v>
      </c>
      <c r="J46" s="111">
        <f t="shared" si="1"/>
        <v>0.58581857164179274</v>
      </c>
      <c r="K46" s="111">
        <f t="shared" si="2"/>
        <v>7.0294869623987276E-7</v>
      </c>
      <c r="L46" s="111">
        <f>E46/(Table1123457[[#This Row],[b (mm)]]*AE46)</f>
        <v>9.3233448142107406E-4</v>
      </c>
      <c r="M46" s="111">
        <f>Table1123457[[#This Row],[M (KN.mm)]]/(Table1123457[[#This Row],[b (mm)]]*Table1123457[[#This Row],[d (mm)]])</f>
        <v>0.96962786067791695</v>
      </c>
      <c r="N46" s="111">
        <f>Table1123457[[#This Row],[M (KN.mm)]]/(Table1123457[[#This Row],[b (mm)]]*Table1123457[[#This Row],[h (mm)]])</f>
        <v>0.87809956704460335</v>
      </c>
      <c r="O46" s="111">
        <f>Table1123457[[#This Row],[M (KN.mm)]]/(Table1123457[[#This Row],[b (mm)]]*Table1123457[[#This Row],[h (mm)]]*Table1123457[[#This Row],[L(mm)]])</f>
        <v>4.2216325338682853E-4</v>
      </c>
      <c r="P46" s="111">
        <f>Table1123457[[#This Row],[M (KN.mm)]]/(Table1123457[[#This Row],[b (mm)]]*Table1123457[[#This Row],[d (mm)]]*Table1123457[[#This Row],[L(mm)]])</f>
        <v>4.6616724071053703E-4</v>
      </c>
      <c r="Q46" s="111">
        <f>Table1123457[[#This Row],[M (KN.mm)]]/(Table1123457[[#This Row],[b (mm)]]*Table1123457[[#This Row],[h (mm)]]*Table1123457[[#This Row],[L(mm)]]*Table1123457[[#This Row],[fc (Mpa)]])</f>
        <v>1.1257686756982094E-5</v>
      </c>
      <c r="R46" s="111">
        <f>Table1123457[[#This Row],[M (KN.mm)]]/(Table1123457[[#This Row],[b (mm)]]*Table1123457[[#This Row],[h (mm)]]*Table1123457[[#This Row],[L(mm)]]/2)</f>
        <v>8.4432650677365706E-4</v>
      </c>
      <c r="S46" s="111">
        <f>Table1123457[[#This Row],[M (KN.mm)]]/(Table1123457[[#This Row],[a (mm)]]*Table1123457[[#This Row],[b (mm)]]*Table1123457[[#This Row],[h (mm)]]*Table1123457[[#This Row],[L(mm)]]/2)</f>
        <v>8.1185241035928561E-7</v>
      </c>
      <c r="T46" s="111">
        <f>Table1123457[[#This Row],[M (KN.mm)]]/(Table1123457[[#This Row],[a (mm)]]^2*Table1123457[[#This Row],[b (mm)]]*Table1123457[[#This Row],[h (mm)]])</f>
        <v>8.1185241035928561E-7</v>
      </c>
      <c r="U46" s="111">
        <f>Table1123457[[#This Row],[M (KN.mm)]]/(Table1123457[[#This Row],[b (mm)]]*Table1123457[[#This Row],[d (mm)]]*Table1123457[[#This Row],[pho (%)]])</f>
        <v>1.0426106028794806</v>
      </c>
      <c r="V46" s="111">
        <f>E46*224.8/(2*SQRT(Table1123457[[#This Row],[fc (Mpa)]]*145.037)*Table1123457[[#This Row],[b (mm)]]*Table1123457[[#This Row],[d (mm)]]*(1/25.4)^2)</f>
        <v>0.9167490171451298</v>
      </c>
      <c r="W46" s="111">
        <f>Table1123457[[#This Row],[M (KN.mm)]]/$G$48</f>
        <v>0.84</v>
      </c>
      <c r="X46" s="111">
        <f>Table1123457[[#This Row],[V/(2*sqrt(fc) bd)]]</f>
        <v>0.9167490171451298</v>
      </c>
      <c r="Y46" s="111">
        <f>Table1123457[[#This Row],[a (mm)]]</f>
        <v>1040</v>
      </c>
      <c r="Z46" s="111">
        <f>Table1123457[[#This Row],[width]]*Table1123457[[#This Row],[h]]^2</f>
        <v>80099937</v>
      </c>
      <c r="AA46" s="111">
        <f>Table1123457[[#This Row],[b (mm)]]</f>
        <v>697</v>
      </c>
      <c r="AB46" s="111">
        <f>Table1123457[[#This Row],[a (mm)]]/Table1123457[[#This Row],[h (mm)]]</f>
        <v>3.0678466076696167</v>
      </c>
      <c r="AC46" s="111">
        <f>Table1123457[[#This Row],[h (mm)]]</f>
        <v>339</v>
      </c>
      <c r="AD46" s="111">
        <v>1040</v>
      </c>
      <c r="AE46" s="111">
        <v>307</v>
      </c>
      <c r="AF46" s="111">
        <v>339</v>
      </c>
      <c r="AG46" s="111">
        <v>697</v>
      </c>
      <c r="AH46" s="7">
        <v>37.5</v>
      </c>
      <c r="AI46" s="111">
        <f>Table1123457[[#This Row],[pho (%)]]*Table1123457[[#This Row],[b (mm)]]*Table1123457[[#This Row],[h (mm)]]/100</f>
        <v>2197.4319</v>
      </c>
      <c r="AJ46" s="160">
        <v>0.93</v>
      </c>
      <c r="AK46" s="160">
        <v>525</v>
      </c>
      <c r="AL46" s="111">
        <f>(1/3-0.21*(MIN(Table1123457[[#This Row],[b (mm)]],AF46)/MAX(Table1123457[[#This Row],[b (mm)]],AF46))*(MIN(Table1123457[[#This Row],[b (mm)]],AF46)^4/(12*MAX(Table1123457[[#This Row],[b (mm)]],AF46)^4)))*MAX(Table1123457[[#This Row],[b (mm)]],AF46)*MIN(Table1123457[[#This Row],[b (mm)]],AF46)^3</f>
        <v>9038359724.8259487</v>
      </c>
      <c r="AM46" s="111">
        <f>Table1123457[[#This Row],[b (mm)]]*AF46^3/12</f>
        <v>2262823220.25</v>
      </c>
      <c r="AN46" s="111">
        <v>2080</v>
      </c>
      <c r="AP46" s="139"/>
      <c r="AQ46" s="139"/>
      <c r="AR46" s="139"/>
      <c r="AS46" s="139"/>
      <c r="AT46" s="139"/>
      <c r="AU46" s="365">
        <v>399</v>
      </c>
      <c r="AV46" s="2">
        <f t="shared" si="4"/>
        <v>199.5</v>
      </c>
      <c r="AW46" s="1"/>
    </row>
    <row r="47" spans="1:49" x14ac:dyDescent="0.3">
      <c r="A47" s="161" t="s">
        <v>148</v>
      </c>
      <c r="B47" s="161">
        <v>6</v>
      </c>
      <c r="C47" s="185">
        <v>46</v>
      </c>
      <c r="D47" s="185">
        <f>Table1123457[[#This Row],[a (mm)]]/Table1123457[[#This Row],[d (mm)]]</f>
        <v>3.3876221498371337</v>
      </c>
      <c r="E47" s="224">
        <v>224.5</v>
      </c>
      <c r="F47" s="137">
        <f>Table1123457[[#This Row],[d (mm)]]</f>
        <v>307</v>
      </c>
      <c r="G47" s="111">
        <f t="shared" si="3"/>
        <v>233480</v>
      </c>
      <c r="H47" s="111">
        <f t="shared" si="0"/>
        <v>3.9177469033090647E-6</v>
      </c>
      <c r="I47" s="111">
        <f>G47/(Table1123457[[#This Row],[b (mm)]]*Table1123457[[#This Row],[h]]^2)</f>
        <v>2.9148587220486828E-3</v>
      </c>
      <c r="J47" s="111">
        <f t="shared" si="1"/>
        <v>0.65922942021845843</v>
      </c>
      <c r="K47" s="111">
        <f t="shared" si="2"/>
        <v>7.9103750529248834E-7</v>
      </c>
      <c r="L47" s="111">
        <f>E47/(Table1123457[[#This Row],[b (mm)]]*AE47)</f>
        <v>1.0491683763359956E-3</v>
      </c>
      <c r="M47" s="111">
        <f>Table1123457[[#This Row],[M (KN.mm)]]/(Table1123457[[#This Row],[b (mm)]]*Table1123457[[#This Row],[d (mm)]])</f>
        <v>1.0911351113894354</v>
      </c>
      <c r="N47" s="111">
        <f>Table1123457[[#This Row],[M (KN.mm)]]/(Table1123457[[#This Row],[b (mm)]]*Table1123457[[#This Row],[h (mm)]])</f>
        <v>0.9881371067745035</v>
      </c>
      <c r="O47" s="111">
        <f>Table1123457[[#This Row],[M (KN.mm)]]/(Table1123457[[#This Row],[b (mm)]]*Table1123457[[#This Row],[h (mm)]]*Table1123457[[#This Row],[L(mm)]])</f>
        <v>4.7506591671851126E-4</v>
      </c>
      <c r="P47" s="111">
        <f>Table1123457[[#This Row],[M (KN.mm)]]/(Table1123457[[#This Row],[b (mm)]]*Table1123457[[#This Row],[d (mm)]]*Table1123457[[#This Row],[L(mm)]])</f>
        <v>5.2458418816799782E-4</v>
      </c>
      <c r="Q47" s="111">
        <f>Table1123457[[#This Row],[M (KN.mm)]]/(Table1123457[[#This Row],[b (mm)]]*Table1123457[[#This Row],[h (mm)]]*Table1123457[[#This Row],[L(mm)]]*Table1123457[[#This Row],[fc (Mpa)]])</f>
        <v>1.2668424445826967E-5</v>
      </c>
      <c r="R47" s="111">
        <f>Table1123457[[#This Row],[M (KN.mm)]]/(Table1123457[[#This Row],[b (mm)]]*Table1123457[[#This Row],[h (mm)]]*Table1123457[[#This Row],[L(mm)]]/2)</f>
        <v>9.5013183343702252E-4</v>
      </c>
      <c r="S47" s="111">
        <f>Table1123457[[#This Row],[M (KN.mm)]]/(Table1123457[[#This Row],[a (mm)]]*Table1123457[[#This Row],[b (mm)]]*Table1123457[[#This Row],[h (mm)]]*Table1123457[[#This Row],[L(mm)]]/2)</f>
        <v>9.135883013817525E-7</v>
      </c>
      <c r="T47" s="111">
        <f>Table1123457[[#This Row],[M (KN.mm)]]/(Table1123457[[#This Row],[a (mm)]]^2*Table1123457[[#This Row],[b (mm)]]*Table1123457[[#This Row],[h (mm)]])</f>
        <v>9.135883013817525E-7</v>
      </c>
      <c r="U47" s="111">
        <f>Table1123457[[#This Row],[M (KN.mm)]]/(Table1123457[[#This Row],[b (mm)]]*Table1123457[[#This Row],[d (mm)]]*Table1123457[[#This Row],[pho (%)]])</f>
        <v>1.1732635606338015</v>
      </c>
      <c r="V47" s="111">
        <f>E47*224.8/(2*SQRT(Table1123457[[#This Row],[fc (Mpa)]]*145.037)*Table1123457[[#This Row],[b (mm)]]*Table1123457[[#This Row],[d (mm)]]*(1/25.4)^2)</f>
        <v>1.0316298463613114</v>
      </c>
      <c r="W47" s="111">
        <f>Table1123457[[#This Row],[M (KN.mm)]]/$G$48</f>
        <v>0.94526315789473681</v>
      </c>
      <c r="X47" s="111">
        <f>Table1123457[[#This Row],[V/(2*sqrt(fc) bd)]]</f>
        <v>1.0316298463613114</v>
      </c>
      <c r="Y47" s="111">
        <f>Table1123457[[#This Row],[a (mm)]]</f>
        <v>1040</v>
      </c>
      <c r="Z47" s="111">
        <f>Table1123457[[#This Row],[width]]*Table1123457[[#This Row],[h]]^2</f>
        <v>80099937</v>
      </c>
      <c r="AA47" s="111">
        <f>Table1123457[[#This Row],[b (mm)]]</f>
        <v>697</v>
      </c>
      <c r="AB47" s="111">
        <f>Table1123457[[#This Row],[a (mm)]]/Table1123457[[#This Row],[h (mm)]]</f>
        <v>3.0678466076696167</v>
      </c>
      <c r="AC47" s="111">
        <f>Table1123457[[#This Row],[h (mm)]]</f>
        <v>339</v>
      </c>
      <c r="AD47" s="111">
        <v>1040</v>
      </c>
      <c r="AE47" s="111">
        <v>307</v>
      </c>
      <c r="AF47" s="111">
        <v>339</v>
      </c>
      <c r="AG47" s="111">
        <v>697</v>
      </c>
      <c r="AH47" s="7">
        <v>37.5</v>
      </c>
      <c r="AI47" s="111">
        <f>Table1123457[[#This Row],[pho (%)]]*Table1123457[[#This Row],[b (mm)]]*Table1123457[[#This Row],[h (mm)]]/100</f>
        <v>2197.4319</v>
      </c>
      <c r="AJ47" s="160">
        <v>0.93</v>
      </c>
      <c r="AK47" s="160">
        <v>525</v>
      </c>
      <c r="AL47" s="111">
        <f>(1/3-0.21*(MIN(Table1123457[[#This Row],[b (mm)]],AF47)/MAX(Table1123457[[#This Row],[b (mm)]],AF47))*(MIN(Table1123457[[#This Row],[b (mm)]],AF47)^4/(12*MAX(Table1123457[[#This Row],[b (mm)]],AF47)^4)))*MAX(Table1123457[[#This Row],[b (mm)]],AF47)*MIN(Table1123457[[#This Row],[b (mm)]],AF47)^3</f>
        <v>9038359724.8259487</v>
      </c>
      <c r="AM47" s="111">
        <f>Table1123457[[#This Row],[b (mm)]]*AF47^3/12</f>
        <v>2262823220.25</v>
      </c>
      <c r="AN47" s="111">
        <v>2080</v>
      </c>
      <c r="AP47" s="139"/>
      <c r="AQ47" s="139"/>
      <c r="AR47" s="139"/>
      <c r="AS47" s="139"/>
      <c r="AT47" s="139"/>
      <c r="AU47" s="365">
        <v>449</v>
      </c>
      <c r="AV47" s="2">
        <f t="shared" si="4"/>
        <v>224.5</v>
      </c>
      <c r="AW47" s="1"/>
    </row>
    <row r="48" spans="1:49" x14ac:dyDescent="0.3">
      <c r="A48" s="161" t="s">
        <v>148</v>
      </c>
      <c r="B48" s="161" t="s">
        <v>142</v>
      </c>
      <c r="C48" s="185">
        <v>47</v>
      </c>
      <c r="D48" s="185">
        <f>Table1123457[[#This Row],[a (mm)]]/Table1123457[[#This Row],[d (mm)]]</f>
        <v>3.3876221498371337</v>
      </c>
      <c r="E48" s="224">
        <v>237.5</v>
      </c>
      <c r="F48" s="137">
        <f>Table1123457[[#This Row],[d (mm)]]</f>
        <v>307</v>
      </c>
      <c r="G48" s="111">
        <f t="shared" si="3"/>
        <v>247000</v>
      </c>
      <c r="H48" s="111">
        <f t="shared" si="0"/>
        <v>4.1446097529438885E-6</v>
      </c>
      <c r="I48" s="111">
        <f>G48/(Table1123457[[#This Row],[b (mm)]]*Table1123457[[#This Row],[h]]^2)</f>
        <v>3.083647868537025E-3</v>
      </c>
      <c r="J48" s="111">
        <f t="shared" si="1"/>
        <v>0.69740306147832465</v>
      </c>
      <c r="K48" s="111">
        <f t="shared" si="2"/>
        <v>8.3684368599984854E-7</v>
      </c>
      <c r="L48" s="111">
        <f>E48/(Table1123457[[#This Row],[b (mm)]]*AE48)</f>
        <v>1.1099220016917548E-3</v>
      </c>
      <c r="M48" s="111">
        <f>Table1123457[[#This Row],[M (KN.mm)]]/(Table1123457[[#This Row],[b (mm)]]*Table1123457[[#This Row],[d (mm)]])</f>
        <v>1.154318881759425</v>
      </c>
      <c r="N48" s="111">
        <f>Table1123457[[#This Row],[M (KN.mm)]]/(Table1123457[[#This Row],[b (mm)]]*Table1123457[[#This Row],[h (mm)]])</f>
        <v>1.0453566274340516</v>
      </c>
      <c r="O48" s="111">
        <f>Table1123457[[#This Row],[M (KN.mm)]]/(Table1123457[[#This Row],[b (mm)]]*Table1123457[[#This Row],[h (mm)]]*Table1123457[[#This Row],[L(mm)]])</f>
        <v>5.0257530165098631E-4</v>
      </c>
      <c r="P48" s="111">
        <f>Table1123457[[#This Row],[M (KN.mm)]]/(Table1123457[[#This Row],[b (mm)]]*Table1123457[[#This Row],[d (mm)]]*Table1123457[[#This Row],[L(mm)]])</f>
        <v>5.5496100084587738E-4</v>
      </c>
      <c r="Q48" s="111">
        <f>Table1123457[[#This Row],[M (KN.mm)]]/(Table1123457[[#This Row],[b (mm)]]*Table1123457[[#This Row],[h (mm)]]*Table1123457[[#This Row],[L(mm)]]*Table1123457[[#This Row],[fc (Mpa)]])</f>
        <v>1.3402008044026303E-5</v>
      </c>
      <c r="R48" s="111">
        <f>Table1123457[[#This Row],[M (KN.mm)]]/(Table1123457[[#This Row],[b (mm)]]*Table1123457[[#This Row],[h (mm)]]*Table1123457[[#This Row],[L(mm)]]/2)</f>
        <v>1.0051506033019726E-3</v>
      </c>
      <c r="S48" s="111">
        <f>Table1123457[[#This Row],[M (KN.mm)]]/(Table1123457[[#This Row],[a (mm)]]*Table1123457[[#This Row],[b (mm)]]*Table1123457[[#This Row],[h (mm)]]*Table1123457[[#This Row],[L(mm)]]/2)</f>
        <v>9.6649096471343512E-7</v>
      </c>
      <c r="T48" s="111">
        <f>Table1123457[[#This Row],[M (KN.mm)]]/(Table1123457[[#This Row],[a (mm)]]^2*Table1123457[[#This Row],[b (mm)]]*Table1123457[[#This Row],[h (mm)]])</f>
        <v>9.6649096471343512E-7</v>
      </c>
      <c r="U48" s="111">
        <f>Table1123457[[#This Row],[M (KN.mm)]]/(Table1123457[[#This Row],[b (mm)]]*Table1123457[[#This Row],[d (mm)]]*Table1123457[[#This Row],[pho (%)]])</f>
        <v>1.2412030986660483</v>
      </c>
      <c r="V48" s="111">
        <f>E48*224.8/(2*SQRT(Table1123457[[#This Row],[fc (Mpa)]]*145.037)*Table1123457[[#This Row],[b (mm)]]*Table1123457[[#This Row],[d (mm)]]*(1/25.4)^2)</f>
        <v>1.0913678775537259</v>
      </c>
      <c r="W48" s="111">
        <f>Table1123457[[#This Row],[M (KN.mm)]]/$G$48</f>
        <v>1</v>
      </c>
      <c r="X48" s="111">
        <f>Table1123457[[#This Row],[V/(2*sqrt(fc) bd)]]</f>
        <v>1.0913678775537259</v>
      </c>
      <c r="Y48" s="111">
        <f>Table1123457[[#This Row],[a (mm)]]</f>
        <v>1040</v>
      </c>
      <c r="Z48" s="111">
        <f>Table1123457[[#This Row],[width]]*Table1123457[[#This Row],[h]]^2</f>
        <v>80099937</v>
      </c>
      <c r="AA48" s="111">
        <f>Table1123457[[#This Row],[b (mm)]]</f>
        <v>697</v>
      </c>
      <c r="AB48" s="111">
        <f>Table1123457[[#This Row],[a (mm)]]/Table1123457[[#This Row],[h (mm)]]</f>
        <v>3.0678466076696167</v>
      </c>
      <c r="AC48" s="111">
        <f>Table1123457[[#This Row],[h (mm)]]</f>
        <v>339</v>
      </c>
      <c r="AD48" s="111">
        <v>1040</v>
      </c>
      <c r="AE48" s="111">
        <v>307</v>
      </c>
      <c r="AF48" s="111">
        <v>339</v>
      </c>
      <c r="AG48" s="111">
        <v>697</v>
      </c>
      <c r="AH48" s="7">
        <v>37.5</v>
      </c>
      <c r="AI48" s="111">
        <f>Table1123457[[#This Row],[pho (%)]]*Table1123457[[#This Row],[b (mm)]]*Table1123457[[#This Row],[h (mm)]]/100</f>
        <v>2197.4319</v>
      </c>
      <c r="AJ48" s="160">
        <v>0.93</v>
      </c>
      <c r="AK48" s="160">
        <v>525</v>
      </c>
      <c r="AL48" s="111">
        <f>(1/3-0.21*(MIN(Table1123457[[#This Row],[b (mm)]],AF48)/MAX(Table1123457[[#This Row],[b (mm)]],AF48))*(MIN(Table1123457[[#This Row],[b (mm)]],AF48)^4/(12*MAX(Table1123457[[#This Row],[b (mm)]],AF48)^4)))*MAX(Table1123457[[#This Row],[b (mm)]],AF48)*MIN(Table1123457[[#This Row],[b (mm)]],AF48)^3</f>
        <v>9038359724.8259487</v>
      </c>
      <c r="AM48" s="111">
        <f>Table1123457[[#This Row],[b (mm)]]*AF48^3/12</f>
        <v>2262823220.25</v>
      </c>
      <c r="AN48" s="111">
        <v>2080</v>
      </c>
      <c r="AP48" s="139"/>
      <c r="AQ48" s="139"/>
      <c r="AR48" s="139"/>
      <c r="AS48" s="139"/>
      <c r="AT48" s="139"/>
      <c r="AU48" s="365">
        <v>475</v>
      </c>
      <c r="AV48" s="2">
        <f t="shared" si="4"/>
        <v>237.5</v>
      </c>
      <c r="AW48" s="1"/>
    </row>
    <row r="49" spans="1:49" x14ac:dyDescent="0.3">
      <c r="A49" s="150" t="s">
        <v>150</v>
      </c>
      <c r="B49" s="150">
        <v>1</v>
      </c>
      <c r="C49" s="185">
        <v>48</v>
      </c>
      <c r="D49" s="185">
        <f>Table1123457[[#This Row],[a (mm)]]/Table1123457[[#This Row],[d (mm)]]</f>
        <v>3.3986928104575163</v>
      </c>
      <c r="E49" s="241">
        <v>100</v>
      </c>
      <c r="F49" s="137">
        <f>Table1123457[[#This Row],[d (mm)]]</f>
        <v>306</v>
      </c>
      <c r="G49" s="111">
        <f t="shared" si="3"/>
        <v>104000</v>
      </c>
      <c r="H49" s="111">
        <f t="shared" si="0"/>
        <v>1.7530881838522035E-6</v>
      </c>
      <c r="I49" s="111">
        <f>G49/(Table1123457[[#This Row],[b (mm)]]*Table1123457[[#This Row],[h]]^2)</f>
        <v>1.3004746732557383E-3</v>
      </c>
      <c r="J49" s="111">
        <f t="shared" si="1"/>
        <v>0.2942082999912583</v>
      </c>
      <c r="K49" s="111">
        <f t="shared" si="2"/>
        <v>3.5395034582177135E-7</v>
      </c>
      <c r="L49" s="111">
        <f>E49/(Table1123457[[#This Row],[b (mm)]]*AE49)</f>
        <v>4.6685340802987864E-4</v>
      </c>
      <c r="M49" s="111">
        <f>Table1123457[[#This Row],[M (KN.mm)]]/(Table1123457[[#This Row],[b (mm)]]*Table1123457[[#This Row],[d (mm)]])</f>
        <v>0.48552754435107376</v>
      </c>
      <c r="N49" s="111">
        <f>Table1123457[[#This Row],[M (KN.mm)]]/(Table1123457[[#This Row],[b (mm)]]*Table1123457[[#This Row],[h (mm)]])</f>
        <v>0.43956043956043955</v>
      </c>
      <c r="O49" s="111">
        <f>Table1123457[[#This Row],[M (KN.mm)]]/(Table1123457[[#This Row],[b (mm)]]*Table1123457[[#This Row],[h (mm)]]*Table1123457[[#This Row],[L(mm)]])</f>
        <v>2.1132713440405747E-4</v>
      </c>
      <c r="P49" s="111">
        <f>Table1123457[[#This Row],[M (KN.mm)]]/(Table1123457[[#This Row],[b (mm)]]*Table1123457[[#This Row],[d (mm)]]*Table1123457[[#This Row],[L(mm)]])</f>
        <v>2.3342670401493932E-4</v>
      </c>
      <c r="Q49" s="111">
        <f>Table1123457[[#This Row],[M (KN.mm)]]/(Table1123457[[#This Row],[b (mm)]]*Table1123457[[#This Row],[h (mm)]]*Table1123457[[#This Row],[L(mm)]]*Table1123457[[#This Row],[fc (Mpa)]])</f>
        <v>5.5906649313242718E-6</v>
      </c>
      <c r="R49" s="111">
        <f>Table1123457[[#This Row],[M (KN.mm)]]/(Table1123457[[#This Row],[b (mm)]]*Table1123457[[#This Row],[h (mm)]]*Table1123457[[#This Row],[L(mm)]]/2)</f>
        <v>4.2265426880811494E-4</v>
      </c>
      <c r="S49" s="111">
        <f>Table1123457[[#This Row],[M (KN.mm)]]/(Table1123457[[#This Row],[a (mm)]]*Table1123457[[#This Row],[b (mm)]]*Table1123457[[#This Row],[h (mm)]]*Table1123457[[#This Row],[L(mm)]]/2)</f>
        <v>4.0639833539241822E-7</v>
      </c>
      <c r="T49" s="111">
        <f>Table1123457[[#This Row],[M (KN.mm)]]/(Table1123457[[#This Row],[a (mm)]]^2*Table1123457[[#This Row],[b (mm)]]*Table1123457[[#This Row],[h (mm)]])</f>
        <v>4.0639833539241822E-7</v>
      </c>
      <c r="U49" s="111">
        <f>Table1123457[[#This Row],[M (KN.mm)]]/(Table1123457[[#This Row],[b (mm)]]*Table1123457[[#This Row],[d (mm)]]*Table1123457[[#This Row],[pho (%)]])</f>
        <v>0.52207262833448786</v>
      </c>
      <c r="V49" s="111">
        <f>E49*224.8/(2*SQRT(Table1123457[[#This Row],[fc (Mpa)]]*145.037)*Table1123457[[#This Row],[b (mm)]]*Table1123457[[#This Row],[d (mm)]]*(1/25.4)^2)</f>
        <v>0.45722395292755197</v>
      </c>
      <c r="W49" s="111">
        <f>Table1123457[[#This Row],[M (KN.mm)]]/$G$54</f>
        <v>0.39525691699604742</v>
      </c>
      <c r="X49" s="111">
        <f>Table1123457[[#This Row],[V/(2*sqrt(fc) bd)]]</f>
        <v>0.45722395292755197</v>
      </c>
      <c r="Y49" s="111">
        <f>Table1123457[[#This Row],[a (mm)]]</f>
        <v>1040</v>
      </c>
      <c r="Z49" s="111">
        <f>Table1123457[[#This Row],[width]]*Table1123457[[#This Row],[h]]^2</f>
        <v>79970800</v>
      </c>
      <c r="AA49" s="111">
        <f>Table1123457[[#This Row],[b (mm)]]</f>
        <v>700</v>
      </c>
      <c r="AB49" s="111">
        <f>Table1123457[[#This Row],[a (mm)]]/Table1123457[[#This Row],[h (mm)]]</f>
        <v>3.0769230769230771</v>
      </c>
      <c r="AC49" s="111">
        <f>Table1123457[[#This Row],[h (mm)]]</f>
        <v>338</v>
      </c>
      <c r="AD49" s="111">
        <v>1040</v>
      </c>
      <c r="AE49" s="111">
        <v>306</v>
      </c>
      <c r="AF49" s="111">
        <v>338</v>
      </c>
      <c r="AG49" s="111">
        <v>700</v>
      </c>
      <c r="AH49" s="7">
        <v>37.799999999999997</v>
      </c>
      <c r="AI49" s="111">
        <f>Table1123457[[#This Row],[pho (%)]]*Table1123457[[#This Row],[b (mm)]]*Table1123457[[#This Row],[h (mm)]]/100</f>
        <v>2200.38</v>
      </c>
      <c r="AJ49" s="160">
        <v>0.93</v>
      </c>
      <c r="AK49" s="160">
        <v>525</v>
      </c>
      <c r="AL49" s="111">
        <f>(1/3-0.21*(MIN(Table1123457[[#This Row],[b (mm)]],AF49)/MAX(Table1123457[[#This Row],[b (mm)]],AF49))*(MIN(Table1123457[[#This Row],[b (mm)]],AF49)^4/(12*MAX(Table1123457[[#This Row],[b (mm)]],AF49)^4)))*MAX(Table1123457[[#This Row],[b (mm)]],AF49)*MIN(Table1123457[[#This Row],[b (mm)]],AF49)^3</f>
        <v>8997627529.9355507</v>
      </c>
      <c r="AM49" s="111">
        <f>Table1123457[[#This Row],[b (mm)]]*AF49^3/12</f>
        <v>2252510866.6666665</v>
      </c>
      <c r="AN49" s="111">
        <v>2080</v>
      </c>
      <c r="AP49" s="139"/>
      <c r="AQ49" s="139"/>
      <c r="AR49" s="139"/>
      <c r="AS49" s="139"/>
      <c r="AT49" s="139"/>
      <c r="AU49" s="373">
        <v>200</v>
      </c>
      <c r="AV49" s="2">
        <f t="shared" si="4"/>
        <v>100</v>
      </c>
      <c r="AW49" s="1"/>
    </row>
    <row r="50" spans="1:49" x14ac:dyDescent="0.3">
      <c r="A50" s="150" t="s">
        <v>150</v>
      </c>
      <c r="B50" s="150">
        <v>2</v>
      </c>
      <c r="C50" s="185">
        <v>49</v>
      </c>
      <c r="D50" s="185">
        <f>Table1123457[[#This Row],[a (mm)]]/Table1123457[[#This Row],[d (mm)]]</f>
        <v>3.3986928104575163</v>
      </c>
      <c r="E50" s="241">
        <v>175.5</v>
      </c>
      <c r="F50" s="137">
        <f>Table1123457[[#This Row],[d (mm)]]</f>
        <v>306</v>
      </c>
      <c r="G50" s="111">
        <f t="shared" si="3"/>
        <v>182520</v>
      </c>
      <c r="H50" s="111">
        <f t="shared" si="0"/>
        <v>3.0766697626606174E-6</v>
      </c>
      <c r="I50" s="111">
        <f>G50/(Table1123457[[#This Row],[b (mm)]]*Table1123457[[#This Row],[h]]^2)</f>
        <v>2.2823330515638206E-3</v>
      </c>
      <c r="J50" s="111">
        <f t="shared" si="1"/>
        <v>0.51633556648465839</v>
      </c>
      <c r="K50" s="111">
        <f t="shared" si="2"/>
        <v>6.2118285691720872E-7</v>
      </c>
      <c r="L50" s="111">
        <f>E50/(Table1123457[[#This Row],[b (mm)]]*AE50)</f>
        <v>8.1932773109243693E-4</v>
      </c>
      <c r="M50" s="111">
        <f>Table1123457[[#This Row],[M (KN.mm)]]/(Table1123457[[#This Row],[b (mm)]]*Table1123457[[#This Row],[d (mm)]])</f>
        <v>0.85210084033613442</v>
      </c>
      <c r="N50" s="111">
        <f>Table1123457[[#This Row],[M (KN.mm)]]/(Table1123457[[#This Row],[b (mm)]]*Table1123457[[#This Row],[h (mm)]])</f>
        <v>0.77142857142857146</v>
      </c>
      <c r="O50" s="111">
        <f>Table1123457[[#This Row],[M (KN.mm)]]/(Table1123457[[#This Row],[b (mm)]]*Table1123457[[#This Row],[h (mm)]]*Table1123457[[#This Row],[L(mm)]])</f>
        <v>3.7087912087912091E-4</v>
      </c>
      <c r="P50" s="111">
        <f>Table1123457[[#This Row],[M (KN.mm)]]/(Table1123457[[#This Row],[b (mm)]]*Table1123457[[#This Row],[d (mm)]]*Table1123457[[#This Row],[L(mm)]])</f>
        <v>4.0966386554621846E-4</v>
      </c>
      <c r="Q50" s="111">
        <f>Table1123457[[#This Row],[M (KN.mm)]]/(Table1123457[[#This Row],[b (mm)]]*Table1123457[[#This Row],[h (mm)]]*Table1123457[[#This Row],[L(mm)]]*Table1123457[[#This Row],[fc (Mpa)]])</f>
        <v>9.8116169544740976E-6</v>
      </c>
      <c r="R50" s="111">
        <f>Table1123457[[#This Row],[M (KN.mm)]]/(Table1123457[[#This Row],[b (mm)]]*Table1123457[[#This Row],[h (mm)]]*Table1123457[[#This Row],[L(mm)]]/2)</f>
        <v>7.4175824175824181E-4</v>
      </c>
      <c r="S50" s="111">
        <f>Table1123457[[#This Row],[M (KN.mm)]]/(Table1123457[[#This Row],[a (mm)]]*Table1123457[[#This Row],[b (mm)]]*Table1123457[[#This Row],[h (mm)]]*Table1123457[[#This Row],[L(mm)]]/2)</f>
        <v>7.1322907861369404E-7</v>
      </c>
      <c r="T50" s="111">
        <f>Table1123457[[#This Row],[M (KN.mm)]]/(Table1123457[[#This Row],[a (mm)]]^2*Table1123457[[#This Row],[b (mm)]]*Table1123457[[#This Row],[h (mm)]])</f>
        <v>7.1322907861369404E-7</v>
      </c>
      <c r="U50" s="111">
        <f>Table1123457[[#This Row],[M (KN.mm)]]/(Table1123457[[#This Row],[b (mm)]]*Table1123457[[#This Row],[d (mm)]]*Table1123457[[#This Row],[pho (%)]])</f>
        <v>0.91623746272702633</v>
      </c>
      <c r="V50" s="111">
        <f>E50*224.8/(2*SQRT(Table1123457[[#This Row],[fc (Mpa)]]*145.037)*Table1123457[[#This Row],[b (mm)]]*Table1123457[[#This Row],[d (mm)]]*(1/25.4)^2)</f>
        <v>0.80242803738785373</v>
      </c>
      <c r="W50" s="111">
        <f>Table1123457[[#This Row],[M (KN.mm)]]/$G$54</f>
        <v>0.69367588932806323</v>
      </c>
      <c r="X50" s="111">
        <f>Table1123457[[#This Row],[V/(2*sqrt(fc) bd)]]</f>
        <v>0.80242803738785373</v>
      </c>
      <c r="Y50" s="111">
        <f>Table1123457[[#This Row],[a (mm)]]</f>
        <v>1040</v>
      </c>
      <c r="Z50" s="111">
        <f>Table1123457[[#This Row],[width]]*Table1123457[[#This Row],[h]]^2</f>
        <v>79970800</v>
      </c>
      <c r="AA50" s="111">
        <f>Table1123457[[#This Row],[b (mm)]]</f>
        <v>700</v>
      </c>
      <c r="AB50" s="111">
        <f>Table1123457[[#This Row],[a (mm)]]/Table1123457[[#This Row],[h (mm)]]</f>
        <v>3.0769230769230771</v>
      </c>
      <c r="AC50" s="111">
        <f>Table1123457[[#This Row],[h (mm)]]</f>
        <v>338</v>
      </c>
      <c r="AD50" s="111">
        <v>1040</v>
      </c>
      <c r="AE50" s="111">
        <v>306</v>
      </c>
      <c r="AF50" s="111">
        <v>338</v>
      </c>
      <c r="AG50" s="111">
        <v>700</v>
      </c>
      <c r="AH50" s="7">
        <v>37.799999999999997</v>
      </c>
      <c r="AI50" s="111">
        <f>Table1123457[[#This Row],[pho (%)]]*Table1123457[[#This Row],[b (mm)]]*Table1123457[[#This Row],[h (mm)]]/100</f>
        <v>2200.38</v>
      </c>
      <c r="AJ50" s="160">
        <v>0.93</v>
      </c>
      <c r="AK50" s="160">
        <v>525</v>
      </c>
      <c r="AL50" s="111">
        <f>(1/3-0.21*(MIN(Table1123457[[#This Row],[b (mm)]],AF50)/MAX(Table1123457[[#This Row],[b (mm)]],AF50))*(MIN(Table1123457[[#This Row],[b (mm)]],AF50)^4/(12*MAX(Table1123457[[#This Row],[b (mm)]],AF50)^4)))*MAX(Table1123457[[#This Row],[b (mm)]],AF50)*MIN(Table1123457[[#This Row],[b (mm)]],AF50)^3</f>
        <v>8997627529.9355507</v>
      </c>
      <c r="AM50" s="111">
        <f>Table1123457[[#This Row],[b (mm)]]*AF50^3/12</f>
        <v>2252510866.6666665</v>
      </c>
      <c r="AN50" s="111">
        <v>2080</v>
      </c>
      <c r="AP50" s="139"/>
      <c r="AQ50" s="139"/>
      <c r="AR50" s="139"/>
      <c r="AS50" s="139"/>
      <c r="AT50" s="139"/>
      <c r="AU50" s="373">
        <v>351</v>
      </c>
      <c r="AV50" s="2">
        <f t="shared" si="4"/>
        <v>175.5</v>
      </c>
      <c r="AW50" s="1"/>
    </row>
    <row r="51" spans="1:49" x14ac:dyDescent="0.3">
      <c r="A51" s="150" t="s">
        <v>150</v>
      </c>
      <c r="B51" s="150">
        <v>3</v>
      </c>
      <c r="C51" s="185">
        <v>50</v>
      </c>
      <c r="D51" s="185">
        <f>Table1123457[[#This Row],[a (mm)]]/Table1123457[[#This Row],[d (mm)]]</f>
        <v>3.3986928104575163</v>
      </c>
      <c r="E51" s="241">
        <v>199.5</v>
      </c>
      <c r="F51" s="137">
        <f>Table1123457[[#This Row],[d (mm)]]</f>
        <v>306</v>
      </c>
      <c r="G51" s="111">
        <f t="shared" si="3"/>
        <v>207480</v>
      </c>
      <c r="H51" s="111">
        <f t="shared" si="0"/>
        <v>3.497410926785146E-6</v>
      </c>
      <c r="I51" s="111">
        <f>G51/(Table1123457[[#This Row],[b (mm)]]*Table1123457[[#This Row],[h]]^2)</f>
        <v>2.5944469731451979E-3</v>
      </c>
      <c r="J51" s="111">
        <f t="shared" si="1"/>
        <v>0.58694555848256036</v>
      </c>
      <c r="K51" s="111">
        <f t="shared" si="2"/>
        <v>7.061309399144338E-7</v>
      </c>
      <c r="L51" s="111">
        <f>E51/(Table1123457[[#This Row],[b (mm)]]*AE51)</f>
        <v>9.3137254901960785E-4</v>
      </c>
      <c r="M51" s="111">
        <f>Table1123457[[#This Row],[M (KN.mm)]]/(Table1123457[[#This Row],[b (mm)]]*Table1123457[[#This Row],[d (mm)]])</f>
        <v>0.96862745098039216</v>
      </c>
      <c r="N51" s="111">
        <f>Table1123457[[#This Row],[M (KN.mm)]]/(Table1123457[[#This Row],[b (mm)]]*Table1123457[[#This Row],[h (mm)]])</f>
        <v>0.87692307692307692</v>
      </c>
      <c r="O51" s="111">
        <f>Table1123457[[#This Row],[M (KN.mm)]]/(Table1123457[[#This Row],[b (mm)]]*Table1123457[[#This Row],[h (mm)]]*Table1123457[[#This Row],[L(mm)]])</f>
        <v>4.2159763313609467E-4</v>
      </c>
      <c r="P51" s="111">
        <f>Table1123457[[#This Row],[M (KN.mm)]]/(Table1123457[[#This Row],[b (mm)]]*Table1123457[[#This Row],[d (mm)]]*Table1123457[[#This Row],[L(mm)]])</f>
        <v>4.6568627450980393E-4</v>
      </c>
      <c r="Q51" s="111">
        <f>Table1123457[[#This Row],[M (KN.mm)]]/(Table1123457[[#This Row],[b (mm)]]*Table1123457[[#This Row],[h (mm)]]*Table1123457[[#This Row],[L(mm)]]*Table1123457[[#This Row],[fc (Mpa)]])</f>
        <v>1.1153376537991923E-5</v>
      </c>
      <c r="R51" s="111">
        <f>Table1123457[[#This Row],[M (KN.mm)]]/(Table1123457[[#This Row],[b (mm)]]*Table1123457[[#This Row],[h (mm)]]*Table1123457[[#This Row],[L(mm)]]/2)</f>
        <v>8.4319526627218934E-4</v>
      </c>
      <c r="S51" s="111">
        <f>Table1123457[[#This Row],[M (KN.mm)]]/(Table1123457[[#This Row],[a (mm)]]*Table1123457[[#This Row],[b (mm)]]*Table1123457[[#This Row],[h (mm)]]*Table1123457[[#This Row],[L(mm)]]/2)</f>
        <v>8.1076467910787433E-7</v>
      </c>
      <c r="T51" s="111">
        <f>Table1123457[[#This Row],[M (KN.mm)]]/(Table1123457[[#This Row],[a (mm)]]^2*Table1123457[[#This Row],[b (mm)]]*Table1123457[[#This Row],[h (mm)]])</f>
        <v>8.1076467910787433E-7</v>
      </c>
      <c r="U51" s="111">
        <f>Table1123457[[#This Row],[M (KN.mm)]]/(Table1123457[[#This Row],[b (mm)]]*Table1123457[[#This Row],[d (mm)]]*Table1123457[[#This Row],[pho (%)]])</f>
        <v>1.0415348935273034</v>
      </c>
      <c r="V51" s="111">
        <f>E51*224.8/(2*SQRT(Table1123457[[#This Row],[fc (Mpa)]]*145.037)*Table1123457[[#This Row],[b (mm)]]*Table1123457[[#This Row],[d (mm)]]*(1/25.4)^2)</f>
        <v>0.91216178609046628</v>
      </c>
      <c r="W51" s="111">
        <f>Table1123457[[#This Row],[M (KN.mm)]]/$G$54</f>
        <v>0.78853754940711462</v>
      </c>
      <c r="X51" s="111">
        <f>Table1123457[[#This Row],[V/(2*sqrt(fc) bd)]]</f>
        <v>0.91216178609046628</v>
      </c>
      <c r="Y51" s="111">
        <f>Table1123457[[#This Row],[a (mm)]]</f>
        <v>1040</v>
      </c>
      <c r="Z51" s="111">
        <f>Table1123457[[#This Row],[width]]*Table1123457[[#This Row],[h]]^2</f>
        <v>79970800</v>
      </c>
      <c r="AA51" s="111">
        <f>Table1123457[[#This Row],[b (mm)]]</f>
        <v>700</v>
      </c>
      <c r="AB51" s="111">
        <f>Table1123457[[#This Row],[a (mm)]]/Table1123457[[#This Row],[h (mm)]]</f>
        <v>3.0769230769230771</v>
      </c>
      <c r="AC51" s="111">
        <f>Table1123457[[#This Row],[h (mm)]]</f>
        <v>338</v>
      </c>
      <c r="AD51" s="111">
        <v>1040</v>
      </c>
      <c r="AE51" s="111">
        <v>306</v>
      </c>
      <c r="AF51" s="111">
        <v>338</v>
      </c>
      <c r="AG51" s="111">
        <v>700</v>
      </c>
      <c r="AH51" s="7">
        <v>37.799999999999997</v>
      </c>
      <c r="AI51" s="111">
        <f>Table1123457[[#This Row],[pho (%)]]*Table1123457[[#This Row],[b (mm)]]*Table1123457[[#This Row],[h (mm)]]/100</f>
        <v>2200.38</v>
      </c>
      <c r="AJ51" s="160">
        <v>0.93</v>
      </c>
      <c r="AK51" s="160">
        <v>525</v>
      </c>
      <c r="AL51" s="111">
        <f>(1/3-0.21*(MIN(Table1123457[[#This Row],[b (mm)]],AF51)/MAX(Table1123457[[#This Row],[b (mm)]],AF51))*(MIN(Table1123457[[#This Row],[b (mm)]],AF51)^4/(12*MAX(Table1123457[[#This Row],[b (mm)]],AF51)^4)))*MAX(Table1123457[[#This Row],[b (mm)]],AF51)*MIN(Table1123457[[#This Row],[b (mm)]],AF51)^3</f>
        <v>8997627529.9355507</v>
      </c>
      <c r="AM51" s="111">
        <f>Table1123457[[#This Row],[b (mm)]]*AF51^3/12</f>
        <v>2252510866.6666665</v>
      </c>
      <c r="AN51" s="111">
        <v>2080</v>
      </c>
      <c r="AP51" s="139"/>
      <c r="AQ51" s="139"/>
      <c r="AR51" s="139"/>
      <c r="AS51" s="139"/>
      <c r="AT51" s="139"/>
      <c r="AU51" s="373">
        <v>399</v>
      </c>
      <c r="AV51" s="2">
        <f t="shared" si="4"/>
        <v>199.5</v>
      </c>
      <c r="AW51" s="1"/>
    </row>
    <row r="52" spans="1:49" x14ac:dyDescent="0.3">
      <c r="A52" s="150" t="s">
        <v>150</v>
      </c>
      <c r="B52" s="150">
        <v>4</v>
      </c>
      <c r="C52" s="185">
        <v>51</v>
      </c>
      <c r="D52" s="185">
        <f>Table1123457[[#This Row],[a (mm)]]/Table1123457[[#This Row],[d (mm)]]</f>
        <v>3.3986928104575163</v>
      </c>
      <c r="E52" s="241">
        <v>225</v>
      </c>
      <c r="F52" s="137">
        <f>Table1123457[[#This Row],[d (mm)]]</f>
        <v>306</v>
      </c>
      <c r="G52" s="111">
        <f t="shared" si="3"/>
        <v>234000</v>
      </c>
      <c r="H52" s="111">
        <f t="shared" si="0"/>
        <v>3.9444484136674578E-6</v>
      </c>
      <c r="I52" s="111">
        <f>G52/(Table1123457[[#This Row],[b (mm)]]*Table1123457[[#This Row],[h]]^2)</f>
        <v>2.9260680148254113E-3</v>
      </c>
      <c r="J52" s="111">
        <f t="shared" si="1"/>
        <v>0.66196867498033118</v>
      </c>
      <c r="K52" s="111">
        <f t="shared" si="2"/>
        <v>7.9638827809898559E-7</v>
      </c>
      <c r="L52" s="111">
        <f>E52/(Table1123457[[#This Row],[b (mm)]]*AE52)</f>
        <v>1.0504201680672268E-3</v>
      </c>
      <c r="M52" s="111">
        <f>Table1123457[[#This Row],[M (KN.mm)]]/(Table1123457[[#This Row],[b (mm)]]*Table1123457[[#This Row],[d (mm)]])</f>
        <v>1.0924369747899159</v>
      </c>
      <c r="N52" s="111">
        <f>Table1123457[[#This Row],[M (KN.mm)]]/(Table1123457[[#This Row],[b (mm)]]*Table1123457[[#This Row],[h (mm)]])</f>
        <v>0.98901098901098905</v>
      </c>
      <c r="O52" s="111">
        <f>Table1123457[[#This Row],[M (KN.mm)]]/(Table1123457[[#This Row],[b (mm)]]*Table1123457[[#This Row],[h (mm)]]*Table1123457[[#This Row],[L(mm)]])</f>
        <v>4.7548605240912934E-4</v>
      </c>
      <c r="P52" s="111">
        <f>Table1123457[[#This Row],[M (KN.mm)]]/(Table1123457[[#This Row],[b (mm)]]*Table1123457[[#This Row],[d (mm)]]*Table1123457[[#This Row],[L(mm)]])</f>
        <v>5.2521008403361342E-4</v>
      </c>
      <c r="Q52" s="111">
        <f>Table1123457[[#This Row],[M (KN.mm)]]/(Table1123457[[#This Row],[b (mm)]]*Table1123457[[#This Row],[h (mm)]]*Table1123457[[#This Row],[L(mm)]]*Table1123457[[#This Row],[fc (Mpa)]])</f>
        <v>1.2578996095479612E-5</v>
      </c>
      <c r="R52" s="111">
        <f>Table1123457[[#This Row],[M (KN.mm)]]/(Table1123457[[#This Row],[b (mm)]]*Table1123457[[#This Row],[h (mm)]]*Table1123457[[#This Row],[L(mm)]]/2)</f>
        <v>9.5097210481825869E-4</v>
      </c>
      <c r="S52" s="111">
        <f>Table1123457[[#This Row],[M (KN.mm)]]/(Table1123457[[#This Row],[a (mm)]]*Table1123457[[#This Row],[b (mm)]]*Table1123457[[#This Row],[h (mm)]]*Table1123457[[#This Row],[L(mm)]]/2)</f>
        <v>9.1439625463294098E-7</v>
      </c>
      <c r="T52" s="111">
        <f>Table1123457[[#This Row],[M (KN.mm)]]/(Table1123457[[#This Row],[a (mm)]]^2*Table1123457[[#This Row],[b (mm)]]*Table1123457[[#This Row],[h (mm)]])</f>
        <v>9.1439625463294098E-7</v>
      </c>
      <c r="U52" s="111">
        <f>Table1123457[[#This Row],[M (KN.mm)]]/(Table1123457[[#This Row],[b (mm)]]*Table1123457[[#This Row],[d (mm)]]*Table1123457[[#This Row],[pho (%)]])</f>
        <v>1.1746634137525978</v>
      </c>
      <c r="V52" s="111">
        <f>E52*224.8/(2*SQRT(Table1123457[[#This Row],[fc (Mpa)]]*145.037)*Table1123457[[#This Row],[b (mm)]]*Table1123457[[#This Row],[d (mm)]]*(1/25.4)^2)</f>
        <v>1.028753894086992</v>
      </c>
      <c r="W52" s="111">
        <f>Table1123457[[#This Row],[M (KN.mm)]]/$G$54</f>
        <v>0.88932806324110669</v>
      </c>
      <c r="X52" s="111">
        <f>Table1123457[[#This Row],[V/(2*sqrt(fc) bd)]]</f>
        <v>1.028753894086992</v>
      </c>
      <c r="Y52" s="111">
        <f>Table1123457[[#This Row],[a (mm)]]</f>
        <v>1040</v>
      </c>
      <c r="Z52" s="111">
        <f>Table1123457[[#This Row],[width]]*Table1123457[[#This Row],[h]]^2</f>
        <v>79970800</v>
      </c>
      <c r="AA52" s="111">
        <f>Table1123457[[#This Row],[b (mm)]]</f>
        <v>700</v>
      </c>
      <c r="AB52" s="111">
        <f>Table1123457[[#This Row],[a (mm)]]/Table1123457[[#This Row],[h (mm)]]</f>
        <v>3.0769230769230771</v>
      </c>
      <c r="AC52" s="111">
        <f>Table1123457[[#This Row],[h (mm)]]</f>
        <v>338</v>
      </c>
      <c r="AD52" s="111">
        <v>1040</v>
      </c>
      <c r="AE52" s="111">
        <v>306</v>
      </c>
      <c r="AF52" s="111">
        <v>338</v>
      </c>
      <c r="AG52" s="111">
        <v>700</v>
      </c>
      <c r="AH52" s="7">
        <v>37.799999999999997</v>
      </c>
      <c r="AI52" s="111">
        <f>Table1123457[[#This Row],[pho (%)]]*Table1123457[[#This Row],[b (mm)]]*Table1123457[[#This Row],[h (mm)]]/100</f>
        <v>2200.38</v>
      </c>
      <c r="AJ52" s="160">
        <v>0.93</v>
      </c>
      <c r="AK52" s="160">
        <v>525</v>
      </c>
      <c r="AL52" s="111">
        <f>(1/3-0.21*(MIN(Table1123457[[#This Row],[b (mm)]],AF52)/MAX(Table1123457[[#This Row],[b (mm)]],AF52))*(MIN(Table1123457[[#This Row],[b (mm)]],AF52)^4/(12*MAX(Table1123457[[#This Row],[b (mm)]],AF52)^4)))*MAX(Table1123457[[#This Row],[b (mm)]],AF52)*MIN(Table1123457[[#This Row],[b (mm)]],AF52)^3</f>
        <v>8997627529.9355507</v>
      </c>
      <c r="AM52" s="111">
        <f>Table1123457[[#This Row],[b (mm)]]*AF52^3/12</f>
        <v>2252510866.6666665</v>
      </c>
      <c r="AN52" s="111">
        <v>2080</v>
      </c>
      <c r="AP52" s="139"/>
      <c r="AQ52" s="139"/>
      <c r="AR52" s="139"/>
      <c r="AS52" s="139"/>
      <c r="AT52" s="139"/>
      <c r="AU52" s="373">
        <v>450</v>
      </c>
      <c r="AV52" s="2">
        <f t="shared" si="4"/>
        <v>225</v>
      </c>
      <c r="AW52" s="1"/>
    </row>
    <row r="53" spans="1:49" x14ac:dyDescent="0.3">
      <c r="A53" s="150" t="s">
        <v>150</v>
      </c>
      <c r="B53" s="150">
        <v>5</v>
      </c>
      <c r="C53" s="185">
        <v>52</v>
      </c>
      <c r="D53" s="185">
        <f>Table1123457[[#This Row],[a (mm)]]/Table1123457[[#This Row],[d (mm)]]</f>
        <v>3.3986928104575163</v>
      </c>
      <c r="E53" s="241">
        <v>250</v>
      </c>
      <c r="F53" s="137">
        <f>Table1123457[[#This Row],[d (mm)]]</f>
        <v>306</v>
      </c>
      <c r="G53" s="111">
        <f t="shared" si="3"/>
        <v>260000</v>
      </c>
      <c r="H53" s="111">
        <f t="shared" si="0"/>
        <v>4.3827204596305086E-6</v>
      </c>
      <c r="I53" s="111">
        <f>G53/(Table1123457[[#This Row],[b (mm)]]*Table1123457[[#This Row],[h]]^2)</f>
        <v>3.251186683139346E-3</v>
      </c>
      <c r="J53" s="111">
        <f t="shared" si="1"/>
        <v>0.73552074997814576</v>
      </c>
      <c r="K53" s="111">
        <f t="shared" si="2"/>
        <v>8.8487586455442838E-7</v>
      </c>
      <c r="L53" s="111">
        <f>E53/(Table1123457[[#This Row],[b (mm)]]*AE53)</f>
        <v>1.1671335200746965E-3</v>
      </c>
      <c r="M53" s="111">
        <f>Table1123457[[#This Row],[M (KN.mm)]]/(Table1123457[[#This Row],[b (mm)]]*Table1123457[[#This Row],[d (mm)]])</f>
        <v>1.2138188608776843</v>
      </c>
      <c r="N53" s="111">
        <f>Table1123457[[#This Row],[M (KN.mm)]]/(Table1123457[[#This Row],[b (mm)]]*Table1123457[[#This Row],[h (mm)]])</f>
        <v>1.098901098901099</v>
      </c>
      <c r="O53" s="111">
        <f>Table1123457[[#This Row],[M (KN.mm)]]/(Table1123457[[#This Row],[b (mm)]]*Table1123457[[#This Row],[h (mm)]]*Table1123457[[#This Row],[L(mm)]])</f>
        <v>5.2831783601014375E-4</v>
      </c>
      <c r="P53" s="111">
        <f>Table1123457[[#This Row],[M (KN.mm)]]/(Table1123457[[#This Row],[b (mm)]]*Table1123457[[#This Row],[d (mm)]]*Table1123457[[#This Row],[L(mm)]])</f>
        <v>5.8356676003734826E-4</v>
      </c>
      <c r="Q53" s="111">
        <f>Table1123457[[#This Row],[M (KN.mm)]]/(Table1123457[[#This Row],[b (mm)]]*Table1123457[[#This Row],[h (mm)]]*Table1123457[[#This Row],[L(mm)]]*Table1123457[[#This Row],[fc (Mpa)]])</f>
        <v>1.3976662328310681E-5</v>
      </c>
      <c r="R53" s="111">
        <f>Table1123457[[#This Row],[M (KN.mm)]]/(Table1123457[[#This Row],[b (mm)]]*Table1123457[[#This Row],[h (mm)]]*Table1123457[[#This Row],[L(mm)]]/2)</f>
        <v>1.0566356720202875E-3</v>
      </c>
      <c r="S53" s="111">
        <f>Table1123457[[#This Row],[M (KN.mm)]]/(Table1123457[[#This Row],[a (mm)]]*Table1123457[[#This Row],[b (mm)]]*Table1123457[[#This Row],[h (mm)]]*Table1123457[[#This Row],[L(mm)]]/2)</f>
        <v>1.0159958384810455E-6</v>
      </c>
      <c r="T53" s="111">
        <f>Table1123457[[#This Row],[M (KN.mm)]]/(Table1123457[[#This Row],[a (mm)]]^2*Table1123457[[#This Row],[b (mm)]]*Table1123457[[#This Row],[h (mm)]])</f>
        <v>1.0159958384810455E-6</v>
      </c>
      <c r="U53" s="111">
        <f>Table1123457[[#This Row],[M (KN.mm)]]/(Table1123457[[#This Row],[b (mm)]]*Table1123457[[#This Row],[d (mm)]]*Table1123457[[#This Row],[pho (%)]])</f>
        <v>1.3051815708362198</v>
      </c>
      <c r="V53" s="111">
        <f>E53*224.8/(2*SQRT(Table1123457[[#This Row],[fc (Mpa)]]*145.037)*Table1123457[[#This Row],[b (mm)]]*Table1123457[[#This Row],[d (mm)]]*(1/25.4)^2)</f>
        <v>1.14305988231888</v>
      </c>
      <c r="W53" s="111">
        <f>Table1123457[[#This Row],[M (KN.mm)]]/$G$54</f>
        <v>0.98814229249011853</v>
      </c>
      <c r="X53" s="111">
        <f>Table1123457[[#This Row],[V/(2*sqrt(fc) bd)]]</f>
        <v>1.14305988231888</v>
      </c>
      <c r="Y53" s="111">
        <f>Table1123457[[#This Row],[a (mm)]]</f>
        <v>1040</v>
      </c>
      <c r="Z53" s="111">
        <f>Table1123457[[#This Row],[width]]*Table1123457[[#This Row],[h]]^2</f>
        <v>79970800</v>
      </c>
      <c r="AA53" s="111">
        <f>Table1123457[[#This Row],[b (mm)]]</f>
        <v>700</v>
      </c>
      <c r="AB53" s="111">
        <f>Table1123457[[#This Row],[a (mm)]]/Table1123457[[#This Row],[h (mm)]]</f>
        <v>3.0769230769230771</v>
      </c>
      <c r="AC53" s="111">
        <f>Table1123457[[#This Row],[h (mm)]]</f>
        <v>338</v>
      </c>
      <c r="AD53" s="111">
        <v>1040</v>
      </c>
      <c r="AE53" s="111">
        <v>306</v>
      </c>
      <c r="AF53" s="111">
        <v>338</v>
      </c>
      <c r="AG53" s="111">
        <v>700</v>
      </c>
      <c r="AH53" s="7">
        <v>37.799999999999997</v>
      </c>
      <c r="AI53" s="111">
        <f>Table1123457[[#This Row],[pho (%)]]*Table1123457[[#This Row],[b (mm)]]*Table1123457[[#This Row],[h (mm)]]/100</f>
        <v>2200.38</v>
      </c>
      <c r="AJ53" s="160">
        <v>0.93</v>
      </c>
      <c r="AK53" s="160">
        <v>525</v>
      </c>
      <c r="AL53" s="111">
        <f>(1/3-0.21*(MIN(Table1123457[[#This Row],[b (mm)]],AF53)/MAX(Table1123457[[#This Row],[b (mm)]],AF53))*(MIN(Table1123457[[#This Row],[b (mm)]],AF53)^4/(12*MAX(Table1123457[[#This Row],[b (mm)]],AF53)^4)))*MAX(Table1123457[[#This Row],[b (mm)]],AF53)*MIN(Table1123457[[#This Row],[b (mm)]],AF53)^3</f>
        <v>8997627529.9355507</v>
      </c>
      <c r="AM53" s="111">
        <f>Table1123457[[#This Row],[b (mm)]]*AF53^3/12</f>
        <v>2252510866.6666665</v>
      </c>
      <c r="AN53" s="111">
        <v>2080</v>
      </c>
      <c r="AP53" s="139"/>
      <c r="AQ53" s="139"/>
      <c r="AR53" s="139"/>
      <c r="AS53" s="139"/>
      <c r="AT53" s="139"/>
      <c r="AU53" s="373">
        <v>500</v>
      </c>
      <c r="AV53" s="2">
        <f t="shared" si="4"/>
        <v>250</v>
      </c>
      <c r="AW53" s="1"/>
    </row>
    <row r="54" spans="1:49" x14ac:dyDescent="0.3">
      <c r="A54" s="150" t="s">
        <v>150</v>
      </c>
      <c r="B54" s="150" t="s">
        <v>142</v>
      </c>
      <c r="C54" s="185">
        <v>53</v>
      </c>
      <c r="D54" s="185">
        <f>Table1123457[[#This Row],[a (mm)]]/Table1123457[[#This Row],[d (mm)]]</f>
        <v>3.3986928104575163</v>
      </c>
      <c r="E54" s="241">
        <v>253</v>
      </c>
      <c r="F54" s="137">
        <f>Table1123457[[#This Row],[d (mm)]]</f>
        <v>306</v>
      </c>
      <c r="G54" s="111">
        <f t="shared" si="3"/>
        <v>263120</v>
      </c>
      <c r="H54" s="135">
        <f t="shared" si="0"/>
        <v>4.4353131051460752E-6</v>
      </c>
      <c r="I54" s="111">
        <f>G54/(Table1123457[[#This Row],[b (mm)]]*Table1123457[[#This Row],[h]]^2)</f>
        <v>3.290200923337018E-3</v>
      </c>
      <c r="J54" s="135">
        <f t="shared" si="1"/>
        <v>0.74434699897788359</v>
      </c>
      <c r="K54" s="111">
        <f t="shared" si="2"/>
        <v>8.954943749290815E-7</v>
      </c>
      <c r="L54" s="111">
        <f>E54/(Table1123457[[#This Row],[b (mm)]]*AE54)</f>
        <v>1.1811391223155929E-3</v>
      </c>
      <c r="M54" s="111">
        <f>Table1123457[[#This Row],[M (KN.mm)]]/(Table1123457[[#This Row],[b (mm)]]*Table1123457[[#This Row],[d (mm)]])</f>
        <v>1.2283846872082167</v>
      </c>
      <c r="N54" s="111">
        <f>Table1123457[[#This Row],[M (KN.mm)]]/(Table1123457[[#This Row],[b (mm)]]*Table1123457[[#This Row],[h (mm)]])</f>
        <v>1.1120879120879121</v>
      </c>
      <c r="O54" s="111">
        <f>Table1123457[[#This Row],[M (KN.mm)]]/(Table1123457[[#This Row],[b (mm)]]*Table1123457[[#This Row],[h (mm)]]*Table1123457[[#This Row],[L(mm)]])</f>
        <v>5.3465765004226547E-4</v>
      </c>
      <c r="P54" s="111">
        <f>Table1123457[[#This Row],[M (KN.mm)]]/(Table1123457[[#This Row],[b (mm)]]*Table1123457[[#This Row],[d (mm)]]*Table1123457[[#This Row],[L(mm)]])</f>
        <v>5.9056956115779644E-4</v>
      </c>
      <c r="Q54" s="111">
        <f>Table1123457[[#This Row],[M (KN.mm)]]/(Table1123457[[#This Row],[b (mm)]]*Table1123457[[#This Row],[h (mm)]]*Table1123457[[#This Row],[L(mm)]]*Table1123457[[#This Row],[fc (Mpa)]])</f>
        <v>1.4144382276250408E-5</v>
      </c>
      <c r="R54" s="111">
        <f>Table1123457[[#This Row],[M (KN.mm)]]/(Table1123457[[#This Row],[b (mm)]]*Table1123457[[#This Row],[h (mm)]]*Table1123457[[#This Row],[L(mm)]]/2)</f>
        <v>1.0693153000845309E-3</v>
      </c>
      <c r="S54" s="111">
        <f>Table1123457[[#This Row],[M (KN.mm)]]/(Table1123457[[#This Row],[a (mm)]]*Table1123457[[#This Row],[b (mm)]]*Table1123457[[#This Row],[h (mm)]]*Table1123457[[#This Row],[L(mm)]]/2)</f>
        <v>1.0281877885428182E-6</v>
      </c>
      <c r="T54" s="111">
        <f>Table1123457[[#This Row],[M (KN.mm)]]/(Table1123457[[#This Row],[a (mm)]]^2*Table1123457[[#This Row],[b (mm)]]*Table1123457[[#This Row],[h (mm)]])</f>
        <v>1.0281877885428182E-6</v>
      </c>
      <c r="U54" s="111">
        <f>Table1123457[[#This Row],[M (KN.mm)]]/(Table1123457[[#This Row],[b (mm)]]*Table1123457[[#This Row],[d (mm)]]*Table1123457[[#This Row],[pho (%)]])</f>
        <v>1.3208437496862544</v>
      </c>
      <c r="V54" s="111">
        <f>E54*224.8/(2*SQRT(Table1123457[[#This Row],[fc (Mpa)]]*145.037)*Table1123457[[#This Row],[b (mm)]]*Table1123457[[#This Row],[d (mm)]]*(1/25.4)^2)</f>
        <v>1.1567766009067064</v>
      </c>
      <c r="W54" s="111">
        <f>Table1123457[[#This Row],[M (KN.mm)]]/$G$54</f>
        <v>1</v>
      </c>
      <c r="X54" s="111">
        <f>Table1123457[[#This Row],[V/(2*sqrt(fc) bd)]]</f>
        <v>1.1567766009067064</v>
      </c>
      <c r="Y54" s="111">
        <f>Table1123457[[#This Row],[a (mm)]]</f>
        <v>1040</v>
      </c>
      <c r="Z54" s="111">
        <f>Table1123457[[#This Row],[width]]*Table1123457[[#This Row],[h]]^2</f>
        <v>79970800</v>
      </c>
      <c r="AA54" s="111">
        <f>Table1123457[[#This Row],[b (mm)]]</f>
        <v>700</v>
      </c>
      <c r="AB54" s="111">
        <f>Table1123457[[#This Row],[a (mm)]]/Table1123457[[#This Row],[h (mm)]]</f>
        <v>3.0769230769230771</v>
      </c>
      <c r="AC54" s="111">
        <f>Table1123457[[#This Row],[h (mm)]]</f>
        <v>338</v>
      </c>
      <c r="AD54" s="111">
        <v>1040</v>
      </c>
      <c r="AE54" s="111">
        <v>306</v>
      </c>
      <c r="AF54" s="111">
        <v>338</v>
      </c>
      <c r="AG54" s="111">
        <v>700</v>
      </c>
      <c r="AH54" s="7">
        <v>37.799999999999997</v>
      </c>
      <c r="AI54" s="111">
        <f>Table1123457[[#This Row],[pho (%)]]*Table1123457[[#This Row],[b (mm)]]*Table1123457[[#This Row],[h (mm)]]/100</f>
        <v>2200.38</v>
      </c>
      <c r="AJ54" s="160">
        <v>0.93</v>
      </c>
      <c r="AK54" s="160">
        <v>525</v>
      </c>
      <c r="AL54" s="111">
        <f>(1/3-0.21*(MIN(Table1123457[[#This Row],[b (mm)]],AF54)/MAX(Table1123457[[#This Row],[b (mm)]],AF54))*(MIN(Table1123457[[#This Row],[b (mm)]],AF54)^4/(12*MAX(Table1123457[[#This Row],[b (mm)]],AF54)^4)))*MAX(Table1123457[[#This Row],[b (mm)]],AF54)*MIN(Table1123457[[#This Row],[b (mm)]],AF54)^3</f>
        <v>8997627529.9355507</v>
      </c>
      <c r="AM54" s="111">
        <f>Table1123457[[#This Row],[b (mm)]]*AF54^3/12</f>
        <v>2252510866.6666665</v>
      </c>
      <c r="AN54" s="111">
        <v>2080</v>
      </c>
      <c r="AP54" s="126"/>
      <c r="AQ54" s="139"/>
      <c r="AR54" s="139"/>
      <c r="AS54" s="105"/>
      <c r="AT54" s="105"/>
      <c r="AU54" s="373">
        <v>506</v>
      </c>
      <c r="AV54" s="2">
        <f t="shared" si="4"/>
        <v>253</v>
      </c>
    </row>
    <row r="55" spans="1:49" x14ac:dyDescent="0.3">
      <c r="A55" s="242" t="s">
        <v>149</v>
      </c>
      <c r="B55" s="242">
        <v>1</v>
      </c>
      <c r="C55" s="185">
        <v>54</v>
      </c>
      <c r="D55" s="185">
        <f>Table1123457[[#This Row],[a (mm)]]/Table1123457[[#This Row],[d (mm)]]</f>
        <v>3.3986928104575163</v>
      </c>
      <c r="E55" s="228">
        <v>100</v>
      </c>
      <c r="F55" s="137">
        <f>Table1123457[[#This Row],[d (mm)]]</f>
        <v>306</v>
      </c>
      <c r="G55" s="111">
        <f t="shared" si="3"/>
        <v>104000</v>
      </c>
      <c r="H55" s="135">
        <f t="shared" si="0"/>
        <v>1.7228525408092384E-6</v>
      </c>
      <c r="I55" s="111">
        <f>G55/(Table1123457[[#This Row],[b (mm)]]*Table1123457[[#This Row],[h]]^2)</f>
        <v>1.2818264883675602E-3</v>
      </c>
      <c r="J55" s="135">
        <f t="shared" si="1"/>
        <v>0.29084745075054824</v>
      </c>
      <c r="K55" s="111">
        <f t="shared" si="2"/>
        <v>3.4783252980713253E-7</v>
      </c>
      <c r="L55" s="111">
        <f>E55/(Table1123457[[#This Row],[b (mm)]]*AE55)</f>
        <v>4.6288581532707513E-4</v>
      </c>
      <c r="M55" s="111">
        <f>Table1123457[[#This Row],[M (KN.mm)]]/(Table1123457[[#This Row],[b (mm)]]*Table1123457[[#This Row],[d (mm)]])</f>
        <v>0.48140124794015809</v>
      </c>
      <c r="N55" s="111">
        <f>Table1123457[[#This Row],[M (KN.mm)]]/(Table1123457[[#This Row],[b (mm)]]*Table1123457[[#This Row],[h (mm)]])</f>
        <v>0.43453917955660293</v>
      </c>
      <c r="O55" s="111">
        <f>Table1123457[[#This Row],[M (KN.mm)]]/(Table1123457[[#This Row],[b (mm)]]*Table1123457[[#This Row],[h (mm)]]*Table1123457[[#This Row],[L(mm)]])</f>
        <v>2.0891306709452064E-4</v>
      </c>
      <c r="P55" s="111">
        <f>Table1123457[[#This Row],[M (KN.mm)]]/(Table1123457[[#This Row],[b (mm)]]*Table1123457[[#This Row],[d (mm)]]*Table1123457[[#This Row],[L(mm)]])</f>
        <v>2.3144290766353756E-4</v>
      </c>
      <c r="Q55" s="111">
        <f>Table1123457[[#This Row],[M (KN.mm)]]/(Table1123457[[#This Row],[b (mm)]]*Table1123457[[#This Row],[h (mm)]]*Table1123457[[#This Row],[L(mm)]]*Table1123457[[#This Row],[fc (Mpa)]])</f>
        <v>5.6310799755935482E-6</v>
      </c>
      <c r="R55" s="111">
        <f>Table1123457[[#This Row],[M (KN.mm)]]/(Table1123457[[#This Row],[b (mm)]]*Table1123457[[#This Row],[h (mm)]]*Table1123457[[#This Row],[L(mm)]]/2)</f>
        <v>4.1782613418904127E-4</v>
      </c>
      <c r="S55" s="111">
        <f>Table1123457[[#This Row],[M (KN.mm)]]/(Table1123457[[#This Row],[a (mm)]]*Table1123457[[#This Row],[b (mm)]]*Table1123457[[#This Row],[h (mm)]]*Table1123457[[#This Row],[L(mm)]]/2)</f>
        <v>4.0175589825869351E-7</v>
      </c>
      <c r="T55" s="111">
        <f>Table1123457[[#This Row],[M (KN.mm)]]/(Table1123457[[#This Row],[a (mm)]]^2*Table1123457[[#This Row],[b (mm)]]*Table1123457[[#This Row],[h (mm)]])</f>
        <v>4.0175589825869351E-7</v>
      </c>
      <c r="U55" s="111">
        <f>Table1123457[[#This Row],[M (KN.mm)]]/(Table1123457[[#This Row],[b (mm)]]*Table1123457[[#This Row],[d (mm)]]*Table1123457[[#This Row],[pho (%)]])</f>
        <v>0.51763575047328825</v>
      </c>
      <c r="V55" s="111">
        <f>E55*224.8/(2*SQRT(Table1123457[[#This Row],[fc (Mpa)]]*145.037)*Table1123457[[#This Row],[b (mm)]]*Table1123457[[#This Row],[d (mm)]]*(1/25.4)^2)</f>
        <v>0.4575949870282367</v>
      </c>
      <c r="W55" s="111">
        <f>Table1123457[[#This Row],[M (KN.mm)]]/$G$60</f>
        <v>0.38684719535783363</v>
      </c>
      <c r="X55" s="111">
        <f>Table1123457[[#This Row],[V/(2*sqrt(fc) bd)]]</f>
        <v>0.4575949870282367</v>
      </c>
      <c r="Y55" s="111">
        <f>Table1123457[[#This Row],[a (mm)]]</f>
        <v>1040</v>
      </c>
      <c r="Z55" s="111">
        <f>Table1123457[[#This Row],[width]]*Table1123457[[#This Row],[h]]^2</f>
        <v>81134226</v>
      </c>
      <c r="AA55" s="111">
        <f>Table1123457[[#This Row],[b (mm)]]</f>
        <v>706</v>
      </c>
      <c r="AB55" s="111">
        <f>Table1123457[[#This Row],[a (mm)]]/Table1123457[[#This Row],[h (mm)]]</f>
        <v>3.0678466076696167</v>
      </c>
      <c r="AC55" s="111">
        <f>Table1123457[[#This Row],[h (mm)]]</f>
        <v>339</v>
      </c>
      <c r="AD55" s="111">
        <v>1040</v>
      </c>
      <c r="AE55" s="111">
        <v>306</v>
      </c>
      <c r="AF55" s="111">
        <v>339</v>
      </c>
      <c r="AG55" s="111">
        <v>706</v>
      </c>
      <c r="AH55" s="7">
        <v>37.1</v>
      </c>
      <c r="AI55" s="111">
        <f>Table1123457[[#This Row],[pho (%)]]*Table1123457[[#This Row],[b (mm)]]*Table1123457[[#This Row],[h (mm)]]/100</f>
        <v>2225.8062000000004</v>
      </c>
      <c r="AJ55" s="160">
        <v>0.93</v>
      </c>
      <c r="AK55" s="160">
        <v>525</v>
      </c>
      <c r="AL55" s="111">
        <f>(1/3-0.21*(MIN(Table1123457[[#This Row],[b (mm)]],AF55)/MAX(Table1123457[[#This Row],[b (mm)]],AF55))*(MIN(Table1123457[[#This Row],[b (mm)]],AF55)^4/(12*MAX(Table1123457[[#This Row],[b (mm)]],AF55)^4)))*MAX(Table1123457[[#This Row],[b (mm)]],AF55)*MIN(Table1123457[[#This Row],[b (mm)]],AF55)^3</f>
        <v>9155881359.2335663</v>
      </c>
      <c r="AM55" s="111">
        <f>Table1123457[[#This Row],[b (mm)]]*AF55^3/12</f>
        <v>2292041884.5</v>
      </c>
      <c r="AN55" s="111">
        <v>2080</v>
      </c>
      <c r="AP55" s="126"/>
      <c r="AQ55" s="139"/>
      <c r="AR55" s="139"/>
      <c r="AS55" s="105"/>
      <c r="AT55" s="105"/>
      <c r="AU55" s="368">
        <v>200</v>
      </c>
      <c r="AV55" s="2">
        <f t="shared" si="4"/>
        <v>100</v>
      </c>
    </row>
    <row r="56" spans="1:49" x14ac:dyDescent="0.3">
      <c r="A56" s="242" t="s">
        <v>149</v>
      </c>
      <c r="B56" s="242">
        <v>2</v>
      </c>
      <c r="C56" s="185">
        <v>55</v>
      </c>
      <c r="D56" s="185">
        <f>Table1123457[[#This Row],[a (mm)]]/Table1123457[[#This Row],[d (mm)]]</f>
        <v>3.3986928104575163</v>
      </c>
      <c r="E56" s="228">
        <v>176</v>
      </c>
      <c r="F56" s="137">
        <f>Table1123457[[#This Row],[d (mm)]]</f>
        <v>306</v>
      </c>
      <c r="G56" s="111">
        <f t="shared" si="3"/>
        <v>183040</v>
      </c>
      <c r="H56" s="135">
        <f t="shared" si="0"/>
        <v>3.0322204718242594E-6</v>
      </c>
      <c r="I56" s="111">
        <f>G56/(Table1123457[[#This Row],[b (mm)]]*Table1123457[[#This Row],[h]]^2)</f>
        <v>2.2560146195269061E-3</v>
      </c>
      <c r="J56" s="135">
        <f t="shared" si="1"/>
        <v>0.51189151332096494</v>
      </c>
      <c r="K56" s="111">
        <f t="shared" si="2"/>
        <v>6.1218525246055321E-7</v>
      </c>
      <c r="L56" s="111">
        <f>E56/(Table1123457[[#This Row],[b (mm)]]*AE56)</f>
        <v>8.1467903497565216E-4</v>
      </c>
      <c r="M56" s="111">
        <f>Table1123457[[#This Row],[M (KN.mm)]]/(Table1123457[[#This Row],[b (mm)]]*Table1123457[[#This Row],[d (mm)]])</f>
        <v>0.84726619637467826</v>
      </c>
      <c r="N56" s="111">
        <f>Table1123457[[#This Row],[M (KN.mm)]]/(Table1123457[[#This Row],[b (mm)]]*Table1123457[[#This Row],[h (mm)]])</f>
        <v>0.76478895601962116</v>
      </c>
      <c r="O56" s="111">
        <f>Table1123457[[#This Row],[M (KN.mm)]]/(Table1123457[[#This Row],[b (mm)]]*Table1123457[[#This Row],[h (mm)]]*Table1123457[[#This Row],[L(mm)]])</f>
        <v>3.6768699808635628E-4</v>
      </c>
      <c r="P56" s="111">
        <f>Table1123457[[#This Row],[M (KN.mm)]]/(Table1123457[[#This Row],[b (mm)]]*Table1123457[[#This Row],[d (mm)]]*Table1123457[[#This Row],[L(mm)]])</f>
        <v>4.0733951748782608E-4</v>
      </c>
      <c r="Q56" s="111">
        <f>Table1123457[[#This Row],[M (KN.mm)]]/(Table1123457[[#This Row],[b (mm)]]*Table1123457[[#This Row],[h (mm)]]*Table1123457[[#This Row],[L(mm)]]*Table1123457[[#This Row],[fc (Mpa)]])</f>
        <v>9.9107007570446445E-6</v>
      </c>
      <c r="R56" s="111">
        <f>Table1123457[[#This Row],[M (KN.mm)]]/(Table1123457[[#This Row],[b (mm)]]*Table1123457[[#This Row],[h (mm)]]*Table1123457[[#This Row],[L(mm)]]/2)</f>
        <v>7.3537399617271256E-4</v>
      </c>
      <c r="S56" s="111">
        <f>Table1123457[[#This Row],[M (KN.mm)]]/(Table1123457[[#This Row],[a (mm)]]*Table1123457[[#This Row],[b (mm)]]*Table1123457[[#This Row],[h (mm)]]*Table1123457[[#This Row],[L(mm)]]/2)</f>
        <v>7.0709038093530057E-7</v>
      </c>
      <c r="T56" s="111">
        <f>Table1123457[[#This Row],[M (KN.mm)]]/(Table1123457[[#This Row],[a (mm)]]^2*Table1123457[[#This Row],[b (mm)]]*Table1123457[[#This Row],[h (mm)]])</f>
        <v>7.0709038093530057E-7</v>
      </c>
      <c r="U56" s="111">
        <f>Table1123457[[#This Row],[M (KN.mm)]]/(Table1123457[[#This Row],[b (mm)]]*Table1123457[[#This Row],[d (mm)]]*Table1123457[[#This Row],[pho (%)]])</f>
        <v>0.91103892083298732</v>
      </c>
      <c r="V56" s="111">
        <f>E56*224.8/(2*SQRT(Table1123457[[#This Row],[fc (Mpa)]]*145.037)*Table1123457[[#This Row],[b (mm)]]*Table1123457[[#This Row],[d (mm)]]*(1/25.4)^2)</f>
        <v>0.80536717716969664</v>
      </c>
      <c r="W56" s="111">
        <f>Table1123457[[#This Row],[M (KN.mm)]]/$G$60</f>
        <v>0.68085106382978722</v>
      </c>
      <c r="X56" s="111">
        <f>Table1123457[[#This Row],[V/(2*sqrt(fc) bd)]]</f>
        <v>0.80536717716969664</v>
      </c>
      <c r="Y56" s="111">
        <f>Table1123457[[#This Row],[a (mm)]]</f>
        <v>1040</v>
      </c>
      <c r="Z56" s="111">
        <f>Table1123457[[#This Row],[width]]*Table1123457[[#This Row],[h]]^2</f>
        <v>81134226</v>
      </c>
      <c r="AA56" s="111">
        <f>Table1123457[[#This Row],[b (mm)]]</f>
        <v>706</v>
      </c>
      <c r="AB56" s="111">
        <f>Table1123457[[#This Row],[a (mm)]]/Table1123457[[#This Row],[h (mm)]]</f>
        <v>3.0678466076696167</v>
      </c>
      <c r="AC56" s="111">
        <f>Table1123457[[#This Row],[h (mm)]]</f>
        <v>339</v>
      </c>
      <c r="AD56" s="111">
        <v>1040</v>
      </c>
      <c r="AE56" s="111">
        <v>306</v>
      </c>
      <c r="AF56" s="111">
        <v>339</v>
      </c>
      <c r="AG56" s="111">
        <v>706</v>
      </c>
      <c r="AH56" s="7">
        <v>37.1</v>
      </c>
      <c r="AI56" s="111">
        <f>Table1123457[[#This Row],[pho (%)]]*Table1123457[[#This Row],[b (mm)]]*Table1123457[[#This Row],[h (mm)]]/100</f>
        <v>2225.8062000000004</v>
      </c>
      <c r="AJ56" s="160">
        <v>0.93</v>
      </c>
      <c r="AK56" s="160">
        <v>525</v>
      </c>
      <c r="AL56" s="111">
        <f>(1/3-0.21*(MIN(Table1123457[[#This Row],[b (mm)]],AF56)/MAX(Table1123457[[#This Row],[b (mm)]],AF56))*(MIN(Table1123457[[#This Row],[b (mm)]],AF56)^4/(12*MAX(Table1123457[[#This Row],[b (mm)]],AF56)^4)))*MAX(Table1123457[[#This Row],[b (mm)]],AF56)*MIN(Table1123457[[#This Row],[b (mm)]],AF56)^3</f>
        <v>9155881359.2335663</v>
      </c>
      <c r="AM56" s="111">
        <f>Table1123457[[#This Row],[b (mm)]]*AF56^3/12</f>
        <v>2292041884.5</v>
      </c>
      <c r="AN56" s="111">
        <v>2080</v>
      </c>
      <c r="AP56" s="126"/>
      <c r="AQ56" s="139"/>
      <c r="AR56" s="139"/>
      <c r="AS56" s="105"/>
      <c r="AT56" s="105"/>
      <c r="AU56" s="368">
        <v>352</v>
      </c>
      <c r="AV56" s="2">
        <f t="shared" si="4"/>
        <v>176</v>
      </c>
    </row>
    <row r="57" spans="1:49" x14ac:dyDescent="0.3">
      <c r="A57" s="242" t="s">
        <v>149</v>
      </c>
      <c r="B57" s="242">
        <v>3</v>
      </c>
      <c r="C57" s="185">
        <v>56</v>
      </c>
      <c r="D57" s="185">
        <f>Table1123457[[#This Row],[a (mm)]]/Table1123457[[#This Row],[d (mm)]]</f>
        <v>3.3986928104575163</v>
      </c>
      <c r="E57" s="228">
        <v>200</v>
      </c>
      <c r="F57" s="137">
        <f>Table1123457[[#This Row],[d (mm)]]</f>
        <v>306</v>
      </c>
      <c r="G57" s="111">
        <f t="shared" si="3"/>
        <v>208000</v>
      </c>
      <c r="H57" s="135">
        <f t="shared" si="0"/>
        <v>3.4457050816184768E-6</v>
      </c>
      <c r="I57" s="111">
        <f>G57/(Table1123457[[#This Row],[b (mm)]]*Table1123457[[#This Row],[h]]^2)</f>
        <v>2.5636529767351203E-3</v>
      </c>
      <c r="J57" s="135">
        <f t="shared" si="1"/>
        <v>0.58169490150109648</v>
      </c>
      <c r="K57" s="111">
        <f t="shared" si="2"/>
        <v>6.9566505961426507E-7</v>
      </c>
      <c r="L57" s="111">
        <f>E57/(Table1123457[[#This Row],[b (mm)]]*AE57)</f>
        <v>9.2577163065415025E-4</v>
      </c>
      <c r="M57" s="111">
        <f>Table1123457[[#This Row],[M (KN.mm)]]/(Table1123457[[#This Row],[b (mm)]]*Table1123457[[#This Row],[d (mm)]])</f>
        <v>0.96280249588031619</v>
      </c>
      <c r="N57" s="111">
        <f>Table1123457[[#This Row],[M (KN.mm)]]/(Table1123457[[#This Row],[b (mm)]]*Table1123457[[#This Row],[h (mm)]])</f>
        <v>0.86907835911320586</v>
      </c>
      <c r="O57" s="111">
        <f>Table1123457[[#This Row],[M (KN.mm)]]/(Table1123457[[#This Row],[b (mm)]]*Table1123457[[#This Row],[h (mm)]]*Table1123457[[#This Row],[L(mm)]])</f>
        <v>4.1782613418904127E-4</v>
      </c>
      <c r="P57" s="111">
        <f>Table1123457[[#This Row],[M (KN.mm)]]/(Table1123457[[#This Row],[b (mm)]]*Table1123457[[#This Row],[d (mm)]]*Table1123457[[#This Row],[L(mm)]])</f>
        <v>4.6288581532707513E-4</v>
      </c>
      <c r="Q57" s="111">
        <f>Table1123457[[#This Row],[M (KN.mm)]]/(Table1123457[[#This Row],[b (mm)]]*Table1123457[[#This Row],[h (mm)]]*Table1123457[[#This Row],[L(mm)]]*Table1123457[[#This Row],[fc (Mpa)]])</f>
        <v>1.1262159951187096E-5</v>
      </c>
      <c r="R57" s="111">
        <f>Table1123457[[#This Row],[M (KN.mm)]]/(Table1123457[[#This Row],[b (mm)]]*Table1123457[[#This Row],[h (mm)]]*Table1123457[[#This Row],[L(mm)]]/2)</f>
        <v>8.3565226837808255E-4</v>
      </c>
      <c r="S57" s="111">
        <f>Table1123457[[#This Row],[M (KN.mm)]]/(Table1123457[[#This Row],[a (mm)]]*Table1123457[[#This Row],[b (mm)]]*Table1123457[[#This Row],[h (mm)]]*Table1123457[[#This Row],[L(mm)]]/2)</f>
        <v>8.0351179651738702E-7</v>
      </c>
      <c r="T57" s="111">
        <f>Table1123457[[#This Row],[M (KN.mm)]]/(Table1123457[[#This Row],[a (mm)]]^2*Table1123457[[#This Row],[b (mm)]]*Table1123457[[#This Row],[h (mm)]])</f>
        <v>8.0351179651738702E-7</v>
      </c>
      <c r="U57" s="111">
        <f>Table1123457[[#This Row],[M (KN.mm)]]/(Table1123457[[#This Row],[b (mm)]]*Table1123457[[#This Row],[d (mm)]]*Table1123457[[#This Row],[pho (%)]])</f>
        <v>1.0352715009465765</v>
      </c>
      <c r="V57" s="111">
        <f>E57*224.8/(2*SQRT(Table1123457[[#This Row],[fc (Mpa)]]*145.037)*Table1123457[[#This Row],[b (mm)]]*Table1123457[[#This Row],[d (mm)]]*(1/25.4)^2)</f>
        <v>0.9151899740564734</v>
      </c>
      <c r="W57" s="111">
        <f>Table1123457[[#This Row],[M (KN.mm)]]/$G$60</f>
        <v>0.77369439071566726</v>
      </c>
      <c r="X57" s="111">
        <f>Table1123457[[#This Row],[V/(2*sqrt(fc) bd)]]</f>
        <v>0.9151899740564734</v>
      </c>
      <c r="Y57" s="111">
        <f>Table1123457[[#This Row],[a (mm)]]</f>
        <v>1040</v>
      </c>
      <c r="Z57" s="111">
        <f>Table1123457[[#This Row],[width]]*Table1123457[[#This Row],[h]]^2</f>
        <v>81134226</v>
      </c>
      <c r="AA57" s="111">
        <f>Table1123457[[#This Row],[b (mm)]]</f>
        <v>706</v>
      </c>
      <c r="AB57" s="111">
        <f>Table1123457[[#This Row],[a (mm)]]/Table1123457[[#This Row],[h (mm)]]</f>
        <v>3.0678466076696167</v>
      </c>
      <c r="AC57" s="111">
        <f>Table1123457[[#This Row],[h (mm)]]</f>
        <v>339</v>
      </c>
      <c r="AD57" s="111">
        <v>1040</v>
      </c>
      <c r="AE57" s="111">
        <v>306</v>
      </c>
      <c r="AF57" s="111">
        <v>339</v>
      </c>
      <c r="AG57" s="111">
        <v>706</v>
      </c>
      <c r="AH57" s="7">
        <v>37.1</v>
      </c>
      <c r="AI57" s="111">
        <f>Table1123457[[#This Row],[pho (%)]]*Table1123457[[#This Row],[b (mm)]]*Table1123457[[#This Row],[h (mm)]]/100</f>
        <v>2225.8062000000004</v>
      </c>
      <c r="AJ57" s="160">
        <v>0.93</v>
      </c>
      <c r="AK57" s="160">
        <v>525</v>
      </c>
      <c r="AL57" s="111">
        <f>(1/3-0.21*(MIN(Table1123457[[#This Row],[b (mm)]],AF57)/MAX(Table1123457[[#This Row],[b (mm)]],AF57))*(MIN(Table1123457[[#This Row],[b (mm)]],AF57)^4/(12*MAX(Table1123457[[#This Row],[b (mm)]],AF57)^4)))*MAX(Table1123457[[#This Row],[b (mm)]],AF57)*MIN(Table1123457[[#This Row],[b (mm)]],AF57)^3</f>
        <v>9155881359.2335663</v>
      </c>
      <c r="AM57" s="111">
        <f>Table1123457[[#This Row],[b (mm)]]*AF57^3/12</f>
        <v>2292041884.5</v>
      </c>
      <c r="AN57" s="111">
        <v>2080</v>
      </c>
      <c r="AP57" s="126"/>
      <c r="AU57" s="368">
        <v>400</v>
      </c>
      <c r="AV57" s="2">
        <f t="shared" si="4"/>
        <v>200</v>
      </c>
    </row>
    <row r="58" spans="1:49" x14ac:dyDescent="0.3">
      <c r="A58" s="242" t="s">
        <v>149</v>
      </c>
      <c r="B58" s="242">
        <v>4</v>
      </c>
      <c r="C58" s="185">
        <v>57</v>
      </c>
      <c r="D58" s="185">
        <f>Table1123457[[#This Row],[a (mm)]]/Table1123457[[#This Row],[d (mm)]]</f>
        <v>3.3986928104575163</v>
      </c>
      <c r="E58" s="228">
        <v>225</v>
      </c>
      <c r="F58" s="137">
        <f>Table1123457[[#This Row],[d (mm)]]</f>
        <v>306</v>
      </c>
      <c r="G58" s="111">
        <f t="shared" si="3"/>
        <v>234000</v>
      </c>
      <c r="H58" s="135">
        <f t="shared" si="0"/>
        <v>3.8764182168207858E-6</v>
      </c>
      <c r="I58" s="111">
        <f>G58/(Table1123457[[#This Row],[b (mm)]]*Table1123457[[#This Row],[h]]^2)</f>
        <v>2.8841095988270103E-3</v>
      </c>
      <c r="J58" s="135">
        <f t="shared" si="1"/>
        <v>0.65440676418873356</v>
      </c>
      <c r="K58" s="111">
        <f t="shared" si="2"/>
        <v>7.8262319206604823E-7</v>
      </c>
      <c r="L58" s="111">
        <f>E58/(Table1123457[[#This Row],[b (mm)]]*AE58)</f>
        <v>1.041493084485919E-3</v>
      </c>
      <c r="M58" s="111">
        <f>Table1123457[[#This Row],[M (KN.mm)]]/(Table1123457[[#This Row],[b (mm)]]*Table1123457[[#This Row],[d (mm)]])</f>
        <v>1.0831528078653558</v>
      </c>
      <c r="N58" s="111">
        <f>Table1123457[[#This Row],[M (KN.mm)]]/(Table1123457[[#This Row],[b (mm)]]*Table1123457[[#This Row],[h (mm)]])</f>
        <v>0.97771315400235659</v>
      </c>
      <c r="O58" s="111">
        <f>Table1123457[[#This Row],[M (KN.mm)]]/(Table1123457[[#This Row],[b (mm)]]*Table1123457[[#This Row],[h (mm)]]*Table1123457[[#This Row],[L(mm)]])</f>
        <v>4.700544009626714E-4</v>
      </c>
      <c r="P58" s="111">
        <f>Table1123457[[#This Row],[M (KN.mm)]]/(Table1123457[[#This Row],[b (mm)]]*Table1123457[[#This Row],[d (mm)]]*Table1123457[[#This Row],[L(mm)]])</f>
        <v>5.2074654224295951E-4</v>
      </c>
      <c r="Q58" s="111">
        <f>Table1123457[[#This Row],[M (KN.mm)]]/(Table1123457[[#This Row],[b (mm)]]*Table1123457[[#This Row],[h (mm)]]*Table1123457[[#This Row],[L(mm)]]*Table1123457[[#This Row],[fc (Mpa)]])</f>
        <v>1.2669929945085483E-5</v>
      </c>
      <c r="R58" s="111">
        <f>Table1123457[[#This Row],[M (KN.mm)]]/(Table1123457[[#This Row],[b (mm)]]*Table1123457[[#This Row],[h (mm)]]*Table1123457[[#This Row],[L(mm)]]/2)</f>
        <v>9.401088019253428E-4</v>
      </c>
      <c r="S58" s="111">
        <f>Table1123457[[#This Row],[M (KN.mm)]]/(Table1123457[[#This Row],[a (mm)]]*Table1123457[[#This Row],[b (mm)]]*Table1123457[[#This Row],[h (mm)]]*Table1123457[[#This Row],[L(mm)]]/2)</f>
        <v>9.0395077108206043E-7</v>
      </c>
      <c r="T58" s="111">
        <f>Table1123457[[#This Row],[M (KN.mm)]]/(Table1123457[[#This Row],[a (mm)]]^2*Table1123457[[#This Row],[b (mm)]]*Table1123457[[#This Row],[h (mm)]])</f>
        <v>9.0395077108206043E-7</v>
      </c>
      <c r="U58" s="111">
        <f>Table1123457[[#This Row],[M (KN.mm)]]/(Table1123457[[#This Row],[b (mm)]]*Table1123457[[#This Row],[d (mm)]]*Table1123457[[#This Row],[pho (%)]])</f>
        <v>1.1646804385648986</v>
      </c>
      <c r="V58" s="111">
        <f>E58*224.8/(2*SQRT(Table1123457[[#This Row],[fc (Mpa)]]*145.037)*Table1123457[[#This Row],[b (mm)]]*Table1123457[[#This Row],[d (mm)]]*(1/25.4)^2)</f>
        <v>1.0295887208135326</v>
      </c>
      <c r="W58" s="111">
        <f>Table1123457[[#This Row],[M (KN.mm)]]/$G$60</f>
        <v>0.87040618955512572</v>
      </c>
      <c r="X58" s="111">
        <f>Table1123457[[#This Row],[V/(2*sqrt(fc) bd)]]</f>
        <v>1.0295887208135326</v>
      </c>
      <c r="Y58" s="111">
        <f>Table1123457[[#This Row],[a (mm)]]</f>
        <v>1040</v>
      </c>
      <c r="Z58" s="111">
        <f>Table1123457[[#This Row],[width]]*Table1123457[[#This Row],[h]]^2</f>
        <v>81134226</v>
      </c>
      <c r="AA58" s="111">
        <f>Table1123457[[#This Row],[b (mm)]]</f>
        <v>706</v>
      </c>
      <c r="AB58" s="111">
        <f>Table1123457[[#This Row],[a (mm)]]/Table1123457[[#This Row],[h (mm)]]</f>
        <v>3.0678466076696167</v>
      </c>
      <c r="AC58" s="111">
        <f>Table1123457[[#This Row],[h (mm)]]</f>
        <v>339</v>
      </c>
      <c r="AD58" s="111">
        <v>1040</v>
      </c>
      <c r="AE58" s="111">
        <v>306</v>
      </c>
      <c r="AF58" s="111">
        <v>339</v>
      </c>
      <c r="AG58" s="111">
        <v>706</v>
      </c>
      <c r="AH58" s="7">
        <v>37.1</v>
      </c>
      <c r="AI58" s="111">
        <f>Table1123457[[#This Row],[pho (%)]]*Table1123457[[#This Row],[b (mm)]]*Table1123457[[#This Row],[h (mm)]]/100</f>
        <v>2225.8062000000004</v>
      </c>
      <c r="AJ58" s="160">
        <v>0.93</v>
      </c>
      <c r="AK58" s="160">
        <v>525</v>
      </c>
      <c r="AL58" s="111">
        <f>(1/3-0.21*(MIN(Table1123457[[#This Row],[b (mm)]],AF58)/MAX(Table1123457[[#This Row],[b (mm)]],AF58))*(MIN(Table1123457[[#This Row],[b (mm)]],AF58)^4/(12*MAX(Table1123457[[#This Row],[b (mm)]],AF58)^4)))*MAX(Table1123457[[#This Row],[b (mm)]],AF58)*MIN(Table1123457[[#This Row],[b (mm)]],AF58)^3</f>
        <v>9155881359.2335663</v>
      </c>
      <c r="AM58" s="111">
        <f>Table1123457[[#This Row],[b (mm)]]*AF58^3/12</f>
        <v>2292041884.5</v>
      </c>
      <c r="AN58" s="111">
        <v>2080</v>
      </c>
      <c r="AP58" s="126"/>
      <c r="AU58" s="368">
        <v>450</v>
      </c>
      <c r="AV58" s="2">
        <f t="shared" si="4"/>
        <v>225</v>
      </c>
    </row>
    <row r="59" spans="1:49" x14ac:dyDescent="0.3">
      <c r="A59" s="242" t="s">
        <v>149</v>
      </c>
      <c r="B59" s="242">
        <v>5</v>
      </c>
      <c r="C59" s="185">
        <v>58</v>
      </c>
      <c r="D59" s="185">
        <f>Table1123457[[#This Row],[a (mm)]]/Table1123457[[#This Row],[d (mm)]]</f>
        <v>3.3986928104575163</v>
      </c>
      <c r="E59" s="228">
        <v>250</v>
      </c>
      <c r="F59" s="137">
        <f>Table1123457[[#This Row],[d (mm)]]</f>
        <v>306</v>
      </c>
      <c r="G59" s="111">
        <f t="shared" si="3"/>
        <v>260000</v>
      </c>
      <c r="H59" s="135">
        <f t="shared" si="0"/>
        <v>4.3071313520230961E-6</v>
      </c>
      <c r="I59" s="111">
        <f>G59/(Table1123457[[#This Row],[b (mm)]]*Table1123457[[#This Row],[h]]^2)</f>
        <v>3.2045662209189006E-3</v>
      </c>
      <c r="J59" s="135">
        <f t="shared" si="1"/>
        <v>0.72711862687637063</v>
      </c>
      <c r="K59" s="111">
        <f t="shared" si="2"/>
        <v>8.6958132451783128E-7</v>
      </c>
      <c r="L59" s="111">
        <f>E59/(Table1123457[[#This Row],[b (mm)]]*AE59)</f>
        <v>1.1572145383176879E-3</v>
      </c>
      <c r="M59" s="111">
        <f>Table1123457[[#This Row],[M (KN.mm)]]/(Table1123457[[#This Row],[b (mm)]]*Table1123457[[#This Row],[d (mm)]])</f>
        <v>1.2035031198503954</v>
      </c>
      <c r="N59" s="111">
        <f>Table1123457[[#This Row],[M (KN.mm)]]/(Table1123457[[#This Row],[b (mm)]]*Table1123457[[#This Row],[h (mm)]])</f>
        <v>1.0863479488915073</v>
      </c>
      <c r="O59" s="111">
        <f>Table1123457[[#This Row],[M (KN.mm)]]/(Table1123457[[#This Row],[b (mm)]]*Table1123457[[#This Row],[h (mm)]]*Table1123457[[#This Row],[L(mm)]])</f>
        <v>5.2228266773630158E-4</v>
      </c>
      <c r="P59" s="111">
        <f>Table1123457[[#This Row],[M (KN.mm)]]/(Table1123457[[#This Row],[b (mm)]]*Table1123457[[#This Row],[d (mm)]]*Table1123457[[#This Row],[L(mm)]])</f>
        <v>5.7860726915884395E-4</v>
      </c>
      <c r="Q59" s="111">
        <f>Table1123457[[#This Row],[M (KN.mm)]]/(Table1123457[[#This Row],[b (mm)]]*Table1123457[[#This Row],[h (mm)]]*Table1123457[[#This Row],[L(mm)]]*Table1123457[[#This Row],[fc (Mpa)]])</f>
        <v>1.4077699938983871E-5</v>
      </c>
      <c r="R59" s="111">
        <f>Table1123457[[#This Row],[M (KN.mm)]]/(Table1123457[[#This Row],[b (mm)]]*Table1123457[[#This Row],[h (mm)]]*Table1123457[[#This Row],[L(mm)]]/2)</f>
        <v>1.0445653354726032E-3</v>
      </c>
      <c r="S59" s="111">
        <f>Table1123457[[#This Row],[M (KN.mm)]]/(Table1123457[[#This Row],[a (mm)]]*Table1123457[[#This Row],[b (mm)]]*Table1123457[[#This Row],[h (mm)]]*Table1123457[[#This Row],[L(mm)]]/2)</f>
        <v>1.0043897456467338E-6</v>
      </c>
      <c r="T59" s="111">
        <f>Table1123457[[#This Row],[M (KN.mm)]]/(Table1123457[[#This Row],[a (mm)]]^2*Table1123457[[#This Row],[b (mm)]]*Table1123457[[#This Row],[h (mm)]])</f>
        <v>1.0043897456467338E-6</v>
      </c>
      <c r="U59" s="111">
        <f>Table1123457[[#This Row],[M (KN.mm)]]/(Table1123457[[#This Row],[b (mm)]]*Table1123457[[#This Row],[d (mm)]]*Table1123457[[#This Row],[pho (%)]])</f>
        <v>1.2940893761832206</v>
      </c>
      <c r="V59" s="111">
        <f>E59*224.8/(2*SQRT(Table1123457[[#This Row],[fc (Mpa)]]*145.037)*Table1123457[[#This Row],[b (mm)]]*Table1123457[[#This Row],[d (mm)]]*(1/25.4)^2)</f>
        <v>1.1439874675705917</v>
      </c>
      <c r="W59" s="111">
        <f>Table1123457[[#This Row],[M (KN.mm)]]/$G$60</f>
        <v>0.96711798839458418</v>
      </c>
      <c r="X59" s="111">
        <f>Table1123457[[#This Row],[V/(2*sqrt(fc) bd)]]</f>
        <v>1.1439874675705917</v>
      </c>
      <c r="Y59" s="111">
        <f>Table1123457[[#This Row],[a (mm)]]</f>
        <v>1040</v>
      </c>
      <c r="Z59" s="111">
        <f>Table1123457[[#This Row],[width]]*Table1123457[[#This Row],[h]]^2</f>
        <v>81134226</v>
      </c>
      <c r="AA59" s="111">
        <f>Table1123457[[#This Row],[b (mm)]]</f>
        <v>706</v>
      </c>
      <c r="AB59" s="111">
        <f>Table1123457[[#This Row],[a (mm)]]/Table1123457[[#This Row],[h (mm)]]</f>
        <v>3.0678466076696167</v>
      </c>
      <c r="AC59" s="111">
        <f>Table1123457[[#This Row],[h (mm)]]</f>
        <v>339</v>
      </c>
      <c r="AD59" s="111">
        <v>1040</v>
      </c>
      <c r="AE59" s="111">
        <v>306</v>
      </c>
      <c r="AF59" s="111">
        <v>339</v>
      </c>
      <c r="AG59" s="111">
        <v>706</v>
      </c>
      <c r="AH59" s="7">
        <v>37.1</v>
      </c>
      <c r="AI59" s="111">
        <f>Table1123457[[#This Row],[pho (%)]]*Table1123457[[#This Row],[b (mm)]]*Table1123457[[#This Row],[h (mm)]]/100</f>
        <v>2225.8062000000004</v>
      </c>
      <c r="AJ59" s="160">
        <v>0.93</v>
      </c>
      <c r="AK59" s="160">
        <v>525</v>
      </c>
      <c r="AL59" s="111">
        <f>(1/3-0.21*(MIN(Table1123457[[#This Row],[b (mm)]],AF59)/MAX(Table1123457[[#This Row],[b (mm)]],AF59))*(MIN(Table1123457[[#This Row],[b (mm)]],AF59)^4/(12*MAX(Table1123457[[#This Row],[b (mm)]],AF59)^4)))*MAX(Table1123457[[#This Row],[b (mm)]],AF59)*MIN(Table1123457[[#This Row],[b (mm)]],AF59)^3</f>
        <v>9155881359.2335663</v>
      </c>
      <c r="AM59" s="111">
        <f>Table1123457[[#This Row],[b (mm)]]*AF59^3/12</f>
        <v>2292041884.5</v>
      </c>
      <c r="AN59" s="111">
        <v>2080</v>
      </c>
      <c r="AP59" s="126"/>
      <c r="AU59" s="368">
        <v>500</v>
      </c>
      <c r="AV59" s="2">
        <f t="shared" si="4"/>
        <v>250</v>
      </c>
    </row>
    <row r="60" spans="1:49" x14ac:dyDescent="0.3">
      <c r="A60" s="242" t="s">
        <v>149</v>
      </c>
      <c r="B60" s="242" t="s">
        <v>142</v>
      </c>
      <c r="C60" s="185">
        <v>59</v>
      </c>
      <c r="D60" s="185">
        <f>Table1123457[[#This Row],[a (mm)]]/Table1123457[[#This Row],[d (mm)]]</f>
        <v>3.3986928104575163</v>
      </c>
      <c r="E60" s="228">
        <v>258.5</v>
      </c>
      <c r="F60" s="137">
        <f>Table1123457[[#This Row],[d (mm)]]</f>
        <v>306</v>
      </c>
      <c r="G60" s="111">
        <f t="shared" si="3"/>
        <v>268840</v>
      </c>
      <c r="H60" s="135">
        <f t="shared" si="0"/>
        <v>4.4535738179918809E-6</v>
      </c>
      <c r="I60" s="111">
        <f>G60/(Table1123457[[#This Row],[b (mm)]]*Table1123457[[#This Row],[h]]^2)</f>
        <v>3.313521472430143E-3</v>
      </c>
      <c r="J60" s="135">
        <f t="shared" si="1"/>
        <v>0.75184066019016715</v>
      </c>
      <c r="K60" s="111">
        <f t="shared" si="2"/>
        <v>8.9914708955143754E-7</v>
      </c>
      <c r="L60" s="111">
        <f>E60/(Table1123457[[#This Row],[b (mm)]]*AE60)</f>
        <v>1.1965598326204891E-3</v>
      </c>
      <c r="M60" s="111">
        <f>Table1123457[[#This Row],[M (KN.mm)]]/(Table1123457[[#This Row],[b (mm)]]*Table1123457[[#This Row],[d (mm)]])</f>
        <v>1.2444222259253088</v>
      </c>
      <c r="N60" s="111">
        <f>Table1123457[[#This Row],[M (KN.mm)]]/(Table1123457[[#This Row],[b (mm)]]*Table1123457[[#This Row],[h (mm)]])</f>
        <v>1.1232837791538186</v>
      </c>
      <c r="O60" s="111">
        <f>Table1123457[[#This Row],[M (KN.mm)]]/(Table1123457[[#This Row],[b (mm)]]*Table1123457[[#This Row],[h (mm)]]*Table1123457[[#This Row],[L(mm)]])</f>
        <v>5.4004027843933581E-4</v>
      </c>
      <c r="P60" s="111">
        <f>Table1123457[[#This Row],[M (KN.mm)]]/(Table1123457[[#This Row],[b (mm)]]*Table1123457[[#This Row],[d (mm)]]*Table1123457[[#This Row],[L(mm)]])</f>
        <v>5.9827991631024454E-4</v>
      </c>
      <c r="Q60" s="111">
        <f>Table1123457[[#This Row],[M (KN.mm)]]/(Table1123457[[#This Row],[b (mm)]]*Table1123457[[#This Row],[h (mm)]]*Table1123457[[#This Row],[L(mm)]]*Table1123457[[#This Row],[fc (Mpa)]])</f>
        <v>1.4556341736909322E-5</v>
      </c>
      <c r="R60" s="111">
        <f>Table1123457[[#This Row],[M (KN.mm)]]/(Table1123457[[#This Row],[b (mm)]]*Table1123457[[#This Row],[h (mm)]]*Table1123457[[#This Row],[L(mm)]]/2)</f>
        <v>1.0800805568786716E-3</v>
      </c>
      <c r="S60" s="111">
        <f>Table1123457[[#This Row],[M (KN.mm)]]/(Table1123457[[#This Row],[a (mm)]]*Table1123457[[#This Row],[b (mm)]]*Table1123457[[#This Row],[h (mm)]]*Table1123457[[#This Row],[L(mm)]]/2)</f>
        <v>1.0385389969987227E-6</v>
      </c>
      <c r="T60" s="111">
        <f>Table1123457[[#This Row],[M (KN.mm)]]/(Table1123457[[#This Row],[a (mm)]]^2*Table1123457[[#This Row],[b (mm)]]*Table1123457[[#This Row],[h (mm)]])</f>
        <v>1.0385389969987227E-6</v>
      </c>
      <c r="U60" s="111">
        <f>Table1123457[[#This Row],[M (KN.mm)]]/(Table1123457[[#This Row],[b (mm)]]*Table1123457[[#This Row],[d (mm)]]*Table1123457[[#This Row],[pho (%)]])</f>
        <v>1.3380884149734502</v>
      </c>
      <c r="V60" s="111">
        <f>E60*224.8/(2*SQRT(Table1123457[[#This Row],[fc (Mpa)]]*145.037)*Table1123457[[#This Row],[b (mm)]]*Table1123457[[#This Row],[d (mm)]]*(1/25.4)^2)</f>
        <v>1.1828830414679918</v>
      </c>
      <c r="W60" s="111">
        <f>Table1123457[[#This Row],[M (KN.mm)]]/$G$60</f>
        <v>1</v>
      </c>
      <c r="X60" s="111">
        <f>Table1123457[[#This Row],[V/(2*sqrt(fc) bd)]]</f>
        <v>1.1828830414679918</v>
      </c>
      <c r="Y60" s="111">
        <f>Table1123457[[#This Row],[a (mm)]]</f>
        <v>1040</v>
      </c>
      <c r="Z60" s="111">
        <f>Table1123457[[#This Row],[width]]*Table1123457[[#This Row],[h]]^2</f>
        <v>81134226</v>
      </c>
      <c r="AA60" s="111">
        <f>Table1123457[[#This Row],[b (mm)]]</f>
        <v>706</v>
      </c>
      <c r="AB60" s="111">
        <f>Table1123457[[#This Row],[a (mm)]]/Table1123457[[#This Row],[h (mm)]]</f>
        <v>3.0678466076696167</v>
      </c>
      <c r="AC60" s="111">
        <f>Table1123457[[#This Row],[h (mm)]]</f>
        <v>339</v>
      </c>
      <c r="AD60" s="111">
        <v>1040</v>
      </c>
      <c r="AE60" s="111">
        <v>306</v>
      </c>
      <c r="AF60" s="111">
        <v>339</v>
      </c>
      <c r="AG60" s="111">
        <v>706</v>
      </c>
      <c r="AH60" s="7">
        <v>37.1</v>
      </c>
      <c r="AI60" s="111">
        <f>Table1123457[[#This Row],[pho (%)]]*Table1123457[[#This Row],[b (mm)]]*Table1123457[[#This Row],[h (mm)]]/100</f>
        <v>2225.8062000000004</v>
      </c>
      <c r="AJ60" s="160">
        <v>0.93</v>
      </c>
      <c r="AK60" s="160">
        <v>525</v>
      </c>
      <c r="AL60" s="111">
        <f>(1/3-0.21*(MIN(Table1123457[[#This Row],[b (mm)]],AF60)/MAX(Table1123457[[#This Row],[b (mm)]],AF60))*(MIN(Table1123457[[#This Row],[b (mm)]],AF60)^4/(12*MAX(Table1123457[[#This Row],[b (mm)]],AF60)^4)))*MAX(Table1123457[[#This Row],[b (mm)]],AF60)*MIN(Table1123457[[#This Row],[b (mm)]],AF60)^3</f>
        <v>9155881359.2335663</v>
      </c>
      <c r="AM60" s="111">
        <f>Table1123457[[#This Row],[b (mm)]]*AF60^3/12</f>
        <v>2292041884.5</v>
      </c>
      <c r="AN60" s="111">
        <v>2080</v>
      </c>
      <c r="AP60" s="126"/>
      <c r="AU60" s="368">
        <v>517</v>
      </c>
      <c r="AV60" s="2">
        <f t="shared" si="4"/>
        <v>258.5</v>
      </c>
    </row>
    <row r="61" spans="1:49" x14ac:dyDescent="0.3">
      <c r="A61" s="243" t="s">
        <v>151</v>
      </c>
      <c r="B61" s="243">
        <v>1</v>
      </c>
      <c r="C61" s="185">
        <v>60</v>
      </c>
      <c r="D61" s="185">
        <f>Table1123457[[#This Row],[a (mm)]]/Table1123457[[#This Row],[d (mm)]]</f>
        <v>3.3876221498371337</v>
      </c>
      <c r="E61" s="244">
        <v>99.5</v>
      </c>
      <c r="F61" s="137">
        <f>Table1123457[[#This Row],[d (mm)]]</f>
        <v>307</v>
      </c>
      <c r="G61" s="111">
        <f t="shared" si="3"/>
        <v>103480</v>
      </c>
      <c r="H61" s="135">
        <f t="shared" si="0"/>
        <v>1.7142382781051922E-6</v>
      </c>
      <c r="I61" s="111">
        <f>G61/(Table1123457[[#This Row],[b (mm)]]*Table1123457[[#This Row],[h]]^2)</f>
        <v>1.2754173559257223E-3</v>
      </c>
      <c r="J61" s="135">
        <f t="shared" si="1"/>
        <v>0.28845056459289714</v>
      </c>
      <c r="K61" s="111">
        <f t="shared" si="2"/>
        <v>3.4609336715809688E-7</v>
      </c>
      <c r="L61" s="111">
        <f>E61/(Table1123457[[#This Row],[b (mm)]]*AE61)</f>
        <v>4.5907115372193668E-4</v>
      </c>
      <c r="M61" s="111">
        <f>Table1123457[[#This Row],[M (KN.mm)]]/(Table1123457[[#This Row],[b (mm)]]*Table1123457[[#This Row],[d (mm)]])</f>
        <v>0.47743399987081414</v>
      </c>
      <c r="N61" s="111">
        <f>Table1123457[[#This Row],[M (KN.mm)]]/(Table1123457[[#This Row],[b (mm)]]*Table1123457[[#This Row],[h (mm)]])</f>
        <v>0.43236648365881991</v>
      </c>
      <c r="O61" s="111">
        <f>Table1123457[[#This Row],[M (KN.mm)]]/(Table1123457[[#This Row],[b (mm)]]*Table1123457[[#This Row],[h (mm)]]*Table1123457[[#This Row],[L(mm)]])</f>
        <v>2.0786850175904802E-4</v>
      </c>
      <c r="P61" s="111">
        <f>Table1123457[[#This Row],[M (KN.mm)]]/(Table1123457[[#This Row],[b (mm)]]*Table1123457[[#This Row],[d (mm)]]*Table1123457[[#This Row],[L(mm)]])</f>
        <v>2.2953557686096834E-4</v>
      </c>
      <c r="Q61" s="111">
        <f>Table1123457[[#This Row],[M (KN.mm)]]/(Table1123457[[#This Row],[b (mm)]]*Table1123457[[#This Row],[h (mm)]]*Table1123457[[#This Row],[L(mm)]]*Table1123457[[#This Row],[fc (Mpa)]])</f>
        <v>5.6029245757155803E-6</v>
      </c>
      <c r="R61" s="111">
        <f>Table1123457[[#This Row],[M (KN.mm)]]/(Table1123457[[#This Row],[b (mm)]]*Table1123457[[#This Row],[h (mm)]]*Table1123457[[#This Row],[L(mm)]]/2)</f>
        <v>4.1573700351809603E-4</v>
      </c>
      <c r="S61" s="111">
        <f>Table1123457[[#This Row],[M (KN.mm)]]/(Table1123457[[#This Row],[a (mm)]]*Table1123457[[#This Row],[b (mm)]]*Table1123457[[#This Row],[h (mm)]]*Table1123457[[#This Row],[L(mm)]]/2)</f>
        <v>3.9974711876740004E-7</v>
      </c>
      <c r="T61" s="111">
        <f>Table1123457[[#This Row],[M (KN.mm)]]/(Table1123457[[#This Row],[a (mm)]]^2*Table1123457[[#This Row],[b (mm)]]*Table1123457[[#This Row],[h (mm)]])</f>
        <v>3.9974711876740004E-7</v>
      </c>
      <c r="U61" s="111">
        <f>Table1123457[[#This Row],[M (KN.mm)]]/(Table1123457[[#This Row],[b (mm)]]*Table1123457[[#This Row],[d (mm)]]*Table1123457[[#This Row],[pho (%)]])</f>
        <v>0.51336989233420882</v>
      </c>
      <c r="V61" s="111">
        <f>E61*224.8/(2*SQRT(Table1123457[[#This Row],[fc (Mpa)]]*145.037)*Table1123457[[#This Row],[b (mm)]]*Table1123457[[#This Row],[d (mm)]]*(1/25.4)^2)</f>
        <v>0.45382392736315053</v>
      </c>
      <c r="W61" s="111">
        <f>Table1123457[[#This Row],[M (KN.mm)]]/$G$65</f>
        <v>0.40040241448692154</v>
      </c>
      <c r="X61" s="111">
        <f>Table1123457[[#This Row],[V/(2*sqrt(fc) bd)]]</f>
        <v>0.45382392736315053</v>
      </c>
      <c r="Y61" s="111">
        <f>Table1123457[[#This Row],[a (mm)]]</f>
        <v>1040</v>
      </c>
      <c r="Z61" s="111">
        <f>Table1123457[[#This Row],[width]]*Table1123457[[#This Row],[h]]^2</f>
        <v>81134226</v>
      </c>
      <c r="AA61" s="111">
        <f>Table1123457[[#This Row],[b (mm)]]</f>
        <v>706</v>
      </c>
      <c r="AB61" s="111">
        <f>Table1123457[[#This Row],[a (mm)]]/Table1123457[[#This Row],[h (mm)]]</f>
        <v>3.0678466076696167</v>
      </c>
      <c r="AC61" s="111">
        <f>Table1123457[[#This Row],[h (mm)]]</f>
        <v>339</v>
      </c>
      <c r="AD61" s="111">
        <v>1040</v>
      </c>
      <c r="AE61" s="111">
        <v>307</v>
      </c>
      <c r="AF61" s="111">
        <v>339</v>
      </c>
      <c r="AG61" s="111">
        <v>706</v>
      </c>
      <c r="AH61" s="7">
        <v>37.1</v>
      </c>
      <c r="AI61" s="111">
        <f>Table1123457[[#This Row],[pho (%)]]*Table1123457[[#This Row],[b (mm)]]*Table1123457[[#This Row],[h (mm)]]/100</f>
        <v>2225.8062000000004</v>
      </c>
      <c r="AJ61" s="160">
        <v>0.93</v>
      </c>
      <c r="AK61" s="160">
        <v>525</v>
      </c>
      <c r="AL61" s="111">
        <f>(1/3-0.21*(MIN(Table1123457[[#This Row],[b (mm)]],AF61)/MAX(Table1123457[[#This Row],[b (mm)]],AF61))*(MIN(Table1123457[[#This Row],[b (mm)]],AF61)^4/(12*MAX(Table1123457[[#This Row],[b (mm)]],AF61)^4)))*MAX(Table1123457[[#This Row],[b (mm)]],AF61)*MIN(Table1123457[[#This Row],[b (mm)]],AF61)^3</f>
        <v>9155881359.2335663</v>
      </c>
      <c r="AM61" s="111">
        <f>Table1123457[[#This Row],[b (mm)]]*AF61^3/12</f>
        <v>2292041884.5</v>
      </c>
      <c r="AN61" s="111">
        <v>2080</v>
      </c>
      <c r="AP61" s="126"/>
      <c r="AU61" s="374">
        <v>199</v>
      </c>
      <c r="AV61" s="2">
        <f t="shared" si="4"/>
        <v>99.5</v>
      </c>
    </row>
    <row r="62" spans="1:49" x14ac:dyDescent="0.3">
      <c r="A62" s="243" t="s">
        <v>151</v>
      </c>
      <c r="B62" s="243">
        <v>2</v>
      </c>
      <c r="C62" s="185">
        <v>61</v>
      </c>
      <c r="D62" s="185">
        <f>Table1123457[[#This Row],[a (mm)]]/Table1123457[[#This Row],[d (mm)]]</f>
        <v>3.3876221498371337</v>
      </c>
      <c r="E62" s="244">
        <v>174.5</v>
      </c>
      <c r="F62" s="137">
        <f>Table1123457[[#This Row],[d (mm)]]</f>
        <v>307</v>
      </c>
      <c r="G62" s="111">
        <f t="shared" si="3"/>
        <v>181480</v>
      </c>
      <c r="H62" s="135">
        <f t="shared" si="0"/>
        <v>3.0063776837121207E-6</v>
      </c>
      <c r="I62" s="111">
        <f>G62/(Table1123457[[#This Row],[b (mm)]]*Table1123457[[#This Row],[h]]^2)</f>
        <v>2.2367872222013923E-3</v>
      </c>
      <c r="J62" s="135">
        <f t="shared" si="1"/>
        <v>0.50587561328101061</v>
      </c>
      <c r="K62" s="111">
        <f t="shared" si="2"/>
        <v>6.0696776451344631E-7</v>
      </c>
      <c r="L62" s="111">
        <f>E62/(Table1123457[[#This Row],[b (mm)]]*AE62)</f>
        <v>8.0510468667817033E-4</v>
      </c>
      <c r="M62" s="111">
        <f>Table1123457[[#This Row],[M (KN.mm)]]/(Table1123457[[#This Row],[b (mm)]]*Table1123457[[#This Row],[d (mm)]])</f>
        <v>0.8373088741452972</v>
      </c>
      <c r="N62" s="111">
        <f>Table1123457[[#This Row],[M (KN.mm)]]/(Table1123457[[#This Row],[b (mm)]]*Table1123457[[#This Row],[h (mm)]])</f>
        <v>0.75827086832627211</v>
      </c>
      <c r="O62" s="111">
        <f>Table1123457[[#This Row],[M (KN.mm)]]/(Table1123457[[#This Row],[b (mm)]]*Table1123457[[#This Row],[h (mm)]]*Table1123457[[#This Row],[L(mm)]])</f>
        <v>3.6455330207993847E-4</v>
      </c>
      <c r="P62" s="111">
        <f>Table1123457[[#This Row],[M (KN.mm)]]/(Table1123457[[#This Row],[b (mm)]]*Table1123457[[#This Row],[d (mm)]]*Table1123457[[#This Row],[L(mm)]])</f>
        <v>4.0255234333908517E-4</v>
      </c>
      <c r="Q62" s="111">
        <f>Table1123457[[#This Row],[M (KN.mm)]]/(Table1123457[[#This Row],[b (mm)]]*Table1123457[[#This Row],[h (mm)]]*Table1123457[[#This Row],[L(mm)]]*Table1123457[[#This Row],[fc (Mpa)]])</f>
        <v>9.8262345574107415E-6</v>
      </c>
      <c r="R62" s="111">
        <f>Table1123457[[#This Row],[M (KN.mm)]]/(Table1123457[[#This Row],[b (mm)]]*Table1123457[[#This Row],[h (mm)]]*Table1123457[[#This Row],[L(mm)]]/2)</f>
        <v>7.2910660415987695E-4</v>
      </c>
      <c r="S62" s="111">
        <f>Table1123457[[#This Row],[M (KN.mm)]]/(Table1123457[[#This Row],[a (mm)]]*Table1123457[[#This Row],[b (mm)]]*Table1123457[[#This Row],[h (mm)]]*Table1123457[[#This Row],[L(mm)]]/2)</f>
        <v>7.010640424614202E-7</v>
      </c>
      <c r="T62" s="111">
        <f>Table1123457[[#This Row],[M (KN.mm)]]/(Table1123457[[#This Row],[a (mm)]]^2*Table1123457[[#This Row],[b (mm)]]*Table1123457[[#This Row],[h (mm)]])</f>
        <v>7.010640424614202E-7</v>
      </c>
      <c r="U62" s="111">
        <f>Table1123457[[#This Row],[M (KN.mm)]]/(Table1123457[[#This Row],[b (mm)]]*Table1123457[[#This Row],[d (mm)]]*Table1123457[[#This Row],[pho (%)]])</f>
        <v>0.90033212273687868</v>
      </c>
      <c r="V62" s="111">
        <f>E62*224.8/(2*SQRT(Table1123457[[#This Row],[fc (Mpa)]]*145.037)*Table1123457[[#This Row],[b (mm)]]*Table1123457[[#This Row],[d (mm)]]*(1/25.4)^2)</f>
        <v>0.79590226457155533</v>
      </c>
      <c r="W62" s="111">
        <f>Table1123457[[#This Row],[M (KN.mm)]]/$G$65</f>
        <v>0.70221327967806846</v>
      </c>
      <c r="X62" s="111">
        <f>Table1123457[[#This Row],[V/(2*sqrt(fc) bd)]]</f>
        <v>0.79590226457155533</v>
      </c>
      <c r="Y62" s="111">
        <f>Table1123457[[#This Row],[a (mm)]]</f>
        <v>1040</v>
      </c>
      <c r="Z62" s="111">
        <f>Table1123457[[#This Row],[width]]*Table1123457[[#This Row],[h]]^2</f>
        <v>81134226</v>
      </c>
      <c r="AA62" s="111">
        <f>Table1123457[[#This Row],[b (mm)]]</f>
        <v>706</v>
      </c>
      <c r="AB62" s="111">
        <f>Table1123457[[#This Row],[a (mm)]]/Table1123457[[#This Row],[h (mm)]]</f>
        <v>3.0678466076696167</v>
      </c>
      <c r="AC62" s="111">
        <f>Table1123457[[#This Row],[h (mm)]]</f>
        <v>339</v>
      </c>
      <c r="AD62" s="111">
        <v>1040</v>
      </c>
      <c r="AE62" s="111">
        <v>307</v>
      </c>
      <c r="AF62" s="111">
        <v>339</v>
      </c>
      <c r="AG62" s="111">
        <v>706</v>
      </c>
      <c r="AH62" s="7">
        <v>37.1</v>
      </c>
      <c r="AI62" s="111">
        <f>Table1123457[[#This Row],[pho (%)]]*Table1123457[[#This Row],[b (mm)]]*Table1123457[[#This Row],[h (mm)]]/100</f>
        <v>2225.8062000000004</v>
      </c>
      <c r="AJ62" s="160">
        <v>0.93</v>
      </c>
      <c r="AK62" s="160">
        <v>525</v>
      </c>
      <c r="AL62" s="111">
        <f>(1/3-0.21*(MIN(Table1123457[[#This Row],[b (mm)]],AF62)/MAX(Table1123457[[#This Row],[b (mm)]],AF62))*(MIN(Table1123457[[#This Row],[b (mm)]],AF62)^4/(12*MAX(Table1123457[[#This Row],[b (mm)]],AF62)^4)))*MAX(Table1123457[[#This Row],[b (mm)]],AF62)*MIN(Table1123457[[#This Row],[b (mm)]],AF62)^3</f>
        <v>9155881359.2335663</v>
      </c>
      <c r="AM62" s="111">
        <f>Table1123457[[#This Row],[b (mm)]]*AF62^3/12</f>
        <v>2292041884.5</v>
      </c>
      <c r="AN62" s="111">
        <v>2080</v>
      </c>
      <c r="AP62" s="126"/>
      <c r="AU62" s="374">
        <v>349</v>
      </c>
      <c r="AV62" s="2">
        <f t="shared" si="4"/>
        <v>174.5</v>
      </c>
    </row>
    <row r="63" spans="1:49" x14ac:dyDescent="0.3">
      <c r="A63" s="243" t="s">
        <v>151</v>
      </c>
      <c r="B63" s="243">
        <v>3</v>
      </c>
      <c r="C63" s="185">
        <v>62</v>
      </c>
      <c r="D63" s="185">
        <f>Table1123457[[#This Row],[a (mm)]]/Table1123457[[#This Row],[d (mm)]]</f>
        <v>3.3876221498371337</v>
      </c>
      <c r="E63" s="244">
        <v>200</v>
      </c>
      <c r="F63" s="137">
        <f>Table1123457[[#This Row],[d (mm)]]</f>
        <v>307</v>
      </c>
      <c r="G63" s="111">
        <f t="shared" si="3"/>
        <v>208000</v>
      </c>
      <c r="H63" s="135">
        <f t="shared" si="0"/>
        <v>3.4457050816184768E-6</v>
      </c>
      <c r="I63" s="111">
        <f>G63/(Table1123457[[#This Row],[b (mm)]]*Table1123457[[#This Row],[h]]^2)</f>
        <v>2.5636529767351203E-3</v>
      </c>
      <c r="J63" s="135">
        <f t="shared" si="1"/>
        <v>0.5798001298349692</v>
      </c>
      <c r="K63" s="111">
        <f t="shared" si="2"/>
        <v>6.9566505961426507E-7</v>
      </c>
      <c r="L63" s="111">
        <f>E63/(Table1123457[[#This Row],[b (mm)]]*AE63)</f>
        <v>9.2275608788328978E-4</v>
      </c>
      <c r="M63" s="111">
        <f>Table1123457[[#This Row],[M (KN.mm)]]/(Table1123457[[#This Row],[b (mm)]]*Table1123457[[#This Row],[d (mm)]])</f>
        <v>0.95966633139862145</v>
      </c>
      <c r="N63" s="111">
        <f>Table1123457[[#This Row],[M (KN.mm)]]/(Table1123457[[#This Row],[b (mm)]]*Table1123457[[#This Row],[h (mm)]])</f>
        <v>0.86907835911320586</v>
      </c>
      <c r="O63" s="111">
        <f>Table1123457[[#This Row],[M (KN.mm)]]/(Table1123457[[#This Row],[b (mm)]]*Table1123457[[#This Row],[h (mm)]]*Table1123457[[#This Row],[L(mm)]])</f>
        <v>4.1782613418904127E-4</v>
      </c>
      <c r="P63" s="111">
        <f>Table1123457[[#This Row],[M (KN.mm)]]/(Table1123457[[#This Row],[b (mm)]]*Table1123457[[#This Row],[d (mm)]]*Table1123457[[#This Row],[L(mm)]])</f>
        <v>4.6137804394164489E-4</v>
      </c>
      <c r="Q63" s="111">
        <f>Table1123457[[#This Row],[M (KN.mm)]]/(Table1123457[[#This Row],[b (mm)]]*Table1123457[[#This Row],[h (mm)]]*Table1123457[[#This Row],[L(mm)]]*Table1123457[[#This Row],[fc (Mpa)]])</f>
        <v>1.1262159951187096E-5</v>
      </c>
      <c r="R63" s="111">
        <f>Table1123457[[#This Row],[M (KN.mm)]]/(Table1123457[[#This Row],[b (mm)]]*Table1123457[[#This Row],[h (mm)]]*Table1123457[[#This Row],[L(mm)]]/2)</f>
        <v>8.3565226837808255E-4</v>
      </c>
      <c r="S63" s="111">
        <f>Table1123457[[#This Row],[M (KN.mm)]]/(Table1123457[[#This Row],[a (mm)]]*Table1123457[[#This Row],[b (mm)]]*Table1123457[[#This Row],[h (mm)]]*Table1123457[[#This Row],[L(mm)]]/2)</f>
        <v>8.0351179651738702E-7</v>
      </c>
      <c r="T63" s="111">
        <f>Table1123457[[#This Row],[M (KN.mm)]]/(Table1123457[[#This Row],[a (mm)]]^2*Table1123457[[#This Row],[b (mm)]]*Table1123457[[#This Row],[h (mm)]])</f>
        <v>8.0351179651738702E-7</v>
      </c>
      <c r="U63" s="111">
        <f>Table1123457[[#This Row],[M (KN.mm)]]/(Table1123457[[#This Row],[b (mm)]]*Table1123457[[#This Row],[d (mm)]]*Table1123457[[#This Row],[pho (%)]])</f>
        <v>1.0318992810737864</v>
      </c>
      <c r="V63" s="111">
        <f>E63*224.8/(2*SQRT(Table1123457[[#This Row],[fc (Mpa)]]*145.037)*Table1123457[[#This Row],[b (mm)]]*Table1123457[[#This Row],[d (mm)]]*(1/25.4)^2)</f>
        <v>0.91220889922241311</v>
      </c>
      <c r="W63" s="111">
        <f>Table1123457[[#This Row],[M (KN.mm)]]/$G$65</f>
        <v>0.8048289738430584</v>
      </c>
      <c r="X63" s="111">
        <f>Table1123457[[#This Row],[V/(2*sqrt(fc) bd)]]</f>
        <v>0.91220889922241311</v>
      </c>
      <c r="Y63" s="111">
        <f>Table1123457[[#This Row],[a (mm)]]</f>
        <v>1040</v>
      </c>
      <c r="Z63" s="111">
        <f>Table1123457[[#This Row],[width]]*Table1123457[[#This Row],[h]]^2</f>
        <v>81134226</v>
      </c>
      <c r="AA63" s="111">
        <f>Table1123457[[#This Row],[b (mm)]]</f>
        <v>706</v>
      </c>
      <c r="AB63" s="111">
        <f>Table1123457[[#This Row],[a (mm)]]/Table1123457[[#This Row],[h (mm)]]</f>
        <v>3.0678466076696167</v>
      </c>
      <c r="AC63" s="111">
        <f>Table1123457[[#This Row],[h (mm)]]</f>
        <v>339</v>
      </c>
      <c r="AD63" s="111">
        <v>1040</v>
      </c>
      <c r="AE63" s="111">
        <v>307</v>
      </c>
      <c r="AF63" s="111">
        <v>339</v>
      </c>
      <c r="AG63" s="111">
        <v>706</v>
      </c>
      <c r="AH63" s="7">
        <v>37.1</v>
      </c>
      <c r="AI63" s="111">
        <f>Table1123457[[#This Row],[pho (%)]]*Table1123457[[#This Row],[b (mm)]]*Table1123457[[#This Row],[h (mm)]]/100</f>
        <v>2225.8062000000004</v>
      </c>
      <c r="AJ63" s="160">
        <v>0.93</v>
      </c>
      <c r="AK63" s="160">
        <v>525</v>
      </c>
      <c r="AL63" s="111">
        <f>(1/3-0.21*(MIN(Table1123457[[#This Row],[b (mm)]],AF63)/MAX(Table1123457[[#This Row],[b (mm)]],AF63))*(MIN(Table1123457[[#This Row],[b (mm)]],AF63)^4/(12*MAX(Table1123457[[#This Row],[b (mm)]],AF63)^4)))*MAX(Table1123457[[#This Row],[b (mm)]],AF63)*MIN(Table1123457[[#This Row],[b (mm)]],AF63)^3</f>
        <v>9155881359.2335663</v>
      </c>
      <c r="AM63" s="111">
        <f>Table1123457[[#This Row],[b (mm)]]*AF63^3/12</f>
        <v>2292041884.5</v>
      </c>
      <c r="AN63" s="111">
        <v>2080</v>
      </c>
      <c r="AP63" s="126"/>
      <c r="AU63" s="374">
        <v>400</v>
      </c>
      <c r="AV63" s="2">
        <f t="shared" si="4"/>
        <v>200</v>
      </c>
    </row>
    <row r="64" spans="1:49" s="1" customFormat="1" x14ac:dyDescent="0.3">
      <c r="A64" s="243" t="s">
        <v>151</v>
      </c>
      <c r="B64" s="243">
        <v>4</v>
      </c>
      <c r="C64" s="185">
        <v>63</v>
      </c>
      <c r="D64" s="185">
        <f>Table1123457[[#This Row],[a (mm)]]/Table1123457[[#This Row],[d (mm)]]</f>
        <v>3.3876221498371337</v>
      </c>
      <c r="E64" s="244">
        <v>227</v>
      </c>
      <c r="F64" s="137">
        <f>Table1123457[[#This Row],[d (mm)]]</f>
        <v>307</v>
      </c>
      <c r="G64" s="111">
        <f t="shared" si="3"/>
        <v>236080</v>
      </c>
      <c r="H64" s="135">
        <f t="shared" si="0"/>
        <v>3.9108752676369708E-6</v>
      </c>
      <c r="I64" s="111">
        <f>G64/(Table1123457[[#This Row],[b (mm)]]*Table1123457[[#This Row],[h]]^2)</f>
        <v>2.9097461285943617E-3</v>
      </c>
      <c r="J64" s="135">
        <f t="shared" si="1"/>
        <v>0.65807314736268996</v>
      </c>
      <c r="K64" s="111">
        <f t="shared" si="2"/>
        <v>7.8957984266219084E-7</v>
      </c>
      <c r="L64" s="111">
        <f>E64/(Table1123457[[#This Row],[b (mm)]]*AE64)</f>
        <v>1.0473281597475339E-3</v>
      </c>
      <c r="M64" s="111">
        <f>Table1123457[[#This Row],[M (KN.mm)]]/(Table1123457[[#This Row],[b (mm)]]*Table1123457[[#This Row],[d (mm)]])</f>
        <v>1.0892212861374353</v>
      </c>
      <c r="N64" s="111">
        <f>Table1123457[[#This Row],[M (KN.mm)]]/(Table1123457[[#This Row],[b (mm)]]*Table1123457[[#This Row],[h (mm)]])</f>
        <v>0.98640393759348854</v>
      </c>
      <c r="O64" s="111">
        <f>Table1123457[[#This Row],[M (KN.mm)]]/(Table1123457[[#This Row],[b (mm)]]*Table1123457[[#This Row],[h (mm)]]*Table1123457[[#This Row],[L(mm)]])</f>
        <v>4.7423266230456183E-4</v>
      </c>
      <c r="P64" s="111">
        <f>Table1123457[[#This Row],[M (KN.mm)]]/(Table1123457[[#This Row],[b (mm)]]*Table1123457[[#This Row],[d (mm)]]*Table1123457[[#This Row],[L(mm)]])</f>
        <v>5.2366407987376696E-4</v>
      </c>
      <c r="Q64" s="111">
        <f>Table1123457[[#This Row],[M (KN.mm)]]/(Table1123457[[#This Row],[b (mm)]]*Table1123457[[#This Row],[h (mm)]]*Table1123457[[#This Row],[L(mm)]]*Table1123457[[#This Row],[fc (Mpa)]])</f>
        <v>1.2782551544597355E-5</v>
      </c>
      <c r="R64" s="111">
        <f>Table1123457[[#This Row],[M (KN.mm)]]/(Table1123457[[#This Row],[b (mm)]]*Table1123457[[#This Row],[h (mm)]]*Table1123457[[#This Row],[L(mm)]]/2)</f>
        <v>9.4846532460912366E-4</v>
      </c>
      <c r="S64" s="111">
        <f>Table1123457[[#This Row],[M (KN.mm)]]/(Table1123457[[#This Row],[a (mm)]]*Table1123457[[#This Row],[b (mm)]]*Table1123457[[#This Row],[h (mm)]]*Table1123457[[#This Row],[L(mm)]]/2)</f>
        <v>9.1198588904723423E-7</v>
      </c>
      <c r="T64" s="111">
        <f>Table1123457[[#This Row],[M (KN.mm)]]/(Table1123457[[#This Row],[a (mm)]]^2*Table1123457[[#This Row],[b (mm)]]*Table1123457[[#This Row],[h (mm)]])</f>
        <v>9.1198588904723423E-7</v>
      </c>
      <c r="U64" s="111">
        <f>Table1123457[[#This Row],[M (KN.mm)]]/(Table1123457[[#This Row],[b (mm)]]*Table1123457[[#This Row],[d (mm)]]*Table1123457[[#This Row],[pho (%)]])</f>
        <v>1.1712056840187477</v>
      </c>
      <c r="V64" s="111">
        <f>E64*224.8/(2*SQRT(Table1123457[[#This Row],[fc (Mpa)]]*145.037)*Table1123457[[#This Row],[b (mm)]]*Table1123457[[#This Row],[d (mm)]]*(1/25.4)^2)</f>
        <v>1.0353571006174389</v>
      </c>
      <c r="W64" s="111">
        <f>Table1123457[[#This Row],[M (KN.mm)]]/$G$65</f>
        <v>0.91348088531187122</v>
      </c>
      <c r="X64" s="111">
        <f>Table1123457[[#This Row],[V/(2*sqrt(fc) bd)]]</f>
        <v>1.0353571006174389</v>
      </c>
      <c r="Y64" s="111">
        <f>Table1123457[[#This Row],[a (mm)]]</f>
        <v>1040</v>
      </c>
      <c r="Z64" s="111">
        <f>Table1123457[[#This Row],[width]]*Table1123457[[#This Row],[h]]^2</f>
        <v>81134226</v>
      </c>
      <c r="AA64" s="111">
        <f>Table1123457[[#This Row],[b (mm)]]</f>
        <v>706</v>
      </c>
      <c r="AB64" s="111">
        <f>Table1123457[[#This Row],[a (mm)]]/Table1123457[[#This Row],[h (mm)]]</f>
        <v>3.0678466076696167</v>
      </c>
      <c r="AC64" s="111">
        <f>Table1123457[[#This Row],[h (mm)]]</f>
        <v>339</v>
      </c>
      <c r="AD64" s="111">
        <v>1040</v>
      </c>
      <c r="AE64" s="111">
        <v>307</v>
      </c>
      <c r="AF64" s="111">
        <v>339</v>
      </c>
      <c r="AG64" s="111">
        <v>706</v>
      </c>
      <c r="AH64" s="7">
        <v>37.1</v>
      </c>
      <c r="AI64" s="111">
        <f>Table1123457[[#This Row],[pho (%)]]*Table1123457[[#This Row],[b (mm)]]*Table1123457[[#This Row],[h (mm)]]/100</f>
        <v>2225.8062000000004</v>
      </c>
      <c r="AJ64" s="160">
        <v>0.93</v>
      </c>
      <c r="AK64" s="160">
        <v>525</v>
      </c>
      <c r="AL64" s="111">
        <f>(1/3-0.21*(MIN(Table1123457[[#This Row],[b (mm)]],AF64)/MAX(Table1123457[[#This Row],[b (mm)]],AF64))*(MIN(Table1123457[[#This Row],[b (mm)]],AF64)^4/(12*MAX(Table1123457[[#This Row],[b (mm)]],AF64)^4)))*MAX(Table1123457[[#This Row],[b (mm)]],AF64)*MIN(Table1123457[[#This Row],[b (mm)]],AF64)^3</f>
        <v>9155881359.2335663</v>
      </c>
      <c r="AM64" s="111">
        <f>Table1123457[[#This Row],[b (mm)]]*AF64^3/12</f>
        <v>2292041884.5</v>
      </c>
      <c r="AN64" s="111">
        <v>2080</v>
      </c>
      <c r="AO64"/>
      <c r="AU64" s="374">
        <v>454</v>
      </c>
      <c r="AV64" s="2">
        <f t="shared" si="4"/>
        <v>227</v>
      </c>
    </row>
    <row r="65" spans="1:48" s="1" customFormat="1" x14ac:dyDescent="0.3">
      <c r="A65" s="243" t="s">
        <v>151</v>
      </c>
      <c r="B65" s="243" t="s">
        <v>142</v>
      </c>
      <c r="C65" s="185">
        <v>64</v>
      </c>
      <c r="D65" s="185">
        <f>Table1123457[[#This Row],[a (mm)]]/Table1123457[[#This Row],[d (mm)]]</f>
        <v>3.3876221498371337</v>
      </c>
      <c r="E65" s="244">
        <v>248.5</v>
      </c>
      <c r="F65" s="137">
        <f>Table1123457[[#This Row],[d (mm)]]</f>
        <v>307</v>
      </c>
      <c r="G65" s="111">
        <f t="shared" si="3"/>
        <v>258440</v>
      </c>
      <c r="H65" s="135">
        <f t="shared" si="0"/>
        <v>4.2812885639109569E-6</v>
      </c>
      <c r="I65" s="111">
        <f>G65/(Table1123457[[#This Row],[b (mm)]]*Table1123457[[#This Row],[h]]^2)</f>
        <v>3.1853388235933873E-3</v>
      </c>
      <c r="J65" s="135">
        <f t="shared" si="1"/>
        <v>0.7204016613199492</v>
      </c>
      <c r="K65" s="111">
        <f t="shared" si="2"/>
        <v>8.6436383657072438E-7</v>
      </c>
      <c r="L65" s="111">
        <f>E65/(Table1123457[[#This Row],[b (mm)]]*AE65)</f>
        <v>1.1465244391949876E-3</v>
      </c>
      <c r="M65" s="111">
        <f>Table1123457[[#This Row],[M (KN.mm)]]/(Table1123457[[#This Row],[b (mm)]]*Table1123457[[#This Row],[d (mm)]])</f>
        <v>1.1923854167627872</v>
      </c>
      <c r="N65" s="111">
        <f>Table1123457[[#This Row],[M (KN.mm)]]/(Table1123457[[#This Row],[b (mm)]]*Table1123457[[#This Row],[h (mm)]])</f>
        <v>1.0798298611981583</v>
      </c>
      <c r="O65" s="111">
        <f>Table1123457[[#This Row],[M (KN.mm)]]/(Table1123457[[#This Row],[b (mm)]]*Table1123457[[#This Row],[h (mm)]]*Table1123457[[#This Row],[L(mm)]])</f>
        <v>5.1914897172988372E-4</v>
      </c>
      <c r="P65" s="111">
        <f>Table1123457[[#This Row],[M (KN.mm)]]/(Table1123457[[#This Row],[b (mm)]]*Table1123457[[#This Row],[d (mm)]]*Table1123457[[#This Row],[L(mm)]])</f>
        <v>5.7326221959749378E-4</v>
      </c>
      <c r="Q65" s="111">
        <f>Table1123457[[#This Row],[M (KN.mm)]]/(Table1123457[[#This Row],[b (mm)]]*Table1123457[[#This Row],[h (mm)]]*Table1123457[[#This Row],[L(mm)]]*Table1123457[[#This Row],[fc (Mpa)]])</f>
        <v>1.3993233739349966E-5</v>
      </c>
      <c r="R65" s="111">
        <f>Table1123457[[#This Row],[M (KN.mm)]]/(Table1123457[[#This Row],[b (mm)]]*Table1123457[[#This Row],[h (mm)]]*Table1123457[[#This Row],[L(mm)]]/2)</f>
        <v>1.0382979434597674E-3</v>
      </c>
      <c r="S65" s="111">
        <f>Table1123457[[#This Row],[M (KN.mm)]]/(Table1123457[[#This Row],[a (mm)]]*Table1123457[[#This Row],[b (mm)]]*Table1123457[[#This Row],[h (mm)]]*Table1123457[[#This Row],[L(mm)]]/2)</f>
        <v>9.9836340717285335E-7</v>
      </c>
      <c r="T65" s="111">
        <f>Table1123457[[#This Row],[M (KN.mm)]]/(Table1123457[[#This Row],[a (mm)]]^2*Table1123457[[#This Row],[b (mm)]]*Table1123457[[#This Row],[h (mm)]])</f>
        <v>9.9836340717285335E-7</v>
      </c>
      <c r="U65" s="111">
        <f>Table1123457[[#This Row],[M (KN.mm)]]/(Table1123457[[#This Row],[b (mm)]]*Table1123457[[#This Row],[d (mm)]]*Table1123457[[#This Row],[pho (%)]])</f>
        <v>1.2821348567341797</v>
      </c>
      <c r="V65" s="111">
        <f>E65*224.8/(2*SQRT(Table1123457[[#This Row],[fc (Mpa)]]*145.037)*Table1123457[[#This Row],[b (mm)]]*Table1123457[[#This Row],[d (mm)]]*(1/25.4)^2)</f>
        <v>1.1334195572838484</v>
      </c>
      <c r="W65" s="111">
        <f>Table1123457[[#This Row],[M (KN.mm)]]/$G$65</f>
        <v>1</v>
      </c>
      <c r="X65" s="111">
        <f>Table1123457[[#This Row],[V/(2*sqrt(fc) bd)]]</f>
        <v>1.1334195572838484</v>
      </c>
      <c r="Y65" s="111">
        <f>Table1123457[[#This Row],[a (mm)]]</f>
        <v>1040</v>
      </c>
      <c r="Z65" s="111">
        <f>Table1123457[[#This Row],[width]]*Table1123457[[#This Row],[h]]^2</f>
        <v>81134226</v>
      </c>
      <c r="AA65" s="111">
        <f>Table1123457[[#This Row],[b (mm)]]</f>
        <v>706</v>
      </c>
      <c r="AB65" s="111">
        <f>Table1123457[[#This Row],[a (mm)]]/Table1123457[[#This Row],[h (mm)]]</f>
        <v>3.0678466076696167</v>
      </c>
      <c r="AC65" s="111">
        <f>Table1123457[[#This Row],[h (mm)]]</f>
        <v>339</v>
      </c>
      <c r="AD65" s="111">
        <v>1040</v>
      </c>
      <c r="AE65" s="111">
        <v>307</v>
      </c>
      <c r="AF65" s="111">
        <v>339</v>
      </c>
      <c r="AG65" s="111">
        <v>706</v>
      </c>
      <c r="AH65" s="7">
        <v>37.1</v>
      </c>
      <c r="AI65" s="111">
        <f>Table1123457[[#This Row],[pho (%)]]*Table1123457[[#This Row],[b (mm)]]*Table1123457[[#This Row],[h (mm)]]/100</f>
        <v>2225.8062000000004</v>
      </c>
      <c r="AJ65" s="160">
        <v>0.93</v>
      </c>
      <c r="AK65" s="160">
        <v>525</v>
      </c>
      <c r="AL65" s="111">
        <f>(1/3-0.21*(MIN(Table1123457[[#This Row],[b (mm)]],AF65)/MAX(Table1123457[[#This Row],[b (mm)]],AF65))*(MIN(Table1123457[[#This Row],[b (mm)]],AF65)^4/(12*MAX(Table1123457[[#This Row],[b (mm)]],AF65)^4)))*MAX(Table1123457[[#This Row],[b (mm)]],AF65)*MIN(Table1123457[[#This Row],[b (mm)]],AF65)^3</f>
        <v>9155881359.2335663</v>
      </c>
      <c r="AM65" s="111">
        <f>Table1123457[[#This Row],[b (mm)]]*AF65^3/12</f>
        <v>2292041884.5</v>
      </c>
      <c r="AN65" s="111">
        <v>2080</v>
      </c>
      <c r="AO65"/>
      <c r="AU65" s="374">
        <v>497</v>
      </c>
      <c r="AV65" s="2">
        <f t="shared" si="4"/>
        <v>248.5</v>
      </c>
    </row>
    <row r="66" spans="1:48" s="1" customFormat="1" x14ac:dyDescent="0.3">
      <c r="A66" s="164" t="s">
        <v>152</v>
      </c>
      <c r="B66" s="164">
        <v>2</v>
      </c>
      <c r="C66" s="185">
        <v>65</v>
      </c>
      <c r="D66" s="185">
        <f>Table1123457[[#This Row],[a (mm)]]/Table1123457[[#This Row],[d (mm)]]</f>
        <v>2.8928571428571428</v>
      </c>
      <c r="E66" s="239">
        <v>112.5</v>
      </c>
      <c r="F66" s="137">
        <f>Table1123457[[#This Row],[d (mm)]]</f>
        <v>1400</v>
      </c>
      <c r="G66" s="111">
        <f t="shared" si="3"/>
        <v>455625</v>
      </c>
      <c r="H66" s="135">
        <f t="shared" si="0"/>
        <v>2.1563973729563561E-7</v>
      </c>
      <c r="I66" s="111">
        <f>G66/(Table1123457[[#This Row],[b (mm)]]*Table1123457[[#This Row],[h]]^2)</f>
        <v>6.9807526572823904E-4</v>
      </c>
      <c r="J66" s="135">
        <f t="shared" ref="J66:J77" si="5">G66/(AI66*AK66*AE66*0.001)</f>
        <v>0.1687830533479473</v>
      </c>
      <c r="K66" s="111">
        <f t="shared" ref="K66:K89" si="6">E66/($AQ$4*AL66*0.001)</f>
        <v>2.6989589580850289E-7</v>
      </c>
      <c r="L66" s="111">
        <f>E66/(Table1123457[[#This Row],[b (mm)]]*AE66)</f>
        <v>2.6785714285714287E-4</v>
      </c>
      <c r="M66" s="111">
        <f>Table1123457[[#This Row],[M (KN.mm)]]/(Table1123457[[#This Row],[b (mm)]]*Table1123457[[#This Row],[d (mm)]])</f>
        <v>1.0848214285714286</v>
      </c>
      <c r="N66" s="111">
        <f>Table1123457[[#This Row],[M (KN.mm)]]/(Table1123457[[#This Row],[b (mm)]]*Table1123457[[#This Row],[h (mm)]])</f>
        <v>1.0296610169491525</v>
      </c>
      <c r="O66" s="111">
        <f>Table1123457[[#This Row],[M (KN.mm)]]/(Table1123457[[#This Row],[b (mm)]]*Table1123457[[#This Row],[h (mm)]]*Table1123457[[#This Row],[L(mm)]])</f>
        <v>1.2711864406779661E-4</v>
      </c>
      <c r="P66" s="111">
        <f>Table1123457[[#This Row],[M (KN.mm)]]/(Table1123457[[#This Row],[b (mm)]]*Table1123457[[#This Row],[d (mm)]]*Table1123457[[#This Row],[L(mm)]])</f>
        <v>1.3392857142857144E-4</v>
      </c>
      <c r="Q66" s="111">
        <f>Table1123457[[#This Row],[M (KN.mm)]]/(Table1123457[[#This Row],[b (mm)]]*Table1123457[[#This Row],[h (mm)]]*Table1123457[[#This Row],[L(mm)]]*Table1123457[[#This Row],[fc (Mpa)]])</f>
        <v>3.3103813559322033E-6</v>
      </c>
      <c r="R66" s="111">
        <f>Table1123457[[#This Row],[M (KN.mm)]]/(Table1123457[[#This Row],[b (mm)]]*Table1123457[[#This Row],[h (mm)]]*Table1123457[[#This Row],[L(mm)]]/2)</f>
        <v>2.5423728813559322E-4</v>
      </c>
      <c r="S66" s="111">
        <f>Table1123457[[#This Row],[M (KN.mm)]]/(Table1123457[[#This Row],[a (mm)]]*Table1123457[[#This Row],[b (mm)]]*Table1123457[[#This Row],[h (mm)]]*Table1123457[[#This Row],[L(mm)]]/2)</f>
        <v>6.277463904582548E-8</v>
      </c>
      <c r="T66" s="111">
        <f>Table1123457[[#This Row],[M (KN.mm)]]/(Table1123457[[#This Row],[a (mm)]]^2*Table1123457[[#This Row],[b (mm)]]*Table1123457[[#This Row],[h (mm)]])</f>
        <v>6.277463904582548E-8</v>
      </c>
      <c r="U66" s="111">
        <f>Table1123457[[#This Row],[M (KN.mm)]]/(Table1123457[[#This Row],[b (mm)]]*Table1123457[[#This Row],[d (mm)]]*Table1123457[[#This Row],[pho (%)]])</f>
        <v>1.3070137693631669</v>
      </c>
      <c r="V66" s="111">
        <f>E66*224.8/(2*SQRT(Table1123457[[#This Row],[fc (Mpa)]]*145.037)*Table1123457[[#This Row],[b (mm)]]*Table1123457[[#This Row],[d (mm)]]*(1/25.4)^2)</f>
        <v>0.26027470343665604</v>
      </c>
      <c r="W66" s="111">
        <f>Table1123457[[#This Row],[M (KN.mm)]]/$G$71</f>
        <v>0.45090180360721444</v>
      </c>
      <c r="X66" s="111">
        <f>Table1123457[[#This Row],[V/(2*sqrt(fc) bd)]]</f>
        <v>0.26027470343665604</v>
      </c>
      <c r="Y66" s="111">
        <f>Table1123457[[#This Row],[a (mm)]]</f>
        <v>4050</v>
      </c>
      <c r="Z66" s="111">
        <f>Table1123457[[#This Row],[width]]*Table1123457[[#This Row],[h]]^2</f>
        <v>652687500</v>
      </c>
      <c r="AA66" s="111">
        <f>Table1123457[[#This Row],[b (mm)]]</f>
        <v>300</v>
      </c>
      <c r="AB66" s="111">
        <f>Table1123457[[#This Row],[a (mm)]]/Table1123457[[#This Row],[h (mm)]]</f>
        <v>2.7457627118644066</v>
      </c>
      <c r="AC66" s="111">
        <f>Table1123457[[#This Row],[h (mm)]]</f>
        <v>1475</v>
      </c>
      <c r="AD66" s="111">
        <v>4050</v>
      </c>
      <c r="AE66" s="111">
        <v>1400</v>
      </c>
      <c r="AF66" s="111">
        <v>1475</v>
      </c>
      <c r="AG66" s="111">
        <v>300</v>
      </c>
      <c r="AH66" s="7">
        <v>38.4</v>
      </c>
      <c r="AI66" s="111">
        <f>Table1123457[[#This Row],[pho (%)]]*Table1123457[[#This Row],[b (mm)]]*Table1123457[[#This Row],[h (mm)]]/100</f>
        <v>3672.75</v>
      </c>
      <c r="AJ66" s="160">
        <v>0.83</v>
      </c>
      <c r="AK66" s="160">
        <v>525</v>
      </c>
      <c r="AL66" s="111">
        <f>(1/3-0.21*(MIN(Table1123457[[#This Row],[b (mm)]],AF66)/MAX(Table1123457[[#This Row],[b (mm)]],AF66))*(MIN(Table1123457[[#This Row],[b (mm)]],AF66)^4/(12*MAX(Table1123457[[#This Row],[b (mm)]],AF66)^4)))*MAX(Table1123457[[#This Row],[b (mm)]],AF66)*MIN(Table1123457[[#This Row],[b (mm)]],AF66)^3</f>
        <v>13274757428.370747</v>
      </c>
      <c r="AM66" s="111">
        <f>Table1123457[[#This Row],[b (mm)]]*AF66^3/12</f>
        <v>80226171875</v>
      </c>
      <c r="AN66" s="111">
        <v>8100</v>
      </c>
      <c r="AO66"/>
      <c r="AU66" s="371">
        <v>225</v>
      </c>
      <c r="AV66" s="2">
        <f t="shared" si="4"/>
        <v>112.5</v>
      </c>
    </row>
    <row r="67" spans="1:48" x14ac:dyDescent="0.3">
      <c r="A67" s="164" t="s">
        <v>152</v>
      </c>
      <c r="B67" s="164">
        <v>3</v>
      </c>
      <c r="C67" s="185">
        <v>66</v>
      </c>
      <c r="D67" s="185">
        <f>Table1123457[[#This Row],[a (mm)]]/Table1123457[[#This Row],[d (mm)]]</f>
        <v>2.8928571428571428</v>
      </c>
      <c r="E67" s="239">
        <v>175</v>
      </c>
      <c r="F67" s="137">
        <f>Table1123457[[#This Row],[d (mm)]]</f>
        <v>1400</v>
      </c>
      <c r="G67" s="111">
        <f t="shared" ref="G67:G89" si="7">E67*AD67</f>
        <v>708750</v>
      </c>
      <c r="H67" s="135">
        <f t="shared" ref="H67:H89" si="8">G67/($AQ$5*AM67*0.001)</f>
        <v>3.3543959134876649E-7</v>
      </c>
      <c r="I67" s="111">
        <f>G67/(Table1123457[[#This Row],[b (mm)]]*Table1123457[[#This Row],[h]]^2)</f>
        <v>1.0858948577994829E-3</v>
      </c>
      <c r="J67" s="135">
        <f t="shared" si="5"/>
        <v>0.26255141631902912</v>
      </c>
      <c r="K67" s="111">
        <f t="shared" si="6"/>
        <v>4.1983806014656003E-7</v>
      </c>
      <c r="L67" s="111">
        <f>E67/(Table1123457[[#This Row],[b (mm)]]*AE67)</f>
        <v>4.1666666666666669E-4</v>
      </c>
      <c r="M67" s="111">
        <f>Table1123457[[#This Row],[M (KN.mm)]]/(Table1123457[[#This Row],[b (mm)]]*Table1123457[[#This Row],[d (mm)]])</f>
        <v>1.6875</v>
      </c>
      <c r="N67" s="111">
        <f>Table1123457[[#This Row],[M (KN.mm)]]/(Table1123457[[#This Row],[b (mm)]]*Table1123457[[#This Row],[h (mm)]])</f>
        <v>1.6016949152542372</v>
      </c>
      <c r="O67" s="111">
        <f>Table1123457[[#This Row],[M (KN.mm)]]/(Table1123457[[#This Row],[b (mm)]]*Table1123457[[#This Row],[h (mm)]]*Table1123457[[#This Row],[L(mm)]])</f>
        <v>1.9774011299435027E-4</v>
      </c>
      <c r="P67" s="111">
        <f>Table1123457[[#This Row],[M (KN.mm)]]/(Table1123457[[#This Row],[b (mm)]]*Table1123457[[#This Row],[d (mm)]]*Table1123457[[#This Row],[L(mm)]])</f>
        <v>2.0833333333333335E-4</v>
      </c>
      <c r="Q67" s="111">
        <f>Table1123457[[#This Row],[M (KN.mm)]]/(Table1123457[[#This Row],[b (mm)]]*Table1123457[[#This Row],[h (mm)]]*Table1123457[[#This Row],[L(mm)]]*Table1123457[[#This Row],[fc (Mpa)]])</f>
        <v>5.149482109227872E-6</v>
      </c>
      <c r="R67" s="111">
        <f>Table1123457[[#This Row],[M (KN.mm)]]/(Table1123457[[#This Row],[b (mm)]]*Table1123457[[#This Row],[h (mm)]]*Table1123457[[#This Row],[L(mm)]]/2)</f>
        <v>3.9548022598870055E-4</v>
      </c>
      <c r="S67" s="111">
        <f>Table1123457[[#This Row],[M (KN.mm)]]/(Table1123457[[#This Row],[a (mm)]]*Table1123457[[#This Row],[b (mm)]]*Table1123457[[#This Row],[h (mm)]]*Table1123457[[#This Row],[L(mm)]]/2)</f>
        <v>9.7649438515728534E-8</v>
      </c>
      <c r="T67" s="111">
        <f>Table1123457[[#This Row],[M (KN.mm)]]/(Table1123457[[#This Row],[a (mm)]]^2*Table1123457[[#This Row],[b (mm)]]*Table1123457[[#This Row],[h (mm)]])</f>
        <v>9.7649438515728534E-8</v>
      </c>
      <c r="U67" s="111">
        <f>Table1123457[[#This Row],[M (KN.mm)]]/(Table1123457[[#This Row],[b (mm)]]*Table1123457[[#This Row],[d (mm)]]*Table1123457[[#This Row],[pho (%)]])</f>
        <v>2.0331325301204819</v>
      </c>
      <c r="V67" s="111">
        <f>E67*224.8/(2*SQRT(Table1123457[[#This Row],[fc (Mpa)]]*145.037)*Table1123457[[#This Row],[b (mm)]]*Table1123457[[#This Row],[d (mm)]]*(1/25.4)^2)</f>
        <v>0.40487176090146498</v>
      </c>
      <c r="W67" s="111">
        <f>Table1123457[[#This Row],[M (KN.mm)]]/$G$71</f>
        <v>0.70140280561122248</v>
      </c>
      <c r="X67" s="111">
        <f>Table1123457[[#This Row],[V/(2*sqrt(fc) bd)]]</f>
        <v>0.40487176090146498</v>
      </c>
      <c r="Y67" s="111">
        <f>Table1123457[[#This Row],[a (mm)]]</f>
        <v>4050</v>
      </c>
      <c r="Z67" s="111">
        <f>Table1123457[[#This Row],[width]]*Table1123457[[#This Row],[h]]^2</f>
        <v>652687500</v>
      </c>
      <c r="AA67" s="111">
        <f>Table1123457[[#This Row],[b (mm)]]</f>
        <v>300</v>
      </c>
      <c r="AB67" s="111">
        <f>Table1123457[[#This Row],[a (mm)]]/Table1123457[[#This Row],[h (mm)]]</f>
        <v>2.7457627118644066</v>
      </c>
      <c r="AC67" s="111">
        <f>Table1123457[[#This Row],[h (mm)]]</f>
        <v>1475</v>
      </c>
      <c r="AD67" s="111">
        <v>4050</v>
      </c>
      <c r="AE67" s="111">
        <v>1400</v>
      </c>
      <c r="AF67" s="111">
        <v>1475</v>
      </c>
      <c r="AG67" s="111">
        <v>300</v>
      </c>
      <c r="AH67" s="7">
        <v>38.4</v>
      </c>
      <c r="AI67" s="111">
        <f>Table1123457[[#This Row],[pho (%)]]*Table1123457[[#This Row],[b (mm)]]*Table1123457[[#This Row],[h (mm)]]/100</f>
        <v>3672.75</v>
      </c>
      <c r="AJ67" s="160">
        <v>0.83</v>
      </c>
      <c r="AK67" s="160">
        <v>525</v>
      </c>
      <c r="AL67" s="111">
        <f>(1/3-0.21*(MIN(Table1123457[[#This Row],[b (mm)]],AF67)/MAX(Table1123457[[#This Row],[b (mm)]],AF67))*(MIN(Table1123457[[#This Row],[b (mm)]],AF67)^4/(12*MAX(Table1123457[[#This Row],[b (mm)]],AF67)^4)))*MAX(Table1123457[[#This Row],[b (mm)]],AF67)*MIN(Table1123457[[#This Row],[b (mm)]],AF67)^3</f>
        <v>13274757428.370747</v>
      </c>
      <c r="AM67" s="111">
        <f>Table1123457[[#This Row],[b (mm)]]*AF67^3/12</f>
        <v>80226171875</v>
      </c>
      <c r="AN67" s="111">
        <v>8100</v>
      </c>
      <c r="AP67" s="126"/>
      <c r="AU67" s="371">
        <v>350</v>
      </c>
      <c r="AV67" s="2">
        <f t="shared" ref="AV67:AV130" si="9">AU67/2</f>
        <v>175</v>
      </c>
    </row>
    <row r="68" spans="1:48" x14ac:dyDescent="0.3">
      <c r="A68" s="164" t="s">
        <v>152</v>
      </c>
      <c r="B68" s="164">
        <v>4</v>
      </c>
      <c r="C68" s="185">
        <v>67</v>
      </c>
      <c r="D68" s="185">
        <f>Table1123457[[#This Row],[a (mm)]]/Table1123457[[#This Row],[d (mm)]]</f>
        <v>2.8928571428571428</v>
      </c>
      <c r="E68" s="239">
        <v>194</v>
      </c>
      <c r="F68" s="137">
        <f>Table1123457[[#This Row],[d (mm)]]</f>
        <v>1400</v>
      </c>
      <c r="G68" s="111">
        <f t="shared" si="7"/>
        <v>785700</v>
      </c>
      <c r="H68" s="135">
        <f t="shared" si="8"/>
        <v>3.7185874698091826E-7</v>
      </c>
      <c r="I68" s="111">
        <f>G68/(Table1123457[[#This Row],[b (mm)]]*Table1123457[[#This Row],[h]]^2)</f>
        <v>1.203792013789141E-3</v>
      </c>
      <c r="J68" s="135">
        <f t="shared" si="5"/>
        <v>0.291056998662238</v>
      </c>
      <c r="K68" s="111">
        <f t="shared" si="6"/>
        <v>4.6542047810532943E-7</v>
      </c>
      <c r="L68" s="111">
        <f>E68/(Table1123457[[#This Row],[b (mm)]]*AE68)</f>
        <v>4.619047619047619E-4</v>
      </c>
      <c r="M68" s="111">
        <f>Table1123457[[#This Row],[M (KN.mm)]]/(Table1123457[[#This Row],[b (mm)]]*Table1123457[[#This Row],[d (mm)]])</f>
        <v>1.8707142857142858</v>
      </c>
      <c r="N68" s="111">
        <f>Table1123457[[#This Row],[M (KN.mm)]]/(Table1123457[[#This Row],[b (mm)]]*Table1123457[[#This Row],[h (mm)]])</f>
        <v>1.775593220338983</v>
      </c>
      <c r="O68" s="111">
        <f>Table1123457[[#This Row],[M (KN.mm)]]/(Table1123457[[#This Row],[b (mm)]]*Table1123457[[#This Row],[h (mm)]]*Table1123457[[#This Row],[L(mm)]])</f>
        <v>2.1920903954802259E-4</v>
      </c>
      <c r="P68" s="111">
        <f>Table1123457[[#This Row],[M (KN.mm)]]/(Table1123457[[#This Row],[b (mm)]]*Table1123457[[#This Row],[d (mm)]]*Table1123457[[#This Row],[L(mm)]])</f>
        <v>2.3095238095238095E-4</v>
      </c>
      <c r="Q68" s="111">
        <f>Table1123457[[#This Row],[M (KN.mm)]]/(Table1123457[[#This Row],[b (mm)]]*Table1123457[[#This Row],[h (mm)]]*Table1123457[[#This Row],[L(mm)]]*Table1123457[[#This Row],[fc (Mpa)]])</f>
        <v>5.7085687382297549E-6</v>
      </c>
      <c r="R68" s="111">
        <f>Table1123457[[#This Row],[M (KN.mm)]]/(Table1123457[[#This Row],[b (mm)]]*Table1123457[[#This Row],[h (mm)]]*Table1123457[[#This Row],[L(mm)]]/2)</f>
        <v>4.3841807909604519E-4</v>
      </c>
      <c r="S68" s="111">
        <f>Table1123457[[#This Row],[M (KN.mm)]]/(Table1123457[[#This Row],[a (mm)]]*Table1123457[[#This Row],[b (mm)]]*Table1123457[[#This Row],[h (mm)]]*Table1123457[[#This Row],[L(mm)]]/2)</f>
        <v>1.0825137755457906E-7</v>
      </c>
      <c r="T68" s="111">
        <f>Table1123457[[#This Row],[M (KN.mm)]]/(Table1123457[[#This Row],[a (mm)]]^2*Table1123457[[#This Row],[b (mm)]]*Table1123457[[#This Row],[h (mm)]])</f>
        <v>1.0825137755457906E-7</v>
      </c>
      <c r="U68" s="111">
        <f>Table1123457[[#This Row],[M (KN.mm)]]/(Table1123457[[#This Row],[b (mm)]]*Table1123457[[#This Row],[d (mm)]]*Table1123457[[#This Row],[pho (%)]])</f>
        <v>2.2538726333907055</v>
      </c>
      <c r="V68" s="111">
        <f>E68*224.8/(2*SQRT(Table1123457[[#This Row],[fc (Mpa)]]*145.037)*Table1123457[[#This Row],[b (mm)]]*Table1123457[[#This Row],[d (mm)]]*(1/25.4)^2)</f>
        <v>0.44882926637076692</v>
      </c>
      <c r="W68" s="111">
        <f>Table1123457[[#This Row],[M (KN.mm)]]/$G$71</f>
        <v>0.77755511022044088</v>
      </c>
      <c r="X68" s="111">
        <f>Table1123457[[#This Row],[V/(2*sqrt(fc) bd)]]</f>
        <v>0.44882926637076692</v>
      </c>
      <c r="Y68" s="111">
        <f>Table1123457[[#This Row],[a (mm)]]</f>
        <v>4050</v>
      </c>
      <c r="Z68" s="111">
        <f>Table1123457[[#This Row],[width]]*Table1123457[[#This Row],[h]]^2</f>
        <v>652687500</v>
      </c>
      <c r="AA68" s="111">
        <f>Table1123457[[#This Row],[b (mm)]]</f>
        <v>300</v>
      </c>
      <c r="AB68" s="111">
        <f>Table1123457[[#This Row],[a (mm)]]/Table1123457[[#This Row],[h (mm)]]</f>
        <v>2.7457627118644066</v>
      </c>
      <c r="AC68" s="111">
        <f>Table1123457[[#This Row],[h (mm)]]</f>
        <v>1475</v>
      </c>
      <c r="AD68" s="111">
        <v>4050</v>
      </c>
      <c r="AE68" s="111">
        <v>1400</v>
      </c>
      <c r="AF68" s="111">
        <v>1475</v>
      </c>
      <c r="AG68" s="111">
        <v>300</v>
      </c>
      <c r="AH68" s="7">
        <v>38.4</v>
      </c>
      <c r="AI68" s="111">
        <f>Table1123457[[#This Row],[pho (%)]]*Table1123457[[#This Row],[b (mm)]]*Table1123457[[#This Row],[h (mm)]]/100</f>
        <v>3672.75</v>
      </c>
      <c r="AJ68" s="160">
        <v>0.83</v>
      </c>
      <c r="AK68" s="160">
        <v>525</v>
      </c>
      <c r="AL68" s="111">
        <f>(1/3-0.21*(MIN(Table1123457[[#This Row],[b (mm)]],AF68)/MAX(Table1123457[[#This Row],[b (mm)]],AF68))*(MIN(Table1123457[[#This Row],[b (mm)]],AF68)^4/(12*MAX(Table1123457[[#This Row],[b (mm)]],AF68)^4)))*MAX(Table1123457[[#This Row],[b (mm)]],AF68)*MIN(Table1123457[[#This Row],[b (mm)]],AF68)^3</f>
        <v>13274757428.370747</v>
      </c>
      <c r="AM68" s="111">
        <f>Table1123457[[#This Row],[b (mm)]]*AF68^3/12</f>
        <v>80226171875</v>
      </c>
      <c r="AN68" s="111">
        <v>8100</v>
      </c>
      <c r="AP68" s="126"/>
      <c r="AU68" s="371">
        <v>388</v>
      </c>
      <c r="AV68" s="2">
        <f t="shared" si="9"/>
        <v>194</v>
      </c>
    </row>
    <row r="69" spans="1:48" x14ac:dyDescent="0.3">
      <c r="A69" s="164" t="s">
        <v>152</v>
      </c>
      <c r="B69" s="164">
        <v>5</v>
      </c>
      <c r="C69" s="185">
        <v>68</v>
      </c>
      <c r="D69" s="185">
        <f>Table1123457[[#This Row],[a (mm)]]/Table1123457[[#This Row],[d (mm)]]</f>
        <v>2.8928571428571428</v>
      </c>
      <c r="E69" s="239">
        <v>215</v>
      </c>
      <c r="F69" s="137">
        <f>Table1123457[[#This Row],[d (mm)]]</f>
        <v>1400</v>
      </c>
      <c r="G69" s="111">
        <f t="shared" si="7"/>
        <v>870750</v>
      </c>
      <c r="H69" s="135">
        <f t="shared" si="8"/>
        <v>4.1211149794277026E-7</v>
      </c>
      <c r="I69" s="111">
        <f>G69/(Table1123457[[#This Row],[b (mm)]]*Table1123457[[#This Row],[h]]^2)</f>
        <v>1.3340993967250791E-3</v>
      </c>
      <c r="J69" s="135">
        <f t="shared" si="5"/>
        <v>0.32256316862052153</v>
      </c>
      <c r="K69" s="111">
        <f t="shared" si="6"/>
        <v>5.1580104532291657E-7</v>
      </c>
      <c r="L69" s="111">
        <f>E69/(Table1123457[[#This Row],[b (mm)]]*AE69)</f>
        <v>5.1190476190476192E-4</v>
      </c>
      <c r="M69" s="111">
        <f>Table1123457[[#This Row],[M (KN.mm)]]/(Table1123457[[#This Row],[b (mm)]]*Table1123457[[#This Row],[d (mm)]])</f>
        <v>2.0732142857142857</v>
      </c>
      <c r="N69" s="111">
        <f>Table1123457[[#This Row],[M (KN.mm)]]/(Table1123457[[#This Row],[b (mm)]]*Table1123457[[#This Row],[h (mm)]])</f>
        <v>1.9677966101694915</v>
      </c>
      <c r="O69" s="111">
        <f>Table1123457[[#This Row],[M (KN.mm)]]/(Table1123457[[#This Row],[b (mm)]]*Table1123457[[#This Row],[h (mm)]]*Table1123457[[#This Row],[L(mm)]])</f>
        <v>2.4293785310734462E-4</v>
      </c>
      <c r="P69" s="111">
        <f>Table1123457[[#This Row],[M (KN.mm)]]/(Table1123457[[#This Row],[b (mm)]]*Table1123457[[#This Row],[d (mm)]]*Table1123457[[#This Row],[L(mm)]])</f>
        <v>2.5595238095238096E-4</v>
      </c>
      <c r="Q69" s="111">
        <f>Table1123457[[#This Row],[M (KN.mm)]]/(Table1123457[[#This Row],[b (mm)]]*Table1123457[[#This Row],[h (mm)]]*Table1123457[[#This Row],[L(mm)]]*Table1123457[[#This Row],[fc (Mpa)]])</f>
        <v>6.3265065913370998E-6</v>
      </c>
      <c r="R69" s="111">
        <f>Table1123457[[#This Row],[M (KN.mm)]]/(Table1123457[[#This Row],[b (mm)]]*Table1123457[[#This Row],[h (mm)]]*Table1123457[[#This Row],[L(mm)]]/2)</f>
        <v>4.8587570621468925E-4</v>
      </c>
      <c r="S69" s="111">
        <f>Table1123457[[#This Row],[M (KN.mm)]]/(Table1123457[[#This Row],[a (mm)]]*Table1123457[[#This Row],[b (mm)]]*Table1123457[[#This Row],[h (mm)]]*Table1123457[[#This Row],[L(mm)]]/2)</f>
        <v>1.199693101764665E-7</v>
      </c>
      <c r="T69" s="111">
        <f>Table1123457[[#This Row],[M (KN.mm)]]/(Table1123457[[#This Row],[a (mm)]]^2*Table1123457[[#This Row],[b (mm)]]*Table1123457[[#This Row],[h (mm)]])</f>
        <v>1.199693101764665E-7</v>
      </c>
      <c r="U69" s="111">
        <f>Table1123457[[#This Row],[M (KN.mm)]]/(Table1123457[[#This Row],[b (mm)]]*Table1123457[[#This Row],[d (mm)]]*Table1123457[[#This Row],[pho (%)]])</f>
        <v>2.4978485370051633</v>
      </c>
      <c r="V69" s="111">
        <f>E69*224.8/(2*SQRT(Table1123457[[#This Row],[fc (Mpa)]]*145.037)*Table1123457[[#This Row],[b (mm)]]*Table1123457[[#This Row],[d (mm)]]*(1/25.4)^2)</f>
        <v>0.49741387767894268</v>
      </c>
      <c r="W69" s="111">
        <f>Table1123457[[#This Row],[M (KN.mm)]]/$G$71</f>
        <v>0.86172344689378755</v>
      </c>
      <c r="X69" s="111">
        <f>Table1123457[[#This Row],[V/(2*sqrt(fc) bd)]]</f>
        <v>0.49741387767894268</v>
      </c>
      <c r="Y69" s="111">
        <f>Table1123457[[#This Row],[a (mm)]]</f>
        <v>4050</v>
      </c>
      <c r="Z69" s="111">
        <f>Table1123457[[#This Row],[width]]*Table1123457[[#This Row],[h]]^2</f>
        <v>652687500</v>
      </c>
      <c r="AA69" s="111">
        <f>Table1123457[[#This Row],[b (mm)]]</f>
        <v>300</v>
      </c>
      <c r="AB69" s="111">
        <f>Table1123457[[#This Row],[a (mm)]]/Table1123457[[#This Row],[h (mm)]]</f>
        <v>2.7457627118644066</v>
      </c>
      <c r="AC69" s="111">
        <f>Table1123457[[#This Row],[h (mm)]]</f>
        <v>1475</v>
      </c>
      <c r="AD69" s="111">
        <v>4050</v>
      </c>
      <c r="AE69" s="111">
        <v>1400</v>
      </c>
      <c r="AF69" s="111">
        <v>1475</v>
      </c>
      <c r="AG69" s="111">
        <v>300</v>
      </c>
      <c r="AH69" s="7">
        <v>38.4</v>
      </c>
      <c r="AI69" s="111">
        <f>Table1123457[[#This Row],[pho (%)]]*Table1123457[[#This Row],[b (mm)]]*Table1123457[[#This Row],[h (mm)]]/100</f>
        <v>3672.75</v>
      </c>
      <c r="AJ69" s="160">
        <v>0.83</v>
      </c>
      <c r="AK69" s="160">
        <v>525</v>
      </c>
      <c r="AL69" s="111">
        <f>(1/3-0.21*(MIN(Table1123457[[#This Row],[b (mm)]],AF69)/MAX(Table1123457[[#This Row],[b (mm)]],AF69))*(MIN(Table1123457[[#This Row],[b (mm)]],AF69)^4/(12*MAX(Table1123457[[#This Row],[b (mm)]],AF69)^4)))*MAX(Table1123457[[#This Row],[b (mm)]],AF69)*MIN(Table1123457[[#This Row],[b (mm)]],AF69)^3</f>
        <v>13274757428.370747</v>
      </c>
      <c r="AM69" s="111">
        <f>Table1123457[[#This Row],[b (mm)]]*AF69^3/12</f>
        <v>80226171875</v>
      </c>
      <c r="AN69" s="111">
        <v>8100</v>
      </c>
      <c r="AP69" s="126"/>
      <c r="AU69" s="371">
        <v>430</v>
      </c>
      <c r="AV69" s="2">
        <f t="shared" si="9"/>
        <v>215</v>
      </c>
    </row>
    <row r="70" spans="1:48" x14ac:dyDescent="0.3">
      <c r="A70" s="164" t="s">
        <v>152</v>
      </c>
      <c r="B70" s="164">
        <v>6</v>
      </c>
      <c r="C70" s="185">
        <v>69</v>
      </c>
      <c r="D70" s="185">
        <f>Table1123457[[#This Row],[a (mm)]]/Table1123457[[#This Row],[d (mm)]]</f>
        <v>2.8928571428571428</v>
      </c>
      <c r="E70" s="239">
        <v>237.5</v>
      </c>
      <c r="F70" s="137">
        <f>Table1123457[[#This Row],[d (mm)]]</f>
        <v>1400</v>
      </c>
      <c r="G70" s="111">
        <f t="shared" si="7"/>
        <v>961875</v>
      </c>
      <c r="H70" s="135">
        <f t="shared" si="8"/>
        <v>4.5523944540189738E-7</v>
      </c>
      <c r="I70" s="111">
        <f>G70/(Table1123457[[#This Row],[b (mm)]]*Table1123457[[#This Row],[h]]^2)</f>
        <v>1.4737144498707267E-3</v>
      </c>
      <c r="J70" s="135">
        <f t="shared" si="5"/>
        <v>0.35631977929011099</v>
      </c>
      <c r="K70" s="111">
        <f t="shared" si="6"/>
        <v>5.6978022448461717E-7</v>
      </c>
      <c r="L70" s="111">
        <f>E70/(Table1123457[[#This Row],[b (mm)]]*AE70)</f>
        <v>5.6547619047619046E-4</v>
      </c>
      <c r="M70" s="111">
        <f>Table1123457[[#This Row],[M (KN.mm)]]/(Table1123457[[#This Row],[b (mm)]]*Table1123457[[#This Row],[d (mm)]])</f>
        <v>2.2901785714285716</v>
      </c>
      <c r="N70" s="111">
        <f>Table1123457[[#This Row],[M (KN.mm)]]/(Table1123457[[#This Row],[b (mm)]]*Table1123457[[#This Row],[h (mm)]])</f>
        <v>2.1737288135593222</v>
      </c>
      <c r="O70" s="111">
        <f>Table1123457[[#This Row],[M (KN.mm)]]/(Table1123457[[#This Row],[b (mm)]]*Table1123457[[#This Row],[h (mm)]]*Table1123457[[#This Row],[L(mm)]])</f>
        <v>2.6836158192090393E-4</v>
      </c>
      <c r="P70" s="111">
        <f>Table1123457[[#This Row],[M (KN.mm)]]/(Table1123457[[#This Row],[b (mm)]]*Table1123457[[#This Row],[d (mm)]]*Table1123457[[#This Row],[L(mm)]])</f>
        <v>2.8273809523809523E-4</v>
      </c>
      <c r="Q70" s="111">
        <f>Table1123457[[#This Row],[M (KN.mm)]]/(Table1123457[[#This Row],[b (mm)]]*Table1123457[[#This Row],[h (mm)]]*Table1123457[[#This Row],[L(mm)]]*Table1123457[[#This Row],[fc (Mpa)]])</f>
        <v>6.9885828625235402E-6</v>
      </c>
      <c r="R70" s="111">
        <f>Table1123457[[#This Row],[M (KN.mm)]]/(Table1123457[[#This Row],[b (mm)]]*Table1123457[[#This Row],[h (mm)]]*Table1123457[[#This Row],[L(mm)]]/2)</f>
        <v>5.3672316384180787E-4</v>
      </c>
      <c r="S70" s="111">
        <f>Table1123457[[#This Row],[M (KN.mm)]]/(Table1123457[[#This Row],[a (mm)]]*Table1123457[[#This Row],[b (mm)]]*Table1123457[[#This Row],[h (mm)]]*Table1123457[[#This Row],[L(mm)]]/2)</f>
        <v>1.3252423798563159E-7</v>
      </c>
      <c r="T70" s="111">
        <f>Table1123457[[#This Row],[M (KN.mm)]]/(Table1123457[[#This Row],[a (mm)]]^2*Table1123457[[#This Row],[b (mm)]]*Table1123457[[#This Row],[h (mm)]])</f>
        <v>1.3252423798563159E-7</v>
      </c>
      <c r="U70" s="111">
        <f>Table1123457[[#This Row],[M (KN.mm)]]/(Table1123457[[#This Row],[b (mm)]]*Table1123457[[#This Row],[d (mm)]]*Table1123457[[#This Row],[pho (%)]])</f>
        <v>2.7592512908777969</v>
      </c>
      <c r="V70" s="111">
        <f>E70*224.8/(2*SQRT(Table1123457[[#This Row],[fc (Mpa)]]*145.037)*Table1123457[[#This Row],[b (mm)]]*Table1123457[[#This Row],[d (mm)]]*(1/25.4)^2)</f>
        <v>0.54946881836627393</v>
      </c>
      <c r="W70" s="111">
        <f>Table1123457[[#This Row],[M (KN.mm)]]/$G$71</f>
        <v>0.95190380761523041</v>
      </c>
      <c r="X70" s="111">
        <f>Table1123457[[#This Row],[V/(2*sqrt(fc) bd)]]</f>
        <v>0.54946881836627393</v>
      </c>
      <c r="Y70" s="111">
        <f>Table1123457[[#This Row],[a (mm)]]</f>
        <v>4050</v>
      </c>
      <c r="Z70" s="111">
        <f>Table1123457[[#This Row],[width]]*Table1123457[[#This Row],[h]]^2</f>
        <v>652687500</v>
      </c>
      <c r="AA70" s="111">
        <f>Table1123457[[#This Row],[b (mm)]]</f>
        <v>300</v>
      </c>
      <c r="AB70" s="111">
        <f>Table1123457[[#This Row],[a (mm)]]/Table1123457[[#This Row],[h (mm)]]</f>
        <v>2.7457627118644066</v>
      </c>
      <c r="AC70" s="111">
        <f>Table1123457[[#This Row],[h (mm)]]</f>
        <v>1475</v>
      </c>
      <c r="AD70" s="111">
        <v>4050</v>
      </c>
      <c r="AE70" s="111">
        <v>1400</v>
      </c>
      <c r="AF70" s="111">
        <v>1475</v>
      </c>
      <c r="AG70" s="111">
        <v>300</v>
      </c>
      <c r="AH70" s="7">
        <v>38.4</v>
      </c>
      <c r="AI70" s="111">
        <f>Table1123457[[#This Row],[pho (%)]]*Table1123457[[#This Row],[b (mm)]]*Table1123457[[#This Row],[h (mm)]]/100</f>
        <v>3672.75</v>
      </c>
      <c r="AJ70" s="160">
        <v>0.83</v>
      </c>
      <c r="AK70" s="160">
        <v>525</v>
      </c>
      <c r="AL70" s="111">
        <f>(1/3-0.21*(MIN(Table1123457[[#This Row],[b (mm)]],AF70)/MAX(Table1123457[[#This Row],[b (mm)]],AF70))*(MIN(Table1123457[[#This Row],[b (mm)]],AF70)^4/(12*MAX(Table1123457[[#This Row],[b (mm)]],AF70)^4)))*MAX(Table1123457[[#This Row],[b (mm)]],AF70)*MIN(Table1123457[[#This Row],[b (mm)]],AF70)^3</f>
        <v>13274757428.370747</v>
      </c>
      <c r="AM70" s="111">
        <f>Table1123457[[#This Row],[b (mm)]]*AF70^3/12</f>
        <v>80226171875</v>
      </c>
      <c r="AN70" s="111">
        <v>8100</v>
      </c>
      <c r="AP70" s="126"/>
      <c r="AU70" s="371">
        <v>475</v>
      </c>
      <c r="AV70" s="2">
        <f t="shared" si="9"/>
        <v>237.5</v>
      </c>
    </row>
    <row r="71" spans="1:48" x14ac:dyDescent="0.3">
      <c r="A71" s="164" t="s">
        <v>152</v>
      </c>
      <c r="B71" s="164" t="s">
        <v>142</v>
      </c>
      <c r="C71" s="185">
        <v>70</v>
      </c>
      <c r="D71" s="185">
        <f>Table1123457[[#This Row],[a (mm)]]/Table1123457[[#This Row],[d (mm)]]</f>
        <v>2.8928571428571428</v>
      </c>
      <c r="E71" s="239">
        <v>249.5</v>
      </c>
      <c r="F71" s="137">
        <f>Table1123457[[#This Row],[d (mm)]]</f>
        <v>1400</v>
      </c>
      <c r="G71" s="111">
        <f t="shared" si="7"/>
        <v>1010475</v>
      </c>
      <c r="H71" s="135">
        <f t="shared" si="8"/>
        <v>4.7824101738009847E-7</v>
      </c>
      <c r="I71" s="111">
        <f>G71/(Table1123457[[#This Row],[b (mm)]]*Table1123457[[#This Row],[h]]^2)</f>
        <v>1.5481758115484057E-3</v>
      </c>
      <c r="J71" s="135">
        <f t="shared" si="5"/>
        <v>0.37432330498055871</v>
      </c>
      <c r="K71" s="111">
        <f t="shared" si="6"/>
        <v>5.9856912003752417E-7</v>
      </c>
      <c r="L71" s="111">
        <f>E71/(Table1123457[[#This Row],[b (mm)]]*AE71)</f>
        <v>5.9404761904761905E-4</v>
      </c>
      <c r="M71" s="111">
        <f>Table1123457[[#This Row],[M (KN.mm)]]/(Table1123457[[#This Row],[b (mm)]]*Table1123457[[#This Row],[d (mm)]])</f>
        <v>2.4058928571428573</v>
      </c>
      <c r="N71" s="111">
        <f>Table1123457[[#This Row],[M (KN.mm)]]/(Table1123457[[#This Row],[b (mm)]]*Table1123457[[#This Row],[h (mm)]])</f>
        <v>2.2835593220338981</v>
      </c>
      <c r="O71" s="111">
        <f>Table1123457[[#This Row],[M (KN.mm)]]/(Table1123457[[#This Row],[b (mm)]]*Table1123457[[#This Row],[h (mm)]]*Table1123457[[#This Row],[L(mm)]])</f>
        <v>2.8192090395480224E-4</v>
      </c>
      <c r="P71" s="111">
        <f>Table1123457[[#This Row],[M (KN.mm)]]/(Table1123457[[#This Row],[b (mm)]]*Table1123457[[#This Row],[d (mm)]]*Table1123457[[#This Row],[L(mm)]])</f>
        <v>2.9702380952380952E-4</v>
      </c>
      <c r="Q71" s="111">
        <f>Table1123457[[#This Row],[M (KN.mm)]]/(Table1123457[[#This Row],[b (mm)]]*Table1123457[[#This Row],[h (mm)]]*Table1123457[[#This Row],[L(mm)]]*Table1123457[[#This Row],[fc (Mpa)]])</f>
        <v>7.341690207156309E-6</v>
      </c>
      <c r="R71" s="111">
        <f>Table1123457[[#This Row],[M (KN.mm)]]/(Table1123457[[#This Row],[b (mm)]]*Table1123457[[#This Row],[h (mm)]]*Table1123457[[#This Row],[L(mm)]]/2)</f>
        <v>5.6384180790960449E-4</v>
      </c>
      <c r="S71" s="111">
        <f>Table1123457[[#This Row],[M (KN.mm)]]/(Table1123457[[#This Row],[a (mm)]]*Table1123457[[#This Row],[b (mm)]]*Table1123457[[#This Row],[h (mm)]]*Table1123457[[#This Row],[L(mm)]]/2)</f>
        <v>1.3922019948385297E-7</v>
      </c>
      <c r="T71" s="111">
        <f>Table1123457[[#This Row],[M (KN.mm)]]/(Table1123457[[#This Row],[a (mm)]]^2*Table1123457[[#This Row],[b (mm)]]*Table1123457[[#This Row],[h (mm)]])</f>
        <v>1.3922019948385297E-7</v>
      </c>
      <c r="U71" s="111">
        <f>Table1123457[[#This Row],[M (KN.mm)]]/(Table1123457[[#This Row],[b (mm)]]*Table1123457[[#This Row],[d (mm)]]*Table1123457[[#This Row],[pho (%)]])</f>
        <v>2.8986660929432015</v>
      </c>
      <c r="V71" s="111">
        <f>E71*224.8/(2*SQRT(Table1123457[[#This Row],[fc (Mpa)]]*145.037)*Table1123457[[#This Row],[b (mm)]]*Table1123457[[#This Row],[d (mm)]]*(1/25.4)^2)</f>
        <v>0.57723145339951731</v>
      </c>
      <c r="W71" s="111">
        <f>Table1123457[[#This Row],[M (KN.mm)]]/$G$71</f>
        <v>1</v>
      </c>
      <c r="X71" s="111">
        <f>Table1123457[[#This Row],[V/(2*sqrt(fc) bd)]]</f>
        <v>0.57723145339951731</v>
      </c>
      <c r="Y71" s="111">
        <f>Table1123457[[#This Row],[a (mm)]]</f>
        <v>4050</v>
      </c>
      <c r="Z71" s="111">
        <f>Table1123457[[#This Row],[width]]*Table1123457[[#This Row],[h]]^2</f>
        <v>652687500</v>
      </c>
      <c r="AA71" s="111">
        <f>Table1123457[[#This Row],[b (mm)]]</f>
        <v>300</v>
      </c>
      <c r="AB71" s="111">
        <f>Table1123457[[#This Row],[a (mm)]]/Table1123457[[#This Row],[h (mm)]]</f>
        <v>2.7457627118644066</v>
      </c>
      <c r="AC71" s="111">
        <f>Table1123457[[#This Row],[h (mm)]]</f>
        <v>1475</v>
      </c>
      <c r="AD71" s="111">
        <v>4050</v>
      </c>
      <c r="AE71" s="111">
        <v>1400</v>
      </c>
      <c r="AF71" s="111">
        <v>1475</v>
      </c>
      <c r="AG71" s="111">
        <v>300</v>
      </c>
      <c r="AH71" s="7">
        <v>38.4</v>
      </c>
      <c r="AI71" s="111">
        <f>Table1123457[[#This Row],[pho (%)]]*Table1123457[[#This Row],[b (mm)]]*Table1123457[[#This Row],[h (mm)]]/100</f>
        <v>3672.75</v>
      </c>
      <c r="AJ71" s="160">
        <v>0.83</v>
      </c>
      <c r="AK71" s="160">
        <v>525</v>
      </c>
      <c r="AL71" s="111">
        <f>(1/3-0.21*(MIN(Table1123457[[#This Row],[b (mm)]],AF71)/MAX(Table1123457[[#This Row],[b (mm)]],AF71))*(MIN(Table1123457[[#This Row],[b (mm)]],AF71)^4/(12*MAX(Table1123457[[#This Row],[b (mm)]],AF71)^4)))*MAX(Table1123457[[#This Row],[b (mm)]],AF71)*MIN(Table1123457[[#This Row],[b (mm)]],AF71)^3</f>
        <v>13274757428.370747</v>
      </c>
      <c r="AM71" s="111">
        <f>Table1123457[[#This Row],[b (mm)]]*AF71^3/12</f>
        <v>80226171875</v>
      </c>
      <c r="AN71" s="111">
        <v>8100</v>
      </c>
      <c r="AP71" s="126"/>
      <c r="AU71" s="371">
        <v>499</v>
      </c>
      <c r="AV71" s="2">
        <f t="shared" si="9"/>
        <v>249.5</v>
      </c>
    </row>
    <row r="72" spans="1:48" x14ac:dyDescent="0.3">
      <c r="A72" s="245" t="s">
        <v>153</v>
      </c>
      <c r="B72" s="245">
        <v>1</v>
      </c>
      <c r="C72" s="185">
        <v>71</v>
      </c>
      <c r="D72" s="185">
        <f>Table1123457[[#This Row],[a (mm)]]/Table1123457[[#This Row],[d (mm)]]</f>
        <v>2.8928571428571428</v>
      </c>
      <c r="E72" s="224">
        <v>80</v>
      </c>
      <c r="F72" s="137">
        <f>Table1123457[[#This Row],[d (mm)]]</f>
        <v>1400</v>
      </c>
      <c r="G72" s="111">
        <f t="shared" si="7"/>
        <v>324000</v>
      </c>
      <c r="H72" s="135">
        <f t="shared" si="8"/>
        <v>1.5334381318800755E-7</v>
      </c>
      <c r="I72" s="111">
        <f>G72/(Table1123457[[#This Row],[b (mm)]]*Table1123457[[#This Row],[h]]^2)</f>
        <v>4.9640907785119214E-4</v>
      </c>
      <c r="J72" s="135">
        <f t="shared" si="5"/>
        <v>0.12002350460298475</v>
      </c>
      <c r="K72" s="111">
        <f t="shared" si="6"/>
        <v>1.9192597035271317E-7</v>
      </c>
      <c r="L72" s="111">
        <f>E72/(Table1123457[[#This Row],[b (mm)]]*AE72)</f>
        <v>1.9047619047619048E-4</v>
      </c>
      <c r="M72" s="111">
        <f>Table1123457[[#This Row],[M (KN.mm)]]/(Table1123457[[#This Row],[b (mm)]]*Table1123457[[#This Row],[d (mm)]])</f>
        <v>0.77142857142857146</v>
      </c>
      <c r="N72" s="111">
        <f>Table1123457[[#This Row],[M (KN.mm)]]/(Table1123457[[#This Row],[b (mm)]]*Table1123457[[#This Row],[h (mm)]])</f>
        <v>0.73220338983050848</v>
      </c>
      <c r="O72" s="111">
        <f>Table1123457[[#This Row],[M (KN.mm)]]/(Table1123457[[#This Row],[b (mm)]]*Table1123457[[#This Row],[h (mm)]]*Table1123457[[#This Row],[L(mm)]])</f>
        <v>9.0395480225988699E-5</v>
      </c>
      <c r="P72" s="111">
        <f>Table1123457[[#This Row],[M (KN.mm)]]/(Table1123457[[#This Row],[b (mm)]]*Table1123457[[#This Row],[d (mm)]]*Table1123457[[#This Row],[L(mm)]])</f>
        <v>9.5238095238095241E-5</v>
      </c>
      <c r="Q72" s="111">
        <f>Table1123457[[#This Row],[M (KN.mm)]]/(Table1123457[[#This Row],[b (mm)]]*Table1123457[[#This Row],[h (mm)]]*Table1123457[[#This Row],[L(mm)]]*Table1123457[[#This Row],[fc (Mpa)]])</f>
        <v>2.2430640254587768E-6</v>
      </c>
      <c r="R72" s="111">
        <f>Table1123457[[#This Row],[M (KN.mm)]]/(Table1123457[[#This Row],[b (mm)]]*Table1123457[[#This Row],[h (mm)]]*Table1123457[[#This Row],[L(mm)]]/2)</f>
        <v>1.807909604519774E-4</v>
      </c>
      <c r="S72" s="111">
        <f>Table1123457[[#This Row],[M (KN.mm)]]/(Table1123457[[#This Row],[a (mm)]]*Table1123457[[#This Row],[b (mm)]]*Table1123457[[#This Row],[h (mm)]]*Table1123457[[#This Row],[L(mm)]]/2)</f>
        <v>4.4639743321475899E-8</v>
      </c>
      <c r="T72" s="111">
        <f>Table1123457[[#This Row],[M (KN.mm)]]/(Table1123457[[#This Row],[a (mm)]]^2*Table1123457[[#This Row],[b (mm)]]*Table1123457[[#This Row],[h (mm)]])</f>
        <v>4.4639743321475899E-8</v>
      </c>
      <c r="U72" s="111">
        <f>Table1123457[[#This Row],[M (KN.mm)]]/(Table1123457[[#This Row],[b (mm)]]*Table1123457[[#This Row],[d (mm)]]*Table1123457[[#This Row],[pho (%)]])</f>
        <v>0.92943201376936313</v>
      </c>
      <c r="V72" s="111">
        <f>E72*224.8/(2*SQRT(Table1123457[[#This Row],[fc (Mpa)]]*145.037)*Table1123457[[#This Row],[b (mm)]]*Table1123457[[#This Row],[d (mm)]]*(1/25.4)^2)</f>
        <v>0.18066853124941709</v>
      </c>
      <c r="W72" s="111">
        <f>Table1123457[[#This Row],[M (KN.mm)]]/$G$77</f>
        <v>0.3524229074889868</v>
      </c>
      <c r="X72" s="111">
        <f>Table1123457[[#This Row],[V/(2*sqrt(fc) bd)]]</f>
        <v>0.18066853124941709</v>
      </c>
      <c r="Y72" s="111">
        <f>Table1123457[[#This Row],[a (mm)]]</f>
        <v>4050</v>
      </c>
      <c r="Z72" s="111">
        <f>Table1123457[[#This Row],[width]]*Table1123457[[#This Row],[h]]^2</f>
        <v>652687500</v>
      </c>
      <c r="AA72" s="111">
        <f>Table1123457[[#This Row],[b (mm)]]</f>
        <v>300</v>
      </c>
      <c r="AB72" s="111">
        <f>Table1123457[[#This Row],[a (mm)]]/Table1123457[[#This Row],[h (mm)]]</f>
        <v>2.7457627118644066</v>
      </c>
      <c r="AC72" s="111">
        <f>Table1123457[[#This Row],[h (mm)]]</f>
        <v>1475</v>
      </c>
      <c r="AD72" s="111">
        <v>4050</v>
      </c>
      <c r="AE72" s="111">
        <v>1400</v>
      </c>
      <c r="AF72" s="111">
        <v>1475</v>
      </c>
      <c r="AG72" s="111">
        <v>300</v>
      </c>
      <c r="AH72" s="7">
        <v>40.299999999999997</v>
      </c>
      <c r="AI72" s="111">
        <f>Table1123457[[#This Row],[pho (%)]]*Table1123457[[#This Row],[b (mm)]]*Table1123457[[#This Row],[h (mm)]]/100</f>
        <v>3672.75</v>
      </c>
      <c r="AJ72" s="160">
        <v>0.83</v>
      </c>
      <c r="AK72" s="160">
        <v>525</v>
      </c>
      <c r="AL72" s="111">
        <f>(1/3-0.21*(MIN(Table1123457[[#This Row],[b (mm)]],AF72)/MAX(Table1123457[[#This Row],[b (mm)]],AF72))*(MIN(Table1123457[[#This Row],[b (mm)]],AF72)^4/(12*MAX(Table1123457[[#This Row],[b (mm)]],AF72)^4)))*MAX(Table1123457[[#This Row],[b (mm)]],AF72)*MIN(Table1123457[[#This Row],[b (mm)]],AF72)^3</f>
        <v>13274757428.370747</v>
      </c>
      <c r="AM72" s="111">
        <f>Table1123457[[#This Row],[b (mm)]]*AF72^3/12</f>
        <v>80226171875</v>
      </c>
      <c r="AN72" s="111">
        <v>8100</v>
      </c>
      <c r="AP72" s="126"/>
      <c r="AU72" s="365">
        <v>160</v>
      </c>
      <c r="AV72" s="2">
        <f t="shared" si="9"/>
        <v>80</v>
      </c>
    </row>
    <row r="73" spans="1:48" x14ac:dyDescent="0.3">
      <c r="A73" s="245" t="s">
        <v>153</v>
      </c>
      <c r="B73" s="161">
        <v>2</v>
      </c>
      <c r="C73" s="185">
        <v>72</v>
      </c>
      <c r="D73" s="185">
        <f>Table1123457[[#This Row],[a (mm)]]/Table1123457[[#This Row],[d (mm)]]</f>
        <v>2.8928571428571428</v>
      </c>
      <c r="E73" s="224">
        <v>112.5</v>
      </c>
      <c r="F73" s="137">
        <f>Table1123457[[#This Row],[d (mm)]]</f>
        <v>1400</v>
      </c>
      <c r="G73" s="111">
        <f t="shared" si="7"/>
        <v>455625</v>
      </c>
      <c r="H73" s="135">
        <f t="shared" si="8"/>
        <v>2.1563973729563561E-7</v>
      </c>
      <c r="I73" s="111">
        <f>G73/(Table1123457[[#This Row],[b (mm)]]*Table1123457[[#This Row],[h]]^2)</f>
        <v>6.9807526572823904E-4</v>
      </c>
      <c r="J73" s="135">
        <f t="shared" si="5"/>
        <v>0.1687830533479473</v>
      </c>
      <c r="K73" s="111">
        <f t="shared" si="6"/>
        <v>2.6989589580850289E-7</v>
      </c>
      <c r="L73" s="111">
        <f>E73/(Table1123457[[#This Row],[b (mm)]]*AE73)</f>
        <v>2.6785714285714287E-4</v>
      </c>
      <c r="M73" s="111">
        <f>Table1123457[[#This Row],[M (KN.mm)]]/(Table1123457[[#This Row],[b (mm)]]*Table1123457[[#This Row],[d (mm)]])</f>
        <v>1.0848214285714286</v>
      </c>
      <c r="N73" s="111">
        <f>Table1123457[[#This Row],[M (KN.mm)]]/(Table1123457[[#This Row],[b (mm)]]*Table1123457[[#This Row],[h (mm)]])</f>
        <v>1.0296610169491525</v>
      </c>
      <c r="O73" s="111">
        <f>Table1123457[[#This Row],[M (KN.mm)]]/(Table1123457[[#This Row],[b (mm)]]*Table1123457[[#This Row],[h (mm)]]*Table1123457[[#This Row],[L(mm)]])</f>
        <v>1.2711864406779661E-4</v>
      </c>
      <c r="P73" s="111">
        <f>Table1123457[[#This Row],[M (KN.mm)]]/(Table1123457[[#This Row],[b (mm)]]*Table1123457[[#This Row],[d (mm)]]*Table1123457[[#This Row],[L(mm)]])</f>
        <v>1.3392857142857144E-4</v>
      </c>
      <c r="Q73" s="111">
        <f>Table1123457[[#This Row],[M (KN.mm)]]/(Table1123457[[#This Row],[b (mm)]]*Table1123457[[#This Row],[h (mm)]]*Table1123457[[#This Row],[L(mm)]]*Table1123457[[#This Row],[fc (Mpa)]])</f>
        <v>3.1543087858014046E-6</v>
      </c>
      <c r="R73" s="111">
        <f>Table1123457[[#This Row],[M (KN.mm)]]/(Table1123457[[#This Row],[b (mm)]]*Table1123457[[#This Row],[h (mm)]]*Table1123457[[#This Row],[L(mm)]]/2)</f>
        <v>2.5423728813559322E-4</v>
      </c>
      <c r="S73" s="111">
        <f>Table1123457[[#This Row],[M (KN.mm)]]/(Table1123457[[#This Row],[a (mm)]]*Table1123457[[#This Row],[b (mm)]]*Table1123457[[#This Row],[h (mm)]]*Table1123457[[#This Row],[L(mm)]]/2)</f>
        <v>6.277463904582548E-8</v>
      </c>
      <c r="T73" s="111">
        <f>Table1123457[[#This Row],[M (KN.mm)]]/(Table1123457[[#This Row],[a (mm)]]^2*Table1123457[[#This Row],[b (mm)]]*Table1123457[[#This Row],[h (mm)]])</f>
        <v>6.277463904582548E-8</v>
      </c>
      <c r="U73" s="111">
        <f>Table1123457[[#This Row],[M (KN.mm)]]/(Table1123457[[#This Row],[b (mm)]]*Table1123457[[#This Row],[d (mm)]]*Table1123457[[#This Row],[pho (%)]])</f>
        <v>1.3070137693631669</v>
      </c>
      <c r="V73" s="111">
        <f>E73*224.8/(2*SQRT(Table1123457[[#This Row],[fc (Mpa)]]*145.037)*Table1123457[[#This Row],[b (mm)]]*Table1123457[[#This Row],[d (mm)]]*(1/25.4)^2)</f>
        <v>0.25406512206949278</v>
      </c>
      <c r="W73" s="111">
        <f>Table1123457[[#This Row],[M (KN.mm)]]/$G$77</f>
        <v>0.49559471365638769</v>
      </c>
      <c r="X73" s="111">
        <f>Table1123457[[#This Row],[V/(2*sqrt(fc) bd)]]</f>
        <v>0.25406512206949278</v>
      </c>
      <c r="Y73" s="111">
        <f>Table1123457[[#This Row],[a (mm)]]</f>
        <v>4050</v>
      </c>
      <c r="Z73" s="111">
        <f>Table1123457[[#This Row],[width]]*Table1123457[[#This Row],[h]]^2</f>
        <v>652687500</v>
      </c>
      <c r="AA73" s="111">
        <f>Table1123457[[#This Row],[b (mm)]]</f>
        <v>300</v>
      </c>
      <c r="AB73" s="111">
        <f>Table1123457[[#This Row],[a (mm)]]/Table1123457[[#This Row],[h (mm)]]</f>
        <v>2.7457627118644066</v>
      </c>
      <c r="AC73" s="111">
        <f>Table1123457[[#This Row],[h (mm)]]</f>
        <v>1475</v>
      </c>
      <c r="AD73" s="111">
        <v>4050</v>
      </c>
      <c r="AE73" s="111">
        <v>1400</v>
      </c>
      <c r="AF73" s="111">
        <v>1475</v>
      </c>
      <c r="AG73" s="111">
        <v>300</v>
      </c>
      <c r="AH73" s="7">
        <v>40.299999999999997</v>
      </c>
      <c r="AI73" s="111">
        <f>Table1123457[[#This Row],[pho (%)]]*Table1123457[[#This Row],[b (mm)]]*Table1123457[[#This Row],[h (mm)]]/100</f>
        <v>3672.75</v>
      </c>
      <c r="AJ73" s="160">
        <v>0.83</v>
      </c>
      <c r="AK73" s="160">
        <v>525</v>
      </c>
      <c r="AL73" s="111">
        <f>(1/3-0.21*(MIN(Table1123457[[#This Row],[b (mm)]],AF73)/MAX(Table1123457[[#This Row],[b (mm)]],AF73))*(MIN(Table1123457[[#This Row],[b (mm)]],AF73)^4/(12*MAX(Table1123457[[#This Row],[b (mm)]],AF73)^4)))*MAX(Table1123457[[#This Row],[b (mm)]],AF73)*MIN(Table1123457[[#This Row],[b (mm)]],AF73)^3</f>
        <v>13274757428.370747</v>
      </c>
      <c r="AM73" s="111">
        <f>Table1123457[[#This Row],[b (mm)]]*AF73^3/12</f>
        <v>80226171875</v>
      </c>
      <c r="AN73" s="111">
        <v>8100</v>
      </c>
      <c r="AP73" s="126"/>
      <c r="AU73" s="365">
        <v>225</v>
      </c>
      <c r="AV73" s="2">
        <f t="shared" si="9"/>
        <v>112.5</v>
      </c>
    </row>
    <row r="74" spans="1:48" x14ac:dyDescent="0.3">
      <c r="A74" s="245" t="s">
        <v>153</v>
      </c>
      <c r="B74" s="161">
        <v>3</v>
      </c>
      <c r="C74" s="185">
        <v>73</v>
      </c>
      <c r="D74" s="185">
        <f>Table1123457[[#This Row],[a (mm)]]/Table1123457[[#This Row],[d (mm)]]</f>
        <v>2.8928571428571428</v>
      </c>
      <c r="E74" s="224">
        <v>175</v>
      </c>
      <c r="F74" s="137">
        <f>Table1123457[[#This Row],[d (mm)]]</f>
        <v>1400</v>
      </c>
      <c r="G74" s="111">
        <f t="shared" si="7"/>
        <v>708750</v>
      </c>
      <c r="H74" s="135">
        <f t="shared" si="8"/>
        <v>3.3543959134876649E-7</v>
      </c>
      <c r="I74" s="111">
        <f>G74/(Table1123457[[#This Row],[b (mm)]]*Table1123457[[#This Row],[h]]^2)</f>
        <v>1.0858948577994829E-3</v>
      </c>
      <c r="J74" s="135">
        <f t="shared" si="5"/>
        <v>0.26255141631902912</v>
      </c>
      <c r="K74" s="111">
        <f t="shared" si="6"/>
        <v>4.1983806014656003E-7</v>
      </c>
      <c r="L74" s="111">
        <f>E74/(Table1123457[[#This Row],[b (mm)]]*AE74)</f>
        <v>4.1666666666666669E-4</v>
      </c>
      <c r="M74" s="111">
        <f>Table1123457[[#This Row],[M (KN.mm)]]/(Table1123457[[#This Row],[b (mm)]]*Table1123457[[#This Row],[d (mm)]])</f>
        <v>1.6875</v>
      </c>
      <c r="N74" s="111">
        <f>Table1123457[[#This Row],[M (KN.mm)]]/(Table1123457[[#This Row],[b (mm)]]*Table1123457[[#This Row],[h (mm)]])</f>
        <v>1.6016949152542372</v>
      </c>
      <c r="O74" s="111">
        <f>Table1123457[[#This Row],[M (KN.mm)]]/(Table1123457[[#This Row],[b (mm)]]*Table1123457[[#This Row],[h (mm)]]*Table1123457[[#This Row],[L(mm)]])</f>
        <v>1.9774011299435027E-4</v>
      </c>
      <c r="P74" s="111">
        <f>Table1123457[[#This Row],[M (KN.mm)]]/(Table1123457[[#This Row],[b (mm)]]*Table1123457[[#This Row],[d (mm)]]*Table1123457[[#This Row],[L(mm)]])</f>
        <v>2.0833333333333335E-4</v>
      </c>
      <c r="Q74" s="111">
        <f>Table1123457[[#This Row],[M (KN.mm)]]/(Table1123457[[#This Row],[b (mm)]]*Table1123457[[#This Row],[h (mm)]]*Table1123457[[#This Row],[L(mm)]]*Table1123457[[#This Row],[fc (Mpa)]])</f>
        <v>4.9067025556910739E-6</v>
      </c>
      <c r="R74" s="111">
        <f>Table1123457[[#This Row],[M (KN.mm)]]/(Table1123457[[#This Row],[b (mm)]]*Table1123457[[#This Row],[h (mm)]]*Table1123457[[#This Row],[L(mm)]]/2)</f>
        <v>3.9548022598870055E-4</v>
      </c>
      <c r="S74" s="111">
        <f>Table1123457[[#This Row],[M (KN.mm)]]/(Table1123457[[#This Row],[a (mm)]]*Table1123457[[#This Row],[b (mm)]]*Table1123457[[#This Row],[h (mm)]]*Table1123457[[#This Row],[L(mm)]]/2)</f>
        <v>9.7649438515728534E-8</v>
      </c>
      <c r="T74" s="111">
        <f>Table1123457[[#This Row],[M (KN.mm)]]/(Table1123457[[#This Row],[a (mm)]]^2*Table1123457[[#This Row],[b (mm)]]*Table1123457[[#This Row],[h (mm)]])</f>
        <v>9.7649438515728534E-8</v>
      </c>
      <c r="U74" s="111">
        <f>Table1123457[[#This Row],[M (KN.mm)]]/(Table1123457[[#This Row],[b (mm)]]*Table1123457[[#This Row],[d (mm)]]*Table1123457[[#This Row],[pho (%)]])</f>
        <v>2.0331325301204819</v>
      </c>
      <c r="V74" s="111">
        <f>E74*224.8/(2*SQRT(Table1123457[[#This Row],[fc (Mpa)]]*145.037)*Table1123457[[#This Row],[b (mm)]]*Table1123457[[#This Row],[d (mm)]]*(1/25.4)^2)</f>
        <v>0.39521241210809988</v>
      </c>
      <c r="W74" s="111">
        <f>Table1123457[[#This Row],[M (KN.mm)]]/$G$77</f>
        <v>0.77092511013215859</v>
      </c>
      <c r="X74" s="111">
        <f>Table1123457[[#This Row],[V/(2*sqrt(fc) bd)]]</f>
        <v>0.39521241210809988</v>
      </c>
      <c r="Y74" s="111">
        <f>Table1123457[[#This Row],[a (mm)]]</f>
        <v>4050</v>
      </c>
      <c r="Z74" s="111">
        <f>Table1123457[[#This Row],[width]]*Table1123457[[#This Row],[h]]^2</f>
        <v>652687500</v>
      </c>
      <c r="AA74" s="111">
        <f>Table1123457[[#This Row],[b (mm)]]</f>
        <v>300</v>
      </c>
      <c r="AB74" s="111">
        <f>Table1123457[[#This Row],[a (mm)]]/Table1123457[[#This Row],[h (mm)]]</f>
        <v>2.7457627118644066</v>
      </c>
      <c r="AC74" s="111">
        <f>Table1123457[[#This Row],[h (mm)]]</f>
        <v>1475</v>
      </c>
      <c r="AD74" s="111">
        <v>4050</v>
      </c>
      <c r="AE74" s="111">
        <v>1400</v>
      </c>
      <c r="AF74" s="111">
        <v>1475</v>
      </c>
      <c r="AG74" s="111">
        <v>300</v>
      </c>
      <c r="AH74" s="7">
        <v>40.299999999999997</v>
      </c>
      <c r="AI74" s="111">
        <f>Table1123457[[#This Row],[pho (%)]]*Table1123457[[#This Row],[b (mm)]]*Table1123457[[#This Row],[h (mm)]]/100</f>
        <v>3672.75</v>
      </c>
      <c r="AJ74" s="160">
        <v>0.83</v>
      </c>
      <c r="AK74" s="160">
        <v>525</v>
      </c>
      <c r="AL74" s="111">
        <f>(1/3-0.21*(MIN(Table1123457[[#This Row],[b (mm)]],AF74)/MAX(Table1123457[[#This Row],[b (mm)]],AF74))*(MIN(Table1123457[[#This Row],[b (mm)]],AF74)^4/(12*MAX(Table1123457[[#This Row],[b (mm)]],AF74)^4)))*MAX(Table1123457[[#This Row],[b (mm)]],AF74)*MIN(Table1123457[[#This Row],[b (mm)]],AF74)^3</f>
        <v>13274757428.370747</v>
      </c>
      <c r="AM74" s="111">
        <f>Table1123457[[#This Row],[b (mm)]]*AF74^3/12</f>
        <v>80226171875</v>
      </c>
      <c r="AN74" s="111">
        <v>8100</v>
      </c>
      <c r="AP74" s="126"/>
      <c r="AU74" s="365">
        <v>350</v>
      </c>
      <c r="AV74" s="2">
        <f t="shared" si="9"/>
        <v>175</v>
      </c>
    </row>
    <row r="75" spans="1:48" x14ac:dyDescent="0.3">
      <c r="A75" s="245" t="s">
        <v>153</v>
      </c>
      <c r="B75" s="161">
        <v>4</v>
      </c>
      <c r="C75" s="185">
        <v>74</v>
      </c>
      <c r="D75" s="185">
        <f>Table1123457[[#This Row],[a (mm)]]/Table1123457[[#This Row],[d (mm)]]</f>
        <v>2.8928571428571428</v>
      </c>
      <c r="E75" s="224">
        <v>210</v>
      </c>
      <c r="F75" s="137">
        <f>Table1123457[[#This Row],[d (mm)]]</f>
        <v>1400</v>
      </c>
      <c r="G75" s="111">
        <f t="shared" si="7"/>
        <v>850500</v>
      </c>
      <c r="H75" s="135">
        <f t="shared" si="8"/>
        <v>4.0252750961851977E-7</v>
      </c>
      <c r="I75" s="111">
        <f>G75/(Table1123457[[#This Row],[b (mm)]]*Table1123457[[#This Row],[h]]^2)</f>
        <v>1.3030738293593794E-3</v>
      </c>
      <c r="J75" s="135">
        <f t="shared" si="5"/>
        <v>0.31506169958283498</v>
      </c>
      <c r="K75" s="111">
        <f t="shared" si="6"/>
        <v>5.0380567217587208E-7</v>
      </c>
      <c r="L75" s="111">
        <f>E75/(Table1123457[[#This Row],[b (mm)]]*AE75)</f>
        <v>5.0000000000000001E-4</v>
      </c>
      <c r="M75" s="111">
        <f>Table1123457[[#This Row],[M (KN.mm)]]/(Table1123457[[#This Row],[b (mm)]]*Table1123457[[#This Row],[d (mm)]])</f>
        <v>2.0249999999999999</v>
      </c>
      <c r="N75" s="111">
        <f>Table1123457[[#This Row],[M (KN.mm)]]/(Table1123457[[#This Row],[b (mm)]]*Table1123457[[#This Row],[h (mm)]])</f>
        <v>1.9220338983050846</v>
      </c>
      <c r="O75" s="111">
        <f>Table1123457[[#This Row],[M (KN.mm)]]/(Table1123457[[#This Row],[b (mm)]]*Table1123457[[#This Row],[h (mm)]]*Table1123457[[#This Row],[L(mm)]])</f>
        <v>2.3728813559322035E-4</v>
      </c>
      <c r="P75" s="111">
        <f>Table1123457[[#This Row],[M (KN.mm)]]/(Table1123457[[#This Row],[b (mm)]]*Table1123457[[#This Row],[d (mm)]]*Table1123457[[#This Row],[L(mm)]])</f>
        <v>2.5000000000000001E-4</v>
      </c>
      <c r="Q75" s="111">
        <f>Table1123457[[#This Row],[M (KN.mm)]]/(Table1123457[[#This Row],[b (mm)]]*Table1123457[[#This Row],[h (mm)]]*Table1123457[[#This Row],[L(mm)]]*Table1123457[[#This Row],[fc (Mpa)]])</f>
        <v>5.8880430668292888E-6</v>
      </c>
      <c r="R75" s="111">
        <f>Table1123457[[#This Row],[M (KN.mm)]]/(Table1123457[[#This Row],[b (mm)]]*Table1123457[[#This Row],[h (mm)]]*Table1123457[[#This Row],[L(mm)]]/2)</f>
        <v>4.745762711864407E-4</v>
      </c>
      <c r="S75" s="111">
        <f>Table1123457[[#This Row],[M (KN.mm)]]/(Table1123457[[#This Row],[a (mm)]]*Table1123457[[#This Row],[b (mm)]]*Table1123457[[#This Row],[h (mm)]]*Table1123457[[#This Row],[L(mm)]]/2)</f>
        <v>1.1717932621887424E-7</v>
      </c>
      <c r="T75" s="111">
        <f>Table1123457[[#This Row],[M (KN.mm)]]/(Table1123457[[#This Row],[a (mm)]]^2*Table1123457[[#This Row],[b (mm)]]*Table1123457[[#This Row],[h (mm)]])</f>
        <v>1.1717932621887424E-7</v>
      </c>
      <c r="U75" s="111">
        <f>Table1123457[[#This Row],[M (KN.mm)]]/(Table1123457[[#This Row],[b (mm)]]*Table1123457[[#This Row],[d (mm)]]*Table1123457[[#This Row],[pho (%)]])</f>
        <v>2.4397590361445785</v>
      </c>
      <c r="V75" s="111">
        <f>E75*224.8/(2*SQRT(Table1123457[[#This Row],[fc (Mpa)]]*145.037)*Table1123457[[#This Row],[b (mm)]]*Table1123457[[#This Row],[d (mm)]]*(1/25.4)^2)</f>
        <v>0.47425489452971986</v>
      </c>
      <c r="W75" s="111">
        <f>Table1123457[[#This Row],[M (KN.mm)]]/$G$77</f>
        <v>0.92511013215859028</v>
      </c>
      <c r="X75" s="111">
        <f>Table1123457[[#This Row],[V/(2*sqrt(fc) bd)]]</f>
        <v>0.47425489452971986</v>
      </c>
      <c r="Y75" s="111">
        <f>Table1123457[[#This Row],[a (mm)]]</f>
        <v>4050</v>
      </c>
      <c r="Z75" s="111">
        <f>Table1123457[[#This Row],[width]]*Table1123457[[#This Row],[h]]^2</f>
        <v>652687500</v>
      </c>
      <c r="AA75" s="111">
        <f>Table1123457[[#This Row],[b (mm)]]</f>
        <v>300</v>
      </c>
      <c r="AB75" s="111">
        <f>Table1123457[[#This Row],[a (mm)]]/Table1123457[[#This Row],[h (mm)]]</f>
        <v>2.7457627118644066</v>
      </c>
      <c r="AC75" s="111">
        <f>Table1123457[[#This Row],[h (mm)]]</f>
        <v>1475</v>
      </c>
      <c r="AD75" s="111">
        <v>4050</v>
      </c>
      <c r="AE75" s="111">
        <v>1400</v>
      </c>
      <c r="AF75" s="111">
        <v>1475</v>
      </c>
      <c r="AG75" s="111">
        <v>300</v>
      </c>
      <c r="AH75" s="7">
        <v>40.299999999999997</v>
      </c>
      <c r="AI75" s="111">
        <f>Table1123457[[#This Row],[pho (%)]]*Table1123457[[#This Row],[b (mm)]]*Table1123457[[#This Row],[h (mm)]]/100</f>
        <v>3672.75</v>
      </c>
      <c r="AJ75" s="160">
        <v>0.83</v>
      </c>
      <c r="AK75" s="160">
        <v>525</v>
      </c>
      <c r="AL75" s="111">
        <f>(1/3-0.21*(MIN(Table1123457[[#This Row],[b (mm)]],AF75)/MAX(Table1123457[[#This Row],[b (mm)]],AF75))*(MIN(Table1123457[[#This Row],[b (mm)]],AF75)^4/(12*MAX(Table1123457[[#This Row],[b (mm)]],AF75)^4)))*MAX(Table1123457[[#This Row],[b (mm)]],AF75)*MIN(Table1123457[[#This Row],[b (mm)]],AF75)^3</f>
        <v>13274757428.370747</v>
      </c>
      <c r="AM75" s="111">
        <f>Table1123457[[#This Row],[b (mm)]]*AF75^3/12</f>
        <v>80226171875</v>
      </c>
      <c r="AN75" s="111">
        <v>8100</v>
      </c>
      <c r="AP75" s="126"/>
      <c r="AU75" s="365">
        <v>420</v>
      </c>
      <c r="AV75" s="2">
        <f t="shared" si="9"/>
        <v>210</v>
      </c>
    </row>
    <row r="76" spans="1:48" x14ac:dyDescent="0.3">
      <c r="A76" s="245" t="s">
        <v>153</v>
      </c>
      <c r="B76" s="161">
        <v>5</v>
      </c>
      <c r="C76" s="185">
        <v>75</v>
      </c>
      <c r="D76" s="185">
        <f>Table1123457[[#This Row],[a (mm)]]/Table1123457[[#This Row],[d (mm)]]</f>
        <v>2.8928571428571428</v>
      </c>
      <c r="E76" s="224">
        <v>225</v>
      </c>
      <c r="F76" s="137">
        <f>Table1123457[[#This Row],[d (mm)]]</f>
        <v>1400</v>
      </c>
      <c r="G76" s="111">
        <f t="shared" si="7"/>
        <v>911250</v>
      </c>
      <c r="H76" s="135">
        <f t="shared" si="8"/>
        <v>4.3127947459127122E-7</v>
      </c>
      <c r="I76" s="111">
        <f>G76/(Table1123457[[#This Row],[b (mm)]]*Table1123457[[#This Row],[h]]^2)</f>
        <v>1.3961505314564781E-3</v>
      </c>
      <c r="J76" s="135">
        <f t="shared" si="5"/>
        <v>0.3375661066958946</v>
      </c>
      <c r="K76" s="111">
        <f t="shared" si="6"/>
        <v>5.3979179161700577E-7</v>
      </c>
      <c r="L76" s="111">
        <f>E76/(Table1123457[[#This Row],[b (mm)]]*AE76)</f>
        <v>5.3571428571428574E-4</v>
      </c>
      <c r="M76" s="111">
        <f>Table1123457[[#This Row],[M (KN.mm)]]/(Table1123457[[#This Row],[b (mm)]]*Table1123457[[#This Row],[d (mm)]])</f>
        <v>2.1696428571428572</v>
      </c>
      <c r="N76" s="111">
        <f>Table1123457[[#This Row],[M (KN.mm)]]/(Table1123457[[#This Row],[b (mm)]]*Table1123457[[#This Row],[h (mm)]])</f>
        <v>2.0593220338983049</v>
      </c>
      <c r="O76" s="111">
        <f>Table1123457[[#This Row],[M (KN.mm)]]/(Table1123457[[#This Row],[b (mm)]]*Table1123457[[#This Row],[h (mm)]]*Table1123457[[#This Row],[L(mm)]])</f>
        <v>2.5423728813559322E-4</v>
      </c>
      <c r="P76" s="111">
        <f>Table1123457[[#This Row],[M (KN.mm)]]/(Table1123457[[#This Row],[b (mm)]]*Table1123457[[#This Row],[d (mm)]]*Table1123457[[#This Row],[L(mm)]])</f>
        <v>2.6785714285714287E-4</v>
      </c>
      <c r="Q76" s="111">
        <f>Table1123457[[#This Row],[M (KN.mm)]]/(Table1123457[[#This Row],[b (mm)]]*Table1123457[[#This Row],[h (mm)]]*Table1123457[[#This Row],[L(mm)]]*Table1123457[[#This Row],[fc (Mpa)]])</f>
        <v>6.3086175716028091E-6</v>
      </c>
      <c r="R76" s="111">
        <f>Table1123457[[#This Row],[M (KN.mm)]]/(Table1123457[[#This Row],[b (mm)]]*Table1123457[[#This Row],[h (mm)]]*Table1123457[[#This Row],[L(mm)]]/2)</f>
        <v>5.0847457627118645E-4</v>
      </c>
      <c r="S76" s="111">
        <f>Table1123457[[#This Row],[M (KN.mm)]]/(Table1123457[[#This Row],[a (mm)]]*Table1123457[[#This Row],[b (mm)]]*Table1123457[[#This Row],[h (mm)]]*Table1123457[[#This Row],[L(mm)]]/2)</f>
        <v>1.2554927809165096E-7</v>
      </c>
      <c r="T76" s="111">
        <f>Table1123457[[#This Row],[M (KN.mm)]]/(Table1123457[[#This Row],[a (mm)]]^2*Table1123457[[#This Row],[b (mm)]]*Table1123457[[#This Row],[h (mm)]])</f>
        <v>1.2554927809165096E-7</v>
      </c>
      <c r="U76" s="111">
        <f>Table1123457[[#This Row],[M (KN.mm)]]/(Table1123457[[#This Row],[b (mm)]]*Table1123457[[#This Row],[d (mm)]]*Table1123457[[#This Row],[pho (%)]])</f>
        <v>2.6140275387263339</v>
      </c>
      <c r="V76" s="111">
        <f>E76*224.8/(2*SQRT(Table1123457[[#This Row],[fc (Mpa)]]*145.037)*Table1123457[[#This Row],[b (mm)]]*Table1123457[[#This Row],[d (mm)]]*(1/25.4)^2)</f>
        <v>0.50813024413898555</v>
      </c>
      <c r="W76" s="111">
        <f>Table1123457[[#This Row],[M (KN.mm)]]/$G$77</f>
        <v>0.99118942731277537</v>
      </c>
      <c r="X76" s="111">
        <f>Table1123457[[#This Row],[V/(2*sqrt(fc) bd)]]</f>
        <v>0.50813024413898555</v>
      </c>
      <c r="Y76" s="111">
        <f>Table1123457[[#This Row],[a (mm)]]</f>
        <v>4050</v>
      </c>
      <c r="Z76" s="111">
        <f>Table1123457[[#This Row],[width]]*Table1123457[[#This Row],[h]]^2</f>
        <v>652687500</v>
      </c>
      <c r="AA76" s="111">
        <f>Table1123457[[#This Row],[b (mm)]]</f>
        <v>300</v>
      </c>
      <c r="AB76" s="111">
        <f>Table1123457[[#This Row],[a (mm)]]/Table1123457[[#This Row],[h (mm)]]</f>
        <v>2.7457627118644066</v>
      </c>
      <c r="AC76" s="111">
        <f>Table1123457[[#This Row],[h (mm)]]</f>
        <v>1475</v>
      </c>
      <c r="AD76" s="111">
        <v>4050</v>
      </c>
      <c r="AE76" s="111">
        <v>1400</v>
      </c>
      <c r="AF76" s="111">
        <v>1475</v>
      </c>
      <c r="AG76" s="111">
        <v>300</v>
      </c>
      <c r="AH76" s="7">
        <v>40.299999999999997</v>
      </c>
      <c r="AI76" s="111">
        <f>Table1123457[[#This Row],[pho (%)]]*Table1123457[[#This Row],[b (mm)]]*Table1123457[[#This Row],[h (mm)]]/100</f>
        <v>3672.75</v>
      </c>
      <c r="AJ76" s="160">
        <v>0.83</v>
      </c>
      <c r="AK76" s="160">
        <v>525</v>
      </c>
      <c r="AL76" s="111">
        <f>(1/3-0.21*(MIN(Table1123457[[#This Row],[b (mm)]],AF76)/MAX(Table1123457[[#This Row],[b (mm)]],AF76))*(MIN(Table1123457[[#This Row],[b (mm)]],AF76)^4/(12*MAX(Table1123457[[#This Row],[b (mm)]],AF76)^4)))*MAX(Table1123457[[#This Row],[b (mm)]],AF76)*MIN(Table1123457[[#This Row],[b (mm)]],AF76)^3</f>
        <v>13274757428.370747</v>
      </c>
      <c r="AM76" s="111">
        <f>Table1123457[[#This Row],[b (mm)]]*AF76^3/12</f>
        <v>80226171875</v>
      </c>
      <c r="AN76" s="111">
        <v>8100</v>
      </c>
      <c r="AP76" s="126"/>
      <c r="AU76" s="365">
        <v>450</v>
      </c>
      <c r="AV76" s="2">
        <f t="shared" si="9"/>
        <v>225</v>
      </c>
    </row>
    <row r="77" spans="1:48" x14ac:dyDescent="0.3">
      <c r="A77" s="245" t="s">
        <v>153</v>
      </c>
      <c r="B77" s="161" t="s">
        <v>142</v>
      </c>
      <c r="C77" s="185">
        <v>76</v>
      </c>
      <c r="D77" s="185">
        <f>Table1123457[[#This Row],[a (mm)]]/Table1123457[[#This Row],[d (mm)]]</f>
        <v>2.8928571428571428</v>
      </c>
      <c r="E77" s="224">
        <v>227</v>
      </c>
      <c r="F77" s="137">
        <f>Table1123457[[#This Row],[d (mm)]]</f>
        <v>1400</v>
      </c>
      <c r="G77" s="111">
        <f t="shared" si="7"/>
        <v>919350</v>
      </c>
      <c r="H77" s="135">
        <f t="shared" si="8"/>
        <v>4.351130699209714E-7</v>
      </c>
      <c r="I77" s="111">
        <f>G77/(Table1123457[[#This Row],[b (mm)]]*Table1123457[[#This Row],[h]]^2)</f>
        <v>1.4085607584027578E-3</v>
      </c>
      <c r="J77" s="135">
        <f t="shared" si="5"/>
        <v>0.34056669431096925</v>
      </c>
      <c r="K77" s="111">
        <f t="shared" si="6"/>
        <v>5.4458994087582357E-7</v>
      </c>
      <c r="L77" s="111">
        <f>E77/(Table1123457[[#This Row],[b (mm)]]*AE77)</f>
        <v>5.404761904761905E-4</v>
      </c>
      <c r="M77" s="111">
        <f>Table1123457[[#This Row],[M (KN.mm)]]/(Table1123457[[#This Row],[b (mm)]]*Table1123457[[#This Row],[d (mm)]])</f>
        <v>2.1889285714285713</v>
      </c>
      <c r="N77" s="111">
        <f>Table1123457[[#This Row],[M (KN.mm)]]/(Table1123457[[#This Row],[b (mm)]]*Table1123457[[#This Row],[h (mm)]])</f>
        <v>2.077627118644068</v>
      </c>
      <c r="O77" s="111">
        <f>Table1123457[[#This Row],[M (KN.mm)]]/(Table1123457[[#This Row],[b (mm)]]*Table1123457[[#This Row],[h (mm)]]*Table1123457[[#This Row],[L(mm)]])</f>
        <v>2.5649717514124293E-4</v>
      </c>
      <c r="P77" s="111">
        <f>Table1123457[[#This Row],[M (KN.mm)]]/(Table1123457[[#This Row],[b (mm)]]*Table1123457[[#This Row],[d (mm)]]*Table1123457[[#This Row],[L(mm)]])</f>
        <v>2.7023809523809525E-4</v>
      </c>
      <c r="Q77" s="111">
        <f>Table1123457[[#This Row],[M (KN.mm)]]/(Table1123457[[#This Row],[b (mm)]]*Table1123457[[#This Row],[h (mm)]]*Table1123457[[#This Row],[L(mm)]]*Table1123457[[#This Row],[fc (Mpa)]])</f>
        <v>6.364694172239279E-6</v>
      </c>
      <c r="R77" s="111">
        <f>Table1123457[[#This Row],[M (KN.mm)]]/(Table1123457[[#This Row],[b (mm)]]*Table1123457[[#This Row],[h (mm)]]*Table1123457[[#This Row],[L(mm)]]/2)</f>
        <v>5.1299435028248587E-4</v>
      </c>
      <c r="S77" s="111">
        <f>Table1123457[[#This Row],[M (KN.mm)]]/(Table1123457[[#This Row],[a (mm)]]*Table1123457[[#This Row],[b (mm)]]*Table1123457[[#This Row],[h (mm)]]*Table1123457[[#This Row],[L(mm)]]/2)</f>
        <v>1.2666527167468787E-7</v>
      </c>
      <c r="T77" s="111">
        <f>Table1123457[[#This Row],[M (KN.mm)]]/(Table1123457[[#This Row],[a (mm)]]^2*Table1123457[[#This Row],[b (mm)]]*Table1123457[[#This Row],[h (mm)]])</f>
        <v>1.2666527167468787E-7</v>
      </c>
      <c r="U77" s="111">
        <f>Table1123457[[#This Row],[M (KN.mm)]]/(Table1123457[[#This Row],[b (mm)]]*Table1123457[[#This Row],[d (mm)]]*Table1123457[[#This Row],[pho (%)]])</f>
        <v>2.637263339070568</v>
      </c>
      <c r="V77" s="111">
        <f>E77*224.8/(2*SQRT(Table1123457[[#This Row],[fc (Mpa)]]*145.037)*Table1123457[[#This Row],[b (mm)]]*Table1123457[[#This Row],[d (mm)]]*(1/25.4)^2)</f>
        <v>0.51264695742022104</v>
      </c>
      <c r="W77" s="111">
        <f>Table1123457[[#This Row],[M (KN.mm)]]/$G$77</f>
        <v>1</v>
      </c>
      <c r="X77" s="111">
        <f>Table1123457[[#This Row],[V/(2*sqrt(fc) bd)]]</f>
        <v>0.51264695742022104</v>
      </c>
      <c r="Y77" s="111">
        <f>Table1123457[[#This Row],[a (mm)]]</f>
        <v>4050</v>
      </c>
      <c r="Z77" s="111">
        <f>Table1123457[[#This Row],[width]]*Table1123457[[#This Row],[h]]^2</f>
        <v>652687500</v>
      </c>
      <c r="AA77" s="111">
        <f>Table1123457[[#This Row],[b (mm)]]</f>
        <v>300</v>
      </c>
      <c r="AB77" s="111">
        <f>Table1123457[[#This Row],[a (mm)]]/Table1123457[[#This Row],[h (mm)]]</f>
        <v>2.7457627118644066</v>
      </c>
      <c r="AC77" s="111">
        <f>Table1123457[[#This Row],[h (mm)]]</f>
        <v>1475</v>
      </c>
      <c r="AD77" s="111">
        <v>4050</v>
      </c>
      <c r="AE77" s="111">
        <v>1400</v>
      </c>
      <c r="AF77" s="111">
        <v>1475</v>
      </c>
      <c r="AG77" s="111">
        <v>300</v>
      </c>
      <c r="AH77" s="7">
        <v>40.299999999999997</v>
      </c>
      <c r="AI77" s="111">
        <f>Table1123457[[#This Row],[pho (%)]]*Table1123457[[#This Row],[b (mm)]]*Table1123457[[#This Row],[h (mm)]]/100</f>
        <v>3672.75</v>
      </c>
      <c r="AJ77" s="160">
        <v>0.83</v>
      </c>
      <c r="AK77" s="160">
        <v>525</v>
      </c>
      <c r="AL77" s="111">
        <f>(1/3-0.21*(MIN(Table1123457[[#This Row],[b (mm)]],AF77)/MAX(Table1123457[[#This Row],[b (mm)]],AF77))*(MIN(Table1123457[[#This Row],[b (mm)]],AF77)^4/(12*MAX(Table1123457[[#This Row],[b (mm)]],AF77)^4)))*MAX(Table1123457[[#This Row],[b (mm)]],AF77)*MIN(Table1123457[[#This Row],[b (mm)]],AF77)^3</f>
        <v>13274757428.370747</v>
      </c>
      <c r="AM77" s="111">
        <f>Table1123457[[#This Row],[b (mm)]]*AF77^3/12</f>
        <v>80226171875</v>
      </c>
      <c r="AN77" s="111">
        <v>8100</v>
      </c>
      <c r="AP77" s="126"/>
      <c r="AU77" s="365">
        <v>454</v>
      </c>
      <c r="AV77" s="2">
        <f t="shared" si="9"/>
        <v>227</v>
      </c>
    </row>
    <row r="78" spans="1:48" x14ac:dyDescent="0.3">
      <c r="A78" s="246" t="s">
        <v>154</v>
      </c>
      <c r="B78" s="246">
        <v>1</v>
      </c>
      <c r="C78" s="185">
        <v>77</v>
      </c>
      <c r="D78" s="185">
        <f>Table1123457[[#This Row],[a (mm)]]/Table1123457[[#This Row],[d (mm)]]</f>
        <v>2.8928571428571428</v>
      </c>
      <c r="E78" s="247">
        <v>93.5</v>
      </c>
      <c r="F78" s="137">
        <f>Table1123457[[#This Row],[d (mm)]]</f>
        <v>1400</v>
      </c>
      <c r="G78" s="111">
        <f t="shared" si="7"/>
        <v>378675</v>
      </c>
      <c r="H78" s="135">
        <f t="shared" si="8"/>
        <v>1.7922058166348382E-7</v>
      </c>
      <c r="I78" s="111">
        <f>G78/(Table1123457[[#This Row],[b (mm)]]*Table1123457[[#This Row],[h]]^2)</f>
        <v>5.8017810973858084E-4</v>
      </c>
      <c r="J78" s="135">
        <f>G78/(AI78*AK78*AE78*0.001)</f>
        <v>0.14027747100473842</v>
      </c>
      <c r="K78" s="111">
        <f t="shared" si="6"/>
        <v>2.2431347784973351E-7</v>
      </c>
      <c r="L78" s="111">
        <f>E78/(Table1123457[[#This Row],[b (mm)]]*AE78)</f>
        <v>2.2261904761904761E-4</v>
      </c>
      <c r="M78" s="111">
        <f>Table1123457[[#This Row],[M (KN.mm)]]/(Table1123457[[#This Row],[b (mm)]]*Table1123457[[#This Row],[d (mm)]])</f>
        <v>0.90160714285714283</v>
      </c>
      <c r="N78" s="111">
        <f>Table1123457[[#This Row],[M (KN.mm)]]/(Table1123457[[#This Row],[b (mm)]]*Table1123457[[#This Row],[h (mm)]])</f>
        <v>0.85576271186440678</v>
      </c>
      <c r="O78" s="111">
        <f>Table1123457[[#This Row],[M (KN.mm)]]/(Table1123457[[#This Row],[b (mm)]]*Table1123457[[#This Row],[h (mm)]]*Table1123457[[#This Row],[L(mm)]])</f>
        <v>1.0564971751412429E-4</v>
      </c>
      <c r="P78" s="111">
        <f>Table1123457[[#This Row],[M (KN.mm)]]/(Table1123457[[#This Row],[b (mm)]]*Table1123457[[#This Row],[d (mm)]]*Table1123457[[#This Row],[L(mm)]])</f>
        <v>1.1130952380952381E-4</v>
      </c>
      <c r="Q78" s="111">
        <f>Table1123457[[#This Row],[M (KN.mm)]]/(Table1123457[[#This Row],[b (mm)]]*Table1123457[[#This Row],[h (mm)]]*Table1123457[[#This Row],[L(mm)]]*Table1123457[[#This Row],[fc (Mpa)]])</f>
        <v>1.4354581183984282E-6</v>
      </c>
      <c r="R78" s="111">
        <f>Table1123457[[#This Row],[M (KN.mm)]]/(Table1123457[[#This Row],[b (mm)]]*Table1123457[[#This Row],[h (mm)]]*Table1123457[[#This Row],[L(mm)]]/2)</f>
        <v>2.1129943502824858E-4</v>
      </c>
      <c r="S78" s="111">
        <f>Table1123457[[#This Row],[M (KN.mm)]]/(Table1123457[[#This Row],[a (mm)]]*Table1123457[[#This Row],[b (mm)]]*Table1123457[[#This Row],[h (mm)]]*Table1123457[[#This Row],[L(mm)]]/2)</f>
        <v>5.2172700006974963E-8</v>
      </c>
      <c r="T78" s="111">
        <f>Table1123457[[#This Row],[M (KN.mm)]]/(Table1123457[[#This Row],[a (mm)]]^2*Table1123457[[#This Row],[b (mm)]]*Table1123457[[#This Row],[h (mm)]])</f>
        <v>5.2172700006974963E-8</v>
      </c>
      <c r="U78" s="111">
        <f>Table1123457[[#This Row],[M (KN.mm)]]/(Table1123457[[#This Row],[b (mm)]]*Table1123457[[#This Row],[d (mm)]]*Table1123457[[#This Row],[pho (%)]])</f>
        <v>1.0862736660929433</v>
      </c>
      <c r="V78" s="111">
        <f>E78*224.8/(2*SQRT(Table1123457[[#This Row],[fc (Mpa)]]*145.037)*Table1123457[[#This Row],[b (mm)]]*Table1123457[[#This Row],[d (mm)]]*(1/25.4)^2)</f>
        <v>0.15624918248653885</v>
      </c>
      <c r="W78" s="111">
        <f>Table1123457[[#This Row],[M (KN.mm)]]/$G$83</f>
        <v>0.35961538461538461</v>
      </c>
      <c r="X78" s="111">
        <f>Table1123457[[#This Row],[V/(2*sqrt(fc) bd)]]</f>
        <v>0.15624918248653885</v>
      </c>
      <c r="Y78" s="111">
        <f>Table1123457[[#This Row],[a (mm)]]</f>
        <v>4050</v>
      </c>
      <c r="Z78" s="111">
        <f>Table1123457[[#This Row],[width]]*Table1123457[[#This Row],[h]]^2</f>
        <v>652687500</v>
      </c>
      <c r="AA78" s="111">
        <f>Table1123457[[#This Row],[b (mm)]]</f>
        <v>300</v>
      </c>
      <c r="AB78" s="111">
        <f>Table1123457[[#This Row],[a (mm)]]/Table1123457[[#This Row],[h (mm)]]</f>
        <v>2.7457627118644066</v>
      </c>
      <c r="AC78" s="111">
        <f>Table1123457[[#This Row],[h (mm)]]</f>
        <v>1475</v>
      </c>
      <c r="AD78" s="111">
        <v>4050</v>
      </c>
      <c r="AE78" s="111">
        <v>1400</v>
      </c>
      <c r="AF78" s="111">
        <v>1475</v>
      </c>
      <c r="AG78" s="111">
        <v>300</v>
      </c>
      <c r="AH78" s="7">
        <v>73.599999999999994</v>
      </c>
      <c r="AI78" s="111">
        <f>Table1123457[[#This Row],[pho (%)]]*Table1123457[[#This Row],[b (mm)]]*Table1123457[[#This Row],[h (mm)]]/100</f>
        <v>3672.75</v>
      </c>
      <c r="AJ78" s="160">
        <v>0.83</v>
      </c>
      <c r="AK78" s="160">
        <v>525</v>
      </c>
      <c r="AL78" s="111">
        <f>(1/3-0.21*(MIN(Table1123457[[#This Row],[b (mm)]],AF78)/MAX(Table1123457[[#This Row],[b (mm)]],AF78))*(MIN(Table1123457[[#This Row],[b (mm)]],AF78)^4/(12*MAX(Table1123457[[#This Row],[b (mm)]],AF78)^4)))*MAX(Table1123457[[#This Row],[b (mm)]],AF78)*MIN(Table1123457[[#This Row],[b (mm)]],AF78)^3</f>
        <v>13274757428.370747</v>
      </c>
      <c r="AM78" s="111">
        <f>Table1123457[[#This Row],[b (mm)]]*AF78^3/12</f>
        <v>80226171875</v>
      </c>
      <c r="AN78" s="111">
        <v>8100</v>
      </c>
      <c r="AP78" s="149"/>
      <c r="AQ78" s="139"/>
      <c r="AR78" s="139"/>
      <c r="AU78" s="375">
        <v>187</v>
      </c>
      <c r="AV78" s="2">
        <f t="shared" si="9"/>
        <v>93.5</v>
      </c>
    </row>
    <row r="79" spans="1:48" x14ac:dyDescent="0.3">
      <c r="A79" s="246" t="s">
        <v>154</v>
      </c>
      <c r="B79" s="246">
        <v>2</v>
      </c>
      <c r="C79" s="185">
        <v>78</v>
      </c>
      <c r="D79" s="185">
        <f>Table1123457[[#This Row],[a (mm)]]/Table1123457[[#This Row],[d (mm)]]</f>
        <v>2.8928571428571428</v>
      </c>
      <c r="E79" s="247">
        <v>112.5</v>
      </c>
      <c r="F79" s="137">
        <f>Table1123457[[#This Row],[d (mm)]]</f>
        <v>1400</v>
      </c>
      <c r="G79" s="111">
        <f t="shared" si="7"/>
        <v>455625</v>
      </c>
      <c r="H79" s="135">
        <f t="shared" si="8"/>
        <v>2.1563973729563561E-7</v>
      </c>
      <c r="I79" s="111">
        <f>G79/(Table1123457[[#This Row],[b (mm)]]*Table1123457[[#This Row],[h]]^2)</f>
        <v>6.9807526572823904E-4</v>
      </c>
      <c r="J79" s="135">
        <f t="shared" ref="J79:J89" si="10">G79/(AI79*AK79*AE79*0.001)</f>
        <v>0.1687830533479473</v>
      </c>
      <c r="K79" s="111">
        <f t="shared" si="6"/>
        <v>2.6989589580850289E-7</v>
      </c>
      <c r="L79" s="111">
        <f>E79/(Table1123457[[#This Row],[b (mm)]]*AE79)</f>
        <v>2.6785714285714287E-4</v>
      </c>
      <c r="M79" s="111">
        <f>Table1123457[[#This Row],[M (KN.mm)]]/(Table1123457[[#This Row],[b (mm)]]*Table1123457[[#This Row],[d (mm)]])</f>
        <v>1.0848214285714286</v>
      </c>
      <c r="N79" s="111">
        <f>Table1123457[[#This Row],[M (KN.mm)]]/(Table1123457[[#This Row],[b (mm)]]*Table1123457[[#This Row],[h (mm)]])</f>
        <v>1.0296610169491525</v>
      </c>
      <c r="O79" s="111">
        <f>Table1123457[[#This Row],[M (KN.mm)]]/(Table1123457[[#This Row],[b (mm)]]*Table1123457[[#This Row],[h (mm)]]*Table1123457[[#This Row],[L(mm)]])</f>
        <v>1.2711864406779661E-4</v>
      </c>
      <c r="P79" s="111">
        <f>Table1123457[[#This Row],[M (KN.mm)]]/(Table1123457[[#This Row],[b (mm)]]*Table1123457[[#This Row],[d (mm)]]*Table1123457[[#This Row],[L(mm)]])</f>
        <v>1.3392857142857144E-4</v>
      </c>
      <c r="Q79" s="111">
        <f>Table1123457[[#This Row],[M (KN.mm)]]/(Table1123457[[#This Row],[b (mm)]]*Table1123457[[#This Row],[h (mm)]]*Table1123457[[#This Row],[L(mm)]]*Table1123457[[#This Row],[fc (Mpa)]])</f>
        <v>1.7271554900515846E-6</v>
      </c>
      <c r="R79" s="111">
        <f>Table1123457[[#This Row],[M (KN.mm)]]/(Table1123457[[#This Row],[b (mm)]]*Table1123457[[#This Row],[h (mm)]]*Table1123457[[#This Row],[L(mm)]]/2)</f>
        <v>2.5423728813559322E-4</v>
      </c>
      <c r="S79" s="111">
        <f>Table1123457[[#This Row],[M (KN.mm)]]/(Table1123457[[#This Row],[a (mm)]]*Table1123457[[#This Row],[b (mm)]]*Table1123457[[#This Row],[h (mm)]]*Table1123457[[#This Row],[L(mm)]]/2)</f>
        <v>6.277463904582548E-8</v>
      </c>
      <c r="T79" s="111">
        <f>Table1123457[[#This Row],[M (KN.mm)]]/(Table1123457[[#This Row],[a (mm)]]^2*Table1123457[[#This Row],[b (mm)]]*Table1123457[[#This Row],[h (mm)]])</f>
        <v>6.277463904582548E-8</v>
      </c>
      <c r="U79" s="111">
        <f>Table1123457[[#This Row],[M (KN.mm)]]/(Table1123457[[#This Row],[b (mm)]]*Table1123457[[#This Row],[d (mm)]]*Table1123457[[#This Row],[pho (%)]])</f>
        <v>1.3070137693631669</v>
      </c>
      <c r="V79" s="111">
        <f>E79*224.8/(2*SQRT(Table1123457[[#This Row],[fc (Mpa)]]*145.037)*Table1123457[[#This Row],[b (mm)]]*Table1123457[[#This Row],[d (mm)]]*(1/25.4)^2)</f>
        <v>0.18800035325920453</v>
      </c>
      <c r="W79" s="111">
        <f>Table1123457[[#This Row],[M (KN.mm)]]/$G$83</f>
        <v>0.43269230769230771</v>
      </c>
      <c r="X79" s="111">
        <f>Table1123457[[#This Row],[V/(2*sqrt(fc) bd)]]</f>
        <v>0.18800035325920453</v>
      </c>
      <c r="Y79" s="111">
        <f>Table1123457[[#This Row],[a (mm)]]</f>
        <v>4050</v>
      </c>
      <c r="Z79" s="111">
        <f>Table1123457[[#This Row],[width]]*Table1123457[[#This Row],[h]]^2</f>
        <v>652687500</v>
      </c>
      <c r="AA79" s="111">
        <f>Table1123457[[#This Row],[b (mm)]]</f>
        <v>300</v>
      </c>
      <c r="AB79" s="111">
        <f>Table1123457[[#This Row],[a (mm)]]/Table1123457[[#This Row],[h (mm)]]</f>
        <v>2.7457627118644066</v>
      </c>
      <c r="AC79" s="111">
        <f>Table1123457[[#This Row],[h (mm)]]</f>
        <v>1475</v>
      </c>
      <c r="AD79" s="111">
        <v>4050</v>
      </c>
      <c r="AE79" s="111">
        <v>1400</v>
      </c>
      <c r="AF79" s="111">
        <v>1475</v>
      </c>
      <c r="AG79" s="111">
        <v>300</v>
      </c>
      <c r="AH79" s="7">
        <v>73.599999999999994</v>
      </c>
      <c r="AI79" s="111">
        <f>Table1123457[[#This Row],[pho (%)]]*Table1123457[[#This Row],[b (mm)]]*Table1123457[[#This Row],[h (mm)]]/100</f>
        <v>3672.75</v>
      </c>
      <c r="AJ79" s="160">
        <v>0.83</v>
      </c>
      <c r="AK79" s="160">
        <v>525</v>
      </c>
      <c r="AL79" s="111">
        <f>(1/3-0.21*(MIN(Table1123457[[#This Row],[b (mm)]],AF79)/MAX(Table1123457[[#This Row],[b (mm)]],AF79))*(MIN(Table1123457[[#This Row],[b (mm)]],AF79)^4/(12*MAX(Table1123457[[#This Row],[b (mm)]],AF79)^4)))*MAX(Table1123457[[#This Row],[b (mm)]],AF79)*MIN(Table1123457[[#This Row],[b (mm)]],AF79)^3</f>
        <v>13274757428.370747</v>
      </c>
      <c r="AM79" s="111">
        <f>Table1123457[[#This Row],[b (mm)]]*AF79^3/12</f>
        <v>80226171875</v>
      </c>
      <c r="AN79" s="111">
        <v>8100</v>
      </c>
      <c r="AP79" s="126"/>
      <c r="AU79" s="375">
        <v>225</v>
      </c>
      <c r="AV79" s="2">
        <f t="shared" si="9"/>
        <v>112.5</v>
      </c>
    </row>
    <row r="80" spans="1:48" x14ac:dyDescent="0.3">
      <c r="A80" s="246" t="s">
        <v>154</v>
      </c>
      <c r="B80" s="246">
        <v>3</v>
      </c>
      <c r="C80" s="185">
        <v>79</v>
      </c>
      <c r="D80" s="185">
        <f>Table1123457[[#This Row],[a (mm)]]/Table1123457[[#This Row],[d (mm)]]</f>
        <v>2.8928571428571428</v>
      </c>
      <c r="E80" s="247">
        <v>175</v>
      </c>
      <c r="F80" s="137">
        <f>Table1123457[[#This Row],[d (mm)]]</f>
        <v>1400</v>
      </c>
      <c r="G80" s="111">
        <f t="shared" si="7"/>
        <v>708750</v>
      </c>
      <c r="H80" s="135">
        <f t="shared" si="8"/>
        <v>3.3543959134876649E-7</v>
      </c>
      <c r="I80" s="111">
        <f>G80/(Table1123457[[#This Row],[b (mm)]]*Table1123457[[#This Row],[h]]^2)</f>
        <v>1.0858948577994829E-3</v>
      </c>
      <c r="J80" s="135">
        <f t="shared" si="10"/>
        <v>0.26255141631902912</v>
      </c>
      <c r="K80" s="111">
        <f t="shared" si="6"/>
        <v>4.1983806014656003E-7</v>
      </c>
      <c r="L80" s="111">
        <f>E80/(Table1123457[[#This Row],[b (mm)]]*AE80)</f>
        <v>4.1666666666666669E-4</v>
      </c>
      <c r="M80" s="111">
        <f>Table1123457[[#This Row],[M (KN.mm)]]/(Table1123457[[#This Row],[b (mm)]]*Table1123457[[#This Row],[d (mm)]])</f>
        <v>1.6875</v>
      </c>
      <c r="N80" s="111">
        <f>Table1123457[[#This Row],[M (KN.mm)]]/(Table1123457[[#This Row],[b (mm)]]*Table1123457[[#This Row],[h (mm)]])</f>
        <v>1.6016949152542372</v>
      </c>
      <c r="O80" s="111">
        <f>Table1123457[[#This Row],[M (KN.mm)]]/(Table1123457[[#This Row],[b (mm)]]*Table1123457[[#This Row],[h (mm)]]*Table1123457[[#This Row],[L(mm)]])</f>
        <v>1.9774011299435027E-4</v>
      </c>
      <c r="P80" s="111">
        <f>Table1123457[[#This Row],[M (KN.mm)]]/(Table1123457[[#This Row],[b (mm)]]*Table1123457[[#This Row],[d (mm)]]*Table1123457[[#This Row],[L(mm)]])</f>
        <v>2.0833333333333335E-4</v>
      </c>
      <c r="Q80" s="111">
        <f>Table1123457[[#This Row],[M (KN.mm)]]/(Table1123457[[#This Row],[b (mm)]]*Table1123457[[#This Row],[h (mm)]]*Table1123457[[#This Row],[L(mm)]]*Table1123457[[#This Row],[fc (Mpa)]])</f>
        <v>2.6866863178580205E-6</v>
      </c>
      <c r="R80" s="111">
        <f>Table1123457[[#This Row],[M (KN.mm)]]/(Table1123457[[#This Row],[b (mm)]]*Table1123457[[#This Row],[h (mm)]]*Table1123457[[#This Row],[L(mm)]]/2)</f>
        <v>3.9548022598870055E-4</v>
      </c>
      <c r="S80" s="111">
        <f>Table1123457[[#This Row],[M (KN.mm)]]/(Table1123457[[#This Row],[a (mm)]]*Table1123457[[#This Row],[b (mm)]]*Table1123457[[#This Row],[h (mm)]]*Table1123457[[#This Row],[L(mm)]]/2)</f>
        <v>9.7649438515728534E-8</v>
      </c>
      <c r="T80" s="111">
        <f>Table1123457[[#This Row],[M (KN.mm)]]/(Table1123457[[#This Row],[a (mm)]]^2*Table1123457[[#This Row],[b (mm)]]*Table1123457[[#This Row],[h (mm)]])</f>
        <v>9.7649438515728534E-8</v>
      </c>
      <c r="U80" s="111">
        <f>Table1123457[[#This Row],[M (KN.mm)]]/(Table1123457[[#This Row],[b (mm)]]*Table1123457[[#This Row],[d (mm)]]*Table1123457[[#This Row],[pho (%)]])</f>
        <v>2.0331325301204819</v>
      </c>
      <c r="V80" s="111">
        <f>E80*224.8/(2*SQRT(Table1123457[[#This Row],[fc (Mpa)]]*145.037)*Table1123457[[#This Row],[b (mm)]]*Table1123457[[#This Row],[d (mm)]]*(1/25.4)^2)</f>
        <v>0.29244499395876256</v>
      </c>
      <c r="W80" s="111">
        <f>Table1123457[[#This Row],[M (KN.mm)]]/$G$83</f>
        <v>0.67307692307692313</v>
      </c>
      <c r="X80" s="111">
        <f>Table1123457[[#This Row],[V/(2*sqrt(fc) bd)]]</f>
        <v>0.29244499395876256</v>
      </c>
      <c r="Y80" s="111">
        <f>Table1123457[[#This Row],[a (mm)]]</f>
        <v>4050</v>
      </c>
      <c r="Z80" s="111">
        <f>Table1123457[[#This Row],[width]]*Table1123457[[#This Row],[h]]^2</f>
        <v>652687500</v>
      </c>
      <c r="AA80" s="111">
        <f>Table1123457[[#This Row],[b (mm)]]</f>
        <v>300</v>
      </c>
      <c r="AB80" s="111">
        <f>Table1123457[[#This Row],[a (mm)]]/Table1123457[[#This Row],[h (mm)]]</f>
        <v>2.7457627118644066</v>
      </c>
      <c r="AC80" s="111">
        <f>Table1123457[[#This Row],[h (mm)]]</f>
        <v>1475</v>
      </c>
      <c r="AD80" s="111">
        <v>4050</v>
      </c>
      <c r="AE80" s="111">
        <v>1400</v>
      </c>
      <c r="AF80" s="111">
        <v>1475</v>
      </c>
      <c r="AG80" s="111">
        <v>300</v>
      </c>
      <c r="AH80" s="7">
        <v>73.599999999999994</v>
      </c>
      <c r="AI80" s="111">
        <f>Table1123457[[#This Row],[pho (%)]]*Table1123457[[#This Row],[b (mm)]]*Table1123457[[#This Row],[h (mm)]]/100</f>
        <v>3672.75</v>
      </c>
      <c r="AJ80" s="160">
        <v>0.83</v>
      </c>
      <c r="AK80" s="160">
        <v>525</v>
      </c>
      <c r="AL80" s="111">
        <f>(1/3-0.21*(MIN(Table1123457[[#This Row],[b (mm)]],AF80)/MAX(Table1123457[[#This Row],[b (mm)]],AF80))*(MIN(Table1123457[[#This Row],[b (mm)]],AF80)^4/(12*MAX(Table1123457[[#This Row],[b (mm)]],AF80)^4)))*MAX(Table1123457[[#This Row],[b (mm)]],AF80)*MIN(Table1123457[[#This Row],[b (mm)]],AF80)^3</f>
        <v>13274757428.370747</v>
      </c>
      <c r="AM80" s="111">
        <f>Table1123457[[#This Row],[b (mm)]]*AF80^3/12</f>
        <v>80226171875</v>
      </c>
      <c r="AN80" s="111">
        <v>8100</v>
      </c>
      <c r="AP80" s="126"/>
      <c r="AU80" s="375">
        <v>350</v>
      </c>
      <c r="AV80" s="2">
        <f t="shared" si="9"/>
        <v>175</v>
      </c>
    </row>
    <row r="81" spans="1:48" x14ac:dyDescent="0.3">
      <c r="A81" s="246" t="s">
        <v>154</v>
      </c>
      <c r="B81" s="246">
        <v>4</v>
      </c>
      <c r="C81" s="185">
        <v>80</v>
      </c>
      <c r="D81" s="185">
        <f>Table1123457[[#This Row],[a (mm)]]/Table1123457[[#This Row],[d (mm)]]</f>
        <v>2.8928571428571428</v>
      </c>
      <c r="E81" s="247">
        <v>210</v>
      </c>
      <c r="F81" s="137">
        <f>Table1123457[[#This Row],[d (mm)]]</f>
        <v>1400</v>
      </c>
      <c r="G81" s="111">
        <f t="shared" si="7"/>
        <v>850500</v>
      </c>
      <c r="H81" s="135">
        <f t="shared" si="8"/>
        <v>4.0252750961851977E-7</v>
      </c>
      <c r="I81" s="111">
        <f>G81/(Table1123457[[#This Row],[b (mm)]]*Table1123457[[#This Row],[h]]^2)</f>
        <v>1.3030738293593794E-3</v>
      </c>
      <c r="J81" s="135">
        <f t="shared" si="10"/>
        <v>0.31506169958283498</v>
      </c>
      <c r="K81" s="111">
        <f t="shared" si="6"/>
        <v>5.0380567217587208E-7</v>
      </c>
      <c r="L81" s="111">
        <f>E81/(Table1123457[[#This Row],[b (mm)]]*AE81)</f>
        <v>5.0000000000000001E-4</v>
      </c>
      <c r="M81" s="111">
        <f>Table1123457[[#This Row],[M (KN.mm)]]/(Table1123457[[#This Row],[b (mm)]]*Table1123457[[#This Row],[d (mm)]])</f>
        <v>2.0249999999999999</v>
      </c>
      <c r="N81" s="111">
        <f>Table1123457[[#This Row],[M (KN.mm)]]/(Table1123457[[#This Row],[b (mm)]]*Table1123457[[#This Row],[h (mm)]])</f>
        <v>1.9220338983050846</v>
      </c>
      <c r="O81" s="111">
        <f>Table1123457[[#This Row],[M (KN.mm)]]/(Table1123457[[#This Row],[b (mm)]]*Table1123457[[#This Row],[h (mm)]]*Table1123457[[#This Row],[L(mm)]])</f>
        <v>2.3728813559322035E-4</v>
      </c>
      <c r="P81" s="111">
        <f>Table1123457[[#This Row],[M (KN.mm)]]/(Table1123457[[#This Row],[b (mm)]]*Table1123457[[#This Row],[d (mm)]]*Table1123457[[#This Row],[L(mm)]])</f>
        <v>2.5000000000000001E-4</v>
      </c>
      <c r="Q81" s="111">
        <f>Table1123457[[#This Row],[M (KN.mm)]]/(Table1123457[[#This Row],[b (mm)]]*Table1123457[[#This Row],[h (mm)]]*Table1123457[[#This Row],[L(mm)]]*Table1123457[[#This Row],[fc (Mpa)]])</f>
        <v>3.2240235814296247E-6</v>
      </c>
      <c r="R81" s="111">
        <f>Table1123457[[#This Row],[M (KN.mm)]]/(Table1123457[[#This Row],[b (mm)]]*Table1123457[[#This Row],[h (mm)]]*Table1123457[[#This Row],[L(mm)]]/2)</f>
        <v>4.745762711864407E-4</v>
      </c>
      <c r="S81" s="111">
        <f>Table1123457[[#This Row],[M (KN.mm)]]/(Table1123457[[#This Row],[a (mm)]]*Table1123457[[#This Row],[b (mm)]]*Table1123457[[#This Row],[h (mm)]]*Table1123457[[#This Row],[L(mm)]]/2)</f>
        <v>1.1717932621887424E-7</v>
      </c>
      <c r="T81" s="111">
        <f>Table1123457[[#This Row],[M (KN.mm)]]/(Table1123457[[#This Row],[a (mm)]]^2*Table1123457[[#This Row],[b (mm)]]*Table1123457[[#This Row],[h (mm)]])</f>
        <v>1.1717932621887424E-7</v>
      </c>
      <c r="U81" s="111">
        <f>Table1123457[[#This Row],[M (KN.mm)]]/(Table1123457[[#This Row],[b (mm)]]*Table1123457[[#This Row],[d (mm)]]*Table1123457[[#This Row],[pho (%)]])</f>
        <v>2.4397590361445785</v>
      </c>
      <c r="V81" s="111">
        <f>E81*224.8/(2*SQRT(Table1123457[[#This Row],[fc (Mpa)]]*145.037)*Table1123457[[#This Row],[b (mm)]]*Table1123457[[#This Row],[d (mm)]]*(1/25.4)^2)</f>
        <v>0.35093399275051507</v>
      </c>
      <c r="W81" s="111">
        <f>Table1123457[[#This Row],[M (KN.mm)]]/$G$83</f>
        <v>0.80769230769230771</v>
      </c>
      <c r="X81" s="111">
        <f>Table1123457[[#This Row],[V/(2*sqrt(fc) bd)]]</f>
        <v>0.35093399275051507</v>
      </c>
      <c r="Y81" s="111">
        <f>Table1123457[[#This Row],[a (mm)]]</f>
        <v>4050</v>
      </c>
      <c r="Z81" s="111">
        <f>Table1123457[[#This Row],[width]]*Table1123457[[#This Row],[h]]^2</f>
        <v>652687500</v>
      </c>
      <c r="AA81" s="111">
        <f>Table1123457[[#This Row],[b (mm)]]</f>
        <v>300</v>
      </c>
      <c r="AB81" s="111">
        <f>Table1123457[[#This Row],[a (mm)]]/Table1123457[[#This Row],[h (mm)]]</f>
        <v>2.7457627118644066</v>
      </c>
      <c r="AC81" s="111">
        <f>Table1123457[[#This Row],[h (mm)]]</f>
        <v>1475</v>
      </c>
      <c r="AD81" s="111">
        <v>4050</v>
      </c>
      <c r="AE81" s="111">
        <v>1400</v>
      </c>
      <c r="AF81" s="111">
        <v>1475</v>
      </c>
      <c r="AG81" s="111">
        <v>300</v>
      </c>
      <c r="AH81" s="7">
        <v>73.599999999999994</v>
      </c>
      <c r="AI81" s="111">
        <f>Table1123457[[#This Row],[pho (%)]]*Table1123457[[#This Row],[b (mm)]]*Table1123457[[#This Row],[h (mm)]]/100</f>
        <v>3672.75</v>
      </c>
      <c r="AJ81" s="160">
        <v>0.83</v>
      </c>
      <c r="AK81" s="160">
        <v>525</v>
      </c>
      <c r="AL81" s="111">
        <f>(1/3-0.21*(MIN(Table1123457[[#This Row],[b (mm)]],AF81)/MAX(Table1123457[[#This Row],[b (mm)]],AF81))*(MIN(Table1123457[[#This Row],[b (mm)]],AF81)^4/(12*MAX(Table1123457[[#This Row],[b (mm)]],AF81)^4)))*MAX(Table1123457[[#This Row],[b (mm)]],AF81)*MIN(Table1123457[[#This Row],[b (mm)]],AF81)^3</f>
        <v>13274757428.370747</v>
      </c>
      <c r="AM81" s="111">
        <f>Table1123457[[#This Row],[b (mm)]]*AF81^3/12</f>
        <v>80226171875</v>
      </c>
      <c r="AN81" s="111">
        <v>8100</v>
      </c>
      <c r="AP81" s="126"/>
      <c r="AU81" s="375">
        <v>420</v>
      </c>
      <c r="AV81" s="2">
        <f t="shared" si="9"/>
        <v>210</v>
      </c>
    </row>
    <row r="82" spans="1:48" x14ac:dyDescent="0.3">
      <c r="A82" s="246" t="s">
        <v>154</v>
      </c>
      <c r="B82" s="246">
        <v>5</v>
      </c>
      <c r="C82" s="185">
        <v>81</v>
      </c>
      <c r="D82" s="185">
        <f>Table1123457[[#This Row],[a (mm)]]/Table1123457[[#This Row],[d (mm)]]</f>
        <v>2.8928571428571428</v>
      </c>
      <c r="E82" s="247">
        <v>224.5</v>
      </c>
      <c r="F82" s="137">
        <f>Table1123457[[#This Row],[d (mm)]]</f>
        <v>1400</v>
      </c>
      <c r="G82" s="111">
        <f t="shared" si="7"/>
        <v>909225</v>
      </c>
      <c r="H82" s="135">
        <f t="shared" si="8"/>
        <v>4.3032107575884616E-7</v>
      </c>
      <c r="I82" s="111">
        <f>G82/(Table1123457[[#This Row],[b (mm)]]*Table1123457[[#This Row],[h]]^2)</f>
        <v>1.393047974719908E-3</v>
      </c>
      <c r="J82" s="135">
        <f t="shared" si="10"/>
        <v>0.33681595979212597</v>
      </c>
      <c r="K82" s="111">
        <f t="shared" si="6"/>
        <v>5.3859225430230127E-7</v>
      </c>
      <c r="L82" s="111">
        <f>E82/(Table1123457[[#This Row],[b (mm)]]*AE82)</f>
        <v>5.345238095238095E-4</v>
      </c>
      <c r="M82" s="111">
        <f>Table1123457[[#This Row],[M (KN.mm)]]/(Table1123457[[#This Row],[b (mm)]]*Table1123457[[#This Row],[d (mm)]])</f>
        <v>2.1648214285714285</v>
      </c>
      <c r="N82" s="111">
        <f>Table1123457[[#This Row],[M (KN.mm)]]/(Table1123457[[#This Row],[b (mm)]]*Table1123457[[#This Row],[h (mm)]])</f>
        <v>2.0547457627118644</v>
      </c>
      <c r="O82" s="111">
        <f>Table1123457[[#This Row],[M (KN.mm)]]/(Table1123457[[#This Row],[b (mm)]]*Table1123457[[#This Row],[h (mm)]]*Table1123457[[#This Row],[L(mm)]])</f>
        <v>2.5367231638418077E-4</v>
      </c>
      <c r="P82" s="111">
        <f>Table1123457[[#This Row],[M (KN.mm)]]/(Table1123457[[#This Row],[b (mm)]]*Table1123457[[#This Row],[d (mm)]]*Table1123457[[#This Row],[L(mm)]])</f>
        <v>2.6726190476190475E-4</v>
      </c>
      <c r="Q82" s="111">
        <f>Table1123457[[#This Row],[M (KN.mm)]]/(Table1123457[[#This Row],[b (mm)]]*Table1123457[[#This Row],[h (mm)]]*Table1123457[[#This Row],[L(mm)]]*Table1123457[[#This Row],[fc (Mpa)]])</f>
        <v>3.4466347334807177E-6</v>
      </c>
      <c r="R82" s="111">
        <f>Table1123457[[#This Row],[M (KN.mm)]]/(Table1123457[[#This Row],[b (mm)]]*Table1123457[[#This Row],[h (mm)]]*Table1123457[[#This Row],[L(mm)]]/2)</f>
        <v>5.0734463276836154E-4</v>
      </c>
      <c r="S82" s="111">
        <f>Table1123457[[#This Row],[M (KN.mm)]]/(Table1123457[[#This Row],[a (mm)]]*Table1123457[[#This Row],[b (mm)]]*Table1123457[[#This Row],[h (mm)]]*Table1123457[[#This Row],[L(mm)]]/2)</f>
        <v>1.2527027969589174E-7</v>
      </c>
      <c r="T82" s="111">
        <f>Table1123457[[#This Row],[M (KN.mm)]]/(Table1123457[[#This Row],[a (mm)]]^2*Table1123457[[#This Row],[b (mm)]]*Table1123457[[#This Row],[h (mm)]])</f>
        <v>1.2527027969589174E-7</v>
      </c>
      <c r="U82" s="111">
        <f>Table1123457[[#This Row],[M (KN.mm)]]/(Table1123457[[#This Row],[b (mm)]]*Table1123457[[#This Row],[d (mm)]]*Table1123457[[#This Row],[pho (%)]])</f>
        <v>2.6082185886402756</v>
      </c>
      <c r="V82" s="111">
        <f>E82*224.8/(2*SQRT(Table1123457[[#This Row],[fc (Mpa)]]*145.037)*Table1123457[[#This Row],[b (mm)]]*Table1123457[[#This Row],[d (mm)]]*(1/25.4)^2)</f>
        <v>0.37516514939281259</v>
      </c>
      <c r="W82" s="111">
        <f>Table1123457[[#This Row],[M (KN.mm)]]/$G$83</f>
        <v>0.8634615384615385</v>
      </c>
      <c r="X82" s="111">
        <f>Table1123457[[#This Row],[V/(2*sqrt(fc) bd)]]</f>
        <v>0.37516514939281259</v>
      </c>
      <c r="Y82" s="111">
        <f>Table1123457[[#This Row],[a (mm)]]</f>
        <v>4050</v>
      </c>
      <c r="Z82" s="111">
        <f>Table1123457[[#This Row],[width]]*Table1123457[[#This Row],[h]]^2</f>
        <v>652687500</v>
      </c>
      <c r="AA82" s="111">
        <f>Table1123457[[#This Row],[b (mm)]]</f>
        <v>300</v>
      </c>
      <c r="AB82" s="111">
        <f>Table1123457[[#This Row],[a (mm)]]/Table1123457[[#This Row],[h (mm)]]</f>
        <v>2.7457627118644066</v>
      </c>
      <c r="AC82" s="111">
        <f>Table1123457[[#This Row],[h (mm)]]</f>
        <v>1475</v>
      </c>
      <c r="AD82" s="111">
        <v>4050</v>
      </c>
      <c r="AE82" s="111">
        <v>1400</v>
      </c>
      <c r="AF82" s="111">
        <v>1475</v>
      </c>
      <c r="AG82" s="111">
        <v>300</v>
      </c>
      <c r="AH82" s="7">
        <v>73.599999999999994</v>
      </c>
      <c r="AI82" s="111">
        <f>Table1123457[[#This Row],[pho (%)]]*Table1123457[[#This Row],[b (mm)]]*Table1123457[[#This Row],[h (mm)]]/100</f>
        <v>3672.75</v>
      </c>
      <c r="AJ82" s="160">
        <v>0.83</v>
      </c>
      <c r="AK82" s="160">
        <v>525</v>
      </c>
      <c r="AL82" s="111">
        <f>(1/3-0.21*(MIN(Table1123457[[#This Row],[b (mm)]],AF82)/MAX(Table1123457[[#This Row],[b (mm)]],AF82))*(MIN(Table1123457[[#This Row],[b (mm)]],AF82)^4/(12*MAX(Table1123457[[#This Row],[b (mm)]],AF82)^4)))*MAX(Table1123457[[#This Row],[b (mm)]],AF82)*MIN(Table1123457[[#This Row],[b (mm)]],AF82)^3</f>
        <v>13274757428.370747</v>
      </c>
      <c r="AM82" s="111">
        <f>Table1123457[[#This Row],[b (mm)]]*AF82^3/12</f>
        <v>80226171875</v>
      </c>
      <c r="AN82" s="111">
        <v>8100</v>
      </c>
      <c r="AP82" s="126"/>
      <c r="AU82" s="375">
        <v>449</v>
      </c>
      <c r="AV82" s="2">
        <f t="shared" si="9"/>
        <v>224.5</v>
      </c>
    </row>
    <row r="83" spans="1:48" x14ac:dyDescent="0.3">
      <c r="A83" s="246" t="s">
        <v>154</v>
      </c>
      <c r="B83" s="246" t="s">
        <v>142</v>
      </c>
      <c r="C83" s="185">
        <v>82</v>
      </c>
      <c r="D83" s="185">
        <f>Table1123457[[#This Row],[a (mm)]]/Table1123457[[#This Row],[d (mm)]]</f>
        <v>2.8928571428571428</v>
      </c>
      <c r="E83" s="247">
        <v>260</v>
      </c>
      <c r="F83" s="137">
        <f>Table1123457[[#This Row],[d (mm)]]</f>
        <v>1400</v>
      </c>
      <c r="G83" s="111">
        <f t="shared" si="7"/>
        <v>1053000</v>
      </c>
      <c r="H83" s="135">
        <f t="shared" si="8"/>
        <v>4.983673928610245E-7</v>
      </c>
      <c r="I83" s="111">
        <f>G83/(Table1123457[[#This Row],[b (mm)]]*Table1123457[[#This Row],[h]]^2)</f>
        <v>1.6133295030163746E-3</v>
      </c>
      <c r="J83" s="135">
        <f t="shared" si="10"/>
        <v>0.39007638995970045</v>
      </c>
      <c r="K83" s="111">
        <f t="shared" si="6"/>
        <v>6.2375940364631777E-7</v>
      </c>
      <c r="L83" s="111">
        <f>E83/(Table1123457[[#This Row],[b (mm)]]*AE83)</f>
        <v>6.19047619047619E-4</v>
      </c>
      <c r="M83" s="111">
        <f>Table1123457[[#This Row],[M (KN.mm)]]/(Table1123457[[#This Row],[b (mm)]]*Table1123457[[#This Row],[d (mm)]])</f>
        <v>2.5071428571428571</v>
      </c>
      <c r="N83" s="111">
        <f>Table1123457[[#This Row],[M (KN.mm)]]/(Table1123457[[#This Row],[b (mm)]]*Table1123457[[#This Row],[h (mm)]])</f>
        <v>2.3796610169491523</v>
      </c>
      <c r="O83" s="111">
        <f>Table1123457[[#This Row],[M (KN.mm)]]/(Table1123457[[#This Row],[b (mm)]]*Table1123457[[#This Row],[h (mm)]]*Table1123457[[#This Row],[L(mm)]])</f>
        <v>2.937853107344633E-4</v>
      </c>
      <c r="P83" s="111">
        <f>Table1123457[[#This Row],[M (KN.mm)]]/(Table1123457[[#This Row],[b (mm)]]*Table1123457[[#This Row],[d (mm)]]*Table1123457[[#This Row],[L(mm)]])</f>
        <v>3.095238095238095E-4</v>
      </c>
      <c r="Q83" s="111">
        <f>Table1123457[[#This Row],[M (KN.mm)]]/(Table1123457[[#This Row],[b (mm)]]*Table1123457[[#This Row],[h (mm)]]*Table1123457[[#This Row],[L(mm)]]*Table1123457[[#This Row],[fc (Mpa)]])</f>
        <v>3.9916482436747734E-6</v>
      </c>
      <c r="R83" s="111">
        <f>Table1123457[[#This Row],[M (KN.mm)]]/(Table1123457[[#This Row],[b (mm)]]*Table1123457[[#This Row],[h (mm)]]*Table1123457[[#This Row],[L(mm)]]/2)</f>
        <v>5.875706214689266E-4</v>
      </c>
      <c r="S83" s="111">
        <f>Table1123457[[#This Row],[M (KN.mm)]]/(Table1123457[[#This Row],[a (mm)]]*Table1123457[[#This Row],[b (mm)]]*Table1123457[[#This Row],[h (mm)]]*Table1123457[[#This Row],[L(mm)]]/2)</f>
        <v>1.4507916579479668E-7</v>
      </c>
      <c r="T83" s="111">
        <f>Table1123457[[#This Row],[M (KN.mm)]]/(Table1123457[[#This Row],[a (mm)]]^2*Table1123457[[#This Row],[b (mm)]]*Table1123457[[#This Row],[h (mm)]])</f>
        <v>1.4507916579479668E-7</v>
      </c>
      <c r="U83" s="111">
        <f>Table1123457[[#This Row],[M (KN.mm)]]/(Table1123457[[#This Row],[b (mm)]]*Table1123457[[#This Row],[d (mm)]]*Table1123457[[#This Row],[pho (%)]])</f>
        <v>3.0206540447504304</v>
      </c>
      <c r="V83" s="111">
        <f>E83*224.8/(2*SQRT(Table1123457[[#This Row],[fc (Mpa)]]*145.037)*Table1123457[[#This Row],[b (mm)]]*Table1123457[[#This Row],[d (mm)]]*(1/25.4)^2)</f>
        <v>0.43448970531016157</v>
      </c>
      <c r="W83" s="111">
        <f>Table1123457[[#This Row],[M (KN.mm)]]/$G$83</f>
        <v>1</v>
      </c>
      <c r="X83" s="111">
        <f>Table1123457[[#This Row],[V/(2*sqrt(fc) bd)]]</f>
        <v>0.43448970531016157</v>
      </c>
      <c r="Y83" s="111">
        <f>Table1123457[[#This Row],[a (mm)]]</f>
        <v>4050</v>
      </c>
      <c r="Z83" s="111">
        <f>Table1123457[[#This Row],[width]]*Table1123457[[#This Row],[h]]^2</f>
        <v>652687500</v>
      </c>
      <c r="AA83" s="111">
        <f>Table1123457[[#This Row],[b (mm)]]</f>
        <v>300</v>
      </c>
      <c r="AB83" s="111">
        <f>Table1123457[[#This Row],[a (mm)]]/Table1123457[[#This Row],[h (mm)]]</f>
        <v>2.7457627118644066</v>
      </c>
      <c r="AC83" s="111">
        <f>Table1123457[[#This Row],[h (mm)]]</f>
        <v>1475</v>
      </c>
      <c r="AD83" s="111">
        <v>4050</v>
      </c>
      <c r="AE83" s="111">
        <v>1400</v>
      </c>
      <c r="AF83" s="111">
        <v>1475</v>
      </c>
      <c r="AG83" s="111">
        <v>300</v>
      </c>
      <c r="AH83" s="7">
        <v>73.599999999999994</v>
      </c>
      <c r="AI83" s="111">
        <f>Table1123457[[#This Row],[pho (%)]]*Table1123457[[#This Row],[b (mm)]]*Table1123457[[#This Row],[h (mm)]]/100</f>
        <v>3672.75</v>
      </c>
      <c r="AJ83" s="160">
        <v>0.83</v>
      </c>
      <c r="AK83" s="160">
        <v>525</v>
      </c>
      <c r="AL83" s="111">
        <f>(1/3-0.21*(MIN(Table1123457[[#This Row],[b (mm)]],AF83)/MAX(Table1123457[[#This Row],[b (mm)]],AF83))*(MIN(Table1123457[[#This Row],[b (mm)]],AF83)^4/(12*MAX(Table1123457[[#This Row],[b (mm)]],AF83)^4)))*MAX(Table1123457[[#This Row],[b (mm)]],AF83)*MIN(Table1123457[[#This Row],[b (mm)]],AF83)^3</f>
        <v>13274757428.370747</v>
      </c>
      <c r="AM83" s="111">
        <f>Table1123457[[#This Row],[b (mm)]]*AF83^3/12</f>
        <v>80226171875</v>
      </c>
      <c r="AN83" s="111">
        <v>8100</v>
      </c>
      <c r="AP83" s="126"/>
      <c r="AU83" s="375">
        <v>520</v>
      </c>
      <c r="AV83" s="2">
        <f t="shared" si="9"/>
        <v>260</v>
      </c>
    </row>
    <row r="84" spans="1:48" x14ac:dyDescent="0.3">
      <c r="A84" s="248" t="s">
        <v>155</v>
      </c>
      <c r="B84" s="248">
        <v>1</v>
      </c>
      <c r="C84" s="185">
        <v>83</v>
      </c>
      <c r="D84" s="185">
        <f>Table1123457[[#This Row],[a (mm)]]/Table1123457[[#This Row],[d (mm)]]</f>
        <v>2.8928571428571428</v>
      </c>
      <c r="E84" s="123">
        <v>50</v>
      </c>
      <c r="F84" s="137">
        <f>Table1123457[[#This Row],[d (mm)]]</f>
        <v>1400</v>
      </c>
      <c r="G84" s="111">
        <f t="shared" si="7"/>
        <v>202500</v>
      </c>
      <c r="H84" s="135">
        <f t="shared" si="8"/>
        <v>9.5839883242504715E-8</v>
      </c>
      <c r="I84" s="111">
        <f>G84/(Table1123457[[#This Row],[b (mm)]]*Table1123457[[#This Row],[h]]^2)</f>
        <v>3.102556736569951E-4</v>
      </c>
      <c r="J84" s="135">
        <f t="shared" si="10"/>
        <v>4.6813678956991234E-2</v>
      </c>
      <c r="K84" s="111">
        <f t="shared" si="6"/>
        <v>1.1995373147044572E-7</v>
      </c>
      <c r="L84" s="111">
        <f>E84/(Table1123457[[#This Row],[b (mm)]]*AE84)</f>
        <v>1.1904761904761905E-4</v>
      </c>
      <c r="M84" s="111">
        <f>Table1123457[[#This Row],[M (KN.mm)]]/(Table1123457[[#This Row],[b (mm)]]*Table1123457[[#This Row],[d (mm)]])</f>
        <v>0.48214285714285715</v>
      </c>
      <c r="N84" s="111">
        <f>Table1123457[[#This Row],[M (KN.mm)]]/(Table1123457[[#This Row],[b (mm)]]*Table1123457[[#This Row],[h (mm)]])</f>
        <v>0.4576271186440678</v>
      </c>
      <c r="O84" s="111">
        <f>Table1123457[[#This Row],[M (KN.mm)]]/(Table1123457[[#This Row],[b (mm)]]*Table1123457[[#This Row],[h (mm)]]*Table1123457[[#This Row],[L(mm)]])</f>
        <v>5.6497175141242937E-5</v>
      </c>
      <c r="P84" s="111">
        <f>Table1123457[[#This Row],[M (KN.mm)]]/(Table1123457[[#This Row],[b (mm)]]*Table1123457[[#This Row],[d (mm)]]*Table1123457[[#This Row],[L(mm)]])</f>
        <v>5.9523809523809524E-5</v>
      </c>
      <c r="Q84" s="111">
        <f>Table1123457[[#This Row],[M (KN.mm)]]/(Table1123457[[#This Row],[b (mm)]]*Table1123457[[#This Row],[h (mm)]]*Table1123457[[#This Row],[L(mm)]]*Table1123457[[#This Row],[fc (Mpa)]])</f>
        <v>7.934996508601536E-7</v>
      </c>
      <c r="R84" s="111">
        <f>Table1123457[[#This Row],[M (KN.mm)]]/(Table1123457[[#This Row],[b (mm)]]*Table1123457[[#This Row],[h (mm)]]*Table1123457[[#This Row],[L(mm)]]/2)</f>
        <v>1.1299435028248587E-4</v>
      </c>
      <c r="S84" s="111">
        <f>Table1123457[[#This Row],[M (KN.mm)]]/(Table1123457[[#This Row],[a (mm)]]*Table1123457[[#This Row],[b (mm)]]*Table1123457[[#This Row],[h (mm)]]*Table1123457[[#This Row],[L(mm)]]/2)</f>
        <v>2.7899839575922437E-8</v>
      </c>
      <c r="T84" s="111">
        <f>Table1123457[[#This Row],[M (KN.mm)]]/(Table1123457[[#This Row],[a (mm)]]^2*Table1123457[[#This Row],[b (mm)]]*Table1123457[[#This Row],[h (mm)]])</f>
        <v>2.7899839575922437E-8</v>
      </c>
      <c r="U84" s="111">
        <f>Table1123457[[#This Row],[M (KN.mm)]]/(Table1123457[[#This Row],[b (mm)]]*Table1123457[[#This Row],[d (mm)]]*Table1123457[[#This Row],[pho (%)]])</f>
        <v>0.36251342642320084</v>
      </c>
      <c r="V84" s="111">
        <f>E84*224.8/(2*SQRT(Table1123457[[#This Row],[fc (Mpa)]]*145.037)*Table1123457[[#This Row],[b (mm)]]*Table1123457[[#This Row],[d (mm)]]*(1/25.4)^2)</f>
        <v>8.4952283587841432E-2</v>
      </c>
      <c r="W84" s="111">
        <f>Table1123457[[#This Row],[M (KN.mm)]]/$G$89</f>
        <v>7.2046109510086456E-2</v>
      </c>
      <c r="X84" s="111">
        <f>Table1123457[[#This Row],[V/(2*sqrt(fc) bd)]]</f>
        <v>8.4952283587841432E-2</v>
      </c>
      <c r="Y84" s="111">
        <f>Table1123457[[#This Row],[a (mm)]]</f>
        <v>4050</v>
      </c>
      <c r="Z84" s="111">
        <f>Table1123457[[#This Row],[width]]*Table1123457[[#This Row],[h]]^2</f>
        <v>652687500</v>
      </c>
      <c r="AA84" s="111">
        <f>Table1123457[[#This Row],[b (mm)]]</f>
        <v>300</v>
      </c>
      <c r="AB84" s="111">
        <f>Table1123457[[#This Row],[a (mm)]]/Table1123457[[#This Row],[h (mm)]]</f>
        <v>2.7457627118644066</v>
      </c>
      <c r="AC84" s="111">
        <f>Table1123457[[#This Row],[h (mm)]]</f>
        <v>1475</v>
      </c>
      <c r="AD84" s="111">
        <v>4050</v>
      </c>
      <c r="AE84" s="111">
        <v>1400</v>
      </c>
      <c r="AF84" s="111">
        <v>1475</v>
      </c>
      <c r="AG84" s="111">
        <v>300</v>
      </c>
      <c r="AH84" s="7">
        <v>71.2</v>
      </c>
      <c r="AI84" s="111">
        <f>Table1123457[[#This Row],[pho (%)]]*Table1123457[[#This Row],[b (mm)]]*Table1123457[[#This Row],[h (mm)]]/100</f>
        <v>5885.25</v>
      </c>
      <c r="AJ84" s="160">
        <v>1.33</v>
      </c>
      <c r="AK84" s="160">
        <v>525</v>
      </c>
      <c r="AL84" s="111">
        <f>(1/3-0.21*(MIN(Table1123457[[#This Row],[b (mm)]],AF84)/MAX(Table1123457[[#This Row],[b (mm)]],AF84))*(MIN(Table1123457[[#This Row],[b (mm)]],AF84)^4/(12*MAX(Table1123457[[#This Row],[b (mm)]],AF84)^4)))*MAX(Table1123457[[#This Row],[b (mm)]],AF84)*MIN(Table1123457[[#This Row],[b (mm)]],AF84)^3</f>
        <v>13274757428.370747</v>
      </c>
      <c r="AM84" s="111">
        <f>Table1123457[[#This Row],[b (mm)]]*AF84^3/12</f>
        <v>80226171875</v>
      </c>
      <c r="AN84" s="111">
        <v>8100</v>
      </c>
      <c r="AP84" s="126"/>
      <c r="AU84" s="364">
        <v>100</v>
      </c>
      <c r="AV84" s="2">
        <f t="shared" si="9"/>
        <v>50</v>
      </c>
    </row>
    <row r="85" spans="1:48" x14ac:dyDescent="0.3">
      <c r="A85" s="248" t="s">
        <v>155</v>
      </c>
      <c r="B85" s="248">
        <v>2</v>
      </c>
      <c r="C85" s="185">
        <v>84</v>
      </c>
      <c r="D85" s="185">
        <f>Table1123457[[#This Row],[a (mm)]]/Table1123457[[#This Row],[d (mm)]]</f>
        <v>2.8928571428571428</v>
      </c>
      <c r="E85" s="123">
        <v>225</v>
      </c>
      <c r="F85" s="137">
        <f>Table1123457[[#This Row],[d (mm)]]</f>
        <v>1400</v>
      </c>
      <c r="G85" s="111">
        <f t="shared" si="7"/>
        <v>911250</v>
      </c>
      <c r="H85" s="135">
        <f t="shared" si="8"/>
        <v>4.3127947459127122E-7</v>
      </c>
      <c r="I85" s="111">
        <f>G85/(Table1123457[[#This Row],[b (mm)]]*Table1123457[[#This Row],[h]]^2)</f>
        <v>1.3961505314564781E-3</v>
      </c>
      <c r="J85" s="135">
        <f t="shared" si="10"/>
        <v>0.21066155530646055</v>
      </c>
      <c r="K85" s="111">
        <f t="shared" si="6"/>
        <v>5.3979179161700577E-7</v>
      </c>
      <c r="L85" s="111">
        <f>E85/(Table1123457[[#This Row],[b (mm)]]*AE85)</f>
        <v>5.3571428571428574E-4</v>
      </c>
      <c r="M85" s="111">
        <f>Table1123457[[#This Row],[M (KN.mm)]]/(Table1123457[[#This Row],[b (mm)]]*Table1123457[[#This Row],[d (mm)]])</f>
        <v>2.1696428571428572</v>
      </c>
      <c r="N85" s="111">
        <f>Table1123457[[#This Row],[M (KN.mm)]]/(Table1123457[[#This Row],[b (mm)]]*Table1123457[[#This Row],[h (mm)]])</f>
        <v>2.0593220338983049</v>
      </c>
      <c r="O85" s="111">
        <f>Table1123457[[#This Row],[M (KN.mm)]]/(Table1123457[[#This Row],[b (mm)]]*Table1123457[[#This Row],[h (mm)]]*Table1123457[[#This Row],[L(mm)]])</f>
        <v>2.5423728813559322E-4</v>
      </c>
      <c r="P85" s="111">
        <f>Table1123457[[#This Row],[M (KN.mm)]]/(Table1123457[[#This Row],[b (mm)]]*Table1123457[[#This Row],[d (mm)]]*Table1123457[[#This Row],[L(mm)]])</f>
        <v>2.6785714285714287E-4</v>
      </c>
      <c r="Q85" s="111">
        <f>Table1123457[[#This Row],[M (KN.mm)]]/(Table1123457[[#This Row],[b (mm)]]*Table1123457[[#This Row],[h (mm)]]*Table1123457[[#This Row],[L(mm)]]*Table1123457[[#This Row],[fc (Mpa)]])</f>
        <v>3.5707484288706913E-6</v>
      </c>
      <c r="R85" s="111">
        <f>Table1123457[[#This Row],[M (KN.mm)]]/(Table1123457[[#This Row],[b (mm)]]*Table1123457[[#This Row],[h (mm)]]*Table1123457[[#This Row],[L(mm)]]/2)</f>
        <v>5.0847457627118645E-4</v>
      </c>
      <c r="S85" s="111">
        <f>Table1123457[[#This Row],[M (KN.mm)]]/(Table1123457[[#This Row],[a (mm)]]*Table1123457[[#This Row],[b (mm)]]*Table1123457[[#This Row],[h (mm)]]*Table1123457[[#This Row],[L(mm)]]/2)</f>
        <v>1.2554927809165096E-7</v>
      </c>
      <c r="T85" s="111">
        <f>Table1123457[[#This Row],[M (KN.mm)]]/(Table1123457[[#This Row],[a (mm)]]^2*Table1123457[[#This Row],[b (mm)]]*Table1123457[[#This Row],[h (mm)]])</f>
        <v>1.2554927809165096E-7</v>
      </c>
      <c r="U85" s="111">
        <f>Table1123457[[#This Row],[M (KN.mm)]]/(Table1123457[[#This Row],[b (mm)]]*Table1123457[[#This Row],[d (mm)]]*Table1123457[[#This Row],[pho (%)]])</f>
        <v>1.6313104189044039</v>
      </c>
      <c r="V85" s="111">
        <f>E85*224.8/(2*SQRT(Table1123457[[#This Row],[fc (Mpa)]]*145.037)*Table1123457[[#This Row],[b (mm)]]*Table1123457[[#This Row],[d (mm)]]*(1/25.4)^2)</f>
        <v>0.38228527614528646</v>
      </c>
      <c r="W85" s="111">
        <f>Table1123457[[#This Row],[M (KN.mm)]]/$G$89</f>
        <v>0.32420749279538907</v>
      </c>
      <c r="X85" s="111">
        <f>Table1123457[[#This Row],[V/(2*sqrt(fc) bd)]]</f>
        <v>0.38228527614528646</v>
      </c>
      <c r="Y85" s="111">
        <f>Table1123457[[#This Row],[a (mm)]]</f>
        <v>4050</v>
      </c>
      <c r="Z85" s="111">
        <f>Table1123457[[#This Row],[width]]*Table1123457[[#This Row],[h]]^2</f>
        <v>652687500</v>
      </c>
      <c r="AA85" s="111">
        <f>Table1123457[[#This Row],[b (mm)]]</f>
        <v>300</v>
      </c>
      <c r="AB85" s="111">
        <f>Table1123457[[#This Row],[a (mm)]]/Table1123457[[#This Row],[h (mm)]]</f>
        <v>2.7457627118644066</v>
      </c>
      <c r="AC85" s="111">
        <f>Table1123457[[#This Row],[h (mm)]]</f>
        <v>1475</v>
      </c>
      <c r="AD85" s="111">
        <v>4050</v>
      </c>
      <c r="AE85" s="111">
        <v>1400</v>
      </c>
      <c r="AF85" s="111">
        <v>1475</v>
      </c>
      <c r="AG85" s="111">
        <v>300</v>
      </c>
      <c r="AH85" s="7">
        <v>71.2</v>
      </c>
      <c r="AI85" s="111">
        <f>Table1123457[[#This Row],[pho (%)]]*Table1123457[[#This Row],[b (mm)]]*Table1123457[[#This Row],[h (mm)]]/100</f>
        <v>5885.25</v>
      </c>
      <c r="AJ85" s="160">
        <v>1.33</v>
      </c>
      <c r="AK85" s="160">
        <v>525</v>
      </c>
      <c r="AL85" s="111">
        <f>(1/3-0.21*(MIN(Table1123457[[#This Row],[b (mm)]],AF85)/MAX(Table1123457[[#This Row],[b (mm)]],AF85))*(MIN(Table1123457[[#This Row],[b (mm)]],AF85)^4/(12*MAX(Table1123457[[#This Row],[b (mm)]],AF85)^4)))*MAX(Table1123457[[#This Row],[b (mm)]],AF85)*MIN(Table1123457[[#This Row],[b (mm)]],AF85)^3</f>
        <v>13274757428.370747</v>
      </c>
      <c r="AM85" s="111">
        <f>Table1123457[[#This Row],[b (mm)]]*AF85^3/12</f>
        <v>80226171875</v>
      </c>
      <c r="AN85" s="111">
        <v>8100</v>
      </c>
      <c r="AP85" s="126"/>
      <c r="AU85" s="364">
        <v>450</v>
      </c>
      <c r="AV85" s="2">
        <f t="shared" si="9"/>
        <v>225</v>
      </c>
    </row>
    <row r="86" spans="1:48" x14ac:dyDescent="0.3">
      <c r="A86" s="248" t="s">
        <v>155</v>
      </c>
      <c r="B86" s="248">
        <v>3</v>
      </c>
      <c r="C86" s="185">
        <v>85</v>
      </c>
      <c r="D86" s="185">
        <f>Table1123457[[#This Row],[a (mm)]]/Table1123457[[#This Row],[d (mm)]]</f>
        <v>2.8928571428571428</v>
      </c>
      <c r="E86" s="123">
        <v>350</v>
      </c>
      <c r="F86" s="137">
        <f>Table1123457[[#This Row],[d (mm)]]</f>
        <v>1400</v>
      </c>
      <c r="G86" s="111">
        <f t="shared" si="7"/>
        <v>1417500</v>
      </c>
      <c r="H86" s="135">
        <f t="shared" si="8"/>
        <v>6.7087918269753299E-7</v>
      </c>
      <c r="I86" s="111">
        <f>G86/(Table1123457[[#This Row],[b (mm)]]*Table1123457[[#This Row],[h]]^2)</f>
        <v>2.1717897155989659E-3</v>
      </c>
      <c r="J86" s="135">
        <f t="shared" si="10"/>
        <v>0.32769575269893864</v>
      </c>
      <c r="K86" s="111">
        <f t="shared" si="6"/>
        <v>8.3967612029312006E-7</v>
      </c>
      <c r="L86" s="111">
        <f>E86/(Table1123457[[#This Row],[b (mm)]]*AE86)</f>
        <v>8.3333333333333339E-4</v>
      </c>
      <c r="M86" s="111">
        <f>Table1123457[[#This Row],[M (KN.mm)]]/(Table1123457[[#This Row],[b (mm)]]*Table1123457[[#This Row],[d (mm)]])</f>
        <v>3.375</v>
      </c>
      <c r="N86" s="111">
        <f>Table1123457[[#This Row],[M (KN.mm)]]/(Table1123457[[#This Row],[b (mm)]]*Table1123457[[#This Row],[h (mm)]])</f>
        <v>3.2033898305084745</v>
      </c>
      <c r="O86" s="111">
        <f>Table1123457[[#This Row],[M (KN.mm)]]/(Table1123457[[#This Row],[b (mm)]]*Table1123457[[#This Row],[h (mm)]]*Table1123457[[#This Row],[L(mm)]])</f>
        <v>3.9548022598870055E-4</v>
      </c>
      <c r="P86" s="111">
        <f>Table1123457[[#This Row],[M (KN.mm)]]/(Table1123457[[#This Row],[b (mm)]]*Table1123457[[#This Row],[d (mm)]]*Table1123457[[#This Row],[L(mm)]])</f>
        <v>4.1666666666666669E-4</v>
      </c>
      <c r="Q86" s="111">
        <f>Table1123457[[#This Row],[M (KN.mm)]]/(Table1123457[[#This Row],[b (mm)]]*Table1123457[[#This Row],[h (mm)]]*Table1123457[[#This Row],[L(mm)]]*Table1123457[[#This Row],[fc (Mpa)]])</f>
        <v>5.554497556021075E-6</v>
      </c>
      <c r="R86" s="111">
        <f>Table1123457[[#This Row],[M (KN.mm)]]/(Table1123457[[#This Row],[b (mm)]]*Table1123457[[#This Row],[h (mm)]]*Table1123457[[#This Row],[L(mm)]]/2)</f>
        <v>7.9096045197740109E-4</v>
      </c>
      <c r="S86" s="111">
        <f>Table1123457[[#This Row],[M (KN.mm)]]/(Table1123457[[#This Row],[a (mm)]]*Table1123457[[#This Row],[b (mm)]]*Table1123457[[#This Row],[h (mm)]]*Table1123457[[#This Row],[L(mm)]]/2)</f>
        <v>1.9529887703145707E-7</v>
      </c>
      <c r="T86" s="111">
        <f>Table1123457[[#This Row],[M (KN.mm)]]/(Table1123457[[#This Row],[a (mm)]]^2*Table1123457[[#This Row],[b (mm)]]*Table1123457[[#This Row],[h (mm)]])</f>
        <v>1.9529887703145707E-7</v>
      </c>
      <c r="U86" s="111">
        <f>Table1123457[[#This Row],[M (KN.mm)]]/(Table1123457[[#This Row],[b (mm)]]*Table1123457[[#This Row],[d (mm)]]*Table1123457[[#This Row],[pho (%)]])</f>
        <v>2.5375939849624061</v>
      </c>
      <c r="V86" s="111">
        <f>E86*224.8/(2*SQRT(Table1123457[[#This Row],[fc (Mpa)]]*145.037)*Table1123457[[#This Row],[b (mm)]]*Table1123457[[#This Row],[d (mm)]]*(1/25.4)^2)</f>
        <v>0.59466598511488999</v>
      </c>
      <c r="W86" s="111">
        <f>Table1123457[[#This Row],[M (KN.mm)]]/$G$89</f>
        <v>0.50432276657060515</v>
      </c>
      <c r="X86" s="111">
        <f>Table1123457[[#This Row],[V/(2*sqrt(fc) bd)]]</f>
        <v>0.59466598511488999</v>
      </c>
      <c r="Y86" s="111">
        <f>Table1123457[[#This Row],[a (mm)]]</f>
        <v>4050</v>
      </c>
      <c r="Z86" s="111">
        <f>Table1123457[[#This Row],[width]]*Table1123457[[#This Row],[h]]^2</f>
        <v>652687500</v>
      </c>
      <c r="AA86" s="111">
        <f>Table1123457[[#This Row],[b (mm)]]</f>
        <v>300</v>
      </c>
      <c r="AB86" s="111">
        <f>Table1123457[[#This Row],[a (mm)]]/Table1123457[[#This Row],[h (mm)]]</f>
        <v>2.7457627118644066</v>
      </c>
      <c r="AC86" s="111">
        <f>Table1123457[[#This Row],[h (mm)]]</f>
        <v>1475</v>
      </c>
      <c r="AD86" s="111">
        <v>4050</v>
      </c>
      <c r="AE86" s="111">
        <v>1400</v>
      </c>
      <c r="AF86" s="111">
        <v>1475</v>
      </c>
      <c r="AG86" s="111">
        <v>300</v>
      </c>
      <c r="AH86" s="7">
        <v>71.2</v>
      </c>
      <c r="AI86" s="111">
        <f>Table1123457[[#This Row],[pho (%)]]*Table1123457[[#This Row],[b (mm)]]*Table1123457[[#This Row],[h (mm)]]/100</f>
        <v>5885.25</v>
      </c>
      <c r="AJ86" s="160">
        <v>1.33</v>
      </c>
      <c r="AK86" s="160">
        <v>525</v>
      </c>
      <c r="AL86" s="111">
        <f>(1/3-0.21*(MIN(Table1123457[[#This Row],[b (mm)]],AF86)/MAX(Table1123457[[#This Row],[b (mm)]],AF86))*(MIN(Table1123457[[#This Row],[b (mm)]],AF86)^4/(12*MAX(Table1123457[[#This Row],[b (mm)]],AF86)^4)))*MAX(Table1123457[[#This Row],[b (mm)]],AF86)*MIN(Table1123457[[#This Row],[b (mm)]],AF86)^3</f>
        <v>13274757428.370747</v>
      </c>
      <c r="AM86" s="111">
        <f>Table1123457[[#This Row],[b (mm)]]*AF86^3/12</f>
        <v>80226171875</v>
      </c>
      <c r="AN86" s="111">
        <v>8100</v>
      </c>
      <c r="AP86" s="126"/>
      <c r="AU86" s="364">
        <v>700</v>
      </c>
      <c r="AV86" s="2">
        <f t="shared" si="9"/>
        <v>350</v>
      </c>
    </row>
    <row r="87" spans="1:48" x14ac:dyDescent="0.3">
      <c r="A87" s="248" t="s">
        <v>155</v>
      </c>
      <c r="B87" s="248">
        <v>4</v>
      </c>
      <c r="C87" s="185">
        <v>86</v>
      </c>
      <c r="D87" s="185">
        <f>Table1123457[[#This Row],[a (mm)]]/Table1123457[[#This Row],[d (mm)]]</f>
        <v>2.8928571428571428</v>
      </c>
      <c r="E87" s="123">
        <v>471</v>
      </c>
      <c r="F87" s="137">
        <f>Table1123457[[#This Row],[d (mm)]]</f>
        <v>1400</v>
      </c>
      <c r="G87" s="111">
        <f t="shared" si="7"/>
        <v>1907550</v>
      </c>
      <c r="H87" s="135">
        <f t="shared" si="8"/>
        <v>9.0281170014439439E-7</v>
      </c>
      <c r="I87" s="111">
        <f>G87/(Table1123457[[#This Row],[b (mm)]]*Table1123457[[#This Row],[h]]^2)</f>
        <v>2.922608445848894E-3</v>
      </c>
      <c r="J87" s="135">
        <f t="shared" si="10"/>
        <v>0.44098485577485741</v>
      </c>
      <c r="K87" s="111">
        <f t="shared" si="6"/>
        <v>1.1299641504515987E-6</v>
      </c>
      <c r="L87" s="111">
        <f>E87/(Table1123457[[#This Row],[b (mm)]]*AE87)</f>
        <v>1.1214285714285714E-3</v>
      </c>
      <c r="M87" s="111">
        <f>Table1123457[[#This Row],[M (KN.mm)]]/(Table1123457[[#This Row],[b (mm)]]*Table1123457[[#This Row],[d (mm)]])</f>
        <v>4.5417857142857141</v>
      </c>
      <c r="N87" s="111">
        <f>Table1123457[[#This Row],[M (KN.mm)]]/(Table1123457[[#This Row],[b (mm)]]*Table1123457[[#This Row],[h (mm)]])</f>
        <v>4.3108474576271183</v>
      </c>
      <c r="O87" s="111">
        <f>Table1123457[[#This Row],[M (KN.mm)]]/(Table1123457[[#This Row],[b (mm)]]*Table1123457[[#This Row],[h (mm)]]*Table1123457[[#This Row],[L(mm)]])</f>
        <v>5.3220338983050845E-4</v>
      </c>
      <c r="P87" s="111">
        <f>Table1123457[[#This Row],[M (KN.mm)]]/(Table1123457[[#This Row],[b (mm)]]*Table1123457[[#This Row],[d (mm)]]*Table1123457[[#This Row],[L(mm)]])</f>
        <v>5.607142857142857E-4</v>
      </c>
      <c r="Q87" s="111">
        <f>Table1123457[[#This Row],[M (KN.mm)]]/(Table1123457[[#This Row],[b (mm)]]*Table1123457[[#This Row],[h (mm)]]*Table1123457[[#This Row],[L(mm)]]*Table1123457[[#This Row],[fc (Mpa)]])</f>
        <v>7.4747667111026469E-6</v>
      </c>
      <c r="R87" s="111">
        <f>Table1123457[[#This Row],[M (KN.mm)]]/(Table1123457[[#This Row],[b (mm)]]*Table1123457[[#This Row],[h (mm)]]*Table1123457[[#This Row],[L(mm)]]/2)</f>
        <v>1.0644067796610169E-3</v>
      </c>
      <c r="S87" s="111">
        <f>Table1123457[[#This Row],[M (KN.mm)]]/(Table1123457[[#This Row],[a (mm)]]*Table1123457[[#This Row],[b (mm)]]*Table1123457[[#This Row],[h (mm)]]*Table1123457[[#This Row],[L(mm)]]/2)</f>
        <v>2.6281648880518935E-7</v>
      </c>
      <c r="T87" s="111">
        <f>Table1123457[[#This Row],[M (KN.mm)]]/(Table1123457[[#This Row],[a (mm)]]^2*Table1123457[[#This Row],[b (mm)]]*Table1123457[[#This Row],[h (mm)]])</f>
        <v>2.6281648880518935E-7</v>
      </c>
      <c r="U87" s="111">
        <f>Table1123457[[#This Row],[M (KN.mm)]]/(Table1123457[[#This Row],[b (mm)]]*Table1123457[[#This Row],[d (mm)]]*Table1123457[[#This Row],[pho (%)]])</f>
        <v>3.414876476906552</v>
      </c>
      <c r="V87" s="111">
        <f>E87*224.8/(2*SQRT(Table1123457[[#This Row],[fc (Mpa)]]*145.037)*Table1123457[[#This Row],[b (mm)]]*Table1123457[[#This Row],[d (mm)]]*(1/25.4)^2)</f>
        <v>0.80025051139746628</v>
      </c>
      <c r="W87" s="111">
        <f>Table1123457[[#This Row],[M (KN.mm)]]/$G$89</f>
        <v>0.67867435158501443</v>
      </c>
      <c r="X87" s="111">
        <f>Table1123457[[#This Row],[V/(2*sqrt(fc) bd)]]</f>
        <v>0.80025051139746628</v>
      </c>
      <c r="Y87" s="111">
        <f>Table1123457[[#This Row],[a (mm)]]</f>
        <v>4050</v>
      </c>
      <c r="Z87" s="111">
        <f>Table1123457[[#This Row],[width]]*Table1123457[[#This Row],[h]]^2</f>
        <v>652687500</v>
      </c>
      <c r="AA87" s="111">
        <f>Table1123457[[#This Row],[b (mm)]]</f>
        <v>300</v>
      </c>
      <c r="AB87" s="111">
        <f>Table1123457[[#This Row],[a (mm)]]/Table1123457[[#This Row],[h (mm)]]</f>
        <v>2.7457627118644066</v>
      </c>
      <c r="AC87" s="111">
        <f>Table1123457[[#This Row],[h (mm)]]</f>
        <v>1475</v>
      </c>
      <c r="AD87" s="111">
        <v>4050</v>
      </c>
      <c r="AE87" s="111">
        <v>1400</v>
      </c>
      <c r="AF87" s="111">
        <v>1475</v>
      </c>
      <c r="AG87" s="111">
        <v>300</v>
      </c>
      <c r="AH87" s="7">
        <v>71.2</v>
      </c>
      <c r="AI87" s="111">
        <f>Table1123457[[#This Row],[pho (%)]]*Table1123457[[#This Row],[b (mm)]]*Table1123457[[#This Row],[h (mm)]]/100</f>
        <v>5885.25</v>
      </c>
      <c r="AJ87" s="160">
        <v>1.33</v>
      </c>
      <c r="AK87" s="160">
        <v>525</v>
      </c>
      <c r="AL87" s="111">
        <f>(1/3-0.21*(MIN(Table1123457[[#This Row],[b (mm)]],AF87)/MAX(Table1123457[[#This Row],[b (mm)]],AF87))*(MIN(Table1123457[[#This Row],[b (mm)]],AF87)^4/(12*MAX(Table1123457[[#This Row],[b (mm)]],AF87)^4)))*MAX(Table1123457[[#This Row],[b (mm)]],AF87)*MIN(Table1123457[[#This Row],[b (mm)]],AF87)^3</f>
        <v>13274757428.370747</v>
      </c>
      <c r="AM87" s="111">
        <f>Table1123457[[#This Row],[b (mm)]]*AF87^3/12</f>
        <v>80226171875</v>
      </c>
      <c r="AN87" s="111">
        <v>8100</v>
      </c>
      <c r="AP87" s="126"/>
      <c r="AU87" s="364">
        <v>942</v>
      </c>
      <c r="AV87" s="2">
        <f t="shared" si="9"/>
        <v>471</v>
      </c>
    </row>
    <row r="88" spans="1:48" x14ac:dyDescent="0.3">
      <c r="A88" s="248" t="s">
        <v>155</v>
      </c>
      <c r="B88" s="248">
        <v>5</v>
      </c>
      <c r="C88" s="185">
        <v>87</v>
      </c>
      <c r="D88" s="185">
        <f>Table1123457[[#This Row],[a (mm)]]/Table1123457[[#This Row],[d (mm)]]</f>
        <v>2.8928571428571428</v>
      </c>
      <c r="E88" s="123">
        <v>600</v>
      </c>
      <c r="F88" s="137">
        <f>Table1123457[[#This Row],[d (mm)]]</f>
        <v>1400</v>
      </c>
      <c r="G88" s="111">
        <f t="shared" si="7"/>
        <v>2430000</v>
      </c>
      <c r="H88" s="135">
        <f t="shared" si="8"/>
        <v>1.1500785989100565E-6</v>
      </c>
      <c r="I88" s="111">
        <f>G88/(Table1123457[[#This Row],[b (mm)]]*Table1123457[[#This Row],[h]]^2)</f>
        <v>3.7230680838839414E-3</v>
      </c>
      <c r="J88" s="135">
        <f t="shared" si="10"/>
        <v>0.5617641474838948</v>
      </c>
      <c r="K88" s="111">
        <f t="shared" si="6"/>
        <v>1.4394447776453487E-6</v>
      </c>
      <c r="L88" s="111">
        <f>E88/(Table1123457[[#This Row],[b (mm)]]*AE88)</f>
        <v>1.4285714285714286E-3</v>
      </c>
      <c r="M88" s="111">
        <f>Table1123457[[#This Row],[M (KN.mm)]]/(Table1123457[[#This Row],[b (mm)]]*Table1123457[[#This Row],[d (mm)]])</f>
        <v>5.7857142857142856</v>
      </c>
      <c r="N88" s="111">
        <f>Table1123457[[#This Row],[M (KN.mm)]]/(Table1123457[[#This Row],[b (mm)]]*Table1123457[[#This Row],[h (mm)]])</f>
        <v>5.4915254237288131</v>
      </c>
      <c r="O88" s="111">
        <f>Table1123457[[#This Row],[M (KN.mm)]]/(Table1123457[[#This Row],[b (mm)]]*Table1123457[[#This Row],[h (mm)]]*Table1123457[[#This Row],[L(mm)]])</f>
        <v>6.779661016949153E-4</v>
      </c>
      <c r="P88" s="111">
        <f>Table1123457[[#This Row],[M (KN.mm)]]/(Table1123457[[#This Row],[b (mm)]]*Table1123457[[#This Row],[d (mm)]]*Table1123457[[#This Row],[L(mm)]])</f>
        <v>7.1428571428571429E-4</v>
      </c>
      <c r="Q88" s="111">
        <f>Table1123457[[#This Row],[M (KN.mm)]]/(Table1123457[[#This Row],[b (mm)]]*Table1123457[[#This Row],[h (mm)]]*Table1123457[[#This Row],[L(mm)]]*Table1123457[[#This Row],[fc (Mpa)]])</f>
        <v>9.521995810321844E-6</v>
      </c>
      <c r="R88" s="111">
        <f>Table1123457[[#This Row],[M (KN.mm)]]/(Table1123457[[#This Row],[b (mm)]]*Table1123457[[#This Row],[h (mm)]]*Table1123457[[#This Row],[L(mm)]]/2)</f>
        <v>1.3559322033898306E-3</v>
      </c>
      <c r="S88" s="111">
        <f>Table1123457[[#This Row],[M (KN.mm)]]/(Table1123457[[#This Row],[a (mm)]]*Table1123457[[#This Row],[b (mm)]]*Table1123457[[#This Row],[h (mm)]]*Table1123457[[#This Row],[L(mm)]]/2)</f>
        <v>3.3479807491106928E-7</v>
      </c>
      <c r="T88" s="111">
        <f>Table1123457[[#This Row],[M (KN.mm)]]/(Table1123457[[#This Row],[a (mm)]]^2*Table1123457[[#This Row],[b (mm)]]*Table1123457[[#This Row],[h (mm)]])</f>
        <v>3.3479807491106928E-7</v>
      </c>
      <c r="U88" s="111">
        <f>Table1123457[[#This Row],[M (KN.mm)]]/(Table1123457[[#This Row],[b (mm)]]*Table1123457[[#This Row],[d (mm)]]*Table1123457[[#This Row],[pho (%)]])</f>
        <v>4.35016111707841</v>
      </c>
      <c r="V88" s="111">
        <f>E88*224.8/(2*SQRT(Table1123457[[#This Row],[fc (Mpa)]]*145.037)*Table1123457[[#This Row],[b (mm)]]*Table1123457[[#This Row],[d (mm)]]*(1/25.4)^2)</f>
        <v>1.0194274030540971</v>
      </c>
      <c r="W88" s="111">
        <f>Table1123457[[#This Row],[M (KN.mm)]]/$G$89</f>
        <v>0.86455331412103742</v>
      </c>
      <c r="X88" s="111">
        <f>Table1123457[[#This Row],[V/(2*sqrt(fc) bd)]]</f>
        <v>1.0194274030540971</v>
      </c>
      <c r="Y88" s="111">
        <f>Table1123457[[#This Row],[a (mm)]]</f>
        <v>4050</v>
      </c>
      <c r="Z88" s="111">
        <f>Table1123457[[#This Row],[width]]*Table1123457[[#This Row],[h]]^2</f>
        <v>652687500</v>
      </c>
      <c r="AA88" s="111">
        <f>Table1123457[[#This Row],[b (mm)]]</f>
        <v>300</v>
      </c>
      <c r="AB88" s="111">
        <f>Table1123457[[#This Row],[a (mm)]]/Table1123457[[#This Row],[h (mm)]]</f>
        <v>2.7457627118644066</v>
      </c>
      <c r="AC88" s="111">
        <f>Table1123457[[#This Row],[h (mm)]]</f>
        <v>1475</v>
      </c>
      <c r="AD88" s="111">
        <v>4050</v>
      </c>
      <c r="AE88" s="111">
        <v>1400</v>
      </c>
      <c r="AF88" s="111">
        <v>1475</v>
      </c>
      <c r="AG88" s="111">
        <v>300</v>
      </c>
      <c r="AH88" s="7">
        <v>71.2</v>
      </c>
      <c r="AI88" s="111">
        <f>Table1123457[[#This Row],[pho (%)]]*Table1123457[[#This Row],[b (mm)]]*Table1123457[[#This Row],[h (mm)]]/100</f>
        <v>5885.25</v>
      </c>
      <c r="AJ88" s="160">
        <v>1.33</v>
      </c>
      <c r="AK88" s="160">
        <v>525</v>
      </c>
      <c r="AL88" s="111">
        <f>(1/3-0.21*(MIN(Table1123457[[#This Row],[b (mm)]],AF88)/MAX(Table1123457[[#This Row],[b (mm)]],AF88))*(MIN(Table1123457[[#This Row],[b (mm)]],AF88)^4/(12*MAX(Table1123457[[#This Row],[b (mm)]],AF88)^4)))*MAX(Table1123457[[#This Row],[b (mm)]],AF88)*MIN(Table1123457[[#This Row],[b (mm)]],AF88)^3</f>
        <v>13274757428.370747</v>
      </c>
      <c r="AM88" s="111">
        <f>Table1123457[[#This Row],[b (mm)]]*AF88^3/12</f>
        <v>80226171875</v>
      </c>
      <c r="AN88" s="111">
        <v>8100</v>
      </c>
      <c r="AP88" s="126"/>
      <c r="AU88" s="364">
        <v>1200</v>
      </c>
      <c r="AV88" s="2">
        <f t="shared" si="9"/>
        <v>600</v>
      </c>
    </row>
    <row r="89" spans="1:48" x14ac:dyDescent="0.3">
      <c r="A89" s="248" t="s">
        <v>155</v>
      </c>
      <c r="B89" s="248" t="s">
        <v>142</v>
      </c>
      <c r="C89" s="185">
        <v>88</v>
      </c>
      <c r="D89" s="185">
        <f>Table1123457[[#This Row],[a (mm)]]/Table1123457[[#This Row],[d (mm)]]</f>
        <v>2.8928571428571428</v>
      </c>
      <c r="E89" s="123">
        <v>694</v>
      </c>
      <c r="F89" s="137">
        <f>Table1123457[[#This Row],[d (mm)]]</f>
        <v>1400</v>
      </c>
      <c r="G89" s="111">
        <f t="shared" si="7"/>
        <v>2810700</v>
      </c>
      <c r="H89" s="135">
        <f t="shared" si="8"/>
        <v>1.3302575794059655E-6</v>
      </c>
      <c r="I89" s="111">
        <f>G89/(Table1123457[[#This Row],[b (mm)]]*Table1123457[[#This Row],[h]]^2)</f>
        <v>4.3063487503590923E-3</v>
      </c>
      <c r="J89" s="135">
        <f t="shared" si="10"/>
        <v>0.64977386392303826</v>
      </c>
      <c r="K89" s="111">
        <f t="shared" si="6"/>
        <v>1.6649577928097867E-6</v>
      </c>
      <c r="L89" s="111">
        <f>E89/(Table1123457[[#This Row],[b (mm)]]*AE89)</f>
        <v>1.6523809523809525E-3</v>
      </c>
      <c r="M89" s="111">
        <f>Table1123457[[#This Row],[M (KN.mm)]]/(Table1123457[[#This Row],[b (mm)]]*Table1123457[[#This Row],[d (mm)]])</f>
        <v>6.6921428571428567</v>
      </c>
      <c r="N89" s="111">
        <f>Table1123457[[#This Row],[M (KN.mm)]]/(Table1123457[[#This Row],[b (mm)]]*Table1123457[[#This Row],[h (mm)]])</f>
        <v>6.3518644067796606</v>
      </c>
      <c r="O89" s="111">
        <f>Table1123457[[#This Row],[M (KN.mm)]]/(Table1123457[[#This Row],[b (mm)]]*Table1123457[[#This Row],[h (mm)]]*Table1123457[[#This Row],[L(mm)]])</f>
        <v>7.8418079096045196E-4</v>
      </c>
      <c r="P89" s="111">
        <f>Table1123457[[#This Row],[M (KN.mm)]]/(Table1123457[[#This Row],[b (mm)]]*Table1123457[[#This Row],[d (mm)]]*Table1123457[[#This Row],[L(mm)]])</f>
        <v>8.2619047619047624E-4</v>
      </c>
      <c r="Q89" s="111">
        <f>Table1123457[[#This Row],[M (KN.mm)]]/(Table1123457[[#This Row],[b (mm)]]*Table1123457[[#This Row],[h (mm)]]*Table1123457[[#This Row],[L(mm)]]*Table1123457[[#This Row],[fc (Mpa)]])</f>
        <v>1.1013775153938932E-5</v>
      </c>
      <c r="R89" s="111">
        <f>Table1123457[[#This Row],[M (KN.mm)]]/(Table1123457[[#This Row],[b (mm)]]*Table1123457[[#This Row],[h (mm)]]*Table1123457[[#This Row],[L(mm)]]/2)</f>
        <v>1.5683615819209039E-3</v>
      </c>
      <c r="S89" s="111">
        <f>Table1123457[[#This Row],[M (KN.mm)]]/(Table1123457[[#This Row],[a (mm)]]*Table1123457[[#This Row],[b (mm)]]*Table1123457[[#This Row],[h (mm)]]*Table1123457[[#This Row],[L(mm)]]/2)</f>
        <v>3.8724977331380342E-7</v>
      </c>
      <c r="T89" s="111">
        <f>Table1123457[[#This Row],[M (KN.mm)]]/(Table1123457[[#This Row],[a (mm)]]^2*Table1123457[[#This Row],[b (mm)]]*Table1123457[[#This Row],[h (mm)]])</f>
        <v>3.8724977331380342E-7</v>
      </c>
      <c r="U89" s="111">
        <f>Table1123457[[#This Row],[M (KN.mm)]]/(Table1123457[[#This Row],[b (mm)]]*Table1123457[[#This Row],[d (mm)]]*Table1123457[[#This Row],[pho (%)]])</f>
        <v>5.0316863587540279</v>
      </c>
      <c r="V89" s="111">
        <f>E89*224.8/(2*SQRT(Table1123457[[#This Row],[fc (Mpa)]]*145.037)*Table1123457[[#This Row],[b (mm)]]*Table1123457[[#This Row],[d (mm)]]*(1/25.4)^2)</f>
        <v>1.1791376961992392</v>
      </c>
      <c r="W89" s="111">
        <f>Table1123457[[#This Row],[M (KN.mm)]]/$G$89</f>
        <v>1</v>
      </c>
      <c r="X89" s="111">
        <f>Table1123457[[#This Row],[V/(2*sqrt(fc) bd)]]</f>
        <v>1.1791376961992392</v>
      </c>
      <c r="Y89" s="111">
        <f>Table1123457[[#This Row],[a (mm)]]</f>
        <v>4050</v>
      </c>
      <c r="Z89" s="111">
        <f>Table1123457[[#This Row],[width]]*Table1123457[[#This Row],[h]]^2</f>
        <v>652687500</v>
      </c>
      <c r="AA89" s="111">
        <f>Table1123457[[#This Row],[b (mm)]]</f>
        <v>300</v>
      </c>
      <c r="AB89" s="111">
        <f>Table1123457[[#This Row],[a (mm)]]/Table1123457[[#This Row],[h (mm)]]</f>
        <v>2.7457627118644066</v>
      </c>
      <c r="AC89" s="111">
        <f>Table1123457[[#This Row],[h (mm)]]</f>
        <v>1475</v>
      </c>
      <c r="AD89" s="111">
        <v>4050</v>
      </c>
      <c r="AE89" s="111">
        <v>1400</v>
      </c>
      <c r="AF89" s="111">
        <v>1475</v>
      </c>
      <c r="AG89" s="111">
        <v>300</v>
      </c>
      <c r="AH89" s="7">
        <v>71.2</v>
      </c>
      <c r="AI89" s="111">
        <f>Table1123457[[#This Row],[pho (%)]]*Table1123457[[#This Row],[b (mm)]]*Table1123457[[#This Row],[h (mm)]]/100</f>
        <v>5885.25</v>
      </c>
      <c r="AJ89" s="160">
        <v>1.33</v>
      </c>
      <c r="AK89" s="160">
        <v>525</v>
      </c>
      <c r="AL89" s="111">
        <f>(1/3-0.21*(MIN(Table1123457[[#This Row],[b (mm)]],AF89)/MAX(Table1123457[[#This Row],[b (mm)]],AF89))*(MIN(Table1123457[[#This Row],[b (mm)]],AF89)^4/(12*MAX(Table1123457[[#This Row],[b (mm)]],AF89)^4)))*MAX(Table1123457[[#This Row],[b (mm)]],AF89)*MIN(Table1123457[[#This Row],[b (mm)]],AF89)^3</f>
        <v>13274757428.370747</v>
      </c>
      <c r="AM89" s="111">
        <f>Table1123457[[#This Row],[b (mm)]]*AF89^3/12</f>
        <v>80226171875</v>
      </c>
      <c r="AN89" s="111">
        <v>8100</v>
      </c>
      <c r="AP89" s="126"/>
      <c r="AU89" s="364">
        <v>1388</v>
      </c>
      <c r="AV89" s="2">
        <f t="shared" si="9"/>
        <v>694</v>
      </c>
    </row>
    <row r="90" spans="1:48" x14ac:dyDescent="0.3">
      <c r="A90" s="249" t="s">
        <v>156</v>
      </c>
      <c r="B90" s="249">
        <v>1</v>
      </c>
      <c r="C90" s="185">
        <v>89</v>
      </c>
      <c r="D90" s="185">
        <f>Table1123457[[#This Row],[a (mm)]]/Table1123457[[#This Row],[d (mm)]]</f>
        <v>2.8928571428571428</v>
      </c>
      <c r="E90" s="250">
        <v>50</v>
      </c>
      <c r="F90" s="137">
        <f>Table1123457[[#This Row],[d (mm)]]</f>
        <v>1400</v>
      </c>
      <c r="G90" s="135">
        <f>E90*AD90</f>
        <v>202500</v>
      </c>
      <c r="H90" s="135">
        <f>G90/($AQ$5*AM90*0.001)</f>
        <v>9.5839883242504715E-8</v>
      </c>
      <c r="I90" s="111">
        <f>G90/(Table1123457[[#This Row],[b (mm)]]*Table1123457[[#This Row],[h]]^2)</f>
        <v>3.102556736569951E-4</v>
      </c>
      <c r="J90" s="135">
        <f>G90/(AI90*AK90*AE90*0.001)</f>
        <v>7.501469037686545E-2</v>
      </c>
      <c r="K90" s="135">
        <f>E90/($AQ$4*AL90*0.001)</f>
        <v>1.1995373147044572E-7</v>
      </c>
      <c r="L90" s="135">
        <f>E90/(Table1123457[[#This Row],[b (mm)]]*AE90)</f>
        <v>1.1904761904761905E-4</v>
      </c>
      <c r="M90" s="135">
        <f>Table1123457[[#This Row],[M (KN.mm)]]/(Table1123457[[#This Row],[b (mm)]]*Table1123457[[#This Row],[d (mm)]])</f>
        <v>0.48214285714285715</v>
      </c>
      <c r="N90" s="135">
        <f>Table1123457[[#This Row],[M (KN.mm)]]/(Table1123457[[#This Row],[b (mm)]]*Table1123457[[#This Row],[h (mm)]])</f>
        <v>0.4576271186440678</v>
      </c>
      <c r="O90" s="145">
        <f>Table1123457[[#This Row],[M (KN.mm)]]/(Table1123457[[#This Row],[b (mm)]]*Table1123457[[#This Row],[h (mm)]]*Table1123457[[#This Row],[L(mm)]])</f>
        <v>5.6497175141242937E-5</v>
      </c>
      <c r="P90" s="145">
        <f>Table1123457[[#This Row],[M (KN.mm)]]/(Table1123457[[#This Row],[b (mm)]]*Table1123457[[#This Row],[d (mm)]]*Table1123457[[#This Row],[L(mm)]])</f>
        <v>5.9523809523809524E-5</v>
      </c>
      <c r="Q90" s="145">
        <f>Table1123457[[#This Row],[M (KN.mm)]]/(Table1123457[[#This Row],[b (mm)]]*Table1123457[[#This Row],[h (mm)]]*Table1123457[[#This Row],[L(mm)]]*Table1123457[[#This Row],[fc (Mpa)]])</f>
        <v>1.7992730936701572E-6</v>
      </c>
      <c r="R90" s="145">
        <f>Table1123457[[#This Row],[M (KN.mm)]]/(Table1123457[[#This Row],[b (mm)]]*Table1123457[[#This Row],[h (mm)]]*Table1123457[[#This Row],[L(mm)]]/2)</f>
        <v>1.1299435028248587E-4</v>
      </c>
      <c r="S90" s="145">
        <f>Table1123457[[#This Row],[M (KN.mm)]]/(Table1123457[[#This Row],[a (mm)]]*Table1123457[[#This Row],[b (mm)]]*Table1123457[[#This Row],[h (mm)]]*Table1123457[[#This Row],[L(mm)]]/2)</f>
        <v>2.7899839575922437E-8</v>
      </c>
      <c r="T90" s="145">
        <f>Table1123457[[#This Row],[M (KN.mm)]]/(Table1123457[[#This Row],[a (mm)]]^2*Table1123457[[#This Row],[b (mm)]]*Table1123457[[#This Row],[h (mm)]])</f>
        <v>2.7899839575922437E-8</v>
      </c>
      <c r="U90" s="145">
        <f>Table1123457[[#This Row],[M (KN.mm)]]/(Table1123457[[#This Row],[b (mm)]]*Table1123457[[#This Row],[d (mm)]]*Table1123457[[#This Row],[pho (%)]])</f>
        <v>0.58089500860585197</v>
      </c>
      <c r="V90" s="145">
        <f>E90*224.8/(2*SQRT(Table1123457[[#This Row],[fc (Mpa)]]*145.037)*Table1123457[[#This Row],[b (mm)]]*Table1123457[[#This Row],[d (mm)]]*(1/25.4)^2)</f>
        <v>0.1279234696896252</v>
      </c>
      <c r="W90" s="145">
        <f>Table1123457[[#This Row],[M (KN.mm)]]/$G$95</f>
        <v>0.20040080160320642</v>
      </c>
      <c r="X90" s="145">
        <f>Table1123457[[#This Row],[V/(2*sqrt(fc) bd)]]</f>
        <v>0.1279234696896252</v>
      </c>
      <c r="Y90" s="111">
        <f>Table1123457[[#This Row],[a (mm)]]</f>
        <v>4050</v>
      </c>
      <c r="Z90" s="111">
        <f>Table1123457[[#This Row],[width]]*Table1123457[[#This Row],[h]]^2</f>
        <v>652687500</v>
      </c>
      <c r="AA90" s="111">
        <f>Table1123457[[#This Row],[b (mm)]]</f>
        <v>300</v>
      </c>
      <c r="AB90" s="111">
        <f>Table1123457[[#This Row],[a (mm)]]/Table1123457[[#This Row],[h (mm)]]</f>
        <v>2.7457627118644066</v>
      </c>
      <c r="AC90" s="111">
        <f>Table1123457[[#This Row],[h (mm)]]</f>
        <v>1475</v>
      </c>
      <c r="AD90" s="111">
        <v>4050</v>
      </c>
      <c r="AE90" s="111">
        <v>1400</v>
      </c>
      <c r="AF90" s="111">
        <v>1475</v>
      </c>
      <c r="AG90" s="111">
        <v>300</v>
      </c>
      <c r="AH90" s="7">
        <v>31.4</v>
      </c>
      <c r="AI90" s="135">
        <f>Table1123457[[#This Row],[pho (%)]]/100*Table1123457[[#This Row],[b (mm)]]*Table1123457[[#This Row],[h (mm)]]</f>
        <v>3672.7500000000005</v>
      </c>
      <c r="AJ90" s="135">
        <v>0.83</v>
      </c>
      <c r="AK90" s="160">
        <v>525</v>
      </c>
      <c r="AL90" s="135">
        <f>(1/3-0.21*(MIN(Table1123457[[#This Row],[b (mm)]],AF90)/MAX(Table1123457[[#This Row],[b (mm)]],AF90))*(MIN(Table1123457[[#This Row],[b (mm)]],AF90)^4/(12*MAX(Table1123457[[#This Row],[b (mm)]],AF90)^4)))*MAX(Table1123457[[#This Row],[b (mm)]],AF90)*MIN(Table1123457[[#This Row],[b (mm)]],AF90)^3</f>
        <v>13274757428.370747</v>
      </c>
      <c r="AM90" s="135">
        <f>Table1123457[[#This Row],[b (mm)]]*AF90^3/12</f>
        <v>80226171875</v>
      </c>
      <c r="AN90" s="111">
        <v>8100</v>
      </c>
      <c r="AP90" s="179"/>
      <c r="AQ90" s="139"/>
      <c r="AR90" s="139"/>
      <c r="AU90" s="376">
        <v>100</v>
      </c>
      <c r="AV90" s="2">
        <f t="shared" si="9"/>
        <v>50</v>
      </c>
    </row>
    <row r="91" spans="1:48" x14ac:dyDescent="0.3">
      <c r="A91" s="249" t="s">
        <v>156</v>
      </c>
      <c r="B91" s="249">
        <v>2</v>
      </c>
      <c r="C91" s="185">
        <v>90</v>
      </c>
      <c r="D91" s="185">
        <f>Table1123457[[#This Row],[a (mm)]]/Table1123457[[#This Row],[d (mm)]]</f>
        <v>2.8928571428571428</v>
      </c>
      <c r="E91" s="250">
        <v>111.5</v>
      </c>
      <c r="F91" s="137">
        <f>Table1123457[[#This Row],[d (mm)]]</f>
        <v>1400</v>
      </c>
      <c r="G91" s="135">
        <f t="shared" ref="G91:G100" si="11">E91*AD91</f>
        <v>451575</v>
      </c>
      <c r="H91" s="135">
        <f t="shared" ref="H91:H100" si="12">G91/($AQ$5*AM91*0.001)</f>
        <v>2.1372293963078552E-7</v>
      </c>
      <c r="I91" s="111">
        <f>G91/(Table1123457[[#This Row],[b (mm)]]*Table1123457[[#This Row],[h]]^2)</f>
        <v>6.9187015225509907E-4</v>
      </c>
      <c r="J91" s="135">
        <f t="shared" ref="J91:J100" si="13">G91/(AI91*AK91*AE91*0.001)</f>
        <v>0.16728275954040997</v>
      </c>
      <c r="K91" s="135">
        <f t="shared" ref="K91:K100" si="14">E91/($AQ$4*AL91*0.001)</f>
        <v>2.6749682117909399E-7</v>
      </c>
      <c r="L91" s="135">
        <f>E91/(Table1123457[[#This Row],[b (mm)]]*AE91)</f>
        <v>2.6547619047619049E-4</v>
      </c>
      <c r="M91" s="135">
        <f>Table1123457[[#This Row],[M (KN.mm)]]/(Table1123457[[#This Row],[b (mm)]]*Table1123457[[#This Row],[d (mm)]])</f>
        <v>1.0751785714285715</v>
      </c>
      <c r="N91" s="135">
        <f>Table1123457[[#This Row],[M (KN.mm)]]/(Table1123457[[#This Row],[b (mm)]]*Table1123457[[#This Row],[h (mm)]])</f>
        <v>1.0205084745762711</v>
      </c>
      <c r="O91" s="145">
        <f>Table1123457[[#This Row],[M (KN.mm)]]/(Table1123457[[#This Row],[b (mm)]]*Table1123457[[#This Row],[h (mm)]]*Table1123457[[#This Row],[L(mm)]])</f>
        <v>1.2598870056497176E-4</v>
      </c>
      <c r="P91" s="145">
        <f>Table1123457[[#This Row],[M (KN.mm)]]/(Table1123457[[#This Row],[b (mm)]]*Table1123457[[#This Row],[d (mm)]]*Table1123457[[#This Row],[L(mm)]])</f>
        <v>1.3273809523809524E-4</v>
      </c>
      <c r="Q91" s="145">
        <f>Table1123457[[#This Row],[M (KN.mm)]]/(Table1123457[[#This Row],[b (mm)]]*Table1123457[[#This Row],[h (mm)]]*Table1123457[[#This Row],[L(mm)]]*Table1123457[[#This Row],[fc (Mpa)]])</f>
        <v>4.0123789988844508E-6</v>
      </c>
      <c r="R91" s="145">
        <f>Table1123457[[#This Row],[M (KN.mm)]]/(Table1123457[[#This Row],[b (mm)]]*Table1123457[[#This Row],[h (mm)]]*Table1123457[[#This Row],[L(mm)]]/2)</f>
        <v>2.5197740112994351E-4</v>
      </c>
      <c r="S91" s="145">
        <f>Table1123457[[#This Row],[M (KN.mm)]]/(Table1123457[[#This Row],[a (mm)]]*Table1123457[[#This Row],[b (mm)]]*Table1123457[[#This Row],[h (mm)]]*Table1123457[[#This Row],[L(mm)]]/2)</f>
        <v>6.2216642254307037E-8</v>
      </c>
      <c r="T91" s="145">
        <f>Table1123457[[#This Row],[M (KN.mm)]]/(Table1123457[[#This Row],[a (mm)]]^2*Table1123457[[#This Row],[b (mm)]]*Table1123457[[#This Row],[h (mm)]])</f>
        <v>6.2216642254307037E-8</v>
      </c>
      <c r="U91" s="145">
        <f>Table1123457[[#This Row],[M (KN.mm)]]/(Table1123457[[#This Row],[b (mm)]]*Table1123457[[#This Row],[d (mm)]]*Table1123457[[#This Row],[pho (%)]])</f>
        <v>1.2953958691910499</v>
      </c>
      <c r="V91" s="145">
        <f>E91*224.8/(2*SQRT(Table1123457[[#This Row],[fc (Mpa)]]*145.037)*Table1123457[[#This Row],[b (mm)]]*Table1123457[[#This Row],[d (mm)]]*(1/25.4)^2)</f>
        <v>0.2852693374078642</v>
      </c>
      <c r="W91" s="145">
        <f>Table1123457[[#This Row],[M (KN.mm)]]/$G$95</f>
        <v>0.4468937875751503</v>
      </c>
      <c r="X91" s="145">
        <f>Table1123457[[#This Row],[V/(2*sqrt(fc) bd)]]</f>
        <v>0.2852693374078642</v>
      </c>
      <c r="Y91" s="111">
        <f>Table1123457[[#This Row],[a (mm)]]</f>
        <v>4050</v>
      </c>
      <c r="Z91" s="111">
        <f>Table1123457[[#This Row],[width]]*Table1123457[[#This Row],[h]]^2</f>
        <v>652687500</v>
      </c>
      <c r="AA91" s="111">
        <f>Table1123457[[#This Row],[b (mm)]]</f>
        <v>300</v>
      </c>
      <c r="AB91" s="111">
        <f>Table1123457[[#This Row],[a (mm)]]/Table1123457[[#This Row],[h (mm)]]</f>
        <v>2.7457627118644066</v>
      </c>
      <c r="AC91" s="111">
        <f>Table1123457[[#This Row],[h (mm)]]</f>
        <v>1475</v>
      </c>
      <c r="AD91" s="111">
        <v>4050</v>
      </c>
      <c r="AE91" s="111">
        <v>1400</v>
      </c>
      <c r="AF91" s="111">
        <v>1475</v>
      </c>
      <c r="AG91" s="111">
        <v>300</v>
      </c>
      <c r="AH91" s="7">
        <v>31.4</v>
      </c>
      <c r="AI91" s="135">
        <f>Table1123457[[#This Row],[pho (%)]]/100*Table1123457[[#This Row],[b (mm)]]*Table1123457[[#This Row],[h (mm)]]</f>
        <v>3672.7500000000005</v>
      </c>
      <c r="AJ91" s="135">
        <v>0.83</v>
      </c>
      <c r="AK91" s="160">
        <v>525</v>
      </c>
      <c r="AL91" s="135">
        <f>(1/3-0.21*(MIN(Table1123457[[#This Row],[b (mm)]],AF91)/MAX(Table1123457[[#This Row],[b (mm)]],AF91))*(MIN(Table1123457[[#This Row],[b (mm)]],AF91)^4/(12*MAX(Table1123457[[#This Row],[b (mm)]],AF91)^4)))*MAX(Table1123457[[#This Row],[b (mm)]],AF91)*MIN(Table1123457[[#This Row],[b (mm)]],AF91)^3</f>
        <v>13274757428.370747</v>
      </c>
      <c r="AM91" s="135">
        <f>Table1123457[[#This Row],[b (mm)]]*AF91^3/12</f>
        <v>80226171875</v>
      </c>
      <c r="AN91" s="111">
        <v>8100</v>
      </c>
      <c r="AP91" s="107"/>
      <c r="AU91" s="376">
        <v>223</v>
      </c>
      <c r="AV91" s="2">
        <f t="shared" si="9"/>
        <v>111.5</v>
      </c>
    </row>
    <row r="92" spans="1:48" x14ac:dyDescent="0.3">
      <c r="A92" s="249" t="s">
        <v>156</v>
      </c>
      <c r="B92" s="249">
        <v>3</v>
      </c>
      <c r="C92" s="185">
        <v>91</v>
      </c>
      <c r="D92" s="185">
        <f>Table1123457[[#This Row],[a (mm)]]/Table1123457[[#This Row],[d (mm)]]</f>
        <v>2.8928571428571428</v>
      </c>
      <c r="E92" s="250">
        <v>175.5</v>
      </c>
      <c r="F92" s="137">
        <f>Table1123457[[#This Row],[d (mm)]]</f>
        <v>1400</v>
      </c>
      <c r="G92" s="135">
        <f t="shared" si="11"/>
        <v>710775</v>
      </c>
      <c r="H92" s="135">
        <f t="shared" si="12"/>
        <v>3.3639799018119155E-7</v>
      </c>
      <c r="I92" s="111">
        <f>G92/(Table1123457[[#This Row],[b (mm)]]*Table1123457[[#This Row],[h]]^2)</f>
        <v>1.0889974145360528E-3</v>
      </c>
      <c r="J92" s="135">
        <f t="shared" si="13"/>
        <v>0.26330156322279774</v>
      </c>
      <c r="K92" s="135">
        <f t="shared" si="14"/>
        <v>4.2103759746126448E-7</v>
      </c>
      <c r="L92" s="135">
        <f>E92/(Table1123457[[#This Row],[b (mm)]]*AE92)</f>
        <v>4.1785714285714283E-4</v>
      </c>
      <c r="M92" s="135">
        <f>Table1123457[[#This Row],[M (KN.mm)]]/(Table1123457[[#This Row],[b (mm)]]*Table1123457[[#This Row],[d (mm)]])</f>
        <v>1.6923214285714285</v>
      </c>
      <c r="N92" s="135">
        <f>Table1123457[[#This Row],[M (KN.mm)]]/(Table1123457[[#This Row],[b (mm)]]*Table1123457[[#This Row],[h (mm)]])</f>
        <v>1.606271186440678</v>
      </c>
      <c r="O92" s="145">
        <f>Table1123457[[#This Row],[M (KN.mm)]]/(Table1123457[[#This Row],[b (mm)]]*Table1123457[[#This Row],[h (mm)]]*Table1123457[[#This Row],[L(mm)]])</f>
        <v>1.983050847457627E-4</v>
      </c>
      <c r="P92" s="145">
        <f>Table1123457[[#This Row],[M (KN.mm)]]/(Table1123457[[#This Row],[b (mm)]]*Table1123457[[#This Row],[d (mm)]]*Table1123457[[#This Row],[L(mm)]])</f>
        <v>2.0892857142857142E-4</v>
      </c>
      <c r="Q92" s="145">
        <f>Table1123457[[#This Row],[M (KN.mm)]]/(Table1123457[[#This Row],[b (mm)]]*Table1123457[[#This Row],[h (mm)]]*Table1123457[[#This Row],[L(mm)]]*Table1123457[[#This Row],[fc (Mpa)]])</f>
        <v>6.3154485587822517E-6</v>
      </c>
      <c r="R92" s="145">
        <f>Table1123457[[#This Row],[M (KN.mm)]]/(Table1123457[[#This Row],[b (mm)]]*Table1123457[[#This Row],[h (mm)]]*Table1123457[[#This Row],[L(mm)]]/2)</f>
        <v>3.966101694915254E-4</v>
      </c>
      <c r="S92" s="145">
        <f>Table1123457[[#This Row],[M (KN.mm)]]/(Table1123457[[#This Row],[a (mm)]]*Table1123457[[#This Row],[b (mm)]]*Table1123457[[#This Row],[h (mm)]]*Table1123457[[#This Row],[L(mm)]]/2)</f>
        <v>9.7928436911487756E-8</v>
      </c>
      <c r="T92" s="145">
        <f>Table1123457[[#This Row],[M (KN.mm)]]/(Table1123457[[#This Row],[a (mm)]]^2*Table1123457[[#This Row],[b (mm)]]*Table1123457[[#This Row],[h (mm)]])</f>
        <v>9.7928436911487756E-8</v>
      </c>
      <c r="U92" s="145">
        <f>Table1123457[[#This Row],[M (KN.mm)]]/(Table1123457[[#This Row],[b (mm)]]*Table1123457[[#This Row],[d (mm)]]*Table1123457[[#This Row],[pho (%)]])</f>
        <v>2.0389414802065406</v>
      </c>
      <c r="V92" s="145">
        <f>E92*224.8/(2*SQRT(Table1123457[[#This Row],[fc (Mpa)]]*145.037)*Table1123457[[#This Row],[b (mm)]]*Table1123457[[#This Row],[d (mm)]]*(1/25.4)^2)</f>
        <v>0.44901137861058449</v>
      </c>
      <c r="W92" s="145">
        <f>Table1123457[[#This Row],[M (KN.mm)]]/$G$95</f>
        <v>0.70340681362725455</v>
      </c>
      <c r="X92" s="145">
        <f>Table1123457[[#This Row],[V/(2*sqrt(fc) bd)]]</f>
        <v>0.44901137861058449</v>
      </c>
      <c r="Y92" s="111">
        <f>Table1123457[[#This Row],[a (mm)]]</f>
        <v>4050</v>
      </c>
      <c r="Z92" s="111">
        <f>Table1123457[[#This Row],[width]]*Table1123457[[#This Row],[h]]^2</f>
        <v>652687500</v>
      </c>
      <c r="AA92" s="111">
        <f>Table1123457[[#This Row],[b (mm)]]</f>
        <v>300</v>
      </c>
      <c r="AB92" s="111">
        <f>Table1123457[[#This Row],[a (mm)]]/Table1123457[[#This Row],[h (mm)]]</f>
        <v>2.7457627118644066</v>
      </c>
      <c r="AC92" s="111">
        <f>Table1123457[[#This Row],[h (mm)]]</f>
        <v>1475</v>
      </c>
      <c r="AD92" s="111">
        <v>4050</v>
      </c>
      <c r="AE92" s="111">
        <v>1400</v>
      </c>
      <c r="AF92" s="111">
        <v>1475</v>
      </c>
      <c r="AG92" s="111">
        <v>300</v>
      </c>
      <c r="AH92" s="7">
        <v>31.4</v>
      </c>
      <c r="AI92" s="135">
        <f>Table1123457[[#This Row],[pho (%)]]/100*Table1123457[[#This Row],[b (mm)]]*Table1123457[[#This Row],[h (mm)]]</f>
        <v>3672.7500000000005</v>
      </c>
      <c r="AJ92" s="135">
        <v>0.83</v>
      </c>
      <c r="AK92" s="160">
        <v>525</v>
      </c>
      <c r="AL92" s="135">
        <f>(1/3-0.21*(MIN(Table1123457[[#This Row],[b (mm)]],AF92)/MAX(Table1123457[[#This Row],[b (mm)]],AF92))*(MIN(Table1123457[[#This Row],[b (mm)]],AF92)^4/(12*MAX(Table1123457[[#This Row],[b (mm)]],AF92)^4)))*MAX(Table1123457[[#This Row],[b (mm)]],AF92)*MIN(Table1123457[[#This Row],[b (mm)]],AF92)^3</f>
        <v>13274757428.370747</v>
      </c>
      <c r="AM92" s="135">
        <f>Table1123457[[#This Row],[b (mm)]]*AF92^3/12</f>
        <v>80226171875</v>
      </c>
      <c r="AN92" s="111">
        <v>8100</v>
      </c>
      <c r="AP92" s="107"/>
      <c r="AU92" s="376">
        <v>351</v>
      </c>
      <c r="AV92" s="2">
        <f t="shared" si="9"/>
        <v>175.5</v>
      </c>
    </row>
    <row r="93" spans="1:48" x14ac:dyDescent="0.3">
      <c r="A93" s="249" t="s">
        <v>156</v>
      </c>
      <c r="B93" s="249">
        <v>4</v>
      </c>
      <c r="C93" s="185">
        <v>92</v>
      </c>
      <c r="D93" s="185">
        <f>Table1123457[[#This Row],[a (mm)]]/Table1123457[[#This Row],[d (mm)]]</f>
        <v>2.8928571428571428</v>
      </c>
      <c r="E93" s="250">
        <v>210</v>
      </c>
      <c r="F93" s="137">
        <f>Table1123457[[#This Row],[d (mm)]]</f>
        <v>1400</v>
      </c>
      <c r="G93" s="135">
        <f t="shared" si="11"/>
        <v>850500</v>
      </c>
      <c r="H93" s="135">
        <f t="shared" si="12"/>
        <v>4.0252750961851977E-7</v>
      </c>
      <c r="I93" s="111">
        <f>G93/(Table1123457[[#This Row],[b (mm)]]*Table1123457[[#This Row],[h]]^2)</f>
        <v>1.3030738293593794E-3</v>
      </c>
      <c r="J93" s="135">
        <f t="shared" si="13"/>
        <v>0.31506169958283492</v>
      </c>
      <c r="K93" s="135">
        <f t="shared" si="14"/>
        <v>5.0380567217587208E-7</v>
      </c>
      <c r="L93" s="135">
        <f>E93/(Table1123457[[#This Row],[b (mm)]]*AE93)</f>
        <v>5.0000000000000001E-4</v>
      </c>
      <c r="M93" s="135">
        <f>Table1123457[[#This Row],[M (KN.mm)]]/(Table1123457[[#This Row],[b (mm)]]*Table1123457[[#This Row],[d (mm)]])</f>
        <v>2.0249999999999999</v>
      </c>
      <c r="N93" s="135">
        <f>Table1123457[[#This Row],[M (KN.mm)]]/(Table1123457[[#This Row],[b (mm)]]*Table1123457[[#This Row],[h (mm)]])</f>
        <v>1.9220338983050846</v>
      </c>
      <c r="O93" s="145">
        <f>Table1123457[[#This Row],[M (KN.mm)]]/(Table1123457[[#This Row],[b (mm)]]*Table1123457[[#This Row],[h (mm)]]*Table1123457[[#This Row],[L(mm)]])</f>
        <v>2.3728813559322035E-4</v>
      </c>
      <c r="P93" s="145">
        <f>Table1123457[[#This Row],[M (KN.mm)]]/(Table1123457[[#This Row],[b (mm)]]*Table1123457[[#This Row],[d (mm)]]*Table1123457[[#This Row],[L(mm)]])</f>
        <v>2.5000000000000001E-4</v>
      </c>
      <c r="Q93" s="145">
        <f>Table1123457[[#This Row],[M (KN.mm)]]/(Table1123457[[#This Row],[b (mm)]]*Table1123457[[#This Row],[h (mm)]]*Table1123457[[#This Row],[L(mm)]]*Table1123457[[#This Row],[fc (Mpa)]])</f>
        <v>7.5569469934146609E-6</v>
      </c>
      <c r="R93" s="145">
        <f>Table1123457[[#This Row],[M (KN.mm)]]/(Table1123457[[#This Row],[b (mm)]]*Table1123457[[#This Row],[h (mm)]]*Table1123457[[#This Row],[L(mm)]]/2)</f>
        <v>4.745762711864407E-4</v>
      </c>
      <c r="S93" s="145">
        <f>Table1123457[[#This Row],[M (KN.mm)]]/(Table1123457[[#This Row],[a (mm)]]*Table1123457[[#This Row],[b (mm)]]*Table1123457[[#This Row],[h (mm)]]*Table1123457[[#This Row],[L(mm)]]/2)</f>
        <v>1.1717932621887424E-7</v>
      </c>
      <c r="T93" s="145">
        <f>Table1123457[[#This Row],[M (KN.mm)]]/(Table1123457[[#This Row],[a (mm)]]^2*Table1123457[[#This Row],[b (mm)]]*Table1123457[[#This Row],[h (mm)]])</f>
        <v>1.1717932621887424E-7</v>
      </c>
      <c r="U93" s="145">
        <f>Table1123457[[#This Row],[M (KN.mm)]]/(Table1123457[[#This Row],[b (mm)]]*Table1123457[[#This Row],[d (mm)]]*Table1123457[[#This Row],[pho (%)]])</f>
        <v>2.4397590361445785</v>
      </c>
      <c r="V93" s="145">
        <f>E93*224.8/(2*SQRT(Table1123457[[#This Row],[fc (Mpa)]]*145.037)*Table1123457[[#This Row],[b (mm)]]*Table1123457[[#This Row],[d (mm)]]*(1/25.4)^2)</f>
        <v>0.53727857269642587</v>
      </c>
      <c r="W93" s="145">
        <f>Table1123457[[#This Row],[M (KN.mm)]]/$G$95</f>
        <v>0.84168336673346689</v>
      </c>
      <c r="X93" s="145">
        <f>Table1123457[[#This Row],[V/(2*sqrt(fc) bd)]]</f>
        <v>0.53727857269642587</v>
      </c>
      <c r="Y93" s="111">
        <f>Table1123457[[#This Row],[a (mm)]]</f>
        <v>4050</v>
      </c>
      <c r="Z93" s="111">
        <f>Table1123457[[#This Row],[width]]*Table1123457[[#This Row],[h]]^2</f>
        <v>652687500</v>
      </c>
      <c r="AA93" s="111">
        <f>Table1123457[[#This Row],[b (mm)]]</f>
        <v>300</v>
      </c>
      <c r="AB93" s="111">
        <f>Table1123457[[#This Row],[a (mm)]]/Table1123457[[#This Row],[h (mm)]]</f>
        <v>2.7457627118644066</v>
      </c>
      <c r="AC93" s="111">
        <f>Table1123457[[#This Row],[h (mm)]]</f>
        <v>1475</v>
      </c>
      <c r="AD93" s="111">
        <v>4050</v>
      </c>
      <c r="AE93" s="111">
        <v>1400</v>
      </c>
      <c r="AF93" s="111">
        <v>1475</v>
      </c>
      <c r="AG93" s="111">
        <v>300</v>
      </c>
      <c r="AH93" s="7">
        <v>31.4</v>
      </c>
      <c r="AI93" s="135">
        <f>Table1123457[[#This Row],[pho (%)]]/100*Table1123457[[#This Row],[b (mm)]]*Table1123457[[#This Row],[h (mm)]]</f>
        <v>3672.7500000000005</v>
      </c>
      <c r="AJ93" s="135">
        <v>0.83</v>
      </c>
      <c r="AK93" s="160">
        <v>525</v>
      </c>
      <c r="AL93" s="135">
        <f>(1/3-0.21*(MIN(Table1123457[[#This Row],[b (mm)]],AF93)/MAX(Table1123457[[#This Row],[b (mm)]],AF93))*(MIN(Table1123457[[#This Row],[b (mm)]],AF93)^4/(12*MAX(Table1123457[[#This Row],[b (mm)]],AF93)^4)))*MAX(Table1123457[[#This Row],[b (mm)]],AF93)*MIN(Table1123457[[#This Row],[b (mm)]],AF93)^3</f>
        <v>13274757428.370747</v>
      </c>
      <c r="AM93" s="135">
        <f>Table1123457[[#This Row],[b (mm)]]*AF93^3/12</f>
        <v>80226171875</v>
      </c>
      <c r="AN93" s="111">
        <v>8100</v>
      </c>
      <c r="AP93" s="107"/>
      <c r="AU93" s="376">
        <v>420</v>
      </c>
      <c r="AV93" s="2">
        <f t="shared" si="9"/>
        <v>210</v>
      </c>
    </row>
    <row r="94" spans="1:48" x14ac:dyDescent="0.3">
      <c r="A94" s="249" t="s">
        <v>156</v>
      </c>
      <c r="B94" s="249">
        <v>5</v>
      </c>
      <c r="C94" s="185">
        <v>93</v>
      </c>
      <c r="D94" s="185">
        <f>Table1123457[[#This Row],[a (mm)]]/Table1123457[[#This Row],[d (mm)]]</f>
        <v>2.8928571428571428</v>
      </c>
      <c r="E94" s="250">
        <v>249.5</v>
      </c>
      <c r="F94" s="137">
        <f>Table1123457[[#This Row],[d (mm)]]</f>
        <v>1400</v>
      </c>
      <c r="G94" s="135">
        <f t="shared" si="11"/>
        <v>1010475</v>
      </c>
      <c r="H94" s="135">
        <f t="shared" si="12"/>
        <v>4.7824101738009847E-7</v>
      </c>
      <c r="I94" s="111">
        <f>G94/(Table1123457[[#This Row],[b (mm)]]*Table1123457[[#This Row],[h]]^2)</f>
        <v>1.5481758115484057E-3</v>
      </c>
      <c r="J94" s="135">
        <f t="shared" si="13"/>
        <v>0.3743233049805586</v>
      </c>
      <c r="K94" s="135">
        <f t="shared" si="14"/>
        <v>5.9856912003752417E-7</v>
      </c>
      <c r="L94" s="135">
        <f>E94/(Table1123457[[#This Row],[b (mm)]]*AE94)</f>
        <v>5.9404761904761905E-4</v>
      </c>
      <c r="M94" s="135">
        <f>Table1123457[[#This Row],[M (KN.mm)]]/(Table1123457[[#This Row],[b (mm)]]*Table1123457[[#This Row],[d (mm)]])</f>
        <v>2.4058928571428573</v>
      </c>
      <c r="N94" s="135">
        <f>Table1123457[[#This Row],[M (KN.mm)]]/(Table1123457[[#This Row],[b (mm)]]*Table1123457[[#This Row],[h (mm)]])</f>
        <v>2.2835593220338981</v>
      </c>
      <c r="O94" s="145">
        <f>Table1123457[[#This Row],[M (KN.mm)]]/(Table1123457[[#This Row],[b (mm)]]*Table1123457[[#This Row],[h (mm)]]*Table1123457[[#This Row],[L(mm)]])</f>
        <v>2.8192090395480224E-4</v>
      </c>
      <c r="P94" s="145">
        <f>Table1123457[[#This Row],[M (KN.mm)]]/(Table1123457[[#This Row],[b (mm)]]*Table1123457[[#This Row],[d (mm)]]*Table1123457[[#This Row],[L(mm)]])</f>
        <v>2.9702380952380952E-4</v>
      </c>
      <c r="Q94" s="145">
        <f>Table1123457[[#This Row],[M (KN.mm)]]/(Table1123457[[#This Row],[b (mm)]]*Table1123457[[#This Row],[h (mm)]]*Table1123457[[#This Row],[L(mm)]]*Table1123457[[#This Row],[fc (Mpa)]])</f>
        <v>8.9783727374140839E-6</v>
      </c>
      <c r="R94" s="145">
        <f>Table1123457[[#This Row],[M (KN.mm)]]/(Table1123457[[#This Row],[b (mm)]]*Table1123457[[#This Row],[h (mm)]]*Table1123457[[#This Row],[L(mm)]]/2)</f>
        <v>5.6384180790960449E-4</v>
      </c>
      <c r="S94" s="145">
        <f>Table1123457[[#This Row],[M (KN.mm)]]/(Table1123457[[#This Row],[a (mm)]]*Table1123457[[#This Row],[b (mm)]]*Table1123457[[#This Row],[h (mm)]]*Table1123457[[#This Row],[L(mm)]]/2)</f>
        <v>1.3922019948385297E-7</v>
      </c>
      <c r="T94" s="145">
        <f>Table1123457[[#This Row],[M (KN.mm)]]/(Table1123457[[#This Row],[a (mm)]]^2*Table1123457[[#This Row],[b (mm)]]*Table1123457[[#This Row],[h (mm)]])</f>
        <v>1.3922019948385297E-7</v>
      </c>
      <c r="U94" s="145">
        <f>Table1123457[[#This Row],[M (KN.mm)]]/(Table1123457[[#This Row],[b (mm)]]*Table1123457[[#This Row],[d (mm)]]*Table1123457[[#This Row],[pho (%)]])</f>
        <v>2.8986660929432015</v>
      </c>
      <c r="V94" s="145">
        <f>E94*224.8/(2*SQRT(Table1123457[[#This Row],[fc (Mpa)]]*145.037)*Table1123457[[#This Row],[b (mm)]]*Table1123457[[#This Row],[d (mm)]]*(1/25.4)^2)</f>
        <v>0.63833811375122984</v>
      </c>
      <c r="W94" s="145">
        <f>Table1123457[[#This Row],[M (KN.mm)]]/$G$95</f>
        <v>1</v>
      </c>
      <c r="X94" s="145">
        <f>Table1123457[[#This Row],[V/(2*sqrt(fc) bd)]]</f>
        <v>0.63833811375122984</v>
      </c>
      <c r="Y94" s="111">
        <f>Table1123457[[#This Row],[a (mm)]]</f>
        <v>4050</v>
      </c>
      <c r="Z94" s="111">
        <f>Table1123457[[#This Row],[width]]*Table1123457[[#This Row],[h]]^2</f>
        <v>652687500</v>
      </c>
      <c r="AA94" s="111">
        <f>Table1123457[[#This Row],[b (mm)]]</f>
        <v>300</v>
      </c>
      <c r="AB94" s="111">
        <f>Table1123457[[#This Row],[a (mm)]]/Table1123457[[#This Row],[h (mm)]]</f>
        <v>2.7457627118644066</v>
      </c>
      <c r="AC94" s="111">
        <f>Table1123457[[#This Row],[h (mm)]]</f>
        <v>1475</v>
      </c>
      <c r="AD94" s="111">
        <v>4050</v>
      </c>
      <c r="AE94" s="111">
        <v>1400</v>
      </c>
      <c r="AF94" s="111">
        <v>1475</v>
      </c>
      <c r="AG94" s="111">
        <v>300</v>
      </c>
      <c r="AH94" s="7">
        <v>31.4</v>
      </c>
      <c r="AI94" s="135">
        <f>Table1123457[[#This Row],[pho (%)]]/100*Table1123457[[#This Row],[b (mm)]]*Table1123457[[#This Row],[h (mm)]]</f>
        <v>3672.7500000000005</v>
      </c>
      <c r="AJ94" s="135">
        <v>0.83</v>
      </c>
      <c r="AK94" s="160">
        <v>525</v>
      </c>
      <c r="AL94" s="135">
        <f>(1/3-0.21*(MIN(Table1123457[[#This Row],[b (mm)]],AF94)/MAX(Table1123457[[#This Row],[b (mm)]],AF94))*(MIN(Table1123457[[#This Row],[b (mm)]],AF94)^4/(12*MAX(Table1123457[[#This Row],[b (mm)]],AF94)^4)))*MAX(Table1123457[[#This Row],[b (mm)]],AF94)*MIN(Table1123457[[#This Row],[b (mm)]],AF94)^3</f>
        <v>13274757428.370747</v>
      </c>
      <c r="AM94" s="135">
        <f>Table1123457[[#This Row],[b (mm)]]*AF94^3/12</f>
        <v>80226171875</v>
      </c>
      <c r="AN94" s="111">
        <v>8100</v>
      </c>
      <c r="AP94" s="107"/>
      <c r="AU94" s="376">
        <v>499</v>
      </c>
      <c r="AV94" s="2">
        <f t="shared" si="9"/>
        <v>249.5</v>
      </c>
    </row>
    <row r="95" spans="1:48" x14ac:dyDescent="0.3">
      <c r="A95" s="249" t="s">
        <v>156</v>
      </c>
      <c r="B95" s="249" t="s">
        <v>142</v>
      </c>
      <c r="C95" s="185">
        <v>94</v>
      </c>
      <c r="D95" s="185">
        <f>Table1123457[[#This Row],[a (mm)]]/Table1123457[[#This Row],[d (mm)]]</f>
        <v>2.8928571428571428</v>
      </c>
      <c r="E95" s="250">
        <v>249.5</v>
      </c>
      <c r="F95" s="137">
        <f>Table1123457[[#This Row],[d (mm)]]</f>
        <v>1400</v>
      </c>
      <c r="G95" s="135">
        <f t="shared" si="11"/>
        <v>1010475</v>
      </c>
      <c r="H95" s="135">
        <f t="shared" si="12"/>
        <v>4.7824101738009847E-7</v>
      </c>
      <c r="I95" s="111">
        <f>G95/(Table1123457[[#This Row],[b (mm)]]*Table1123457[[#This Row],[h]]^2)</f>
        <v>1.5481758115484057E-3</v>
      </c>
      <c r="J95" s="135">
        <f t="shared" si="13"/>
        <v>0.3743233049805586</v>
      </c>
      <c r="K95" s="135">
        <f t="shared" si="14"/>
        <v>5.9856912003752417E-7</v>
      </c>
      <c r="L95" s="135">
        <f>E95/(Table1123457[[#This Row],[b (mm)]]*AE95)</f>
        <v>5.9404761904761905E-4</v>
      </c>
      <c r="M95" s="135">
        <f>Table1123457[[#This Row],[M (KN.mm)]]/(Table1123457[[#This Row],[b (mm)]]*Table1123457[[#This Row],[d (mm)]])</f>
        <v>2.4058928571428573</v>
      </c>
      <c r="N95" s="135">
        <f>Table1123457[[#This Row],[M (KN.mm)]]/(Table1123457[[#This Row],[b (mm)]]*Table1123457[[#This Row],[h (mm)]])</f>
        <v>2.2835593220338981</v>
      </c>
      <c r="O95" s="145">
        <f>Table1123457[[#This Row],[M (KN.mm)]]/(Table1123457[[#This Row],[b (mm)]]*Table1123457[[#This Row],[h (mm)]]*Table1123457[[#This Row],[L(mm)]])</f>
        <v>2.8192090395480224E-4</v>
      </c>
      <c r="P95" s="145">
        <f>Table1123457[[#This Row],[M (KN.mm)]]/(Table1123457[[#This Row],[b (mm)]]*Table1123457[[#This Row],[d (mm)]]*Table1123457[[#This Row],[L(mm)]])</f>
        <v>2.9702380952380952E-4</v>
      </c>
      <c r="Q95" s="145">
        <f>Table1123457[[#This Row],[M (KN.mm)]]/(Table1123457[[#This Row],[b (mm)]]*Table1123457[[#This Row],[h (mm)]]*Table1123457[[#This Row],[L(mm)]]*Table1123457[[#This Row],[fc (Mpa)]])</f>
        <v>8.9783727374140839E-6</v>
      </c>
      <c r="R95" s="145">
        <f>Table1123457[[#This Row],[M (KN.mm)]]/(Table1123457[[#This Row],[b (mm)]]*Table1123457[[#This Row],[h (mm)]]*Table1123457[[#This Row],[L(mm)]]/2)</f>
        <v>5.6384180790960449E-4</v>
      </c>
      <c r="S95" s="145">
        <f>Table1123457[[#This Row],[M (KN.mm)]]/(Table1123457[[#This Row],[a (mm)]]*Table1123457[[#This Row],[b (mm)]]*Table1123457[[#This Row],[h (mm)]]*Table1123457[[#This Row],[L(mm)]]/2)</f>
        <v>1.3922019948385297E-7</v>
      </c>
      <c r="T95" s="145">
        <f>Table1123457[[#This Row],[M (KN.mm)]]/(Table1123457[[#This Row],[a (mm)]]^2*Table1123457[[#This Row],[b (mm)]]*Table1123457[[#This Row],[h (mm)]])</f>
        <v>1.3922019948385297E-7</v>
      </c>
      <c r="U95" s="145">
        <f>Table1123457[[#This Row],[M (KN.mm)]]/(Table1123457[[#This Row],[b (mm)]]*Table1123457[[#This Row],[d (mm)]]*Table1123457[[#This Row],[pho (%)]])</f>
        <v>2.8986660929432015</v>
      </c>
      <c r="V95" s="145">
        <f>E95*224.8/(2*SQRT(Table1123457[[#This Row],[fc (Mpa)]]*145.037)*Table1123457[[#This Row],[b (mm)]]*Table1123457[[#This Row],[d (mm)]]*(1/25.4)^2)</f>
        <v>0.63833811375122984</v>
      </c>
      <c r="W95" s="145">
        <f>Table1123457[[#This Row],[M (KN.mm)]]/$G$95</f>
        <v>1</v>
      </c>
      <c r="X95" s="145">
        <f>Table1123457[[#This Row],[V/(2*sqrt(fc) bd)]]</f>
        <v>0.63833811375122984</v>
      </c>
      <c r="Y95" s="111">
        <f>Table1123457[[#This Row],[a (mm)]]</f>
        <v>4050</v>
      </c>
      <c r="Z95" s="111">
        <f>Table1123457[[#This Row],[width]]*Table1123457[[#This Row],[h]]^2</f>
        <v>652687500</v>
      </c>
      <c r="AA95" s="111">
        <f>Table1123457[[#This Row],[b (mm)]]</f>
        <v>300</v>
      </c>
      <c r="AB95" s="111">
        <f>Table1123457[[#This Row],[a (mm)]]/Table1123457[[#This Row],[h (mm)]]</f>
        <v>2.7457627118644066</v>
      </c>
      <c r="AC95" s="111">
        <f>Table1123457[[#This Row],[h (mm)]]</f>
        <v>1475</v>
      </c>
      <c r="AD95" s="111">
        <v>4050</v>
      </c>
      <c r="AE95" s="111">
        <v>1400</v>
      </c>
      <c r="AF95" s="111">
        <v>1475</v>
      </c>
      <c r="AG95" s="111">
        <v>300</v>
      </c>
      <c r="AH95" s="7">
        <v>31.4</v>
      </c>
      <c r="AI95" s="135">
        <f>Table1123457[[#This Row],[pho (%)]]/100*Table1123457[[#This Row],[b (mm)]]*Table1123457[[#This Row],[h (mm)]]</f>
        <v>3672.7500000000005</v>
      </c>
      <c r="AJ95" s="135">
        <v>0.83</v>
      </c>
      <c r="AK95" s="160">
        <v>525</v>
      </c>
      <c r="AL95" s="135">
        <f>(1/3-0.21*(MIN(Table1123457[[#This Row],[b (mm)]],AF95)/MAX(Table1123457[[#This Row],[b (mm)]],AF95))*(MIN(Table1123457[[#This Row],[b (mm)]],AF95)^4/(12*MAX(Table1123457[[#This Row],[b (mm)]],AF95)^4)))*MAX(Table1123457[[#This Row],[b (mm)]],AF95)*MIN(Table1123457[[#This Row],[b (mm)]],AF95)^3</f>
        <v>13274757428.370747</v>
      </c>
      <c r="AM95" s="135">
        <f>Table1123457[[#This Row],[b (mm)]]*AF95^3/12</f>
        <v>80226171875</v>
      </c>
      <c r="AN95" s="111">
        <v>8100</v>
      </c>
      <c r="AP95" s="107"/>
      <c r="AU95" s="376">
        <v>499</v>
      </c>
      <c r="AV95" s="2">
        <f t="shared" si="9"/>
        <v>249.5</v>
      </c>
    </row>
    <row r="96" spans="1:48" x14ac:dyDescent="0.3">
      <c r="A96" s="251" t="s">
        <v>157</v>
      </c>
      <c r="B96" s="251">
        <v>1</v>
      </c>
      <c r="C96" s="185">
        <v>95</v>
      </c>
      <c r="D96" s="185">
        <f>Table1123457[[#This Row],[a (mm)]]/Table1123457[[#This Row],[d (mm)]]</f>
        <v>2.8928571428571428</v>
      </c>
      <c r="E96" s="252">
        <v>112.5</v>
      </c>
      <c r="F96" s="137">
        <f>Table1123457[[#This Row],[d (mm)]]</f>
        <v>1400</v>
      </c>
      <c r="G96" s="135">
        <f t="shared" si="11"/>
        <v>455625</v>
      </c>
      <c r="H96" s="135">
        <f t="shared" si="12"/>
        <v>2.1563973729563561E-7</v>
      </c>
      <c r="I96" s="111">
        <f>G96/(Table1123457[[#This Row],[b (mm)]]*Table1123457[[#This Row],[h]]^2)</f>
        <v>6.9807526572823904E-4</v>
      </c>
      <c r="J96" s="135">
        <f t="shared" si="13"/>
        <v>0.16878305334794727</v>
      </c>
      <c r="K96" s="135">
        <f t="shared" si="14"/>
        <v>2.6989589580850289E-7</v>
      </c>
      <c r="L96" s="135">
        <f>E96/(Table1123457[[#This Row],[b (mm)]]*AE96)</f>
        <v>2.6785714285714287E-4</v>
      </c>
      <c r="M96" s="135">
        <f>Table1123457[[#This Row],[M (KN.mm)]]/(Table1123457[[#This Row],[b (mm)]]*Table1123457[[#This Row],[d (mm)]])</f>
        <v>1.0848214285714286</v>
      </c>
      <c r="N96" s="135">
        <f>Table1123457[[#This Row],[M (KN.mm)]]/(Table1123457[[#This Row],[b (mm)]]*Table1123457[[#This Row],[h (mm)]])</f>
        <v>1.0296610169491525</v>
      </c>
      <c r="O96" s="145">
        <f>Table1123457[[#This Row],[M (KN.mm)]]/(Table1123457[[#This Row],[b (mm)]]*Table1123457[[#This Row],[h (mm)]]*Table1123457[[#This Row],[L(mm)]])</f>
        <v>1.2711864406779661E-4</v>
      </c>
      <c r="P96" s="145">
        <f>Table1123457[[#This Row],[M (KN.mm)]]/(Table1123457[[#This Row],[b (mm)]]*Table1123457[[#This Row],[d (mm)]]*Table1123457[[#This Row],[L(mm)]])</f>
        <v>1.3392857142857144E-4</v>
      </c>
      <c r="Q96" s="145">
        <f>Table1123457[[#This Row],[M (KN.mm)]]/(Table1123457[[#This Row],[b (mm)]]*Table1123457[[#This Row],[h (mm)]]*Table1123457[[#This Row],[L(mm)]]*Table1123457[[#This Row],[fc (Mpa)]])</f>
        <v>3.8288748213191746E-6</v>
      </c>
      <c r="R96" s="145">
        <f>Table1123457[[#This Row],[M (KN.mm)]]/(Table1123457[[#This Row],[b (mm)]]*Table1123457[[#This Row],[h (mm)]]*Table1123457[[#This Row],[L(mm)]]/2)</f>
        <v>2.5423728813559322E-4</v>
      </c>
      <c r="S96" s="145">
        <f>Table1123457[[#This Row],[M (KN.mm)]]/(Table1123457[[#This Row],[a (mm)]]*Table1123457[[#This Row],[b (mm)]]*Table1123457[[#This Row],[h (mm)]]*Table1123457[[#This Row],[L(mm)]]/2)</f>
        <v>6.277463904582548E-8</v>
      </c>
      <c r="T96" s="145">
        <f>Table1123457[[#This Row],[M (KN.mm)]]/(Table1123457[[#This Row],[a (mm)]]^2*Table1123457[[#This Row],[b (mm)]]*Table1123457[[#This Row],[h (mm)]])</f>
        <v>6.277463904582548E-8</v>
      </c>
      <c r="U96" s="145">
        <f>Table1123457[[#This Row],[M (KN.mm)]]/(Table1123457[[#This Row],[b (mm)]]*Table1123457[[#This Row],[d (mm)]]*Table1123457[[#This Row],[pho (%)]])</f>
        <v>1.3070137693631669</v>
      </c>
      <c r="V96" s="145">
        <f>E96*224.8/(2*SQRT(Table1123457[[#This Row],[fc (Mpa)]]*145.037)*Table1123457[[#This Row],[b (mm)]]*Table1123457[[#This Row],[d (mm)]]*(1/25.4)^2)</f>
        <v>0.27991652025584657</v>
      </c>
      <c r="W96" s="145">
        <f>Table1123457[[#This Row],[M (KN.mm)]]/$G$101</f>
        <v>0.45</v>
      </c>
      <c r="X96" s="145">
        <f>Table1123457[[#This Row],[V/(2*sqrt(fc) bd)]]</f>
        <v>0.27991652025584657</v>
      </c>
      <c r="Y96" s="111">
        <f>Table1123457[[#This Row],[a (mm)]]</f>
        <v>4050</v>
      </c>
      <c r="Z96" s="111">
        <f>Table1123457[[#This Row],[width]]*Table1123457[[#This Row],[h]]^2</f>
        <v>652687500</v>
      </c>
      <c r="AA96" s="111">
        <f>Table1123457[[#This Row],[b (mm)]]</f>
        <v>300</v>
      </c>
      <c r="AB96" s="111">
        <f>Table1123457[[#This Row],[a (mm)]]/Table1123457[[#This Row],[h (mm)]]</f>
        <v>2.7457627118644066</v>
      </c>
      <c r="AC96" s="111">
        <f>Table1123457[[#This Row],[h (mm)]]</f>
        <v>1475</v>
      </c>
      <c r="AD96" s="111">
        <v>4050</v>
      </c>
      <c r="AE96" s="111">
        <v>1400</v>
      </c>
      <c r="AF96" s="111">
        <v>1475</v>
      </c>
      <c r="AG96" s="111">
        <v>300</v>
      </c>
      <c r="AH96" s="7">
        <v>33.200000000000003</v>
      </c>
      <c r="AI96" s="135">
        <f>Table1123457[[#This Row],[pho (%)]]/100*Table1123457[[#This Row],[b (mm)]]*Table1123457[[#This Row],[h (mm)]]</f>
        <v>3672.7500000000005</v>
      </c>
      <c r="AJ96" s="135">
        <v>0.83</v>
      </c>
      <c r="AK96" s="160">
        <v>525</v>
      </c>
      <c r="AL96" s="135">
        <f>(1/3-0.21*(MIN(Table1123457[[#This Row],[b (mm)]],AF96)/MAX(Table1123457[[#This Row],[b (mm)]],AF96))*(MIN(Table1123457[[#This Row],[b (mm)]],AF96)^4/(12*MAX(Table1123457[[#This Row],[b (mm)]],AF96)^4)))*MAX(Table1123457[[#This Row],[b (mm)]],AF96)*MIN(Table1123457[[#This Row],[b (mm)]],AF96)^3</f>
        <v>13274757428.370747</v>
      </c>
      <c r="AM96" s="135">
        <f>Table1123457[[#This Row],[b (mm)]]*AF96^3/12</f>
        <v>80226171875</v>
      </c>
      <c r="AN96" s="111">
        <v>8100</v>
      </c>
      <c r="AP96" s="107"/>
      <c r="AU96" s="377">
        <v>225</v>
      </c>
      <c r="AV96" s="2">
        <f t="shared" si="9"/>
        <v>112.5</v>
      </c>
    </row>
    <row r="97" spans="1:48" x14ac:dyDescent="0.3">
      <c r="A97" s="251" t="s">
        <v>157</v>
      </c>
      <c r="B97" s="251">
        <v>2</v>
      </c>
      <c r="C97" s="185">
        <v>96</v>
      </c>
      <c r="D97" s="185">
        <f>Table1123457[[#This Row],[a (mm)]]/Table1123457[[#This Row],[d (mm)]]</f>
        <v>2.8928571428571428</v>
      </c>
      <c r="E97" s="252">
        <v>175</v>
      </c>
      <c r="F97" s="137">
        <f>Table1123457[[#This Row],[d (mm)]]</f>
        <v>1400</v>
      </c>
      <c r="G97" s="135">
        <f t="shared" si="11"/>
        <v>708750</v>
      </c>
      <c r="H97" s="135">
        <f t="shared" si="12"/>
        <v>3.3543959134876649E-7</v>
      </c>
      <c r="I97" s="111">
        <f>G97/(Table1123457[[#This Row],[b (mm)]]*Table1123457[[#This Row],[h]]^2)</f>
        <v>1.0858948577994829E-3</v>
      </c>
      <c r="J97" s="135">
        <f t="shared" si="13"/>
        <v>0.26255141631902912</v>
      </c>
      <c r="K97" s="135">
        <f t="shared" si="14"/>
        <v>4.1983806014656003E-7</v>
      </c>
      <c r="L97" s="135">
        <f>E97/(Table1123457[[#This Row],[b (mm)]]*AE97)</f>
        <v>4.1666666666666669E-4</v>
      </c>
      <c r="M97" s="135">
        <f>Table1123457[[#This Row],[M (KN.mm)]]/(Table1123457[[#This Row],[b (mm)]]*Table1123457[[#This Row],[d (mm)]])</f>
        <v>1.6875</v>
      </c>
      <c r="N97" s="135">
        <f>Table1123457[[#This Row],[M (KN.mm)]]/(Table1123457[[#This Row],[b (mm)]]*Table1123457[[#This Row],[h (mm)]])</f>
        <v>1.6016949152542372</v>
      </c>
      <c r="O97" s="145">
        <f>Table1123457[[#This Row],[M (KN.mm)]]/(Table1123457[[#This Row],[b (mm)]]*Table1123457[[#This Row],[h (mm)]]*Table1123457[[#This Row],[L(mm)]])</f>
        <v>1.9774011299435027E-4</v>
      </c>
      <c r="P97" s="145">
        <f>Table1123457[[#This Row],[M (KN.mm)]]/(Table1123457[[#This Row],[b (mm)]]*Table1123457[[#This Row],[d (mm)]]*Table1123457[[#This Row],[L(mm)]])</f>
        <v>2.0833333333333335E-4</v>
      </c>
      <c r="Q97" s="145">
        <f>Table1123457[[#This Row],[M (KN.mm)]]/(Table1123457[[#This Row],[b (mm)]]*Table1123457[[#This Row],[h (mm)]]*Table1123457[[#This Row],[L(mm)]]*Table1123457[[#This Row],[fc (Mpa)]])</f>
        <v>5.9560274998298273E-6</v>
      </c>
      <c r="R97" s="145">
        <f>Table1123457[[#This Row],[M (KN.mm)]]/(Table1123457[[#This Row],[b (mm)]]*Table1123457[[#This Row],[h (mm)]]*Table1123457[[#This Row],[L(mm)]]/2)</f>
        <v>3.9548022598870055E-4</v>
      </c>
      <c r="S97" s="145">
        <f>Table1123457[[#This Row],[M (KN.mm)]]/(Table1123457[[#This Row],[a (mm)]]*Table1123457[[#This Row],[b (mm)]]*Table1123457[[#This Row],[h (mm)]]*Table1123457[[#This Row],[L(mm)]]/2)</f>
        <v>9.7649438515728534E-8</v>
      </c>
      <c r="T97" s="145">
        <f>Table1123457[[#This Row],[M (KN.mm)]]/(Table1123457[[#This Row],[a (mm)]]^2*Table1123457[[#This Row],[b (mm)]]*Table1123457[[#This Row],[h (mm)]])</f>
        <v>9.7649438515728534E-8</v>
      </c>
      <c r="U97" s="145">
        <f>Table1123457[[#This Row],[M (KN.mm)]]/(Table1123457[[#This Row],[b (mm)]]*Table1123457[[#This Row],[d (mm)]]*Table1123457[[#This Row],[pho (%)]])</f>
        <v>2.0331325301204819</v>
      </c>
      <c r="V97" s="145">
        <f>E97*224.8/(2*SQRT(Table1123457[[#This Row],[fc (Mpa)]]*145.037)*Table1123457[[#This Row],[b (mm)]]*Table1123457[[#This Row],[d (mm)]]*(1/25.4)^2)</f>
        <v>0.43542569817576132</v>
      </c>
      <c r="W97" s="145">
        <f>Table1123457[[#This Row],[M (KN.mm)]]/$G$101</f>
        <v>0.7</v>
      </c>
      <c r="X97" s="145">
        <f>Table1123457[[#This Row],[V/(2*sqrt(fc) bd)]]</f>
        <v>0.43542569817576132</v>
      </c>
      <c r="Y97" s="111">
        <f>Table1123457[[#This Row],[a (mm)]]</f>
        <v>4050</v>
      </c>
      <c r="Z97" s="111">
        <f>Table1123457[[#This Row],[width]]*Table1123457[[#This Row],[h]]^2</f>
        <v>652687500</v>
      </c>
      <c r="AA97" s="111">
        <f>Table1123457[[#This Row],[b (mm)]]</f>
        <v>300</v>
      </c>
      <c r="AB97" s="111">
        <f>Table1123457[[#This Row],[a (mm)]]/Table1123457[[#This Row],[h (mm)]]</f>
        <v>2.7457627118644066</v>
      </c>
      <c r="AC97" s="111">
        <f>Table1123457[[#This Row],[h (mm)]]</f>
        <v>1475</v>
      </c>
      <c r="AD97" s="111">
        <v>4050</v>
      </c>
      <c r="AE97" s="111">
        <v>1400</v>
      </c>
      <c r="AF97" s="111">
        <v>1475</v>
      </c>
      <c r="AG97" s="111">
        <v>300</v>
      </c>
      <c r="AH97" s="7">
        <v>33.200000000000003</v>
      </c>
      <c r="AI97" s="135">
        <f>Table1123457[[#This Row],[pho (%)]]/100*Table1123457[[#This Row],[b (mm)]]*Table1123457[[#This Row],[h (mm)]]</f>
        <v>3672.7500000000005</v>
      </c>
      <c r="AJ97" s="135">
        <v>0.83</v>
      </c>
      <c r="AK97" s="160">
        <v>525</v>
      </c>
      <c r="AL97" s="135">
        <f>(1/3-0.21*(MIN(Table1123457[[#This Row],[b (mm)]],AF97)/MAX(Table1123457[[#This Row],[b (mm)]],AF97))*(MIN(Table1123457[[#This Row],[b (mm)]],AF97)^4/(12*MAX(Table1123457[[#This Row],[b (mm)]],AF97)^4)))*MAX(Table1123457[[#This Row],[b (mm)]],AF97)*MIN(Table1123457[[#This Row],[b (mm)]],AF97)^3</f>
        <v>13274757428.370747</v>
      </c>
      <c r="AM97" s="135">
        <f>Table1123457[[#This Row],[b (mm)]]*AF97^3/12</f>
        <v>80226171875</v>
      </c>
      <c r="AN97" s="111">
        <v>8100</v>
      </c>
      <c r="AP97" s="107"/>
      <c r="AU97" s="377">
        <v>350</v>
      </c>
      <c r="AV97" s="2">
        <f t="shared" si="9"/>
        <v>175</v>
      </c>
    </row>
    <row r="98" spans="1:48" x14ac:dyDescent="0.3">
      <c r="A98" s="251" t="s">
        <v>157</v>
      </c>
      <c r="B98" s="251">
        <v>3</v>
      </c>
      <c r="C98" s="185">
        <v>97</v>
      </c>
      <c r="D98" s="185">
        <f>Table1123457[[#This Row],[a (mm)]]/Table1123457[[#This Row],[d (mm)]]</f>
        <v>2.8928571428571428</v>
      </c>
      <c r="E98" s="252">
        <v>225</v>
      </c>
      <c r="F98" s="137">
        <f>Table1123457[[#This Row],[d (mm)]]</f>
        <v>1400</v>
      </c>
      <c r="G98" s="135">
        <f t="shared" si="11"/>
        <v>911250</v>
      </c>
      <c r="H98" s="135">
        <f t="shared" si="12"/>
        <v>4.3127947459127122E-7</v>
      </c>
      <c r="I98" s="111">
        <f>G98/(Table1123457[[#This Row],[b (mm)]]*Table1123457[[#This Row],[h]]^2)</f>
        <v>1.3961505314564781E-3</v>
      </c>
      <c r="J98" s="135">
        <f t="shared" si="13"/>
        <v>0.33756610669589454</v>
      </c>
      <c r="K98" s="135">
        <f t="shared" si="14"/>
        <v>5.3979179161700577E-7</v>
      </c>
      <c r="L98" s="135">
        <f>E98/(Table1123457[[#This Row],[b (mm)]]*AE98)</f>
        <v>5.3571428571428574E-4</v>
      </c>
      <c r="M98" s="135">
        <f>Table1123457[[#This Row],[M (KN.mm)]]/(Table1123457[[#This Row],[b (mm)]]*Table1123457[[#This Row],[d (mm)]])</f>
        <v>2.1696428571428572</v>
      </c>
      <c r="N98" s="135">
        <f>Table1123457[[#This Row],[M (KN.mm)]]/(Table1123457[[#This Row],[b (mm)]]*Table1123457[[#This Row],[h (mm)]])</f>
        <v>2.0593220338983049</v>
      </c>
      <c r="O98" s="145">
        <f>Table1123457[[#This Row],[M (KN.mm)]]/(Table1123457[[#This Row],[b (mm)]]*Table1123457[[#This Row],[h (mm)]]*Table1123457[[#This Row],[L(mm)]])</f>
        <v>2.5423728813559322E-4</v>
      </c>
      <c r="P98" s="145">
        <f>Table1123457[[#This Row],[M (KN.mm)]]/(Table1123457[[#This Row],[b (mm)]]*Table1123457[[#This Row],[d (mm)]]*Table1123457[[#This Row],[L(mm)]])</f>
        <v>2.6785714285714287E-4</v>
      </c>
      <c r="Q98" s="145">
        <f>Table1123457[[#This Row],[M (KN.mm)]]/(Table1123457[[#This Row],[b (mm)]]*Table1123457[[#This Row],[h (mm)]]*Table1123457[[#This Row],[L(mm)]]*Table1123457[[#This Row],[fc (Mpa)]])</f>
        <v>7.6577496426383493E-6</v>
      </c>
      <c r="R98" s="145">
        <f>Table1123457[[#This Row],[M (KN.mm)]]/(Table1123457[[#This Row],[b (mm)]]*Table1123457[[#This Row],[h (mm)]]*Table1123457[[#This Row],[L(mm)]]/2)</f>
        <v>5.0847457627118645E-4</v>
      </c>
      <c r="S98" s="145">
        <f>Table1123457[[#This Row],[M (KN.mm)]]/(Table1123457[[#This Row],[a (mm)]]*Table1123457[[#This Row],[b (mm)]]*Table1123457[[#This Row],[h (mm)]]*Table1123457[[#This Row],[L(mm)]]/2)</f>
        <v>1.2554927809165096E-7</v>
      </c>
      <c r="T98" s="145">
        <f>Table1123457[[#This Row],[M (KN.mm)]]/(Table1123457[[#This Row],[a (mm)]]^2*Table1123457[[#This Row],[b (mm)]]*Table1123457[[#This Row],[h (mm)]])</f>
        <v>1.2554927809165096E-7</v>
      </c>
      <c r="U98" s="145">
        <f>Table1123457[[#This Row],[M (KN.mm)]]/(Table1123457[[#This Row],[b (mm)]]*Table1123457[[#This Row],[d (mm)]]*Table1123457[[#This Row],[pho (%)]])</f>
        <v>2.6140275387263339</v>
      </c>
      <c r="V98" s="145">
        <f>E98*224.8/(2*SQRT(Table1123457[[#This Row],[fc (Mpa)]]*145.037)*Table1123457[[#This Row],[b (mm)]]*Table1123457[[#This Row],[d (mm)]]*(1/25.4)^2)</f>
        <v>0.55983304051169314</v>
      </c>
      <c r="W98" s="145">
        <f>Table1123457[[#This Row],[M (KN.mm)]]/$G$101</f>
        <v>0.9</v>
      </c>
      <c r="X98" s="145">
        <f>Table1123457[[#This Row],[V/(2*sqrt(fc) bd)]]</f>
        <v>0.55983304051169314</v>
      </c>
      <c r="Y98" s="111">
        <f>Table1123457[[#This Row],[a (mm)]]</f>
        <v>4050</v>
      </c>
      <c r="Z98" s="111">
        <f>Table1123457[[#This Row],[width]]*Table1123457[[#This Row],[h]]^2</f>
        <v>652687500</v>
      </c>
      <c r="AA98" s="111">
        <f>Table1123457[[#This Row],[b (mm)]]</f>
        <v>300</v>
      </c>
      <c r="AB98" s="111">
        <f>Table1123457[[#This Row],[a (mm)]]/Table1123457[[#This Row],[h (mm)]]</f>
        <v>2.7457627118644066</v>
      </c>
      <c r="AC98" s="111">
        <f>Table1123457[[#This Row],[h (mm)]]</f>
        <v>1475</v>
      </c>
      <c r="AD98" s="111">
        <v>4050</v>
      </c>
      <c r="AE98" s="111">
        <v>1400</v>
      </c>
      <c r="AF98" s="111">
        <v>1475</v>
      </c>
      <c r="AG98" s="111">
        <v>300</v>
      </c>
      <c r="AH98" s="7">
        <v>33.200000000000003</v>
      </c>
      <c r="AI98" s="135">
        <f>Table1123457[[#This Row],[pho (%)]]/100*Table1123457[[#This Row],[b (mm)]]*Table1123457[[#This Row],[h (mm)]]</f>
        <v>3672.7500000000005</v>
      </c>
      <c r="AJ98" s="135">
        <v>0.83</v>
      </c>
      <c r="AK98" s="160">
        <v>525</v>
      </c>
      <c r="AL98" s="135">
        <f>(1/3-0.21*(MIN(Table1123457[[#This Row],[b (mm)]],AF98)/MAX(Table1123457[[#This Row],[b (mm)]],AF98))*(MIN(Table1123457[[#This Row],[b (mm)]],AF98)^4/(12*MAX(Table1123457[[#This Row],[b (mm)]],AF98)^4)))*MAX(Table1123457[[#This Row],[b (mm)]],AF98)*MIN(Table1123457[[#This Row],[b (mm)]],AF98)^3</f>
        <v>13274757428.370747</v>
      </c>
      <c r="AM98" s="135">
        <f>Table1123457[[#This Row],[b (mm)]]*AF98^3/12</f>
        <v>80226171875</v>
      </c>
      <c r="AN98" s="111">
        <v>8100</v>
      </c>
      <c r="AP98" s="107"/>
      <c r="AU98" s="377">
        <v>450</v>
      </c>
      <c r="AV98" s="2">
        <f t="shared" si="9"/>
        <v>225</v>
      </c>
    </row>
    <row r="99" spans="1:48" x14ac:dyDescent="0.3">
      <c r="A99" s="251" t="s">
        <v>157</v>
      </c>
      <c r="B99" s="251">
        <v>4</v>
      </c>
      <c r="C99" s="185">
        <v>98</v>
      </c>
      <c r="D99" s="185">
        <f>Table1123457[[#This Row],[a (mm)]]/Table1123457[[#This Row],[d (mm)]]</f>
        <v>2.8928571428571428</v>
      </c>
      <c r="E99" s="252">
        <v>225</v>
      </c>
      <c r="F99" s="137">
        <f>Table1123457[[#This Row],[d (mm)]]</f>
        <v>1400</v>
      </c>
      <c r="G99" s="135">
        <f t="shared" si="11"/>
        <v>911250</v>
      </c>
      <c r="H99" s="135">
        <f t="shared" si="12"/>
        <v>4.3127947459127122E-7</v>
      </c>
      <c r="I99" s="111">
        <f>G99/(Table1123457[[#This Row],[b (mm)]]*Table1123457[[#This Row],[h]]^2)</f>
        <v>1.3961505314564781E-3</v>
      </c>
      <c r="J99" s="135">
        <f t="shared" si="13"/>
        <v>0.33756610669589454</v>
      </c>
      <c r="K99" s="135">
        <f t="shared" si="14"/>
        <v>5.3979179161700577E-7</v>
      </c>
      <c r="L99" s="135">
        <f>E99/(Table1123457[[#This Row],[b (mm)]]*AE99)</f>
        <v>5.3571428571428574E-4</v>
      </c>
      <c r="M99" s="135">
        <f>Table1123457[[#This Row],[M (KN.mm)]]/(Table1123457[[#This Row],[b (mm)]]*Table1123457[[#This Row],[d (mm)]])</f>
        <v>2.1696428571428572</v>
      </c>
      <c r="N99" s="135">
        <f>Table1123457[[#This Row],[M (KN.mm)]]/(Table1123457[[#This Row],[b (mm)]]*Table1123457[[#This Row],[h (mm)]])</f>
        <v>2.0593220338983049</v>
      </c>
      <c r="O99" s="145">
        <f>Table1123457[[#This Row],[M (KN.mm)]]/(Table1123457[[#This Row],[b (mm)]]*Table1123457[[#This Row],[h (mm)]]*Table1123457[[#This Row],[L(mm)]])</f>
        <v>2.5423728813559322E-4</v>
      </c>
      <c r="P99" s="145">
        <f>Table1123457[[#This Row],[M (KN.mm)]]/(Table1123457[[#This Row],[b (mm)]]*Table1123457[[#This Row],[d (mm)]]*Table1123457[[#This Row],[L(mm)]])</f>
        <v>2.6785714285714287E-4</v>
      </c>
      <c r="Q99" s="145">
        <f>Table1123457[[#This Row],[M (KN.mm)]]/(Table1123457[[#This Row],[b (mm)]]*Table1123457[[#This Row],[h (mm)]]*Table1123457[[#This Row],[L(mm)]]*Table1123457[[#This Row],[fc (Mpa)]])</f>
        <v>7.6577496426383493E-6</v>
      </c>
      <c r="R99" s="145">
        <f>Table1123457[[#This Row],[M (KN.mm)]]/(Table1123457[[#This Row],[b (mm)]]*Table1123457[[#This Row],[h (mm)]]*Table1123457[[#This Row],[L(mm)]]/2)</f>
        <v>5.0847457627118645E-4</v>
      </c>
      <c r="S99" s="145">
        <f>Table1123457[[#This Row],[M (KN.mm)]]/(Table1123457[[#This Row],[a (mm)]]*Table1123457[[#This Row],[b (mm)]]*Table1123457[[#This Row],[h (mm)]]*Table1123457[[#This Row],[L(mm)]]/2)</f>
        <v>1.2554927809165096E-7</v>
      </c>
      <c r="T99" s="145">
        <f>Table1123457[[#This Row],[M (KN.mm)]]/(Table1123457[[#This Row],[a (mm)]]^2*Table1123457[[#This Row],[b (mm)]]*Table1123457[[#This Row],[h (mm)]])</f>
        <v>1.2554927809165096E-7</v>
      </c>
      <c r="U99" s="145">
        <f>Table1123457[[#This Row],[M (KN.mm)]]/(Table1123457[[#This Row],[b (mm)]]*Table1123457[[#This Row],[d (mm)]]*Table1123457[[#This Row],[pho (%)]])</f>
        <v>2.6140275387263339</v>
      </c>
      <c r="V99" s="145">
        <f>E99*224.8/(2*SQRT(Table1123457[[#This Row],[fc (Mpa)]]*145.037)*Table1123457[[#This Row],[b (mm)]]*Table1123457[[#This Row],[d (mm)]]*(1/25.4)^2)</f>
        <v>0.55983304051169314</v>
      </c>
      <c r="W99" s="145">
        <f>Table1123457[[#This Row],[M (KN.mm)]]/$G$101</f>
        <v>0.9</v>
      </c>
      <c r="X99" s="145">
        <f>Table1123457[[#This Row],[V/(2*sqrt(fc) bd)]]</f>
        <v>0.55983304051169314</v>
      </c>
      <c r="Y99" s="111">
        <f>Table1123457[[#This Row],[a (mm)]]</f>
        <v>4050</v>
      </c>
      <c r="Z99" s="111">
        <f>Table1123457[[#This Row],[width]]*Table1123457[[#This Row],[h]]^2</f>
        <v>652687500</v>
      </c>
      <c r="AA99" s="111">
        <f>Table1123457[[#This Row],[b (mm)]]</f>
        <v>300</v>
      </c>
      <c r="AB99" s="111">
        <f>Table1123457[[#This Row],[a (mm)]]/Table1123457[[#This Row],[h (mm)]]</f>
        <v>2.7457627118644066</v>
      </c>
      <c r="AC99" s="111">
        <f>Table1123457[[#This Row],[h (mm)]]</f>
        <v>1475</v>
      </c>
      <c r="AD99" s="111">
        <v>4050</v>
      </c>
      <c r="AE99" s="111">
        <v>1400</v>
      </c>
      <c r="AF99" s="111">
        <v>1475</v>
      </c>
      <c r="AG99" s="111">
        <v>300</v>
      </c>
      <c r="AH99" s="7">
        <v>33.200000000000003</v>
      </c>
      <c r="AI99" s="135">
        <f>Table1123457[[#This Row],[pho (%)]]/100*Table1123457[[#This Row],[b (mm)]]*Table1123457[[#This Row],[h (mm)]]</f>
        <v>3672.7500000000005</v>
      </c>
      <c r="AJ99" s="135">
        <v>0.83</v>
      </c>
      <c r="AK99" s="160">
        <v>525</v>
      </c>
      <c r="AL99" s="135">
        <f>(1/3-0.21*(MIN(Table1123457[[#This Row],[b (mm)]],AF99)/MAX(Table1123457[[#This Row],[b (mm)]],AF99))*(MIN(Table1123457[[#This Row],[b (mm)]],AF99)^4/(12*MAX(Table1123457[[#This Row],[b (mm)]],AF99)^4)))*MAX(Table1123457[[#This Row],[b (mm)]],AF99)*MIN(Table1123457[[#This Row],[b (mm)]],AF99)^3</f>
        <v>13274757428.370747</v>
      </c>
      <c r="AM99" s="135">
        <f>Table1123457[[#This Row],[b (mm)]]*AF99^3/12</f>
        <v>80226171875</v>
      </c>
      <c r="AN99" s="111">
        <v>8100</v>
      </c>
      <c r="AP99" s="107"/>
      <c r="AU99" s="377">
        <v>450</v>
      </c>
      <c r="AV99" s="2">
        <f t="shared" si="9"/>
        <v>225</v>
      </c>
    </row>
    <row r="100" spans="1:48" x14ac:dyDescent="0.3">
      <c r="A100" s="251" t="s">
        <v>157</v>
      </c>
      <c r="B100" s="251">
        <v>5</v>
      </c>
      <c r="C100" s="185">
        <v>99</v>
      </c>
      <c r="D100" s="185">
        <f>Table1123457[[#This Row],[a (mm)]]/Table1123457[[#This Row],[d (mm)]]</f>
        <v>2.8928571428571428</v>
      </c>
      <c r="E100" s="252">
        <v>250</v>
      </c>
      <c r="F100" s="137">
        <f>Table1123457[[#This Row],[d (mm)]]</f>
        <v>1400</v>
      </c>
      <c r="G100" s="135">
        <f t="shared" si="11"/>
        <v>1012500</v>
      </c>
      <c r="H100" s="135">
        <f t="shared" si="12"/>
        <v>4.7919941621252353E-7</v>
      </c>
      <c r="I100" s="111">
        <f>G100/(Table1123457[[#This Row],[b (mm)]]*Table1123457[[#This Row],[h]]^2)</f>
        <v>1.5512783682849756E-3</v>
      </c>
      <c r="J100" s="135">
        <f t="shared" si="13"/>
        <v>0.37507345188432728</v>
      </c>
      <c r="K100" s="135">
        <f t="shared" si="14"/>
        <v>5.9976865735222867E-7</v>
      </c>
      <c r="L100" s="135">
        <f>E100/(Table1123457[[#This Row],[b (mm)]]*AE100)</f>
        <v>5.9523809523809529E-4</v>
      </c>
      <c r="M100" s="135">
        <f>Table1123457[[#This Row],[M (KN.mm)]]/(Table1123457[[#This Row],[b (mm)]]*Table1123457[[#This Row],[d (mm)]])</f>
        <v>2.4107142857142856</v>
      </c>
      <c r="N100" s="135">
        <f>Table1123457[[#This Row],[M (KN.mm)]]/(Table1123457[[#This Row],[b (mm)]]*Table1123457[[#This Row],[h (mm)]])</f>
        <v>2.2881355932203391</v>
      </c>
      <c r="O100" s="145">
        <f>Table1123457[[#This Row],[M (KN.mm)]]/(Table1123457[[#This Row],[b (mm)]]*Table1123457[[#This Row],[h (mm)]]*Table1123457[[#This Row],[L(mm)]])</f>
        <v>2.824858757062147E-4</v>
      </c>
      <c r="P100" s="145">
        <f>Table1123457[[#This Row],[M (KN.mm)]]/(Table1123457[[#This Row],[b (mm)]]*Table1123457[[#This Row],[d (mm)]]*Table1123457[[#This Row],[L(mm)]])</f>
        <v>2.9761904761904765E-4</v>
      </c>
      <c r="Q100" s="145">
        <f>Table1123457[[#This Row],[M (KN.mm)]]/(Table1123457[[#This Row],[b (mm)]]*Table1123457[[#This Row],[h (mm)]]*Table1123457[[#This Row],[L(mm)]]*Table1123457[[#This Row],[fc (Mpa)]])</f>
        <v>8.5086107140426107E-6</v>
      </c>
      <c r="R100" s="145">
        <f>Table1123457[[#This Row],[M (KN.mm)]]/(Table1123457[[#This Row],[b (mm)]]*Table1123457[[#This Row],[h (mm)]]*Table1123457[[#This Row],[L(mm)]]/2)</f>
        <v>5.649717514124294E-4</v>
      </c>
      <c r="S100" s="145">
        <f>Table1123457[[#This Row],[M (KN.mm)]]/(Table1123457[[#This Row],[a (mm)]]*Table1123457[[#This Row],[b (mm)]]*Table1123457[[#This Row],[h (mm)]]*Table1123457[[#This Row],[L(mm)]]/2)</f>
        <v>1.3949919787961219E-7</v>
      </c>
      <c r="T100" s="145">
        <f>Table1123457[[#This Row],[M (KN.mm)]]/(Table1123457[[#This Row],[a (mm)]]^2*Table1123457[[#This Row],[b (mm)]]*Table1123457[[#This Row],[h (mm)]])</f>
        <v>1.3949919787961219E-7</v>
      </c>
      <c r="U100" s="145">
        <f>Table1123457[[#This Row],[M (KN.mm)]]/(Table1123457[[#This Row],[b (mm)]]*Table1123457[[#This Row],[d (mm)]]*Table1123457[[#This Row],[pho (%)]])</f>
        <v>2.9044750430292599</v>
      </c>
      <c r="V100" s="145">
        <f>E100*224.8/(2*SQRT(Table1123457[[#This Row],[fc (Mpa)]]*145.037)*Table1123457[[#This Row],[b (mm)]]*Table1123457[[#This Row],[d (mm)]]*(1/25.4)^2)</f>
        <v>0.62203671167965902</v>
      </c>
      <c r="W100" s="145">
        <f>Table1123457[[#This Row],[M (KN.mm)]]/$G$101</f>
        <v>1</v>
      </c>
      <c r="X100" s="145">
        <f>Table1123457[[#This Row],[V/(2*sqrt(fc) bd)]]</f>
        <v>0.62203671167965902</v>
      </c>
      <c r="Y100" s="111">
        <f>Table1123457[[#This Row],[a (mm)]]</f>
        <v>4050</v>
      </c>
      <c r="Z100" s="111">
        <f>Table1123457[[#This Row],[width]]*Table1123457[[#This Row],[h]]^2</f>
        <v>652687500</v>
      </c>
      <c r="AA100" s="111">
        <f>Table1123457[[#This Row],[b (mm)]]</f>
        <v>300</v>
      </c>
      <c r="AB100" s="111">
        <f>Table1123457[[#This Row],[a (mm)]]/Table1123457[[#This Row],[h (mm)]]</f>
        <v>2.7457627118644066</v>
      </c>
      <c r="AC100" s="111">
        <f>Table1123457[[#This Row],[h (mm)]]</f>
        <v>1475</v>
      </c>
      <c r="AD100" s="111">
        <v>4050</v>
      </c>
      <c r="AE100" s="111">
        <v>1400</v>
      </c>
      <c r="AF100" s="111">
        <v>1475</v>
      </c>
      <c r="AG100" s="111">
        <v>300</v>
      </c>
      <c r="AH100" s="7">
        <v>33.200000000000003</v>
      </c>
      <c r="AI100" s="135">
        <f>Table1123457[[#This Row],[pho (%)]]/100*Table1123457[[#This Row],[b (mm)]]*Table1123457[[#This Row],[h (mm)]]</f>
        <v>3672.7500000000005</v>
      </c>
      <c r="AJ100" s="135">
        <v>0.83</v>
      </c>
      <c r="AK100" s="160">
        <v>525</v>
      </c>
      <c r="AL100" s="135">
        <f>(1/3-0.21*(MIN(Table1123457[[#This Row],[b (mm)]],AF100)/MAX(Table1123457[[#This Row],[b (mm)]],AF100))*(MIN(Table1123457[[#This Row],[b (mm)]],AF100)^4/(12*MAX(Table1123457[[#This Row],[b (mm)]],AF100)^4)))*MAX(Table1123457[[#This Row],[b (mm)]],AF100)*MIN(Table1123457[[#This Row],[b (mm)]],AF100)^3</f>
        <v>13274757428.370747</v>
      </c>
      <c r="AM100" s="135">
        <f>Table1123457[[#This Row],[b (mm)]]*AF100^3/12</f>
        <v>80226171875</v>
      </c>
      <c r="AN100" s="111">
        <v>8100</v>
      </c>
      <c r="AP100" s="107"/>
      <c r="AU100" s="377">
        <v>500</v>
      </c>
      <c r="AV100" s="2">
        <f t="shared" si="9"/>
        <v>250</v>
      </c>
    </row>
    <row r="101" spans="1:48" x14ac:dyDescent="0.3">
      <c r="A101" s="251" t="s">
        <v>157</v>
      </c>
      <c r="B101" s="251" t="s">
        <v>142</v>
      </c>
      <c r="C101" s="185">
        <v>100</v>
      </c>
      <c r="D101" s="185">
        <f>Table1123457[[#This Row],[a (mm)]]/Table1123457[[#This Row],[d (mm)]]</f>
        <v>2.8928571428571428</v>
      </c>
      <c r="E101" s="252">
        <v>250</v>
      </c>
      <c r="F101" s="137">
        <f>Table1123457[[#This Row],[d (mm)]]</f>
        <v>1400</v>
      </c>
      <c r="G101" s="135">
        <f t="shared" ref="G101:G130" si="15">E101*AD101</f>
        <v>1012500</v>
      </c>
      <c r="H101" s="135">
        <f t="shared" ref="H101:H130" si="16">G101/($AQ$5*AM101*0.001)</f>
        <v>4.7919941621252353E-7</v>
      </c>
      <c r="I101" s="111">
        <f>G101/(Table1123457[[#This Row],[b (mm)]]*Table1123457[[#This Row],[h]]^2)</f>
        <v>1.5512783682849756E-3</v>
      </c>
      <c r="J101" s="135">
        <f t="shared" ref="J101:J130" si="17">G101/(AI101*AK101*AE101*0.001)</f>
        <v>0.37507345188432728</v>
      </c>
      <c r="K101" s="135">
        <f t="shared" ref="K101:K130" si="18">E101/($AQ$4*AL101*0.001)</f>
        <v>5.9976865735222867E-7</v>
      </c>
      <c r="L101" s="135">
        <f>E101/(Table1123457[[#This Row],[b (mm)]]*AE101)</f>
        <v>5.9523809523809529E-4</v>
      </c>
      <c r="M101" s="135">
        <f>Table1123457[[#This Row],[M (KN.mm)]]/(Table1123457[[#This Row],[b (mm)]]*Table1123457[[#This Row],[d (mm)]])</f>
        <v>2.4107142857142856</v>
      </c>
      <c r="N101" s="135">
        <f>Table1123457[[#This Row],[M (KN.mm)]]/(Table1123457[[#This Row],[b (mm)]]*Table1123457[[#This Row],[h (mm)]])</f>
        <v>2.2881355932203391</v>
      </c>
      <c r="O101" s="145">
        <f>Table1123457[[#This Row],[M (KN.mm)]]/(Table1123457[[#This Row],[b (mm)]]*Table1123457[[#This Row],[h (mm)]]*Table1123457[[#This Row],[L(mm)]])</f>
        <v>2.824858757062147E-4</v>
      </c>
      <c r="P101" s="145">
        <f>Table1123457[[#This Row],[M (KN.mm)]]/(Table1123457[[#This Row],[b (mm)]]*Table1123457[[#This Row],[d (mm)]]*Table1123457[[#This Row],[L(mm)]])</f>
        <v>2.9761904761904765E-4</v>
      </c>
      <c r="Q101" s="145">
        <f>Table1123457[[#This Row],[M (KN.mm)]]/(Table1123457[[#This Row],[b (mm)]]*Table1123457[[#This Row],[h (mm)]]*Table1123457[[#This Row],[L(mm)]]*Table1123457[[#This Row],[fc (Mpa)]])</f>
        <v>8.5086107140426107E-6</v>
      </c>
      <c r="R101" s="145">
        <f>Table1123457[[#This Row],[M (KN.mm)]]/(Table1123457[[#This Row],[b (mm)]]*Table1123457[[#This Row],[h (mm)]]*Table1123457[[#This Row],[L(mm)]]/2)</f>
        <v>5.649717514124294E-4</v>
      </c>
      <c r="S101" s="145">
        <f>Table1123457[[#This Row],[M (KN.mm)]]/(Table1123457[[#This Row],[a (mm)]]*Table1123457[[#This Row],[b (mm)]]*Table1123457[[#This Row],[h (mm)]]*Table1123457[[#This Row],[L(mm)]]/2)</f>
        <v>1.3949919787961219E-7</v>
      </c>
      <c r="T101" s="145">
        <f>Table1123457[[#This Row],[M (KN.mm)]]/(Table1123457[[#This Row],[a (mm)]]^2*Table1123457[[#This Row],[b (mm)]]*Table1123457[[#This Row],[h (mm)]])</f>
        <v>1.3949919787961219E-7</v>
      </c>
      <c r="U101" s="145">
        <f>Table1123457[[#This Row],[M (KN.mm)]]/(Table1123457[[#This Row],[b (mm)]]*Table1123457[[#This Row],[d (mm)]]*Table1123457[[#This Row],[pho (%)]])</f>
        <v>2.9044750430292599</v>
      </c>
      <c r="V101" s="145">
        <f>E101*224.8/(2*SQRT(Table1123457[[#This Row],[fc (Mpa)]]*145.037)*Table1123457[[#This Row],[b (mm)]]*Table1123457[[#This Row],[d (mm)]]*(1/25.4)^2)</f>
        <v>0.62203671167965902</v>
      </c>
      <c r="W101" s="145">
        <f>Table1123457[[#This Row],[M (KN.mm)]]/$G$101</f>
        <v>1</v>
      </c>
      <c r="X101" s="145">
        <f>Table1123457[[#This Row],[V/(2*sqrt(fc) bd)]]</f>
        <v>0.62203671167965902</v>
      </c>
      <c r="Y101" s="111">
        <f>Table1123457[[#This Row],[a (mm)]]</f>
        <v>4050</v>
      </c>
      <c r="Z101" s="111">
        <f>Table1123457[[#This Row],[width]]*Table1123457[[#This Row],[h]]^2</f>
        <v>652687500</v>
      </c>
      <c r="AA101" s="111">
        <f>Table1123457[[#This Row],[b (mm)]]</f>
        <v>300</v>
      </c>
      <c r="AB101" s="111">
        <f>Table1123457[[#This Row],[a (mm)]]/Table1123457[[#This Row],[h (mm)]]</f>
        <v>2.7457627118644066</v>
      </c>
      <c r="AC101" s="111">
        <f>Table1123457[[#This Row],[h (mm)]]</f>
        <v>1475</v>
      </c>
      <c r="AD101" s="111">
        <v>4050</v>
      </c>
      <c r="AE101" s="111">
        <v>1400</v>
      </c>
      <c r="AF101" s="111">
        <v>1475</v>
      </c>
      <c r="AG101" s="111">
        <v>300</v>
      </c>
      <c r="AH101" s="7">
        <v>33.200000000000003</v>
      </c>
      <c r="AI101" s="135">
        <f>Table1123457[[#This Row],[pho (%)]]/100*Table1123457[[#This Row],[b (mm)]]*Table1123457[[#This Row],[h (mm)]]</f>
        <v>3672.7500000000005</v>
      </c>
      <c r="AJ101" s="135">
        <v>0.83</v>
      </c>
      <c r="AK101" s="160">
        <v>525</v>
      </c>
      <c r="AL101" s="135">
        <f>(1/3-0.21*(MIN(Table1123457[[#This Row],[b (mm)]],AF101)/MAX(Table1123457[[#This Row],[b (mm)]],AF101))*(MIN(Table1123457[[#This Row],[b (mm)]],AF101)^4/(12*MAX(Table1123457[[#This Row],[b (mm)]],AF101)^4)))*MAX(Table1123457[[#This Row],[b (mm)]],AF101)*MIN(Table1123457[[#This Row],[b (mm)]],AF101)^3</f>
        <v>13274757428.370747</v>
      </c>
      <c r="AM101" s="135">
        <f>Table1123457[[#This Row],[b (mm)]]*AF101^3/12</f>
        <v>80226171875</v>
      </c>
      <c r="AN101" s="111">
        <v>8100</v>
      </c>
      <c r="AP101" s="107"/>
      <c r="AU101" s="377">
        <v>500</v>
      </c>
      <c r="AV101" s="2">
        <f t="shared" si="9"/>
        <v>250</v>
      </c>
    </row>
    <row r="102" spans="1:48" x14ac:dyDescent="0.3">
      <c r="A102" s="253" t="s">
        <v>158</v>
      </c>
      <c r="B102" s="253">
        <v>2</v>
      </c>
      <c r="C102" s="185">
        <v>101</v>
      </c>
      <c r="D102" s="185">
        <f>Table1123457[[#This Row],[a (mm)]]/Table1123457[[#This Row],[d (mm)]]</f>
        <v>2.8928571428571428</v>
      </c>
      <c r="E102" s="254">
        <v>112.5</v>
      </c>
      <c r="F102" s="137">
        <f>Table1123457[[#This Row],[d (mm)]]</f>
        <v>1400</v>
      </c>
      <c r="G102" s="135">
        <f t="shared" si="15"/>
        <v>455625</v>
      </c>
      <c r="H102" s="135">
        <f t="shared" si="16"/>
        <v>2.1563973729563561E-7</v>
      </c>
      <c r="I102" s="111">
        <f>G102/(Table1123457[[#This Row],[b (mm)]]*Table1123457[[#This Row],[h]]^2)</f>
        <v>6.9807526572823904E-4</v>
      </c>
      <c r="J102" s="135">
        <f t="shared" si="17"/>
        <v>0.16878305334794727</v>
      </c>
      <c r="K102" s="135">
        <f t="shared" si="18"/>
        <v>2.6989589580850289E-7</v>
      </c>
      <c r="L102" s="135">
        <f>E102/(Table1123457[[#This Row],[b (mm)]]*AE102)</f>
        <v>2.6785714285714287E-4</v>
      </c>
      <c r="M102" s="135">
        <f>Table1123457[[#This Row],[M (KN.mm)]]/(Table1123457[[#This Row],[b (mm)]]*Table1123457[[#This Row],[d (mm)]])</f>
        <v>1.0848214285714286</v>
      </c>
      <c r="N102" s="135">
        <f>Table1123457[[#This Row],[M (KN.mm)]]/(Table1123457[[#This Row],[b (mm)]]*Table1123457[[#This Row],[h (mm)]])</f>
        <v>1.0296610169491525</v>
      </c>
      <c r="O102" s="145">
        <f>Table1123457[[#This Row],[M (KN.mm)]]/(Table1123457[[#This Row],[b (mm)]]*Table1123457[[#This Row],[h (mm)]]*Table1123457[[#This Row],[L(mm)]])</f>
        <v>1.2711864406779661E-4</v>
      </c>
      <c r="P102" s="145">
        <f>Table1123457[[#This Row],[M (KN.mm)]]/(Table1123457[[#This Row],[b (mm)]]*Table1123457[[#This Row],[d (mm)]]*Table1123457[[#This Row],[L(mm)]])</f>
        <v>1.3392857142857144E-4</v>
      </c>
      <c r="Q102" s="145">
        <f>Table1123457[[#This Row],[M (KN.mm)]]/(Table1123457[[#This Row],[b (mm)]]*Table1123457[[#This Row],[h (mm)]]*Table1123457[[#This Row],[L(mm)]]*Table1123457[[#This Row],[fc (Mpa)]])</f>
        <v>4.5237951625550393E-6</v>
      </c>
      <c r="R102" s="145">
        <f>Table1123457[[#This Row],[M (KN.mm)]]/(Table1123457[[#This Row],[b (mm)]]*Table1123457[[#This Row],[h (mm)]]*Table1123457[[#This Row],[L(mm)]]/2)</f>
        <v>2.5423728813559322E-4</v>
      </c>
      <c r="S102" s="145">
        <f>Table1123457[[#This Row],[M (KN.mm)]]/(Table1123457[[#This Row],[a (mm)]]*Table1123457[[#This Row],[b (mm)]]*Table1123457[[#This Row],[h (mm)]]*Table1123457[[#This Row],[L(mm)]]/2)</f>
        <v>6.277463904582548E-8</v>
      </c>
      <c r="T102" s="145">
        <f>Table1123457[[#This Row],[M (KN.mm)]]/(Table1123457[[#This Row],[a (mm)]]^2*Table1123457[[#This Row],[b (mm)]]*Table1123457[[#This Row],[h (mm)]])</f>
        <v>6.277463904582548E-8</v>
      </c>
      <c r="U102" s="145">
        <f>Table1123457[[#This Row],[M (KN.mm)]]/(Table1123457[[#This Row],[b (mm)]]*Table1123457[[#This Row],[d (mm)]]*Table1123457[[#This Row],[pho (%)]])</f>
        <v>1.3070137693631669</v>
      </c>
      <c r="V102" s="145">
        <f>E102*224.8/(2*SQRT(Table1123457[[#This Row],[fc (Mpa)]]*145.037)*Table1123457[[#This Row],[b (mm)]]*Table1123457[[#This Row],[d (mm)]]*(1/25.4)^2)</f>
        <v>0.30425968586056257</v>
      </c>
      <c r="W102" s="145">
        <f>Table1123457[[#This Row],[M (KN.mm)]]/$G$105</f>
        <v>0.49668874172185429</v>
      </c>
      <c r="X102" s="145">
        <f>Table1123457[[#This Row],[V/(2*sqrt(fc) bd)]]</f>
        <v>0.30425968586056257</v>
      </c>
      <c r="Y102" s="111">
        <f>Table1123457[[#This Row],[a (mm)]]</f>
        <v>4050</v>
      </c>
      <c r="Z102" s="111">
        <f>Table1123457[[#This Row],[width]]*Table1123457[[#This Row],[h]]^2</f>
        <v>652687500</v>
      </c>
      <c r="AA102" s="111">
        <f>Table1123457[[#This Row],[b (mm)]]</f>
        <v>300</v>
      </c>
      <c r="AB102" s="111">
        <f>Table1123457[[#This Row],[a (mm)]]/Table1123457[[#This Row],[h (mm)]]</f>
        <v>2.7457627118644066</v>
      </c>
      <c r="AC102" s="111">
        <f>Table1123457[[#This Row],[h (mm)]]</f>
        <v>1475</v>
      </c>
      <c r="AD102" s="111">
        <v>4050</v>
      </c>
      <c r="AE102" s="111">
        <v>1400</v>
      </c>
      <c r="AF102" s="111">
        <v>1475</v>
      </c>
      <c r="AG102" s="111">
        <v>300</v>
      </c>
      <c r="AH102" s="7">
        <v>28.1</v>
      </c>
      <c r="AI102" s="135">
        <f>Table1123457[[#This Row],[pho (%)]]/100*Table1123457[[#This Row],[b (mm)]]*Table1123457[[#This Row],[h (mm)]]</f>
        <v>3672.7500000000005</v>
      </c>
      <c r="AJ102" s="135">
        <v>0.83</v>
      </c>
      <c r="AK102" s="160">
        <v>525</v>
      </c>
      <c r="AL102" s="135">
        <f>(1/3-0.21*(MIN(Table1123457[[#This Row],[b (mm)]],AF102)/MAX(Table1123457[[#This Row],[b (mm)]],AF102))*(MIN(Table1123457[[#This Row],[b (mm)]],AF102)^4/(12*MAX(Table1123457[[#This Row],[b (mm)]],AF102)^4)))*MAX(Table1123457[[#This Row],[b (mm)]],AF102)*MIN(Table1123457[[#This Row],[b (mm)]],AF102)^3</f>
        <v>13274757428.370747</v>
      </c>
      <c r="AM102" s="135">
        <f>Table1123457[[#This Row],[b (mm)]]*AF102^3/12</f>
        <v>80226171875</v>
      </c>
      <c r="AN102" s="111">
        <v>8100</v>
      </c>
      <c r="AP102" s="107"/>
      <c r="AU102" s="378">
        <v>225</v>
      </c>
      <c r="AV102" s="2">
        <f t="shared" si="9"/>
        <v>112.5</v>
      </c>
    </row>
    <row r="103" spans="1:48" x14ac:dyDescent="0.3">
      <c r="A103" s="253" t="s">
        <v>158</v>
      </c>
      <c r="B103" s="253">
        <v>3</v>
      </c>
      <c r="C103" s="185">
        <v>102</v>
      </c>
      <c r="D103" s="185">
        <f>Table1123457[[#This Row],[a (mm)]]/Table1123457[[#This Row],[d (mm)]]</f>
        <v>2.8928571428571428</v>
      </c>
      <c r="E103" s="254">
        <v>175</v>
      </c>
      <c r="F103" s="137">
        <f>Table1123457[[#This Row],[d (mm)]]</f>
        <v>1400</v>
      </c>
      <c r="G103" s="135">
        <f t="shared" si="15"/>
        <v>708750</v>
      </c>
      <c r="H103" s="135">
        <f t="shared" si="16"/>
        <v>3.3543959134876649E-7</v>
      </c>
      <c r="I103" s="111">
        <f>G103/(Table1123457[[#This Row],[b (mm)]]*Table1123457[[#This Row],[h]]^2)</f>
        <v>1.0858948577994829E-3</v>
      </c>
      <c r="J103" s="135">
        <f t="shared" si="17"/>
        <v>0.26255141631902912</v>
      </c>
      <c r="K103" s="135">
        <f t="shared" si="18"/>
        <v>4.1983806014656003E-7</v>
      </c>
      <c r="L103" s="135">
        <f>E103/(Table1123457[[#This Row],[b (mm)]]*AE103)</f>
        <v>4.1666666666666669E-4</v>
      </c>
      <c r="M103" s="135">
        <f>Table1123457[[#This Row],[M (KN.mm)]]/(Table1123457[[#This Row],[b (mm)]]*Table1123457[[#This Row],[d (mm)]])</f>
        <v>1.6875</v>
      </c>
      <c r="N103" s="135">
        <f>Table1123457[[#This Row],[M (KN.mm)]]/(Table1123457[[#This Row],[b (mm)]]*Table1123457[[#This Row],[h (mm)]])</f>
        <v>1.6016949152542372</v>
      </c>
      <c r="O103" s="145">
        <f>Table1123457[[#This Row],[M (KN.mm)]]/(Table1123457[[#This Row],[b (mm)]]*Table1123457[[#This Row],[h (mm)]]*Table1123457[[#This Row],[L(mm)]])</f>
        <v>1.9774011299435027E-4</v>
      </c>
      <c r="P103" s="145">
        <f>Table1123457[[#This Row],[M (KN.mm)]]/(Table1123457[[#This Row],[b (mm)]]*Table1123457[[#This Row],[d (mm)]]*Table1123457[[#This Row],[L(mm)]])</f>
        <v>2.0833333333333335E-4</v>
      </c>
      <c r="Q103" s="145">
        <f>Table1123457[[#This Row],[M (KN.mm)]]/(Table1123457[[#This Row],[b (mm)]]*Table1123457[[#This Row],[h (mm)]]*Table1123457[[#This Row],[L(mm)]]*Table1123457[[#This Row],[fc (Mpa)]])</f>
        <v>7.0370146973078389E-6</v>
      </c>
      <c r="R103" s="145">
        <f>Table1123457[[#This Row],[M (KN.mm)]]/(Table1123457[[#This Row],[b (mm)]]*Table1123457[[#This Row],[h (mm)]]*Table1123457[[#This Row],[L(mm)]]/2)</f>
        <v>3.9548022598870055E-4</v>
      </c>
      <c r="S103" s="145">
        <f>Table1123457[[#This Row],[M (KN.mm)]]/(Table1123457[[#This Row],[a (mm)]]*Table1123457[[#This Row],[b (mm)]]*Table1123457[[#This Row],[h (mm)]]*Table1123457[[#This Row],[L(mm)]]/2)</f>
        <v>9.7649438515728534E-8</v>
      </c>
      <c r="T103" s="145">
        <f>Table1123457[[#This Row],[M (KN.mm)]]/(Table1123457[[#This Row],[a (mm)]]^2*Table1123457[[#This Row],[b (mm)]]*Table1123457[[#This Row],[h (mm)]])</f>
        <v>9.7649438515728534E-8</v>
      </c>
      <c r="U103" s="145">
        <f>Table1123457[[#This Row],[M (KN.mm)]]/(Table1123457[[#This Row],[b (mm)]]*Table1123457[[#This Row],[d (mm)]]*Table1123457[[#This Row],[pho (%)]])</f>
        <v>2.0331325301204819</v>
      </c>
      <c r="V103" s="145">
        <f>E103*224.8/(2*SQRT(Table1123457[[#This Row],[fc (Mpa)]]*145.037)*Table1123457[[#This Row],[b (mm)]]*Table1123457[[#This Row],[d (mm)]]*(1/25.4)^2)</f>
        <v>0.47329284467198623</v>
      </c>
      <c r="W103" s="145">
        <f>Table1123457[[#This Row],[M (KN.mm)]]/$G$105</f>
        <v>0.77262693156732887</v>
      </c>
      <c r="X103" s="145">
        <f>Table1123457[[#This Row],[V/(2*sqrt(fc) bd)]]</f>
        <v>0.47329284467198623</v>
      </c>
      <c r="Y103" s="111">
        <f>Table1123457[[#This Row],[a (mm)]]</f>
        <v>4050</v>
      </c>
      <c r="Z103" s="111">
        <f>Table1123457[[#This Row],[width]]*Table1123457[[#This Row],[h]]^2</f>
        <v>652687500</v>
      </c>
      <c r="AA103" s="111">
        <f>Table1123457[[#This Row],[b (mm)]]</f>
        <v>300</v>
      </c>
      <c r="AB103" s="111">
        <f>Table1123457[[#This Row],[a (mm)]]/Table1123457[[#This Row],[h (mm)]]</f>
        <v>2.7457627118644066</v>
      </c>
      <c r="AC103" s="111">
        <f>Table1123457[[#This Row],[h (mm)]]</f>
        <v>1475</v>
      </c>
      <c r="AD103" s="111">
        <v>4050</v>
      </c>
      <c r="AE103" s="111">
        <v>1400</v>
      </c>
      <c r="AF103" s="111">
        <v>1475</v>
      </c>
      <c r="AG103" s="111">
        <v>300</v>
      </c>
      <c r="AH103" s="7">
        <v>28.1</v>
      </c>
      <c r="AI103" s="135">
        <f>Table1123457[[#This Row],[pho (%)]]/100*Table1123457[[#This Row],[b (mm)]]*Table1123457[[#This Row],[h (mm)]]</f>
        <v>3672.7500000000005</v>
      </c>
      <c r="AJ103" s="135">
        <v>0.83</v>
      </c>
      <c r="AK103" s="160">
        <v>525</v>
      </c>
      <c r="AL103" s="135">
        <f>(1/3-0.21*(MIN(Table1123457[[#This Row],[b (mm)]],AF103)/MAX(Table1123457[[#This Row],[b (mm)]],AF103))*(MIN(Table1123457[[#This Row],[b (mm)]],AF103)^4/(12*MAX(Table1123457[[#This Row],[b (mm)]],AF103)^4)))*MAX(Table1123457[[#This Row],[b (mm)]],AF103)*MIN(Table1123457[[#This Row],[b (mm)]],AF103)^3</f>
        <v>13274757428.370747</v>
      </c>
      <c r="AM103" s="135">
        <f>Table1123457[[#This Row],[b (mm)]]*AF103^3/12</f>
        <v>80226171875</v>
      </c>
      <c r="AN103" s="111">
        <v>8100</v>
      </c>
      <c r="AP103" s="107"/>
      <c r="AU103" s="378">
        <v>350</v>
      </c>
      <c r="AV103" s="2">
        <f t="shared" si="9"/>
        <v>175</v>
      </c>
    </row>
    <row r="104" spans="1:48" x14ac:dyDescent="0.3">
      <c r="A104" s="253" t="s">
        <v>158</v>
      </c>
      <c r="B104" s="253">
        <v>4</v>
      </c>
      <c r="C104" s="185">
        <v>103</v>
      </c>
      <c r="D104" s="185">
        <f>Table1123457[[#This Row],[a (mm)]]/Table1123457[[#This Row],[d (mm)]]</f>
        <v>2.8928571428571428</v>
      </c>
      <c r="E104" s="254">
        <v>210</v>
      </c>
      <c r="F104" s="137">
        <f>Table1123457[[#This Row],[d (mm)]]</f>
        <v>1400</v>
      </c>
      <c r="G104" s="135">
        <f t="shared" si="15"/>
        <v>850500</v>
      </c>
      <c r="H104" s="135">
        <f t="shared" si="16"/>
        <v>4.0252750961851977E-7</v>
      </c>
      <c r="I104" s="111">
        <f>G104/(Table1123457[[#This Row],[b (mm)]]*Table1123457[[#This Row],[h]]^2)</f>
        <v>1.3030738293593794E-3</v>
      </c>
      <c r="J104" s="135">
        <f t="shared" si="17"/>
        <v>0.31506169958283492</v>
      </c>
      <c r="K104" s="135">
        <f t="shared" si="18"/>
        <v>5.0380567217587208E-7</v>
      </c>
      <c r="L104" s="135">
        <f>E104/(Table1123457[[#This Row],[b (mm)]]*AE104)</f>
        <v>5.0000000000000001E-4</v>
      </c>
      <c r="M104" s="135">
        <f>Table1123457[[#This Row],[M (KN.mm)]]/(Table1123457[[#This Row],[b (mm)]]*Table1123457[[#This Row],[d (mm)]])</f>
        <v>2.0249999999999999</v>
      </c>
      <c r="N104" s="135">
        <f>Table1123457[[#This Row],[M (KN.mm)]]/(Table1123457[[#This Row],[b (mm)]]*Table1123457[[#This Row],[h (mm)]])</f>
        <v>1.9220338983050846</v>
      </c>
      <c r="O104" s="145">
        <f>Table1123457[[#This Row],[M (KN.mm)]]/(Table1123457[[#This Row],[b (mm)]]*Table1123457[[#This Row],[h (mm)]]*Table1123457[[#This Row],[L(mm)]])</f>
        <v>2.3728813559322035E-4</v>
      </c>
      <c r="P104" s="145">
        <f>Table1123457[[#This Row],[M (KN.mm)]]/(Table1123457[[#This Row],[b (mm)]]*Table1123457[[#This Row],[d (mm)]]*Table1123457[[#This Row],[L(mm)]])</f>
        <v>2.5000000000000001E-4</v>
      </c>
      <c r="Q104" s="145">
        <f>Table1123457[[#This Row],[M (KN.mm)]]/(Table1123457[[#This Row],[b (mm)]]*Table1123457[[#This Row],[h (mm)]]*Table1123457[[#This Row],[L(mm)]]*Table1123457[[#This Row],[fc (Mpa)]])</f>
        <v>8.4444176367694066E-6</v>
      </c>
      <c r="R104" s="145">
        <f>Table1123457[[#This Row],[M (KN.mm)]]/(Table1123457[[#This Row],[b (mm)]]*Table1123457[[#This Row],[h (mm)]]*Table1123457[[#This Row],[L(mm)]]/2)</f>
        <v>4.745762711864407E-4</v>
      </c>
      <c r="S104" s="145">
        <f>Table1123457[[#This Row],[M (KN.mm)]]/(Table1123457[[#This Row],[a (mm)]]*Table1123457[[#This Row],[b (mm)]]*Table1123457[[#This Row],[h (mm)]]*Table1123457[[#This Row],[L(mm)]]/2)</f>
        <v>1.1717932621887424E-7</v>
      </c>
      <c r="T104" s="145">
        <f>Table1123457[[#This Row],[M (KN.mm)]]/(Table1123457[[#This Row],[a (mm)]]^2*Table1123457[[#This Row],[b (mm)]]*Table1123457[[#This Row],[h (mm)]])</f>
        <v>1.1717932621887424E-7</v>
      </c>
      <c r="U104" s="145">
        <f>Table1123457[[#This Row],[M (KN.mm)]]/(Table1123457[[#This Row],[b (mm)]]*Table1123457[[#This Row],[d (mm)]]*Table1123457[[#This Row],[pho (%)]])</f>
        <v>2.4397590361445785</v>
      </c>
      <c r="V104" s="145">
        <f>E104*224.8/(2*SQRT(Table1123457[[#This Row],[fc (Mpa)]]*145.037)*Table1123457[[#This Row],[b (mm)]]*Table1123457[[#This Row],[d (mm)]]*(1/25.4)^2)</f>
        <v>0.56795141360638346</v>
      </c>
      <c r="W104" s="145">
        <f>Table1123457[[#This Row],[M (KN.mm)]]/$G$105</f>
        <v>0.92715231788079466</v>
      </c>
      <c r="X104" s="145">
        <f>Table1123457[[#This Row],[V/(2*sqrt(fc) bd)]]</f>
        <v>0.56795141360638346</v>
      </c>
      <c r="Y104" s="111">
        <f>Table1123457[[#This Row],[a (mm)]]</f>
        <v>4050</v>
      </c>
      <c r="Z104" s="111">
        <f>Table1123457[[#This Row],[width]]*Table1123457[[#This Row],[h]]^2</f>
        <v>652687500</v>
      </c>
      <c r="AA104" s="111">
        <f>Table1123457[[#This Row],[b (mm)]]</f>
        <v>300</v>
      </c>
      <c r="AB104" s="111">
        <f>Table1123457[[#This Row],[a (mm)]]/Table1123457[[#This Row],[h (mm)]]</f>
        <v>2.7457627118644066</v>
      </c>
      <c r="AC104" s="111">
        <f>Table1123457[[#This Row],[h (mm)]]</f>
        <v>1475</v>
      </c>
      <c r="AD104" s="111">
        <v>4050</v>
      </c>
      <c r="AE104" s="111">
        <v>1400</v>
      </c>
      <c r="AF104" s="111">
        <v>1475</v>
      </c>
      <c r="AG104" s="111">
        <v>300</v>
      </c>
      <c r="AH104" s="7">
        <v>28.1</v>
      </c>
      <c r="AI104" s="135">
        <f>Table1123457[[#This Row],[pho (%)]]/100*Table1123457[[#This Row],[b (mm)]]*Table1123457[[#This Row],[h (mm)]]</f>
        <v>3672.7500000000005</v>
      </c>
      <c r="AJ104" s="135">
        <v>0.83</v>
      </c>
      <c r="AK104" s="160">
        <v>525</v>
      </c>
      <c r="AL104" s="135">
        <f>(1/3-0.21*(MIN(Table1123457[[#This Row],[b (mm)]],AF104)/MAX(Table1123457[[#This Row],[b (mm)]],AF104))*(MIN(Table1123457[[#This Row],[b (mm)]],AF104)^4/(12*MAX(Table1123457[[#This Row],[b (mm)]],AF104)^4)))*MAX(Table1123457[[#This Row],[b (mm)]],AF104)*MIN(Table1123457[[#This Row],[b (mm)]],AF104)^3</f>
        <v>13274757428.370747</v>
      </c>
      <c r="AM104" s="135">
        <f>Table1123457[[#This Row],[b (mm)]]*AF104^3/12</f>
        <v>80226171875</v>
      </c>
      <c r="AN104" s="111">
        <v>8100</v>
      </c>
      <c r="AP104" s="107"/>
      <c r="AU104" s="378">
        <v>420</v>
      </c>
      <c r="AV104" s="2">
        <f t="shared" si="9"/>
        <v>210</v>
      </c>
    </row>
    <row r="105" spans="1:48" x14ac:dyDescent="0.3">
      <c r="A105" s="253" t="s">
        <v>158</v>
      </c>
      <c r="B105" s="253" t="s">
        <v>142</v>
      </c>
      <c r="C105" s="185">
        <v>104</v>
      </c>
      <c r="D105" s="185">
        <f>Table1123457[[#This Row],[a (mm)]]/Table1123457[[#This Row],[d (mm)]]</f>
        <v>2.8928571428571428</v>
      </c>
      <c r="E105" s="254">
        <v>226.5</v>
      </c>
      <c r="F105" s="137">
        <f>Table1123457[[#This Row],[d (mm)]]</f>
        <v>1400</v>
      </c>
      <c r="G105" s="135">
        <f t="shared" si="15"/>
        <v>917325</v>
      </c>
      <c r="H105" s="135">
        <f t="shared" si="16"/>
        <v>4.3415467108854635E-7</v>
      </c>
      <c r="I105" s="111">
        <f>G105/(Table1123457[[#This Row],[b (mm)]]*Table1123457[[#This Row],[h]]^2)</f>
        <v>1.4054582016661879E-3</v>
      </c>
      <c r="J105" s="135">
        <f t="shared" si="17"/>
        <v>0.33981654740720052</v>
      </c>
      <c r="K105" s="135">
        <f t="shared" si="18"/>
        <v>5.4339040356111918E-7</v>
      </c>
      <c r="L105" s="135">
        <f>E105/(Table1123457[[#This Row],[b (mm)]]*AE105)</f>
        <v>5.3928571428571426E-4</v>
      </c>
      <c r="M105" s="135">
        <f>Table1123457[[#This Row],[M (KN.mm)]]/(Table1123457[[#This Row],[b (mm)]]*Table1123457[[#This Row],[d (mm)]])</f>
        <v>2.184107142857143</v>
      </c>
      <c r="N105" s="135">
        <f>Table1123457[[#This Row],[M (KN.mm)]]/(Table1123457[[#This Row],[b (mm)]]*Table1123457[[#This Row],[h (mm)]])</f>
        <v>2.073050847457627</v>
      </c>
      <c r="O105" s="145">
        <f>Table1123457[[#This Row],[M (KN.mm)]]/(Table1123457[[#This Row],[b (mm)]]*Table1123457[[#This Row],[h (mm)]]*Table1123457[[#This Row],[L(mm)]])</f>
        <v>2.5593220338983053E-4</v>
      </c>
      <c r="P105" s="145">
        <f>Table1123457[[#This Row],[M (KN.mm)]]/(Table1123457[[#This Row],[b (mm)]]*Table1123457[[#This Row],[d (mm)]]*Table1123457[[#This Row],[L(mm)]])</f>
        <v>2.6964285714285713E-4</v>
      </c>
      <c r="Q105" s="145">
        <f>Table1123457[[#This Row],[M (KN.mm)]]/(Table1123457[[#This Row],[b (mm)]]*Table1123457[[#This Row],[h (mm)]]*Table1123457[[#This Row],[L(mm)]]*Table1123457[[#This Row],[fc (Mpa)]])</f>
        <v>9.1079075939441465E-6</v>
      </c>
      <c r="R105" s="145">
        <f>Table1123457[[#This Row],[M (KN.mm)]]/(Table1123457[[#This Row],[b (mm)]]*Table1123457[[#This Row],[h (mm)]]*Table1123457[[#This Row],[L(mm)]]/2)</f>
        <v>5.1186440677966107E-4</v>
      </c>
      <c r="S105" s="145">
        <f>Table1123457[[#This Row],[M (KN.mm)]]/(Table1123457[[#This Row],[a (mm)]]*Table1123457[[#This Row],[b (mm)]]*Table1123457[[#This Row],[h (mm)]]*Table1123457[[#This Row],[L(mm)]]/2)</f>
        <v>1.2638627327892865E-7</v>
      </c>
      <c r="T105" s="145">
        <f>Table1123457[[#This Row],[M (KN.mm)]]/(Table1123457[[#This Row],[a (mm)]]^2*Table1123457[[#This Row],[b (mm)]]*Table1123457[[#This Row],[h (mm)]])</f>
        <v>1.2638627327892865E-7</v>
      </c>
      <c r="U105" s="145">
        <f>Table1123457[[#This Row],[M (KN.mm)]]/(Table1123457[[#This Row],[b (mm)]]*Table1123457[[#This Row],[d (mm)]]*Table1123457[[#This Row],[pho (%)]])</f>
        <v>2.6314543889845097</v>
      </c>
      <c r="V105" s="145">
        <f>E105*224.8/(2*SQRT(Table1123457[[#This Row],[fc (Mpa)]]*145.037)*Table1123457[[#This Row],[b (mm)]]*Table1123457[[#This Row],[d (mm)]]*(1/25.4)^2)</f>
        <v>0.61257616753259936</v>
      </c>
      <c r="W105" s="145">
        <f>Table1123457[[#This Row],[M (KN.mm)]]/$G$105</f>
        <v>1</v>
      </c>
      <c r="X105" s="145">
        <f>Table1123457[[#This Row],[V/(2*sqrt(fc) bd)]]</f>
        <v>0.61257616753259936</v>
      </c>
      <c r="Y105" s="111">
        <f>Table1123457[[#This Row],[a (mm)]]</f>
        <v>4050</v>
      </c>
      <c r="Z105" s="111">
        <f>Table1123457[[#This Row],[width]]*Table1123457[[#This Row],[h]]^2</f>
        <v>652687500</v>
      </c>
      <c r="AA105" s="111">
        <f>Table1123457[[#This Row],[b (mm)]]</f>
        <v>300</v>
      </c>
      <c r="AB105" s="111">
        <f>Table1123457[[#This Row],[a (mm)]]/Table1123457[[#This Row],[h (mm)]]</f>
        <v>2.7457627118644066</v>
      </c>
      <c r="AC105" s="111">
        <f>Table1123457[[#This Row],[h (mm)]]</f>
        <v>1475</v>
      </c>
      <c r="AD105" s="111">
        <v>4050</v>
      </c>
      <c r="AE105" s="111">
        <v>1400</v>
      </c>
      <c r="AF105" s="111">
        <v>1475</v>
      </c>
      <c r="AG105" s="111">
        <v>300</v>
      </c>
      <c r="AH105" s="7">
        <v>28.1</v>
      </c>
      <c r="AI105" s="135">
        <f>Table1123457[[#This Row],[pho (%)]]/100*Table1123457[[#This Row],[b (mm)]]*Table1123457[[#This Row],[h (mm)]]</f>
        <v>3672.7500000000005</v>
      </c>
      <c r="AJ105" s="135">
        <v>0.83</v>
      </c>
      <c r="AK105" s="160">
        <v>525</v>
      </c>
      <c r="AL105" s="135">
        <f>(1/3-0.21*(MIN(Table1123457[[#This Row],[b (mm)]],AF105)/MAX(Table1123457[[#This Row],[b (mm)]],AF105))*(MIN(Table1123457[[#This Row],[b (mm)]],AF105)^4/(12*MAX(Table1123457[[#This Row],[b (mm)]],AF105)^4)))*MAX(Table1123457[[#This Row],[b (mm)]],AF105)*MIN(Table1123457[[#This Row],[b (mm)]],AF105)^3</f>
        <v>13274757428.370747</v>
      </c>
      <c r="AM105" s="135">
        <f>Table1123457[[#This Row],[b (mm)]]*AF105^3/12</f>
        <v>80226171875</v>
      </c>
      <c r="AN105" s="111">
        <v>8100</v>
      </c>
      <c r="AP105" s="107"/>
      <c r="AU105" s="378">
        <v>453</v>
      </c>
      <c r="AV105" s="2">
        <f t="shared" si="9"/>
        <v>226.5</v>
      </c>
    </row>
    <row r="106" spans="1:48" x14ac:dyDescent="0.3">
      <c r="A106" s="255" t="s">
        <v>159</v>
      </c>
      <c r="B106" s="255">
        <v>1</v>
      </c>
      <c r="C106" s="185">
        <v>105</v>
      </c>
      <c r="D106" s="185">
        <f>Table1123457[[#This Row],[a (mm)]]/Table1123457[[#This Row],[d (mm)]]</f>
        <v>2.8928571428571428</v>
      </c>
      <c r="E106" s="256">
        <v>62.5</v>
      </c>
      <c r="F106" s="137">
        <f>Table1123457[[#This Row],[d (mm)]]</f>
        <v>1400</v>
      </c>
      <c r="G106" s="135">
        <f t="shared" si="15"/>
        <v>253125</v>
      </c>
      <c r="H106" s="135">
        <f t="shared" si="16"/>
        <v>1.1979985405313088E-7</v>
      </c>
      <c r="I106" s="111">
        <f>G106/(Table1123457[[#This Row],[b (mm)]]*Table1123457[[#This Row],[h]]^2)</f>
        <v>3.8781959207124389E-4</v>
      </c>
      <c r="J106" s="135">
        <f t="shared" si="17"/>
        <v>9.376836297108182E-2</v>
      </c>
      <c r="K106" s="135">
        <f t="shared" si="18"/>
        <v>1.4994216433805717E-7</v>
      </c>
      <c r="L106" s="135">
        <f>E106/(Table1123457[[#This Row],[b (mm)]]*AE106)</f>
        <v>1.4880952380952382E-4</v>
      </c>
      <c r="M106" s="135">
        <f>Table1123457[[#This Row],[M (KN.mm)]]/(Table1123457[[#This Row],[b (mm)]]*Table1123457[[#This Row],[d (mm)]])</f>
        <v>0.6026785714285714</v>
      </c>
      <c r="N106" s="135">
        <f>Table1123457[[#This Row],[M (KN.mm)]]/(Table1123457[[#This Row],[b (mm)]]*Table1123457[[#This Row],[h (mm)]])</f>
        <v>0.57203389830508478</v>
      </c>
      <c r="O106" s="145">
        <f>Table1123457[[#This Row],[M (KN.mm)]]/(Table1123457[[#This Row],[b (mm)]]*Table1123457[[#This Row],[h (mm)]]*Table1123457[[#This Row],[L(mm)]])</f>
        <v>7.0621468926553675E-5</v>
      </c>
      <c r="P106" s="145">
        <f>Table1123457[[#This Row],[M (KN.mm)]]/(Table1123457[[#This Row],[b (mm)]]*Table1123457[[#This Row],[d (mm)]]*Table1123457[[#This Row],[L(mm)]])</f>
        <v>7.4404761904761911E-5</v>
      </c>
      <c r="Q106" s="145">
        <f>Table1123457[[#This Row],[M (KN.mm)]]/(Table1123457[[#This Row],[b (mm)]]*Table1123457[[#This Row],[h (mm)]]*Table1123457[[#This Row],[L(mm)]]*Table1123457[[#This Row],[fc (Mpa)]])</f>
        <v>2.4779462781246904E-6</v>
      </c>
      <c r="R106" s="145">
        <f>Table1123457[[#This Row],[M (KN.mm)]]/(Table1123457[[#This Row],[b (mm)]]*Table1123457[[#This Row],[h (mm)]]*Table1123457[[#This Row],[L(mm)]]/2)</f>
        <v>1.4124293785310735E-4</v>
      </c>
      <c r="S106" s="145">
        <f>Table1123457[[#This Row],[M (KN.mm)]]/(Table1123457[[#This Row],[a (mm)]]*Table1123457[[#This Row],[b (mm)]]*Table1123457[[#This Row],[h (mm)]]*Table1123457[[#This Row],[L(mm)]]/2)</f>
        <v>3.4874799469903047E-8</v>
      </c>
      <c r="T106" s="145">
        <f>Table1123457[[#This Row],[M (KN.mm)]]/(Table1123457[[#This Row],[a (mm)]]^2*Table1123457[[#This Row],[b (mm)]]*Table1123457[[#This Row],[h (mm)]])</f>
        <v>3.4874799469903047E-8</v>
      </c>
      <c r="U106" s="145">
        <f>Table1123457[[#This Row],[M (KN.mm)]]/(Table1123457[[#This Row],[b (mm)]]*Table1123457[[#This Row],[d (mm)]]*Table1123457[[#This Row],[pho (%)]])</f>
        <v>0.72611876075731496</v>
      </c>
      <c r="V106" s="145">
        <f>E106*224.8/(2*SQRT(Table1123457[[#This Row],[fc (Mpa)]]*145.037)*Table1123457[[#This Row],[b (mm)]]*Table1123457[[#This Row],[d (mm)]]*(1/25.4)^2)</f>
        <v>0.16784276964241829</v>
      </c>
      <c r="W106" s="145">
        <f>Table1123457[[#This Row],[M (KN.mm)]]/$G$112</f>
        <v>0.22935779816513763</v>
      </c>
      <c r="X106" s="145">
        <f>Table1123457[[#This Row],[V/(2*sqrt(fc) bd)]]</f>
        <v>0.16784276964241829</v>
      </c>
      <c r="Y106" s="111">
        <f>Table1123457[[#This Row],[a (mm)]]</f>
        <v>4050</v>
      </c>
      <c r="Z106" s="111">
        <f>Table1123457[[#This Row],[width]]*Table1123457[[#This Row],[h]]^2</f>
        <v>652687500</v>
      </c>
      <c r="AA106" s="111">
        <f>Table1123457[[#This Row],[b (mm)]]</f>
        <v>300</v>
      </c>
      <c r="AB106" s="111">
        <f>Table1123457[[#This Row],[a (mm)]]/Table1123457[[#This Row],[h (mm)]]</f>
        <v>2.7457627118644066</v>
      </c>
      <c r="AC106" s="111">
        <f>Table1123457[[#This Row],[h (mm)]]</f>
        <v>1475</v>
      </c>
      <c r="AD106" s="111">
        <v>4050</v>
      </c>
      <c r="AE106" s="111">
        <v>1400</v>
      </c>
      <c r="AF106" s="111">
        <v>1475</v>
      </c>
      <c r="AG106" s="111">
        <v>300</v>
      </c>
      <c r="AH106" s="7">
        <v>28.5</v>
      </c>
      <c r="AI106" s="135">
        <f>Table1123457[[#This Row],[pho (%)]]/100*Table1123457[[#This Row],[b (mm)]]*Table1123457[[#This Row],[h (mm)]]</f>
        <v>3672.7500000000005</v>
      </c>
      <c r="AJ106" s="135">
        <v>0.83</v>
      </c>
      <c r="AK106" s="160">
        <v>525</v>
      </c>
      <c r="AL106" s="135">
        <f>(1/3-0.21*(MIN(Table1123457[[#This Row],[b (mm)]],AF106)/MAX(Table1123457[[#This Row],[b (mm)]],AF106))*(MIN(Table1123457[[#This Row],[b (mm)]],AF106)^4/(12*MAX(Table1123457[[#This Row],[b (mm)]],AF106)^4)))*MAX(Table1123457[[#This Row],[b (mm)]],AF106)*MIN(Table1123457[[#This Row],[b (mm)]],AF106)^3</f>
        <v>13274757428.370747</v>
      </c>
      <c r="AM106" s="135">
        <f>Table1123457[[#This Row],[b (mm)]]*AF106^3/12</f>
        <v>80226171875</v>
      </c>
      <c r="AN106" s="111">
        <v>8100</v>
      </c>
      <c r="AP106" s="107"/>
      <c r="AU106" s="379">
        <v>125</v>
      </c>
      <c r="AV106" s="2">
        <f t="shared" si="9"/>
        <v>62.5</v>
      </c>
    </row>
    <row r="107" spans="1:48" x14ac:dyDescent="0.3">
      <c r="A107" s="255" t="s">
        <v>159</v>
      </c>
      <c r="B107" s="255">
        <v>2</v>
      </c>
      <c r="C107" s="185">
        <v>106</v>
      </c>
      <c r="D107" s="185">
        <f>Table1123457[[#This Row],[a (mm)]]/Table1123457[[#This Row],[d (mm)]]</f>
        <v>2.8928571428571428</v>
      </c>
      <c r="E107" s="256">
        <v>112.5</v>
      </c>
      <c r="F107" s="137">
        <f>Table1123457[[#This Row],[d (mm)]]</f>
        <v>1400</v>
      </c>
      <c r="G107" s="135">
        <f t="shared" si="15"/>
        <v>455625</v>
      </c>
      <c r="H107" s="135">
        <f t="shared" si="16"/>
        <v>2.1563973729563561E-7</v>
      </c>
      <c r="I107" s="111">
        <f>G107/(Table1123457[[#This Row],[b (mm)]]*Table1123457[[#This Row],[h]]^2)</f>
        <v>6.9807526572823904E-4</v>
      </c>
      <c r="J107" s="135">
        <f t="shared" si="17"/>
        <v>0.16878305334794727</v>
      </c>
      <c r="K107" s="135">
        <f t="shared" si="18"/>
        <v>2.6989589580850289E-7</v>
      </c>
      <c r="L107" s="135">
        <f>E107/(Table1123457[[#This Row],[b (mm)]]*AE107)</f>
        <v>2.6785714285714287E-4</v>
      </c>
      <c r="M107" s="135">
        <f>Table1123457[[#This Row],[M (KN.mm)]]/(Table1123457[[#This Row],[b (mm)]]*Table1123457[[#This Row],[d (mm)]])</f>
        <v>1.0848214285714286</v>
      </c>
      <c r="N107" s="135">
        <f>Table1123457[[#This Row],[M (KN.mm)]]/(Table1123457[[#This Row],[b (mm)]]*Table1123457[[#This Row],[h (mm)]])</f>
        <v>1.0296610169491525</v>
      </c>
      <c r="O107" s="145">
        <f>Table1123457[[#This Row],[M (KN.mm)]]/(Table1123457[[#This Row],[b (mm)]]*Table1123457[[#This Row],[h (mm)]]*Table1123457[[#This Row],[L(mm)]])</f>
        <v>1.2711864406779661E-4</v>
      </c>
      <c r="P107" s="145">
        <f>Table1123457[[#This Row],[M (KN.mm)]]/(Table1123457[[#This Row],[b (mm)]]*Table1123457[[#This Row],[d (mm)]]*Table1123457[[#This Row],[L(mm)]])</f>
        <v>1.3392857142857144E-4</v>
      </c>
      <c r="Q107" s="145">
        <f>Table1123457[[#This Row],[M (KN.mm)]]/(Table1123457[[#This Row],[b (mm)]]*Table1123457[[#This Row],[h (mm)]]*Table1123457[[#This Row],[L(mm)]]*Table1123457[[#This Row],[fc (Mpa)]])</f>
        <v>4.4603033006244428E-6</v>
      </c>
      <c r="R107" s="145">
        <f>Table1123457[[#This Row],[M (KN.mm)]]/(Table1123457[[#This Row],[b (mm)]]*Table1123457[[#This Row],[h (mm)]]*Table1123457[[#This Row],[L(mm)]]/2)</f>
        <v>2.5423728813559322E-4</v>
      </c>
      <c r="S107" s="145">
        <f>Table1123457[[#This Row],[M (KN.mm)]]/(Table1123457[[#This Row],[a (mm)]]*Table1123457[[#This Row],[b (mm)]]*Table1123457[[#This Row],[h (mm)]]*Table1123457[[#This Row],[L(mm)]]/2)</f>
        <v>6.277463904582548E-8</v>
      </c>
      <c r="T107" s="145">
        <f>Table1123457[[#This Row],[M (KN.mm)]]/(Table1123457[[#This Row],[a (mm)]]^2*Table1123457[[#This Row],[b (mm)]]*Table1123457[[#This Row],[h (mm)]])</f>
        <v>6.277463904582548E-8</v>
      </c>
      <c r="U107" s="145">
        <f>Table1123457[[#This Row],[M (KN.mm)]]/(Table1123457[[#This Row],[b (mm)]]*Table1123457[[#This Row],[d (mm)]]*Table1123457[[#This Row],[pho (%)]])</f>
        <v>1.3070137693631669</v>
      </c>
      <c r="V107" s="145">
        <f>E107*224.8/(2*SQRT(Table1123457[[#This Row],[fc (Mpa)]]*145.037)*Table1123457[[#This Row],[b (mm)]]*Table1123457[[#This Row],[d (mm)]]*(1/25.4)^2)</f>
        <v>0.30211698535635295</v>
      </c>
      <c r="W107" s="145">
        <f>Table1123457[[#This Row],[M (KN.mm)]]/$G$112</f>
        <v>0.41284403669724773</v>
      </c>
      <c r="X107" s="145">
        <f>Table1123457[[#This Row],[V/(2*sqrt(fc) bd)]]</f>
        <v>0.30211698535635295</v>
      </c>
      <c r="Y107" s="111">
        <f>Table1123457[[#This Row],[a (mm)]]</f>
        <v>4050</v>
      </c>
      <c r="Z107" s="111">
        <f>Table1123457[[#This Row],[width]]*Table1123457[[#This Row],[h]]^2</f>
        <v>652687500</v>
      </c>
      <c r="AA107" s="111">
        <f>Table1123457[[#This Row],[b (mm)]]</f>
        <v>300</v>
      </c>
      <c r="AB107" s="111">
        <f>Table1123457[[#This Row],[a (mm)]]/Table1123457[[#This Row],[h (mm)]]</f>
        <v>2.7457627118644066</v>
      </c>
      <c r="AC107" s="111">
        <f>Table1123457[[#This Row],[h (mm)]]</f>
        <v>1475</v>
      </c>
      <c r="AD107" s="111">
        <v>4050</v>
      </c>
      <c r="AE107" s="111">
        <v>1400</v>
      </c>
      <c r="AF107" s="111">
        <v>1475</v>
      </c>
      <c r="AG107" s="111">
        <v>300</v>
      </c>
      <c r="AH107" s="7">
        <v>28.5</v>
      </c>
      <c r="AI107" s="135">
        <f>Table1123457[[#This Row],[pho (%)]]/100*Table1123457[[#This Row],[b (mm)]]*Table1123457[[#This Row],[h (mm)]]</f>
        <v>3672.7500000000005</v>
      </c>
      <c r="AJ107" s="135">
        <v>0.83</v>
      </c>
      <c r="AK107" s="160">
        <v>525</v>
      </c>
      <c r="AL107" s="135">
        <f>(1/3-0.21*(MIN(Table1123457[[#This Row],[b (mm)]],AF107)/MAX(Table1123457[[#This Row],[b (mm)]],AF107))*(MIN(Table1123457[[#This Row],[b (mm)]],AF107)^4/(12*MAX(Table1123457[[#This Row],[b (mm)]],AF107)^4)))*MAX(Table1123457[[#This Row],[b (mm)]],AF107)*MIN(Table1123457[[#This Row],[b (mm)]],AF107)^3</f>
        <v>13274757428.370747</v>
      </c>
      <c r="AM107" s="135">
        <f>Table1123457[[#This Row],[b (mm)]]*AF107^3/12</f>
        <v>80226171875</v>
      </c>
      <c r="AN107" s="111">
        <v>8100</v>
      </c>
      <c r="AP107" s="107"/>
      <c r="AU107" s="379">
        <v>225</v>
      </c>
      <c r="AV107" s="2">
        <f t="shared" si="9"/>
        <v>112.5</v>
      </c>
    </row>
    <row r="108" spans="1:48" x14ac:dyDescent="0.3">
      <c r="A108" s="255" t="s">
        <v>159</v>
      </c>
      <c r="B108" s="255">
        <v>3</v>
      </c>
      <c r="C108" s="185">
        <v>107</v>
      </c>
      <c r="D108" s="185">
        <f>Table1123457[[#This Row],[a (mm)]]/Table1123457[[#This Row],[d (mm)]]</f>
        <v>2.8928571428571428</v>
      </c>
      <c r="E108" s="256">
        <v>175</v>
      </c>
      <c r="F108" s="137">
        <f>Table1123457[[#This Row],[d (mm)]]</f>
        <v>1400</v>
      </c>
      <c r="G108" s="135">
        <f t="shared" si="15"/>
        <v>708750</v>
      </c>
      <c r="H108" s="135">
        <f t="shared" si="16"/>
        <v>3.3543959134876649E-7</v>
      </c>
      <c r="I108" s="111">
        <f>G108/(Table1123457[[#This Row],[b (mm)]]*Table1123457[[#This Row],[h]]^2)</f>
        <v>1.0858948577994829E-3</v>
      </c>
      <c r="J108" s="135">
        <f t="shared" si="17"/>
        <v>0.26255141631902912</v>
      </c>
      <c r="K108" s="135">
        <f t="shared" si="18"/>
        <v>4.1983806014656003E-7</v>
      </c>
      <c r="L108" s="135">
        <f>E108/(Table1123457[[#This Row],[b (mm)]]*AE108)</f>
        <v>4.1666666666666669E-4</v>
      </c>
      <c r="M108" s="135">
        <f>Table1123457[[#This Row],[M (KN.mm)]]/(Table1123457[[#This Row],[b (mm)]]*Table1123457[[#This Row],[d (mm)]])</f>
        <v>1.6875</v>
      </c>
      <c r="N108" s="135">
        <f>Table1123457[[#This Row],[M (KN.mm)]]/(Table1123457[[#This Row],[b (mm)]]*Table1123457[[#This Row],[h (mm)]])</f>
        <v>1.6016949152542372</v>
      </c>
      <c r="O108" s="145">
        <f>Table1123457[[#This Row],[M (KN.mm)]]/(Table1123457[[#This Row],[b (mm)]]*Table1123457[[#This Row],[h (mm)]]*Table1123457[[#This Row],[L(mm)]])</f>
        <v>1.9774011299435027E-4</v>
      </c>
      <c r="P108" s="145">
        <f>Table1123457[[#This Row],[M (KN.mm)]]/(Table1123457[[#This Row],[b (mm)]]*Table1123457[[#This Row],[d (mm)]]*Table1123457[[#This Row],[L(mm)]])</f>
        <v>2.0833333333333335E-4</v>
      </c>
      <c r="Q108" s="145">
        <f>Table1123457[[#This Row],[M (KN.mm)]]/(Table1123457[[#This Row],[b (mm)]]*Table1123457[[#This Row],[h (mm)]]*Table1123457[[#This Row],[L(mm)]]*Table1123457[[#This Row],[fc (Mpa)]])</f>
        <v>6.9382495787491329E-6</v>
      </c>
      <c r="R108" s="145">
        <f>Table1123457[[#This Row],[M (KN.mm)]]/(Table1123457[[#This Row],[b (mm)]]*Table1123457[[#This Row],[h (mm)]]*Table1123457[[#This Row],[L(mm)]]/2)</f>
        <v>3.9548022598870055E-4</v>
      </c>
      <c r="S108" s="145">
        <f>Table1123457[[#This Row],[M (KN.mm)]]/(Table1123457[[#This Row],[a (mm)]]*Table1123457[[#This Row],[b (mm)]]*Table1123457[[#This Row],[h (mm)]]*Table1123457[[#This Row],[L(mm)]]/2)</f>
        <v>9.7649438515728534E-8</v>
      </c>
      <c r="T108" s="145">
        <f>Table1123457[[#This Row],[M (KN.mm)]]/(Table1123457[[#This Row],[a (mm)]]^2*Table1123457[[#This Row],[b (mm)]]*Table1123457[[#This Row],[h (mm)]])</f>
        <v>9.7649438515728534E-8</v>
      </c>
      <c r="U108" s="145">
        <f>Table1123457[[#This Row],[M (KN.mm)]]/(Table1123457[[#This Row],[b (mm)]]*Table1123457[[#This Row],[d (mm)]]*Table1123457[[#This Row],[pho (%)]])</f>
        <v>2.0331325301204819</v>
      </c>
      <c r="V108" s="145">
        <f>E108*224.8/(2*SQRT(Table1123457[[#This Row],[fc (Mpa)]]*145.037)*Table1123457[[#This Row],[b (mm)]]*Table1123457[[#This Row],[d (mm)]]*(1/25.4)^2)</f>
        <v>0.46995975499877124</v>
      </c>
      <c r="W108" s="145">
        <f>Table1123457[[#This Row],[M (KN.mm)]]/$G$112</f>
        <v>0.64220183486238536</v>
      </c>
      <c r="X108" s="145">
        <f>Table1123457[[#This Row],[V/(2*sqrt(fc) bd)]]</f>
        <v>0.46995975499877124</v>
      </c>
      <c r="Y108" s="111">
        <f>Table1123457[[#This Row],[a (mm)]]</f>
        <v>4050</v>
      </c>
      <c r="Z108" s="111">
        <f>Table1123457[[#This Row],[width]]*Table1123457[[#This Row],[h]]^2</f>
        <v>652687500</v>
      </c>
      <c r="AA108" s="111">
        <f>Table1123457[[#This Row],[b (mm)]]</f>
        <v>300</v>
      </c>
      <c r="AB108" s="111">
        <f>Table1123457[[#This Row],[a (mm)]]/Table1123457[[#This Row],[h (mm)]]</f>
        <v>2.7457627118644066</v>
      </c>
      <c r="AC108" s="111">
        <f>Table1123457[[#This Row],[h (mm)]]</f>
        <v>1475</v>
      </c>
      <c r="AD108" s="111">
        <v>4050</v>
      </c>
      <c r="AE108" s="111">
        <v>1400</v>
      </c>
      <c r="AF108" s="111">
        <v>1475</v>
      </c>
      <c r="AG108" s="111">
        <v>300</v>
      </c>
      <c r="AH108" s="7">
        <v>28.5</v>
      </c>
      <c r="AI108" s="135">
        <f>Table1123457[[#This Row],[pho (%)]]/100*Table1123457[[#This Row],[b (mm)]]*Table1123457[[#This Row],[h (mm)]]</f>
        <v>3672.7500000000005</v>
      </c>
      <c r="AJ108" s="135">
        <v>0.83</v>
      </c>
      <c r="AK108" s="160">
        <v>525</v>
      </c>
      <c r="AL108" s="135">
        <f>(1/3-0.21*(MIN(Table1123457[[#This Row],[b (mm)]],AF108)/MAX(Table1123457[[#This Row],[b (mm)]],AF108))*(MIN(Table1123457[[#This Row],[b (mm)]],AF108)^4/(12*MAX(Table1123457[[#This Row],[b (mm)]],AF108)^4)))*MAX(Table1123457[[#This Row],[b (mm)]],AF108)*MIN(Table1123457[[#This Row],[b (mm)]],AF108)^3</f>
        <v>13274757428.370747</v>
      </c>
      <c r="AM108" s="135">
        <f>Table1123457[[#This Row],[b (mm)]]*AF108^3/12</f>
        <v>80226171875</v>
      </c>
      <c r="AN108" s="111">
        <v>8100</v>
      </c>
      <c r="AP108" s="107"/>
      <c r="AU108" s="379">
        <v>350</v>
      </c>
      <c r="AV108" s="2">
        <f t="shared" si="9"/>
        <v>175</v>
      </c>
    </row>
    <row r="109" spans="1:48" x14ac:dyDescent="0.3">
      <c r="A109" s="255" t="s">
        <v>159</v>
      </c>
      <c r="B109" s="255">
        <v>4</v>
      </c>
      <c r="C109" s="185">
        <v>108</v>
      </c>
      <c r="D109" s="185">
        <f>Table1123457[[#This Row],[a (mm)]]/Table1123457[[#This Row],[d (mm)]]</f>
        <v>2.8928571428571428</v>
      </c>
      <c r="E109" s="256">
        <v>210</v>
      </c>
      <c r="F109" s="137">
        <f>Table1123457[[#This Row],[d (mm)]]</f>
        <v>1400</v>
      </c>
      <c r="G109" s="135">
        <f t="shared" si="15"/>
        <v>850500</v>
      </c>
      <c r="H109" s="135">
        <f t="shared" si="16"/>
        <v>4.0252750961851977E-7</v>
      </c>
      <c r="I109" s="111">
        <f>G109/(Table1123457[[#This Row],[b (mm)]]*Table1123457[[#This Row],[h]]^2)</f>
        <v>1.3030738293593794E-3</v>
      </c>
      <c r="J109" s="135">
        <f t="shared" si="17"/>
        <v>0.31506169958283492</v>
      </c>
      <c r="K109" s="135">
        <f t="shared" si="18"/>
        <v>5.0380567217587208E-7</v>
      </c>
      <c r="L109" s="135">
        <f>E109/(Table1123457[[#This Row],[b (mm)]]*AE109)</f>
        <v>5.0000000000000001E-4</v>
      </c>
      <c r="M109" s="135">
        <f>Table1123457[[#This Row],[M (KN.mm)]]/(Table1123457[[#This Row],[b (mm)]]*Table1123457[[#This Row],[d (mm)]])</f>
        <v>2.0249999999999999</v>
      </c>
      <c r="N109" s="135">
        <f>Table1123457[[#This Row],[M (KN.mm)]]/(Table1123457[[#This Row],[b (mm)]]*Table1123457[[#This Row],[h (mm)]])</f>
        <v>1.9220338983050846</v>
      </c>
      <c r="O109" s="145">
        <f>Table1123457[[#This Row],[M (KN.mm)]]/(Table1123457[[#This Row],[b (mm)]]*Table1123457[[#This Row],[h (mm)]]*Table1123457[[#This Row],[L(mm)]])</f>
        <v>2.3728813559322035E-4</v>
      </c>
      <c r="P109" s="145">
        <f>Table1123457[[#This Row],[M (KN.mm)]]/(Table1123457[[#This Row],[b (mm)]]*Table1123457[[#This Row],[d (mm)]]*Table1123457[[#This Row],[L(mm)]])</f>
        <v>2.5000000000000001E-4</v>
      </c>
      <c r="Q109" s="145">
        <f>Table1123457[[#This Row],[M (KN.mm)]]/(Table1123457[[#This Row],[b (mm)]]*Table1123457[[#This Row],[h (mm)]]*Table1123457[[#This Row],[L(mm)]]*Table1123457[[#This Row],[fc (Mpa)]])</f>
        <v>8.3258994944989594E-6</v>
      </c>
      <c r="R109" s="145">
        <f>Table1123457[[#This Row],[M (KN.mm)]]/(Table1123457[[#This Row],[b (mm)]]*Table1123457[[#This Row],[h (mm)]]*Table1123457[[#This Row],[L(mm)]]/2)</f>
        <v>4.745762711864407E-4</v>
      </c>
      <c r="S109" s="145">
        <f>Table1123457[[#This Row],[M (KN.mm)]]/(Table1123457[[#This Row],[a (mm)]]*Table1123457[[#This Row],[b (mm)]]*Table1123457[[#This Row],[h (mm)]]*Table1123457[[#This Row],[L(mm)]]/2)</f>
        <v>1.1717932621887424E-7</v>
      </c>
      <c r="T109" s="145">
        <f>Table1123457[[#This Row],[M (KN.mm)]]/(Table1123457[[#This Row],[a (mm)]]^2*Table1123457[[#This Row],[b (mm)]]*Table1123457[[#This Row],[h (mm)]])</f>
        <v>1.1717932621887424E-7</v>
      </c>
      <c r="U109" s="145">
        <f>Table1123457[[#This Row],[M (KN.mm)]]/(Table1123457[[#This Row],[b (mm)]]*Table1123457[[#This Row],[d (mm)]]*Table1123457[[#This Row],[pho (%)]])</f>
        <v>2.4397590361445785</v>
      </c>
      <c r="V109" s="145">
        <f>E109*224.8/(2*SQRT(Table1123457[[#This Row],[fc (Mpa)]]*145.037)*Table1123457[[#This Row],[b (mm)]]*Table1123457[[#This Row],[d (mm)]]*(1/25.4)^2)</f>
        <v>0.56395170599852551</v>
      </c>
      <c r="W109" s="145">
        <f>Table1123457[[#This Row],[M (KN.mm)]]/$G$112</f>
        <v>0.77064220183486243</v>
      </c>
      <c r="X109" s="145">
        <f>Table1123457[[#This Row],[V/(2*sqrt(fc) bd)]]</f>
        <v>0.56395170599852551</v>
      </c>
      <c r="Y109" s="111">
        <f>Table1123457[[#This Row],[a (mm)]]</f>
        <v>4050</v>
      </c>
      <c r="Z109" s="111">
        <f>Table1123457[[#This Row],[width]]*Table1123457[[#This Row],[h]]^2</f>
        <v>652687500</v>
      </c>
      <c r="AA109" s="111">
        <f>Table1123457[[#This Row],[b (mm)]]</f>
        <v>300</v>
      </c>
      <c r="AB109" s="111">
        <f>Table1123457[[#This Row],[a (mm)]]/Table1123457[[#This Row],[h (mm)]]</f>
        <v>2.7457627118644066</v>
      </c>
      <c r="AC109" s="111">
        <f>Table1123457[[#This Row],[h (mm)]]</f>
        <v>1475</v>
      </c>
      <c r="AD109" s="111">
        <v>4050</v>
      </c>
      <c r="AE109" s="111">
        <v>1400</v>
      </c>
      <c r="AF109" s="111">
        <v>1475</v>
      </c>
      <c r="AG109" s="111">
        <v>300</v>
      </c>
      <c r="AH109" s="7">
        <v>28.5</v>
      </c>
      <c r="AI109" s="135">
        <f>Table1123457[[#This Row],[pho (%)]]/100*Table1123457[[#This Row],[b (mm)]]*Table1123457[[#This Row],[h (mm)]]</f>
        <v>3672.7500000000005</v>
      </c>
      <c r="AJ109" s="135">
        <v>0.83</v>
      </c>
      <c r="AK109" s="160">
        <v>525</v>
      </c>
      <c r="AL109" s="135">
        <f>(1/3-0.21*(MIN(Table1123457[[#This Row],[b (mm)]],AF109)/MAX(Table1123457[[#This Row],[b (mm)]],AF109))*(MIN(Table1123457[[#This Row],[b (mm)]],AF109)^4/(12*MAX(Table1123457[[#This Row],[b (mm)]],AF109)^4)))*MAX(Table1123457[[#This Row],[b (mm)]],AF109)*MIN(Table1123457[[#This Row],[b (mm)]],AF109)^3</f>
        <v>13274757428.370747</v>
      </c>
      <c r="AM109" s="135">
        <f>Table1123457[[#This Row],[b (mm)]]*AF109^3/12</f>
        <v>80226171875</v>
      </c>
      <c r="AN109" s="111">
        <v>8100</v>
      </c>
      <c r="AP109" s="107"/>
      <c r="AU109" s="379">
        <v>420</v>
      </c>
      <c r="AV109" s="2">
        <f t="shared" si="9"/>
        <v>210</v>
      </c>
    </row>
    <row r="110" spans="1:48" x14ac:dyDescent="0.3">
      <c r="A110" s="255" t="s">
        <v>159</v>
      </c>
      <c r="B110" s="255">
        <v>5</v>
      </c>
      <c r="C110" s="185">
        <v>109</v>
      </c>
      <c r="D110" s="185">
        <f>Table1123457[[#This Row],[a (mm)]]/Table1123457[[#This Row],[d (mm)]]</f>
        <v>2.8928571428571428</v>
      </c>
      <c r="E110" s="256">
        <v>225</v>
      </c>
      <c r="F110" s="137">
        <f>Table1123457[[#This Row],[d (mm)]]</f>
        <v>1400</v>
      </c>
      <c r="G110" s="135">
        <f t="shared" si="15"/>
        <v>911250</v>
      </c>
      <c r="H110" s="135">
        <f t="shared" si="16"/>
        <v>4.3127947459127122E-7</v>
      </c>
      <c r="I110" s="111">
        <f>G110/(Table1123457[[#This Row],[b (mm)]]*Table1123457[[#This Row],[h]]^2)</f>
        <v>1.3961505314564781E-3</v>
      </c>
      <c r="J110" s="135">
        <f t="shared" si="17"/>
        <v>0.33756610669589454</v>
      </c>
      <c r="K110" s="135">
        <f t="shared" si="18"/>
        <v>5.3979179161700577E-7</v>
      </c>
      <c r="L110" s="135">
        <f>E110/(Table1123457[[#This Row],[b (mm)]]*AE110)</f>
        <v>5.3571428571428574E-4</v>
      </c>
      <c r="M110" s="135">
        <f>Table1123457[[#This Row],[M (KN.mm)]]/(Table1123457[[#This Row],[b (mm)]]*Table1123457[[#This Row],[d (mm)]])</f>
        <v>2.1696428571428572</v>
      </c>
      <c r="N110" s="135">
        <f>Table1123457[[#This Row],[M (KN.mm)]]/(Table1123457[[#This Row],[b (mm)]]*Table1123457[[#This Row],[h (mm)]])</f>
        <v>2.0593220338983049</v>
      </c>
      <c r="O110" s="145">
        <f>Table1123457[[#This Row],[M (KN.mm)]]/(Table1123457[[#This Row],[b (mm)]]*Table1123457[[#This Row],[h (mm)]]*Table1123457[[#This Row],[L(mm)]])</f>
        <v>2.5423728813559322E-4</v>
      </c>
      <c r="P110" s="145">
        <f>Table1123457[[#This Row],[M (KN.mm)]]/(Table1123457[[#This Row],[b (mm)]]*Table1123457[[#This Row],[d (mm)]]*Table1123457[[#This Row],[L(mm)]])</f>
        <v>2.6785714285714287E-4</v>
      </c>
      <c r="Q110" s="145">
        <f>Table1123457[[#This Row],[M (KN.mm)]]/(Table1123457[[#This Row],[b (mm)]]*Table1123457[[#This Row],[h (mm)]]*Table1123457[[#This Row],[L(mm)]]*Table1123457[[#This Row],[fc (Mpa)]])</f>
        <v>8.9206066012488857E-6</v>
      </c>
      <c r="R110" s="145">
        <f>Table1123457[[#This Row],[M (KN.mm)]]/(Table1123457[[#This Row],[b (mm)]]*Table1123457[[#This Row],[h (mm)]]*Table1123457[[#This Row],[L(mm)]]/2)</f>
        <v>5.0847457627118645E-4</v>
      </c>
      <c r="S110" s="145">
        <f>Table1123457[[#This Row],[M (KN.mm)]]/(Table1123457[[#This Row],[a (mm)]]*Table1123457[[#This Row],[b (mm)]]*Table1123457[[#This Row],[h (mm)]]*Table1123457[[#This Row],[L(mm)]]/2)</f>
        <v>1.2554927809165096E-7</v>
      </c>
      <c r="T110" s="145">
        <f>Table1123457[[#This Row],[M (KN.mm)]]/(Table1123457[[#This Row],[a (mm)]]^2*Table1123457[[#This Row],[b (mm)]]*Table1123457[[#This Row],[h (mm)]])</f>
        <v>1.2554927809165096E-7</v>
      </c>
      <c r="U110" s="145">
        <f>Table1123457[[#This Row],[M (KN.mm)]]/(Table1123457[[#This Row],[b (mm)]]*Table1123457[[#This Row],[d (mm)]]*Table1123457[[#This Row],[pho (%)]])</f>
        <v>2.6140275387263339</v>
      </c>
      <c r="V110" s="145">
        <f>E110*224.8/(2*SQRT(Table1123457[[#This Row],[fc (Mpa)]]*145.037)*Table1123457[[#This Row],[b (mm)]]*Table1123457[[#This Row],[d (mm)]]*(1/25.4)^2)</f>
        <v>0.6042339707127059</v>
      </c>
      <c r="W110" s="145">
        <f>Table1123457[[#This Row],[M (KN.mm)]]/$G$112</f>
        <v>0.82568807339449546</v>
      </c>
      <c r="X110" s="145">
        <f>Table1123457[[#This Row],[V/(2*sqrt(fc) bd)]]</f>
        <v>0.6042339707127059</v>
      </c>
      <c r="Y110" s="111">
        <f>Table1123457[[#This Row],[a (mm)]]</f>
        <v>4050</v>
      </c>
      <c r="Z110" s="111">
        <f>Table1123457[[#This Row],[width]]*Table1123457[[#This Row],[h]]^2</f>
        <v>652687500</v>
      </c>
      <c r="AA110" s="111">
        <f>Table1123457[[#This Row],[b (mm)]]</f>
        <v>300</v>
      </c>
      <c r="AB110" s="111">
        <f>Table1123457[[#This Row],[a (mm)]]/Table1123457[[#This Row],[h (mm)]]</f>
        <v>2.7457627118644066</v>
      </c>
      <c r="AC110" s="111">
        <f>Table1123457[[#This Row],[h (mm)]]</f>
        <v>1475</v>
      </c>
      <c r="AD110" s="111">
        <v>4050</v>
      </c>
      <c r="AE110" s="111">
        <v>1400</v>
      </c>
      <c r="AF110" s="111">
        <v>1475</v>
      </c>
      <c r="AG110" s="111">
        <v>300</v>
      </c>
      <c r="AH110" s="7">
        <v>28.5</v>
      </c>
      <c r="AI110" s="135">
        <f>Table1123457[[#This Row],[pho (%)]]/100*Table1123457[[#This Row],[b (mm)]]*Table1123457[[#This Row],[h (mm)]]</f>
        <v>3672.7500000000005</v>
      </c>
      <c r="AJ110" s="135">
        <v>0.83</v>
      </c>
      <c r="AK110" s="160">
        <v>525</v>
      </c>
      <c r="AL110" s="135">
        <f>(1/3-0.21*(MIN(Table1123457[[#This Row],[b (mm)]],AF110)/MAX(Table1123457[[#This Row],[b (mm)]],AF110))*(MIN(Table1123457[[#This Row],[b (mm)]],AF110)^4/(12*MAX(Table1123457[[#This Row],[b (mm)]],AF110)^4)))*MAX(Table1123457[[#This Row],[b (mm)]],AF110)*MIN(Table1123457[[#This Row],[b (mm)]],AF110)^3</f>
        <v>13274757428.370747</v>
      </c>
      <c r="AM110" s="135">
        <f>Table1123457[[#This Row],[b (mm)]]*AF110^3/12</f>
        <v>80226171875</v>
      </c>
      <c r="AN110" s="111">
        <v>8100</v>
      </c>
      <c r="AP110" s="107"/>
      <c r="AU110" s="379">
        <v>450</v>
      </c>
      <c r="AV110" s="2">
        <f t="shared" si="9"/>
        <v>225</v>
      </c>
    </row>
    <row r="111" spans="1:48" x14ac:dyDescent="0.3">
      <c r="A111" s="255" t="s">
        <v>159</v>
      </c>
      <c r="B111" s="255">
        <v>6</v>
      </c>
      <c r="C111" s="185">
        <v>110</v>
      </c>
      <c r="D111" s="185">
        <f>Table1123457[[#This Row],[a (mm)]]/Table1123457[[#This Row],[d (mm)]]</f>
        <v>2.8928571428571428</v>
      </c>
      <c r="E111" s="256">
        <v>250</v>
      </c>
      <c r="F111" s="137">
        <f>Table1123457[[#This Row],[d (mm)]]</f>
        <v>1400</v>
      </c>
      <c r="G111" s="135">
        <f t="shared" si="15"/>
        <v>1012500</v>
      </c>
      <c r="H111" s="135">
        <f t="shared" si="16"/>
        <v>4.7919941621252353E-7</v>
      </c>
      <c r="I111" s="111">
        <f>G111/(Table1123457[[#This Row],[b (mm)]]*Table1123457[[#This Row],[h]]^2)</f>
        <v>1.5512783682849756E-3</v>
      </c>
      <c r="J111" s="135">
        <f t="shared" si="17"/>
        <v>0.37507345188432728</v>
      </c>
      <c r="K111" s="135">
        <f t="shared" si="18"/>
        <v>5.9976865735222867E-7</v>
      </c>
      <c r="L111" s="135">
        <f>E111/(Table1123457[[#This Row],[b (mm)]]*AE111)</f>
        <v>5.9523809523809529E-4</v>
      </c>
      <c r="M111" s="135">
        <f>Table1123457[[#This Row],[M (KN.mm)]]/(Table1123457[[#This Row],[b (mm)]]*Table1123457[[#This Row],[d (mm)]])</f>
        <v>2.4107142857142856</v>
      </c>
      <c r="N111" s="135">
        <f>Table1123457[[#This Row],[M (KN.mm)]]/(Table1123457[[#This Row],[b (mm)]]*Table1123457[[#This Row],[h (mm)]])</f>
        <v>2.2881355932203391</v>
      </c>
      <c r="O111" s="145">
        <f>Table1123457[[#This Row],[M (KN.mm)]]/(Table1123457[[#This Row],[b (mm)]]*Table1123457[[#This Row],[h (mm)]]*Table1123457[[#This Row],[L(mm)]])</f>
        <v>2.824858757062147E-4</v>
      </c>
      <c r="P111" s="145">
        <f>Table1123457[[#This Row],[M (KN.mm)]]/(Table1123457[[#This Row],[b (mm)]]*Table1123457[[#This Row],[d (mm)]]*Table1123457[[#This Row],[L(mm)]])</f>
        <v>2.9761904761904765E-4</v>
      </c>
      <c r="Q111" s="145">
        <f>Table1123457[[#This Row],[M (KN.mm)]]/(Table1123457[[#This Row],[b (mm)]]*Table1123457[[#This Row],[h (mm)]]*Table1123457[[#This Row],[L(mm)]]*Table1123457[[#This Row],[fc (Mpa)]])</f>
        <v>9.9117851124987617E-6</v>
      </c>
      <c r="R111" s="145">
        <f>Table1123457[[#This Row],[M (KN.mm)]]/(Table1123457[[#This Row],[b (mm)]]*Table1123457[[#This Row],[h (mm)]]*Table1123457[[#This Row],[L(mm)]]/2)</f>
        <v>5.649717514124294E-4</v>
      </c>
      <c r="S111" s="145">
        <f>Table1123457[[#This Row],[M (KN.mm)]]/(Table1123457[[#This Row],[a (mm)]]*Table1123457[[#This Row],[b (mm)]]*Table1123457[[#This Row],[h (mm)]]*Table1123457[[#This Row],[L(mm)]]/2)</f>
        <v>1.3949919787961219E-7</v>
      </c>
      <c r="T111" s="145">
        <f>Table1123457[[#This Row],[M (KN.mm)]]/(Table1123457[[#This Row],[a (mm)]]^2*Table1123457[[#This Row],[b (mm)]]*Table1123457[[#This Row],[h (mm)]])</f>
        <v>1.3949919787961219E-7</v>
      </c>
      <c r="U111" s="145">
        <f>Table1123457[[#This Row],[M (KN.mm)]]/(Table1123457[[#This Row],[b (mm)]]*Table1123457[[#This Row],[d (mm)]]*Table1123457[[#This Row],[pho (%)]])</f>
        <v>2.9044750430292599</v>
      </c>
      <c r="V111" s="145">
        <f>E111*224.8/(2*SQRT(Table1123457[[#This Row],[fc (Mpa)]]*145.037)*Table1123457[[#This Row],[b (mm)]]*Table1123457[[#This Row],[d (mm)]]*(1/25.4)^2)</f>
        <v>0.67137107856967315</v>
      </c>
      <c r="W111" s="145">
        <f>Table1123457[[#This Row],[M (KN.mm)]]/$G$112</f>
        <v>0.91743119266055051</v>
      </c>
      <c r="X111" s="145">
        <f>Table1123457[[#This Row],[V/(2*sqrt(fc) bd)]]</f>
        <v>0.67137107856967315</v>
      </c>
      <c r="Y111" s="111">
        <f>Table1123457[[#This Row],[a (mm)]]</f>
        <v>4050</v>
      </c>
      <c r="Z111" s="111">
        <f>Table1123457[[#This Row],[width]]*Table1123457[[#This Row],[h]]^2</f>
        <v>652687500</v>
      </c>
      <c r="AA111" s="111">
        <f>Table1123457[[#This Row],[b (mm)]]</f>
        <v>300</v>
      </c>
      <c r="AB111" s="111">
        <f>Table1123457[[#This Row],[a (mm)]]/Table1123457[[#This Row],[h (mm)]]</f>
        <v>2.7457627118644066</v>
      </c>
      <c r="AC111" s="111">
        <f>Table1123457[[#This Row],[h (mm)]]</f>
        <v>1475</v>
      </c>
      <c r="AD111" s="111">
        <v>4050</v>
      </c>
      <c r="AE111" s="111">
        <v>1400</v>
      </c>
      <c r="AF111" s="111">
        <v>1475</v>
      </c>
      <c r="AG111" s="111">
        <v>300</v>
      </c>
      <c r="AH111" s="7">
        <v>28.5</v>
      </c>
      <c r="AI111" s="135">
        <f>Table1123457[[#This Row],[pho (%)]]/100*Table1123457[[#This Row],[b (mm)]]*Table1123457[[#This Row],[h (mm)]]</f>
        <v>3672.7500000000005</v>
      </c>
      <c r="AJ111" s="135">
        <v>0.83</v>
      </c>
      <c r="AK111" s="160">
        <v>525</v>
      </c>
      <c r="AL111" s="135">
        <f>(1/3-0.21*(MIN(Table1123457[[#This Row],[b (mm)]],AF111)/MAX(Table1123457[[#This Row],[b (mm)]],AF111))*(MIN(Table1123457[[#This Row],[b (mm)]],AF111)^4/(12*MAX(Table1123457[[#This Row],[b (mm)]],AF111)^4)))*MAX(Table1123457[[#This Row],[b (mm)]],AF111)*MIN(Table1123457[[#This Row],[b (mm)]],AF111)^3</f>
        <v>13274757428.370747</v>
      </c>
      <c r="AM111" s="135">
        <f>Table1123457[[#This Row],[b (mm)]]*AF111^3/12</f>
        <v>80226171875</v>
      </c>
      <c r="AN111" s="111">
        <v>8100</v>
      </c>
      <c r="AP111" s="107"/>
      <c r="AU111" s="379">
        <v>500</v>
      </c>
      <c r="AV111" s="2">
        <f t="shared" si="9"/>
        <v>250</v>
      </c>
    </row>
    <row r="112" spans="1:48" x14ac:dyDescent="0.3">
      <c r="A112" s="255" t="s">
        <v>159</v>
      </c>
      <c r="B112" s="255" t="s">
        <v>142</v>
      </c>
      <c r="C112" s="185">
        <v>111</v>
      </c>
      <c r="D112" s="185">
        <f>Table1123457[[#This Row],[a (mm)]]/Table1123457[[#This Row],[d (mm)]]</f>
        <v>2.8928571428571428</v>
      </c>
      <c r="E112" s="256">
        <v>272.5</v>
      </c>
      <c r="F112" s="137">
        <f>Table1123457[[#This Row],[d (mm)]]</f>
        <v>1400</v>
      </c>
      <c r="G112" s="135">
        <f t="shared" si="15"/>
        <v>1103625</v>
      </c>
      <c r="H112" s="135">
        <f t="shared" si="16"/>
        <v>5.2232736367165066E-7</v>
      </c>
      <c r="I112" s="111">
        <f>G112/(Table1123457[[#This Row],[b (mm)]]*Table1123457[[#This Row],[h]]^2)</f>
        <v>1.6908934214306234E-3</v>
      </c>
      <c r="J112" s="135">
        <f t="shared" si="17"/>
        <v>0.40883006255391674</v>
      </c>
      <c r="K112" s="135">
        <f t="shared" si="18"/>
        <v>6.5374783651392917E-7</v>
      </c>
      <c r="L112" s="135">
        <f>E112/(Table1123457[[#This Row],[b (mm)]]*AE112)</f>
        <v>6.4880952380952383E-4</v>
      </c>
      <c r="M112" s="135">
        <f>Table1123457[[#This Row],[M (KN.mm)]]/(Table1123457[[#This Row],[b (mm)]]*Table1123457[[#This Row],[d (mm)]])</f>
        <v>2.6276785714285715</v>
      </c>
      <c r="N112" s="135">
        <f>Table1123457[[#This Row],[M (KN.mm)]]/(Table1123457[[#This Row],[b (mm)]]*Table1123457[[#This Row],[h (mm)]])</f>
        <v>2.4940677966101696</v>
      </c>
      <c r="O112" s="145">
        <f>Table1123457[[#This Row],[M (KN.mm)]]/(Table1123457[[#This Row],[b (mm)]]*Table1123457[[#This Row],[h (mm)]]*Table1123457[[#This Row],[L(mm)]])</f>
        <v>3.0790960451977401E-4</v>
      </c>
      <c r="P112" s="145">
        <f>Table1123457[[#This Row],[M (KN.mm)]]/(Table1123457[[#This Row],[b (mm)]]*Table1123457[[#This Row],[d (mm)]]*Table1123457[[#This Row],[L(mm)]])</f>
        <v>3.2440476190476192E-4</v>
      </c>
      <c r="Q112" s="145">
        <f>Table1123457[[#This Row],[M (KN.mm)]]/(Table1123457[[#This Row],[b (mm)]]*Table1123457[[#This Row],[h (mm)]]*Table1123457[[#This Row],[L(mm)]]*Table1123457[[#This Row],[fc (Mpa)]])</f>
        <v>1.080384577262365E-5</v>
      </c>
      <c r="R112" s="145">
        <f>Table1123457[[#This Row],[M (KN.mm)]]/(Table1123457[[#This Row],[b (mm)]]*Table1123457[[#This Row],[h (mm)]]*Table1123457[[#This Row],[L(mm)]]/2)</f>
        <v>6.1581920903954802E-4</v>
      </c>
      <c r="S112" s="145">
        <f>Table1123457[[#This Row],[M (KN.mm)]]/(Table1123457[[#This Row],[a (mm)]]*Table1123457[[#This Row],[b (mm)]]*Table1123457[[#This Row],[h (mm)]]*Table1123457[[#This Row],[L(mm)]]/2)</f>
        <v>1.5205412568877728E-7</v>
      </c>
      <c r="T112" s="145">
        <f>Table1123457[[#This Row],[M (KN.mm)]]/(Table1123457[[#This Row],[a (mm)]]^2*Table1123457[[#This Row],[b (mm)]]*Table1123457[[#This Row],[h (mm)]])</f>
        <v>1.5205412568877728E-7</v>
      </c>
      <c r="U112" s="145">
        <f>Table1123457[[#This Row],[M (KN.mm)]]/(Table1123457[[#This Row],[b (mm)]]*Table1123457[[#This Row],[d (mm)]]*Table1123457[[#This Row],[pho (%)]])</f>
        <v>3.1658777969018934</v>
      </c>
      <c r="V112" s="145">
        <f>E112*224.8/(2*SQRT(Table1123457[[#This Row],[fc (Mpa)]]*145.037)*Table1123457[[#This Row],[b (mm)]]*Table1123457[[#This Row],[d (mm)]]*(1/25.4)^2)</f>
        <v>0.7317944756409438</v>
      </c>
      <c r="W112" s="145">
        <f>Table1123457[[#This Row],[M (KN.mm)]]/$G$112</f>
        <v>1</v>
      </c>
      <c r="X112" s="145">
        <f>Table1123457[[#This Row],[V/(2*sqrt(fc) bd)]]</f>
        <v>0.7317944756409438</v>
      </c>
      <c r="Y112" s="111">
        <f>Table1123457[[#This Row],[a (mm)]]</f>
        <v>4050</v>
      </c>
      <c r="Z112" s="111">
        <f>Table1123457[[#This Row],[width]]*Table1123457[[#This Row],[h]]^2</f>
        <v>652687500</v>
      </c>
      <c r="AA112" s="111">
        <f>Table1123457[[#This Row],[b (mm)]]</f>
        <v>300</v>
      </c>
      <c r="AB112" s="111">
        <f>Table1123457[[#This Row],[a (mm)]]/Table1123457[[#This Row],[h (mm)]]</f>
        <v>2.7457627118644066</v>
      </c>
      <c r="AC112" s="111">
        <f>Table1123457[[#This Row],[h (mm)]]</f>
        <v>1475</v>
      </c>
      <c r="AD112" s="111">
        <v>4050</v>
      </c>
      <c r="AE112" s="111">
        <v>1400</v>
      </c>
      <c r="AF112" s="111">
        <v>1475</v>
      </c>
      <c r="AG112" s="111">
        <v>300</v>
      </c>
      <c r="AH112" s="7">
        <v>28.5</v>
      </c>
      <c r="AI112" s="135">
        <f>Table1123457[[#This Row],[pho (%)]]/100*Table1123457[[#This Row],[b (mm)]]*Table1123457[[#This Row],[h (mm)]]</f>
        <v>3672.7500000000005</v>
      </c>
      <c r="AJ112" s="135">
        <v>0.83</v>
      </c>
      <c r="AK112" s="160">
        <v>525</v>
      </c>
      <c r="AL112" s="135">
        <f>(1/3-0.21*(MIN(Table1123457[[#This Row],[b (mm)]],AF112)/MAX(Table1123457[[#This Row],[b (mm)]],AF112))*(MIN(Table1123457[[#This Row],[b (mm)]],AF112)^4/(12*MAX(Table1123457[[#This Row],[b (mm)]],AF112)^4)))*MAX(Table1123457[[#This Row],[b (mm)]],AF112)*MIN(Table1123457[[#This Row],[b (mm)]],AF112)^3</f>
        <v>13274757428.370747</v>
      </c>
      <c r="AM112" s="135">
        <f>Table1123457[[#This Row],[b (mm)]]*AF112^3/12</f>
        <v>80226171875</v>
      </c>
      <c r="AN112" s="111">
        <v>8100</v>
      </c>
      <c r="AP112" s="107"/>
      <c r="AU112" s="379">
        <v>545</v>
      </c>
      <c r="AV112" s="2">
        <f t="shared" si="9"/>
        <v>272.5</v>
      </c>
    </row>
    <row r="113" spans="1:48" x14ac:dyDescent="0.3">
      <c r="A113" s="257" t="s">
        <v>160</v>
      </c>
      <c r="B113" s="257">
        <v>1</v>
      </c>
      <c r="C113" s="185">
        <v>112</v>
      </c>
      <c r="D113" s="185">
        <f>Table1123457[[#This Row],[a (mm)]]/Table1123457[[#This Row],[d (mm)]]</f>
        <v>2.8928571428571428</v>
      </c>
      <c r="E113" s="258">
        <v>15.15</v>
      </c>
      <c r="F113" s="137">
        <f>Table1123457[[#This Row],[d (mm)]]</f>
        <v>280</v>
      </c>
      <c r="G113" s="135">
        <f t="shared" si="15"/>
        <v>12271.5</v>
      </c>
      <c r="H113" s="135">
        <f t="shared" si="16"/>
        <v>1.5384071993254075E-6</v>
      </c>
      <c r="I113" s="111">
        <f>G113/(Table1123457[[#This Row],[b (mm)]]*Table1123457[[#This Row],[h]]^2)</f>
        <v>1.0466812234523465E-3</v>
      </c>
      <c r="J113" s="135">
        <f t="shared" si="17"/>
        <v>0.26593818479651454</v>
      </c>
      <c r="K113" s="135">
        <f t="shared" si="18"/>
        <v>2.5726360591102614E-6</v>
      </c>
      <c r="L113" s="135">
        <f>E113/(Table1123457[[#This Row],[b (mm)]]*AE113)</f>
        <v>4.4350117096018737E-4</v>
      </c>
      <c r="M113" s="135">
        <f>Table1123457[[#This Row],[M (KN.mm)]]/(Table1123457[[#This Row],[b (mm)]]*Table1123457[[#This Row],[d (mm)]])</f>
        <v>0.35923594847775175</v>
      </c>
      <c r="N113" s="135">
        <f>Table1123457[[#This Row],[M (KN.mm)]]/(Table1123457[[#This Row],[b (mm)]]*Table1123457[[#This Row],[h (mm)]])</f>
        <v>0.32447117927022739</v>
      </c>
      <c r="O113" s="145">
        <f>Table1123457[[#This Row],[M (KN.mm)]]/(Table1123457[[#This Row],[b (mm)]]*Table1123457[[#This Row],[h (mm)]]*Table1123457[[#This Row],[L(mm)]])</f>
        <v>2.0029085140137493E-4</v>
      </c>
      <c r="P113" s="145">
        <f>Table1123457[[#This Row],[M (KN.mm)]]/(Table1123457[[#This Row],[b (mm)]]*Table1123457[[#This Row],[d (mm)]]*Table1123457[[#This Row],[L(mm)]])</f>
        <v>2.2175058548009368E-4</v>
      </c>
      <c r="Q113" s="145">
        <f>Table1123457[[#This Row],[M (KN.mm)]]/(Table1123457[[#This Row],[b (mm)]]*Table1123457[[#This Row],[h (mm)]]*Table1123457[[#This Row],[L(mm)]]*Table1123457[[#This Row],[fc (Mpa)]])</f>
        <v>4.7802112506294737E-6</v>
      </c>
      <c r="R113" s="145">
        <f>Table1123457[[#This Row],[M (KN.mm)]]/(Table1123457[[#This Row],[b (mm)]]*Table1123457[[#This Row],[h (mm)]]*Table1123457[[#This Row],[L(mm)]]/2)</f>
        <v>4.0058170280274987E-4</v>
      </c>
      <c r="S113" s="145">
        <f>Table1123457[[#This Row],[M (KN.mm)]]/(Table1123457[[#This Row],[a (mm)]]*Table1123457[[#This Row],[b (mm)]]*Table1123457[[#This Row],[h (mm)]]*Table1123457[[#This Row],[L(mm)]]/2)</f>
        <v>4.9454531210216036E-7</v>
      </c>
      <c r="T113" s="145">
        <f>Table1123457[[#This Row],[M (KN.mm)]]/(Table1123457[[#This Row],[a (mm)]]^2*Table1123457[[#This Row],[b (mm)]]*Table1123457[[#This Row],[h (mm)]])</f>
        <v>4.9454531210216036E-7</v>
      </c>
      <c r="U113" s="145">
        <f>Table1123457[[#This Row],[M (KN.mm)]]/(Table1123457[[#This Row],[b (mm)]]*Table1123457[[#This Row],[d (mm)]]*Table1123457[[#This Row],[pho (%)]])</f>
        <v>0.43281439575632741</v>
      </c>
      <c r="V113" s="145">
        <f>E113*224.8/(2*SQRT(Table1123457[[#This Row],[fc (Mpa)]]*145.037)*Table1123457[[#This Row],[b (mm)]]*Table1123457[[#This Row],[d (mm)]]*(1/25.4)^2)</f>
        <v>0.41255523256468446</v>
      </c>
      <c r="W113" s="145">
        <f>Table1123457[[#This Row],[M (KN.mm)]]/$G$116</f>
        <v>0.41678129298486932</v>
      </c>
      <c r="X113" s="145">
        <f>Table1123457[[#This Row],[V/(2*sqrt(fc) bd)]]</f>
        <v>0.41255523256468446</v>
      </c>
      <c r="Y113" s="111">
        <f>Table1123457[[#This Row],[a (mm)]]</f>
        <v>810</v>
      </c>
      <c r="Z113" s="111">
        <f>Table1123457[[#This Row],[width]]*Table1123457[[#This Row],[h]]^2</f>
        <v>11724200</v>
      </c>
      <c r="AA113" s="111">
        <f>Table1123457[[#This Row],[b (mm)]]</f>
        <v>122</v>
      </c>
      <c r="AB113" s="111">
        <f>Table1123457[[#This Row],[a (mm)]]/Table1123457[[#This Row],[h (mm)]]</f>
        <v>2.6129032258064515</v>
      </c>
      <c r="AC113" s="111">
        <f>Table1123457[[#This Row],[h (mm)]]</f>
        <v>310</v>
      </c>
      <c r="AD113" s="111">
        <v>810</v>
      </c>
      <c r="AE113" s="111">
        <v>280</v>
      </c>
      <c r="AF113" s="111">
        <v>310</v>
      </c>
      <c r="AG113" s="111">
        <v>122</v>
      </c>
      <c r="AH113" s="7">
        <v>41.9</v>
      </c>
      <c r="AI113" s="135">
        <f>Table1123457[[#This Row],[pho (%)]]/100*Table1123457[[#This Row],[b (mm)]]*Table1123457[[#This Row],[h (mm)]]</f>
        <v>313.90600000000001</v>
      </c>
      <c r="AJ113" s="135">
        <v>0.83</v>
      </c>
      <c r="AK113" s="160">
        <v>525</v>
      </c>
      <c r="AL113" s="135">
        <f>(1/3-0.21*(MIN(Table1123457[[#This Row],[b (mm)]],AF113)/MAX(Table1123457[[#This Row],[b (mm)]],AF113))*(MIN(Table1123457[[#This Row],[b (mm)]],AF113)^4/(12*MAX(Table1123457[[#This Row],[b (mm)]],AF113)^4)))*MAX(Table1123457[[#This Row],[b (mm)]],AF113)*MIN(Table1123457[[#This Row],[b (mm)]],AF113)^3</f>
        <v>187544629.45683298</v>
      </c>
      <c r="AM113" s="135">
        <f>Table1123457[[#This Row],[b (mm)]]*AF113^3/12</f>
        <v>302875166.66666669</v>
      </c>
      <c r="AN113" s="111">
        <v>1620</v>
      </c>
      <c r="AP113" s="107"/>
      <c r="AU113" s="380">
        <v>30.3</v>
      </c>
      <c r="AV113" s="2">
        <f t="shared" si="9"/>
        <v>15.15</v>
      </c>
    </row>
    <row r="114" spans="1:48" x14ac:dyDescent="0.3">
      <c r="A114" s="257" t="s">
        <v>160</v>
      </c>
      <c r="B114" s="257">
        <v>2</v>
      </c>
      <c r="C114" s="185">
        <v>113</v>
      </c>
      <c r="D114" s="185">
        <f>Table1123457[[#This Row],[a (mm)]]/Table1123457[[#This Row],[d (mm)]]</f>
        <v>2.8928571428571428</v>
      </c>
      <c r="E114" s="258">
        <v>20.2</v>
      </c>
      <c r="F114" s="137">
        <f>Table1123457[[#This Row],[d (mm)]]</f>
        <v>280</v>
      </c>
      <c r="G114" s="135">
        <f t="shared" si="15"/>
        <v>16362</v>
      </c>
      <c r="H114" s="135">
        <f t="shared" si="16"/>
        <v>2.0512095991005434E-6</v>
      </c>
      <c r="I114" s="111">
        <f>G114/(Table1123457[[#This Row],[b (mm)]]*Table1123457[[#This Row],[h]]^2)</f>
        <v>1.3955749646031286E-3</v>
      </c>
      <c r="J114" s="135">
        <f t="shared" si="17"/>
        <v>0.35458424639535274</v>
      </c>
      <c r="K114" s="135">
        <f t="shared" si="18"/>
        <v>3.430181412147015E-6</v>
      </c>
      <c r="L114" s="135">
        <f>E114/(Table1123457[[#This Row],[b (mm)]]*AE114)</f>
        <v>5.9133489461358308E-4</v>
      </c>
      <c r="M114" s="135">
        <f>Table1123457[[#This Row],[M (KN.mm)]]/(Table1123457[[#This Row],[b (mm)]]*Table1123457[[#This Row],[d (mm)]])</f>
        <v>0.47898126463700236</v>
      </c>
      <c r="N114" s="135">
        <f>Table1123457[[#This Row],[M (KN.mm)]]/(Table1123457[[#This Row],[b (mm)]]*Table1123457[[#This Row],[h (mm)]])</f>
        <v>0.43262823902696984</v>
      </c>
      <c r="O114" s="145">
        <f>Table1123457[[#This Row],[M (KN.mm)]]/(Table1123457[[#This Row],[b (mm)]]*Table1123457[[#This Row],[h (mm)]]*Table1123457[[#This Row],[L(mm)]])</f>
        <v>2.6705446853516658E-4</v>
      </c>
      <c r="P114" s="145">
        <f>Table1123457[[#This Row],[M (KN.mm)]]/(Table1123457[[#This Row],[b (mm)]]*Table1123457[[#This Row],[d (mm)]]*Table1123457[[#This Row],[L(mm)]])</f>
        <v>2.956674473067916E-4</v>
      </c>
      <c r="Q114" s="145">
        <f>Table1123457[[#This Row],[M (KN.mm)]]/(Table1123457[[#This Row],[b (mm)]]*Table1123457[[#This Row],[h (mm)]]*Table1123457[[#This Row],[L(mm)]]*Table1123457[[#This Row],[fc (Mpa)]])</f>
        <v>6.3736150008392975E-6</v>
      </c>
      <c r="R114" s="145">
        <f>Table1123457[[#This Row],[M (KN.mm)]]/(Table1123457[[#This Row],[b (mm)]]*Table1123457[[#This Row],[h (mm)]]*Table1123457[[#This Row],[L(mm)]]/2)</f>
        <v>5.3410893707033316E-4</v>
      </c>
      <c r="S114" s="145">
        <f>Table1123457[[#This Row],[M (KN.mm)]]/(Table1123457[[#This Row],[a (mm)]]*Table1123457[[#This Row],[b (mm)]]*Table1123457[[#This Row],[h (mm)]]*Table1123457[[#This Row],[L(mm)]]/2)</f>
        <v>6.5939374946954707E-7</v>
      </c>
      <c r="T114" s="145">
        <f>Table1123457[[#This Row],[M (KN.mm)]]/(Table1123457[[#This Row],[a (mm)]]^2*Table1123457[[#This Row],[b (mm)]]*Table1123457[[#This Row],[h (mm)]])</f>
        <v>6.5939374946954707E-7</v>
      </c>
      <c r="U114" s="145">
        <f>Table1123457[[#This Row],[M (KN.mm)]]/(Table1123457[[#This Row],[b (mm)]]*Table1123457[[#This Row],[d (mm)]]*Table1123457[[#This Row],[pho (%)]])</f>
        <v>0.57708586100843662</v>
      </c>
      <c r="V114" s="145">
        <f>E114*224.8/(2*SQRT(Table1123457[[#This Row],[fc (Mpa)]]*145.037)*Table1123457[[#This Row],[b (mm)]]*Table1123457[[#This Row],[d (mm)]]*(1/25.4)^2)</f>
        <v>0.55007364341957932</v>
      </c>
      <c r="W114" s="145">
        <f>Table1123457[[#This Row],[M (KN.mm)]]/$G$116</f>
        <v>0.55570839064649247</v>
      </c>
      <c r="X114" s="145">
        <f>Table1123457[[#This Row],[V/(2*sqrt(fc) bd)]]</f>
        <v>0.55007364341957932</v>
      </c>
      <c r="Y114" s="111">
        <f>Table1123457[[#This Row],[a (mm)]]</f>
        <v>810</v>
      </c>
      <c r="Z114" s="111">
        <f>Table1123457[[#This Row],[width]]*Table1123457[[#This Row],[h]]^2</f>
        <v>11724200</v>
      </c>
      <c r="AA114" s="111">
        <f>Table1123457[[#This Row],[b (mm)]]</f>
        <v>122</v>
      </c>
      <c r="AB114" s="111">
        <f>Table1123457[[#This Row],[a (mm)]]/Table1123457[[#This Row],[h (mm)]]</f>
        <v>2.6129032258064515</v>
      </c>
      <c r="AC114" s="111">
        <f>Table1123457[[#This Row],[h (mm)]]</f>
        <v>310</v>
      </c>
      <c r="AD114" s="111">
        <v>810</v>
      </c>
      <c r="AE114" s="111">
        <v>280</v>
      </c>
      <c r="AF114" s="111">
        <v>310</v>
      </c>
      <c r="AG114" s="111">
        <v>122</v>
      </c>
      <c r="AH114" s="7">
        <v>41.9</v>
      </c>
      <c r="AI114" s="135">
        <f>Table1123457[[#This Row],[pho (%)]]/100*Table1123457[[#This Row],[b (mm)]]*Table1123457[[#This Row],[h (mm)]]</f>
        <v>313.90600000000001</v>
      </c>
      <c r="AJ114" s="135">
        <v>0.83</v>
      </c>
      <c r="AK114" s="160">
        <v>525</v>
      </c>
      <c r="AL114" s="135">
        <f>(1/3-0.21*(MIN(Table1123457[[#This Row],[b (mm)]],AF114)/MAX(Table1123457[[#This Row],[b (mm)]],AF114))*(MIN(Table1123457[[#This Row],[b (mm)]],AF114)^4/(12*MAX(Table1123457[[#This Row],[b (mm)]],AF114)^4)))*MAX(Table1123457[[#This Row],[b (mm)]],AF114)*MIN(Table1123457[[#This Row],[b (mm)]],AF114)^3</f>
        <v>187544629.45683298</v>
      </c>
      <c r="AM114" s="135">
        <f>Table1123457[[#This Row],[b (mm)]]*AF114^3/12</f>
        <v>302875166.66666669</v>
      </c>
      <c r="AN114" s="111">
        <v>1620</v>
      </c>
      <c r="AP114" s="107"/>
      <c r="AU114" s="380">
        <v>40.4</v>
      </c>
      <c r="AV114" s="2">
        <f t="shared" si="9"/>
        <v>20.2</v>
      </c>
    </row>
    <row r="115" spans="1:48" x14ac:dyDescent="0.3">
      <c r="A115" s="257" t="s">
        <v>160</v>
      </c>
      <c r="B115" s="257">
        <v>3</v>
      </c>
      <c r="C115" s="185">
        <v>114</v>
      </c>
      <c r="D115" s="185">
        <f>Table1123457[[#This Row],[a (mm)]]/Table1123457[[#This Row],[d (mm)]]</f>
        <v>2.8928571428571428</v>
      </c>
      <c r="E115" s="258">
        <v>30.15</v>
      </c>
      <c r="F115" s="137">
        <f>Table1123457[[#This Row],[d (mm)]]</f>
        <v>280</v>
      </c>
      <c r="G115" s="135">
        <f t="shared" si="15"/>
        <v>24421.5</v>
      </c>
      <c r="H115" s="135">
        <f t="shared" si="16"/>
        <v>3.0615826442020489E-6</v>
      </c>
      <c r="I115" s="111">
        <f>G115/(Table1123457[[#This Row],[b (mm)]]*Table1123457[[#This Row],[h]]^2)</f>
        <v>2.0829992664744717E-3</v>
      </c>
      <c r="J115" s="135">
        <f t="shared" si="17"/>
        <v>0.52924331825841009</v>
      </c>
      <c r="K115" s="135">
        <f t="shared" si="18"/>
        <v>5.1198004740709156E-6</v>
      </c>
      <c r="L115" s="135">
        <f>E115/(Table1123457[[#This Row],[b (mm)]]*AE115)</f>
        <v>8.826112412177985E-4</v>
      </c>
      <c r="M115" s="135">
        <f>Table1123457[[#This Row],[M (KN.mm)]]/(Table1123457[[#This Row],[b (mm)]]*Table1123457[[#This Row],[d (mm)]])</f>
        <v>0.71491510538641689</v>
      </c>
      <c r="N115" s="135">
        <f>Table1123457[[#This Row],[M (KN.mm)]]/(Table1123457[[#This Row],[b (mm)]]*Table1123457[[#This Row],[h (mm)]])</f>
        <v>0.64572977260708619</v>
      </c>
      <c r="O115" s="145">
        <f>Table1123457[[#This Row],[M (KN.mm)]]/(Table1123457[[#This Row],[b (mm)]]*Table1123457[[#This Row],[h (mm)]]*Table1123457[[#This Row],[L(mm)]])</f>
        <v>3.9859862506610262E-4</v>
      </c>
      <c r="P115" s="145">
        <f>Table1123457[[#This Row],[M (KN.mm)]]/(Table1123457[[#This Row],[b (mm)]]*Table1123457[[#This Row],[d (mm)]]*Table1123457[[#This Row],[L(mm)]])</f>
        <v>4.413056206088993E-4</v>
      </c>
      <c r="Q115" s="145">
        <f>Table1123457[[#This Row],[M (KN.mm)]]/(Table1123457[[#This Row],[b (mm)]]*Table1123457[[#This Row],[h (mm)]]*Table1123457[[#This Row],[L(mm)]]*Table1123457[[#This Row],[fc (Mpa)]])</f>
        <v>9.5130936769952891E-6</v>
      </c>
      <c r="R115" s="145">
        <f>Table1123457[[#This Row],[M (KN.mm)]]/(Table1123457[[#This Row],[b (mm)]]*Table1123457[[#This Row],[h (mm)]]*Table1123457[[#This Row],[L(mm)]]/2)</f>
        <v>7.9719725013220524E-4</v>
      </c>
      <c r="S115" s="145">
        <f>Table1123457[[#This Row],[M (KN.mm)]]/(Table1123457[[#This Row],[a (mm)]]*Table1123457[[#This Row],[b (mm)]]*Table1123457[[#This Row],[h (mm)]]*Table1123457[[#This Row],[L(mm)]]/2)</f>
        <v>9.8419413596568537E-7</v>
      </c>
      <c r="T115" s="145">
        <f>Table1123457[[#This Row],[M (KN.mm)]]/(Table1123457[[#This Row],[a (mm)]]^2*Table1123457[[#This Row],[b (mm)]]*Table1123457[[#This Row],[h (mm)]])</f>
        <v>9.8419413596568537E-7</v>
      </c>
      <c r="U115" s="145">
        <f>Table1123457[[#This Row],[M (KN.mm)]]/(Table1123457[[#This Row],[b (mm)]]*Table1123457[[#This Row],[d (mm)]]*Table1123457[[#This Row],[pho (%)]])</f>
        <v>0.86134350046556252</v>
      </c>
      <c r="V115" s="145">
        <f>E115*224.8/(2*SQRT(Table1123457[[#This Row],[fc (Mpa)]]*145.037)*Table1123457[[#This Row],[b (mm)]]*Table1123457[[#This Row],[d (mm)]]*(1/25.4)^2)</f>
        <v>0.82102575985645121</v>
      </c>
      <c r="W115" s="145">
        <f>Table1123457[[#This Row],[M (KN.mm)]]/$G$116</f>
        <v>0.82943603851444292</v>
      </c>
      <c r="X115" s="145">
        <f>Table1123457[[#This Row],[V/(2*sqrt(fc) bd)]]</f>
        <v>0.82102575985645121</v>
      </c>
      <c r="Y115" s="111">
        <f>Table1123457[[#This Row],[a (mm)]]</f>
        <v>810</v>
      </c>
      <c r="Z115" s="111">
        <f>Table1123457[[#This Row],[width]]*Table1123457[[#This Row],[h]]^2</f>
        <v>11724200</v>
      </c>
      <c r="AA115" s="111">
        <f>Table1123457[[#This Row],[b (mm)]]</f>
        <v>122</v>
      </c>
      <c r="AB115" s="111">
        <f>Table1123457[[#This Row],[a (mm)]]/Table1123457[[#This Row],[h (mm)]]</f>
        <v>2.6129032258064515</v>
      </c>
      <c r="AC115" s="111">
        <f>Table1123457[[#This Row],[h (mm)]]</f>
        <v>310</v>
      </c>
      <c r="AD115" s="111">
        <v>810</v>
      </c>
      <c r="AE115" s="111">
        <v>280</v>
      </c>
      <c r="AF115" s="111">
        <v>310</v>
      </c>
      <c r="AG115" s="111">
        <v>122</v>
      </c>
      <c r="AH115" s="7">
        <v>41.9</v>
      </c>
      <c r="AI115" s="135">
        <f>Table1123457[[#This Row],[pho (%)]]/100*Table1123457[[#This Row],[b (mm)]]*Table1123457[[#This Row],[h (mm)]]</f>
        <v>313.90600000000001</v>
      </c>
      <c r="AJ115" s="135">
        <v>0.83</v>
      </c>
      <c r="AK115" s="160">
        <v>525</v>
      </c>
      <c r="AL115" s="135">
        <f>(1/3-0.21*(MIN(Table1123457[[#This Row],[b (mm)]],AF115)/MAX(Table1123457[[#This Row],[b (mm)]],AF115))*(MIN(Table1123457[[#This Row],[b (mm)]],AF115)^4/(12*MAX(Table1123457[[#This Row],[b (mm)]],AF115)^4)))*MAX(Table1123457[[#This Row],[b (mm)]],AF115)*MIN(Table1123457[[#This Row],[b (mm)]],AF115)^3</f>
        <v>187544629.45683298</v>
      </c>
      <c r="AM115" s="135">
        <f>Table1123457[[#This Row],[b (mm)]]*AF115^3/12</f>
        <v>302875166.66666669</v>
      </c>
      <c r="AN115" s="111">
        <v>1620</v>
      </c>
      <c r="AP115" s="107"/>
      <c r="AU115" s="380">
        <v>60.3</v>
      </c>
      <c r="AV115" s="2">
        <f t="shared" si="9"/>
        <v>30.15</v>
      </c>
    </row>
    <row r="116" spans="1:48" x14ac:dyDescent="0.3">
      <c r="A116" s="257" t="s">
        <v>160</v>
      </c>
      <c r="B116" s="257" t="s">
        <v>142</v>
      </c>
      <c r="C116" s="185">
        <v>115</v>
      </c>
      <c r="D116" s="185">
        <f>Table1123457[[#This Row],[a (mm)]]/Table1123457[[#This Row],[d (mm)]]</f>
        <v>2.8928571428571428</v>
      </c>
      <c r="E116" s="258">
        <v>36.35</v>
      </c>
      <c r="F116" s="137">
        <f>Table1123457[[#This Row],[d (mm)]]</f>
        <v>280</v>
      </c>
      <c r="G116" s="135">
        <f t="shared" si="15"/>
        <v>29443.5</v>
      </c>
      <c r="H116" s="135">
        <f t="shared" si="16"/>
        <v>3.6911618280843936E-6</v>
      </c>
      <c r="I116" s="111">
        <f>G116/(Table1123457[[#This Row],[b (mm)]]*Table1123457[[#This Row],[h]]^2)</f>
        <v>2.5113440575902832E-3</v>
      </c>
      <c r="J116" s="135">
        <f t="shared" si="17"/>
        <v>0.63807610675599358</v>
      </c>
      <c r="K116" s="135">
        <f t="shared" si="18"/>
        <v>6.1726284322546535E-6</v>
      </c>
      <c r="L116" s="135">
        <f>E116/(Table1123457[[#This Row],[b (mm)]]*AE116)</f>
        <v>1.0641100702576112E-3</v>
      </c>
      <c r="M116" s="135">
        <f>Table1123457[[#This Row],[M (KN.mm)]]/(Table1123457[[#This Row],[b (mm)]]*Table1123457[[#This Row],[d (mm)]])</f>
        <v>0.86192915690866512</v>
      </c>
      <c r="N116" s="135">
        <f>Table1123457[[#This Row],[M (KN.mm)]]/(Table1123457[[#This Row],[b (mm)]]*Table1123457[[#This Row],[h (mm)]])</f>
        <v>0.77851665785298785</v>
      </c>
      <c r="O116" s="145">
        <f>Table1123457[[#This Row],[M (KN.mm)]]/(Table1123457[[#This Row],[b (mm)]]*Table1123457[[#This Row],[h (mm)]]*Table1123457[[#This Row],[L(mm)]])</f>
        <v>4.8056583818085672E-4</v>
      </c>
      <c r="P116" s="145">
        <f>Table1123457[[#This Row],[M (KN.mm)]]/(Table1123457[[#This Row],[b (mm)]]*Table1123457[[#This Row],[d (mm)]]*Table1123457[[#This Row],[L(mm)]])</f>
        <v>5.320550351288056E-4</v>
      </c>
      <c r="Q116" s="145">
        <f>Table1123457[[#This Row],[M (KN.mm)]]/(Table1123457[[#This Row],[b (mm)]]*Table1123457[[#This Row],[h (mm)]]*Table1123457[[#This Row],[L(mm)]]*Table1123457[[#This Row],[fc (Mpa)]])</f>
        <v>1.1469351746559825E-5</v>
      </c>
      <c r="R116" s="145">
        <f>Table1123457[[#This Row],[M (KN.mm)]]/(Table1123457[[#This Row],[b (mm)]]*Table1123457[[#This Row],[h (mm)]]*Table1123457[[#This Row],[L(mm)]]/2)</f>
        <v>9.6113167636171343E-4</v>
      </c>
      <c r="S116" s="145">
        <f>Table1123457[[#This Row],[M (KN.mm)]]/(Table1123457[[#This Row],[a (mm)]]*Table1123457[[#This Row],[b (mm)]]*Table1123457[[#This Row],[h (mm)]]*Table1123457[[#This Row],[L(mm)]]/2)</f>
        <v>1.1865823164959425E-6</v>
      </c>
      <c r="T116" s="145">
        <f>Table1123457[[#This Row],[M (KN.mm)]]/(Table1123457[[#This Row],[a (mm)]]^2*Table1123457[[#This Row],[b (mm)]]*Table1123457[[#This Row],[h (mm)]])</f>
        <v>1.1865823164959425E-6</v>
      </c>
      <c r="U116" s="145">
        <f>Table1123457[[#This Row],[M (KN.mm)]]/(Table1123457[[#This Row],[b (mm)]]*Table1123457[[#This Row],[d (mm)]]*Table1123457[[#This Row],[pho (%)]])</f>
        <v>1.0384688637453796</v>
      </c>
      <c r="V116" s="145">
        <f>E116*224.8/(2*SQRT(Table1123457[[#This Row],[fc (Mpa)]]*145.037)*Table1123457[[#This Row],[b (mm)]]*Table1123457[[#This Row],[d (mm)]]*(1/25.4)^2)</f>
        <v>0.98986024447038157</v>
      </c>
      <c r="W116" s="145">
        <f>Table1123457[[#This Row],[M (KN.mm)]]/$G$116</f>
        <v>1</v>
      </c>
      <c r="X116" s="145">
        <f>Table1123457[[#This Row],[V/(2*sqrt(fc) bd)]]</f>
        <v>0.98986024447038157</v>
      </c>
      <c r="Y116" s="111">
        <f>Table1123457[[#This Row],[a (mm)]]</f>
        <v>810</v>
      </c>
      <c r="Z116" s="111">
        <f>Table1123457[[#This Row],[width]]*Table1123457[[#This Row],[h]]^2</f>
        <v>11724200</v>
      </c>
      <c r="AA116" s="111">
        <f>Table1123457[[#This Row],[b (mm)]]</f>
        <v>122</v>
      </c>
      <c r="AB116" s="111">
        <f>Table1123457[[#This Row],[a (mm)]]/Table1123457[[#This Row],[h (mm)]]</f>
        <v>2.6129032258064515</v>
      </c>
      <c r="AC116" s="111">
        <f>Table1123457[[#This Row],[h (mm)]]</f>
        <v>310</v>
      </c>
      <c r="AD116" s="111">
        <v>810</v>
      </c>
      <c r="AE116" s="111">
        <v>280</v>
      </c>
      <c r="AF116" s="111">
        <v>310</v>
      </c>
      <c r="AG116" s="111">
        <v>122</v>
      </c>
      <c r="AH116" s="7">
        <v>41.9</v>
      </c>
      <c r="AI116" s="135">
        <f>Table1123457[[#This Row],[pho (%)]]/100*Table1123457[[#This Row],[b (mm)]]*Table1123457[[#This Row],[h (mm)]]</f>
        <v>313.90600000000001</v>
      </c>
      <c r="AJ116" s="135">
        <v>0.83</v>
      </c>
      <c r="AK116" s="160">
        <v>525</v>
      </c>
      <c r="AL116" s="135">
        <f>(1/3-0.21*(MIN(Table1123457[[#This Row],[b (mm)]],AF116)/MAX(Table1123457[[#This Row],[b (mm)]],AF116))*(MIN(Table1123457[[#This Row],[b (mm)]],AF116)^4/(12*MAX(Table1123457[[#This Row],[b (mm)]],AF116)^4)))*MAX(Table1123457[[#This Row],[b (mm)]],AF116)*MIN(Table1123457[[#This Row],[b (mm)]],AF116)^3</f>
        <v>187544629.45683298</v>
      </c>
      <c r="AM116" s="135">
        <f>Table1123457[[#This Row],[b (mm)]]*AF116^3/12</f>
        <v>302875166.66666669</v>
      </c>
      <c r="AN116" s="111">
        <v>1620</v>
      </c>
      <c r="AP116" s="107"/>
      <c r="AU116" s="380">
        <v>72.7</v>
      </c>
      <c r="AV116" s="2">
        <f t="shared" si="9"/>
        <v>36.35</v>
      </c>
    </row>
    <row r="117" spans="1:48" x14ac:dyDescent="0.3">
      <c r="A117" s="259" t="s">
        <v>161</v>
      </c>
      <c r="B117" s="259">
        <v>1</v>
      </c>
      <c r="C117" s="185">
        <v>116</v>
      </c>
      <c r="D117" s="185">
        <f>Table1123457[[#This Row],[a (mm)]]/Table1123457[[#This Row],[d (mm)]]</f>
        <v>2.8928571428571428</v>
      </c>
      <c r="E117" s="260">
        <v>10.25</v>
      </c>
      <c r="F117" s="137">
        <f>Table1123457[[#This Row],[d (mm)]]</f>
        <v>280</v>
      </c>
      <c r="G117" s="135">
        <f t="shared" si="15"/>
        <v>8302.5</v>
      </c>
      <c r="H117" s="135">
        <f t="shared" si="16"/>
        <v>1.0408365539990381E-6</v>
      </c>
      <c r="I117" s="111">
        <f>G117/(Table1123457[[#This Row],[b (mm)]]*Table1123457[[#This Row],[h]]^2)</f>
        <v>7.0815066273178552E-4</v>
      </c>
      <c r="J117" s="135">
        <f t="shared" si="17"/>
        <v>0.17992517453229531</v>
      </c>
      <c r="K117" s="135">
        <f t="shared" si="18"/>
        <v>1.7405623502231139E-6</v>
      </c>
      <c r="L117" s="135">
        <f>E117/(Table1123457[[#This Row],[b (mm)]]*AE117)</f>
        <v>3.0005854800936767E-4</v>
      </c>
      <c r="M117" s="135">
        <f>Table1123457[[#This Row],[M (KN.mm)]]/(Table1123457[[#This Row],[b (mm)]]*Table1123457[[#This Row],[d (mm)]])</f>
        <v>0.24304742388758782</v>
      </c>
      <c r="N117" s="135">
        <f>Table1123457[[#This Row],[M (KN.mm)]]/(Table1123457[[#This Row],[b (mm)]]*Table1123457[[#This Row],[h (mm)]])</f>
        <v>0.21952670544685352</v>
      </c>
      <c r="O117" s="145">
        <f>Table1123457[[#This Row],[M (KN.mm)]]/(Table1123457[[#This Row],[b (mm)]]*Table1123457[[#This Row],[h (mm)]]*Table1123457[[#This Row],[L(mm)]])</f>
        <v>1.3551031200423057E-4</v>
      </c>
      <c r="P117" s="145">
        <f>Table1123457[[#This Row],[M (KN.mm)]]/(Table1123457[[#This Row],[b (mm)]]*Table1123457[[#This Row],[d (mm)]]*Table1123457[[#This Row],[L(mm)]])</f>
        <v>1.5002927400468383E-4</v>
      </c>
      <c r="Q117" s="145">
        <f>Table1123457[[#This Row],[M (KN.mm)]]/(Table1123457[[#This Row],[b (mm)]]*Table1123457[[#This Row],[h (mm)]]*Table1123457[[#This Row],[L(mm)]]*Table1123457[[#This Row],[fc (Mpa)]])</f>
        <v>3.2341363246833071E-6</v>
      </c>
      <c r="R117" s="145">
        <f>Table1123457[[#This Row],[M (KN.mm)]]/(Table1123457[[#This Row],[b (mm)]]*Table1123457[[#This Row],[h (mm)]]*Table1123457[[#This Row],[L(mm)]]/2)</f>
        <v>2.7102062400846113E-4</v>
      </c>
      <c r="S117" s="145">
        <f>Table1123457[[#This Row],[M (KN.mm)]]/(Table1123457[[#This Row],[a (mm)]]*Table1123457[[#This Row],[b (mm)]]*Table1123457[[#This Row],[h (mm)]]*Table1123457[[#This Row],[L(mm)]]/2)</f>
        <v>3.3459336297340878E-7</v>
      </c>
      <c r="T117" s="145">
        <f>Table1123457[[#This Row],[M (KN.mm)]]/(Table1123457[[#This Row],[a (mm)]]^2*Table1123457[[#This Row],[b (mm)]]*Table1123457[[#This Row],[h (mm)]])</f>
        <v>3.3459336297340878E-7</v>
      </c>
      <c r="U117" s="145">
        <f>Table1123457[[#This Row],[M (KN.mm)]]/(Table1123457[[#This Row],[b (mm)]]*Table1123457[[#This Row],[d (mm)]]*Table1123457[[#This Row],[pho (%)]])</f>
        <v>0.29282822155131066</v>
      </c>
      <c r="V117" s="145">
        <f>E117*224.8/(2*SQRT(Table1123457[[#This Row],[fc (Mpa)]]*145.037)*Table1123457[[#This Row],[b (mm)]]*Table1123457[[#This Row],[d (mm)]]*(1/25.4)^2)</f>
        <v>0.27912152698270731</v>
      </c>
      <c r="W117" s="145">
        <f>Table1123457[[#This Row],[M (KN.mm)]]/$G$124</f>
        <v>0.26938239159001315</v>
      </c>
      <c r="X117" s="145">
        <f>Table1123457[[#This Row],[V/(2*sqrt(fc) bd)]]</f>
        <v>0.27912152698270731</v>
      </c>
      <c r="Y117" s="111">
        <f>Table1123457[[#This Row],[a (mm)]]</f>
        <v>810</v>
      </c>
      <c r="Z117" s="111">
        <f>Table1123457[[#This Row],[width]]*Table1123457[[#This Row],[h]]^2</f>
        <v>11724200</v>
      </c>
      <c r="AA117" s="111">
        <f>Table1123457[[#This Row],[b (mm)]]</f>
        <v>122</v>
      </c>
      <c r="AB117" s="111">
        <f>Table1123457[[#This Row],[a (mm)]]/Table1123457[[#This Row],[h (mm)]]</f>
        <v>2.6129032258064515</v>
      </c>
      <c r="AC117" s="111">
        <f>Table1123457[[#This Row],[h (mm)]]</f>
        <v>310</v>
      </c>
      <c r="AD117" s="111">
        <v>810</v>
      </c>
      <c r="AE117" s="111">
        <v>280</v>
      </c>
      <c r="AF117" s="111">
        <v>310</v>
      </c>
      <c r="AG117" s="111">
        <v>122</v>
      </c>
      <c r="AH117" s="7">
        <v>41.9</v>
      </c>
      <c r="AI117" s="135">
        <f>Table1123457[[#This Row],[pho (%)]]/100*Table1123457[[#This Row],[b (mm)]]*Table1123457[[#This Row],[h (mm)]]</f>
        <v>313.90600000000001</v>
      </c>
      <c r="AJ117" s="135">
        <v>0.83</v>
      </c>
      <c r="AK117" s="160">
        <v>525</v>
      </c>
      <c r="AL117" s="135">
        <f>(1/3-0.21*(MIN(Table1123457[[#This Row],[b (mm)]],AF117)/MAX(Table1123457[[#This Row],[b (mm)]],AF117))*(MIN(Table1123457[[#This Row],[b (mm)]],AF117)^4/(12*MAX(Table1123457[[#This Row],[b (mm)]],AF117)^4)))*MAX(Table1123457[[#This Row],[b (mm)]],AF117)*MIN(Table1123457[[#This Row],[b (mm)]],AF117)^3</f>
        <v>187544629.45683298</v>
      </c>
      <c r="AM117" s="135">
        <f>Table1123457[[#This Row],[b (mm)]]*AF117^3/12</f>
        <v>302875166.66666669</v>
      </c>
      <c r="AN117" s="111">
        <v>1620</v>
      </c>
      <c r="AP117" s="107"/>
      <c r="AU117" s="381">
        <v>20.5</v>
      </c>
      <c r="AV117" s="2">
        <f t="shared" si="9"/>
        <v>10.25</v>
      </c>
    </row>
    <row r="118" spans="1:48" x14ac:dyDescent="0.3">
      <c r="A118" s="259" t="s">
        <v>161</v>
      </c>
      <c r="B118" s="259">
        <v>2</v>
      </c>
      <c r="C118" s="185">
        <v>117</v>
      </c>
      <c r="D118" s="185">
        <f>Table1123457[[#This Row],[a (mm)]]/Table1123457[[#This Row],[d (mm)]]</f>
        <v>2.8928571428571428</v>
      </c>
      <c r="E118" s="260">
        <v>15.05</v>
      </c>
      <c r="F118" s="137">
        <f>Table1123457[[#This Row],[d (mm)]]</f>
        <v>280</v>
      </c>
      <c r="G118" s="135">
        <f t="shared" si="15"/>
        <v>12190.5</v>
      </c>
      <c r="H118" s="135">
        <f t="shared" si="16"/>
        <v>1.5282526963595633E-6</v>
      </c>
      <c r="I118" s="111">
        <f>G118/(Table1123457[[#This Row],[b (mm)]]*Table1123457[[#This Row],[h]]^2)</f>
        <v>1.0397724364988655E-3</v>
      </c>
      <c r="J118" s="135">
        <f t="shared" si="17"/>
        <v>0.2641828172401019</v>
      </c>
      <c r="K118" s="135">
        <f t="shared" si="18"/>
        <v>2.5556549630105237E-6</v>
      </c>
      <c r="L118" s="135">
        <f>E118/(Table1123457[[#This Row],[b (mm)]]*AE118)</f>
        <v>4.4057377049180332E-4</v>
      </c>
      <c r="M118" s="135">
        <f>Table1123457[[#This Row],[M (KN.mm)]]/(Table1123457[[#This Row],[b (mm)]]*Table1123457[[#This Row],[d (mm)]])</f>
        <v>0.35686475409836066</v>
      </c>
      <c r="N118" s="135">
        <f>Table1123457[[#This Row],[M (KN.mm)]]/(Table1123457[[#This Row],[b (mm)]]*Table1123457[[#This Row],[h (mm)]])</f>
        <v>0.32232945531464835</v>
      </c>
      <c r="O118" s="145">
        <f>Table1123457[[#This Row],[M (KN.mm)]]/(Table1123457[[#This Row],[b (mm)]]*Table1123457[[#This Row],[h (mm)]]*Table1123457[[#This Row],[L(mm)]])</f>
        <v>1.9896879957694342E-4</v>
      </c>
      <c r="P118" s="145">
        <f>Table1123457[[#This Row],[M (KN.mm)]]/(Table1123457[[#This Row],[b (mm)]]*Table1123457[[#This Row],[d (mm)]]*Table1123457[[#This Row],[L(mm)]])</f>
        <v>2.2028688524590163E-4</v>
      </c>
      <c r="Q118" s="145">
        <f>Table1123457[[#This Row],[M (KN.mm)]]/(Table1123457[[#This Row],[b (mm)]]*Table1123457[[#This Row],[h (mm)]]*Table1123457[[#This Row],[L(mm)]]*Table1123457[[#This Row],[fc (Mpa)]])</f>
        <v>4.7486587011203676E-6</v>
      </c>
      <c r="R118" s="145">
        <f>Table1123457[[#This Row],[M (KN.mm)]]/(Table1123457[[#This Row],[b (mm)]]*Table1123457[[#This Row],[h (mm)]]*Table1123457[[#This Row],[L(mm)]]/2)</f>
        <v>3.9793759915388683E-4</v>
      </c>
      <c r="S118" s="145">
        <f>Table1123457[[#This Row],[M (KN.mm)]]/(Table1123457[[#This Row],[a (mm)]]*Table1123457[[#This Row],[b (mm)]]*Table1123457[[#This Row],[h (mm)]]*Table1123457[[#This Row],[L(mm)]]/2)</f>
        <v>4.9128098660973679E-7</v>
      </c>
      <c r="T118" s="145">
        <f>Table1123457[[#This Row],[M (KN.mm)]]/(Table1123457[[#This Row],[a (mm)]]^2*Table1123457[[#This Row],[b (mm)]]*Table1123457[[#This Row],[h (mm)]])</f>
        <v>4.9128098660973679E-7</v>
      </c>
      <c r="U118" s="145">
        <f>Table1123457[[#This Row],[M (KN.mm)]]/(Table1123457[[#This Row],[b (mm)]]*Table1123457[[#This Row],[d (mm)]]*Table1123457[[#This Row],[pho (%)]])</f>
        <v>0.42995753505826584</v>
      </c>
      <c r="V118" s="145">
        <f>E118*224.8/(2*SQRT(Table1123457[[#This Row],[fc (Mpa)]]*145.037)*Table1123457[[#This Row],[b (mm)]]*Table1123457[[#This Row],[d (mm)]]*(1/25.4)^2)</f>
        <v>0.40983209571607271</v>
      </c>
      <c r="W118" s="145">
        <f>Table1123457[[#This Row],[M (KN.mm)]]/$G$124</f>
        <v>0.39553219448094618</v>
      </c>
      <c r="X118" s="145">
        <f>Table1123457[[#This Row],[V/(2*sqrt(fc) bd)]]</f>
        <v>0.40983209571607271</v>
      </c>
      <c r="Y118" s="111">
        <f>Table1123457[[#This Row],[a (mm)]]</f>
        <v>810</v>
      </c>
      <c r="Z118" s="111">
        <f>Table1123457[[#This Row],[width]]*Table1123457[[#This Row],[h]]^2</f>
        <v>11724200</v>
      </c>
      <c r="AA118" s="111">
        <f>Table1123457[[#This Row],[b (mm)]]</f>
        <v>122</v>
      </c>
      <c r="AB118" s="111">
        <f>Table1123457[[#This Row],[a (mm)]]/Table1123457[[#This Row],[h (mm)]]</f>
        <v>2.6129032258064515</v>
      </c>
      <c r="AC118" s="111">
        <f>Table1123457[[#This Row],[h (mm)]]</f>
        <v>310</v>
      </c>
      <c r="AD118" s="111">
        <v>810</v>
      </c>
      <c r="AE118" s="111">
        <v>280</v>
      </c>
      <c r="AF118" s="111">
        <v>310</v>
      </c>
      <c r="AG118" s="111">
        <v>122</v>
      </c>
      <c r="AH118" s="7">
        <v>41.9</v>
      </c>
      <c r="AI118" s="135">
        <f>Table1123457[[#This Row],[pho (%)]]/100*Table1123457[[#This Row],[b (mm)]]*Table1123457[[#This Row],[h (mm)]]</f>
        <v>313.90600000000001</v>
      </c>
      <c r="AJ118" s="135">
        <v>0.83</v>
      </c>
      <c r="AK118" s="160">
        <v>525</v>
      </c>
      <c r="AL118" s="135">
        <f>(1/3-0.21*(MIN(Table1123457[[#This Row],[b (mm)]],AF118)/MAX(Table1123457[[#This Row],[b (mm)]],AF118))*(MIN(Table1123457[[#This Row],[b (mm)]],AF118)^4/(12*MAX(Table1123457[[#This Row],[b (mm)]],AF118)^4)))*MAX(Table1123457[[#This Row],[b (mm)]],AF118)*MIN(Table1123457[[#This Row],[b (mm)]],AF118)^3</f>
        <v>187544629.45683298</v>
      </c>
      <c r="AM118" s="135">
        <f>Table1123457[[#This Row],[b (mm)]]*AF118^3/12</f>
        <v>302875166.66666669</v>
      </c>
      <c r="AN118" s="111">
        <v>1620</v>
      </c>
      <c r="AP118" s="107"/>
      <c r="AU118" s="381">
        <v>30.1</v>
      </c>
      <c r="AV118" s="2">
        <f t="shared" si="9"/>
        <v>15.05</v>
      </c>
    </row>
    <row r="119" spans="1:48" x14ac:dyDescent="0.3">
      <c r="A119" s="259" t="s">
        <v>161</v>
      </c>
      <c r="B119" s="259">
        <v>3</v>
      </c>
      <c r="C119" s="185">
        <v>118</v>
      </c>
      <c r="D119" s="185">
        <f>Table1123457[[#This Row],[a (mm)]]/Table1123457[[#This Row],[d (mm)]]</f>
        <v>2.8928571428571428</v>
      </c>
      <c r="E119" s="260">
        <v>18.25</v>
      </c>
      <c r="F119" s="137">
        <f>Table1123457[[#This Row],[d (mm)]]</f>
        <v>280</v>
      </c>
      <c r="G119" s="135">
        <f t="shared" si="15"/>
        <v>14782.5</v>
      </c>
      <c r="H119" s="135">
        <f t="shared" si="16"/>
        <v>1.8531967912665801E-6</v>
      </c>
      <c r="I119" s="111">
        <f>G119/(Table1123457[[#This Row],[b (mm)]]*Table1123457[[#This Row],[h]]^2)</f>
        <v>1.2608536190102523E-3</v>
      </c>
      <c r="J119" s="135">
        <f t="shared" si="17"/>
        <v>0.32035457904530629</v>
      </c>
      <c r="K119" s="135">
        <f t="shared" si="18"/>
        <v>3.0990500382021299E-6</v>
      </c>
      <c r="L119" s="135">
        <f>E119/(Table1123457[[#This Row],[b (mm)]]*AE119)</f>
        <v>5.3425058548009366E-4</v>
      </c>
      <c r="M119" s="135">
        <f>Table1123457[[#This Row],[M (KN.mm)]]/(Table1123457[[#This Row],[b (mm)]]*Table1123457[[#This Row],[d (mm)]])</f>
        <v>0.43274297423887587</v>
      </c>
      <c r="N119" s="135">
        <f>Table1123457[[#This Row],[M (KN.mm)]]/(Table1123457[[#This Row],[b (mm)]]*Table1123457[[#This Row],[h (mm)]])</f>
        <v>0.39086462189317822</v>
      </c>
      <c r="O119" s="145">
        <f>Table1123457[[#This Row],[M (KN.mm)]]/(Table1123457[[#This Row],[b (mm)]]*Table1123457[[#This Row],[h (mm)]]*Table1123457[[#This Row],[L(mm)]])</f>
        <v>2.4127445795875198E-4</v>
      </c>
      <c r="P119" s="145">
        <f>Table1123457[[#This Row],[M (KN.mm)]]/(Table1123457[[#This Row],[b (mm)]]*Table1123457[[#This Row],[d (mm)]]*Table1123457[[#This Row],[L(mm)]])</f>
        <v>2.6712529274004683E-4</v>
      </c>
      <c r="Q119" s="145">
        <f>Table1123457[[#This Row],[M (KN.mm)]]/(Table1123457[[#This Row],[b (mm)]]*Table1123457[[#This Row],[h (mm)]]*Table1123457[[#This Row],[L(mm)]]*Table1123457[[#This Row],[fc (Mpa)]])</f>
        <v>5.7583402854117418E-6</v>
      </c>
      <c r="R119" s="145">
        <f>Table1123457[[#This Row],[M (KN.mm)]]/(Table1123457[[#This Row],[b (mm)]]*Table1123457[[#This Row],[h (mm)]]*Table1123457[[#This Row],[L(mm)]]/2)</f>
        <v>4.8254891591750397E-4</v>
      </c>
      <c r="S119" s="145">
        <f>Table1123457[[#This Row],[M (KN.mm)]]/(Table1123457[[#This Row],[a (mm)]]*Table1123457[[#This Row],[b (mm)]]*Table1123457[[#This Row],[h (mm)]]*Table1123457[[#This Row],[L(mm)]]/2)</f>
        <v>5.957394023672888E-7</v>
      </c>
      <c r="T119" s="145">
        <f>Table1123457[[#This Row],[M (KN.mm)]]/(Table1123457[[#This Row],[a (mm)]]^2*Table1123457[[#This Row],[b (mm)]]*Table1123457[[#This Row],[h (mm)]])</f>
        <v>5.957394023672888E-7</v>
      </c>
      <c r="U119" s="145">
        <f>Table1123457[[#This Row],[M (KN.mm)]]/(Table1123457[[#This Row],[b (mm)]]*Table1123457[[#This Row],[d (mm)]]*Table1123457[[#This Row],[pho (%)]])</f>
        <v>0.52137707739623607</v>
      </c>
      <c r="V119" s="145">
        <f>E119*224.8/(2*SQRT(Table1123457[[#This Row],[fc (Mpa)]]*145.037)*Table1123457[[#This Row],[b (mm)]]*Table1123457[[#This Row],[d (mm)]]*(1/25.4)^2)</f>
        <v>0.49697247487164964</v>
      </c>
      <c r="W119" s="145">
        <f>Table1123457[[#This Row],[M (KN.mm)]]/$G$124</f>
        <v>0.47963206307490153</v>
      </c>
      <c r="X119" s="145">
        <f>Table1123457[[#This Row],[V/(2*sqrt(fc) bd)]]</f>
        <v>0.49697247487164964</v>
      </c>
      <c r="Y119" s="111">
        <f>Table1123457[[#This Row],[a (mm)]]</f>
        <v>810</v>
      </c>
      <c r="Z119" s="111">
        <f>Table1123457[[#This Row],[width]]*Table1123457[[#This Row],[h]]^2</f>
        <v>11724200</v>
      </c>
      <c r="AA119" s="111">
        <f>Table1123457[[#This Row],[b (mm)]]</f>
        <v>122</v>
      </c>
      <c r="AB119" s="111">
        <f>Table1123457[[#This Row],[a (mm)]]/Table1123457[[#This Row],[h (mm)]]</f>
        <v>2.6129032258064515</v>
      </c>
      <c r="AC119" s="111">
        <f>Table1123457[[#This Row],[h (mm)]]</f>
        <v>310</v>
      </c>
      <c r="AD119" s="111">
        <v>810</v>
      </c>
      <c r="AE119" s="111">
        <v>280</v>
      </c>
      <c r="AF119" s="111">
        <v>310</v>
      </c>
      <c r="AG119" s="111">
        <v>122</v>
      </c>
      <c r="AH119" s="7">
        <v>41.9</v>
      </c>
      <c r="AI119" s="135">
        <f>Table1123457[[#This Row],[pho (%)]]/100*Table1123457[[#This Row],[b (mm)]]*Table1123457[[#This Row],[h (mm)]]</f>
        <v>313.90600000000001</v>
      </c>
      <c r="AJ119" s="135">
        <v>0.83</v>
      </c>
      <c r="AK119" s="160">
        <v>525</v>
      </c>
      <c r="AL119" s="135">
        <f>(1/3-0.21*(MIN(Table1123457[[#This Row],[b (mm)]],AF119)/MAX(Table1123457[[#This Row],[b (mm)]],AF119))*(MIN(Table1123457[[#This Row],[b (mm)]],AF119)^4/(12*MAX(Table1123457[[#This Row],[b (mm)]],AF119)^4)))*MAX(Table1123457[[#This Row],[b (mm)]],AF119)*MIN(Table1123457[[#This Row],[b (mm)]],AF119)^3</f>
        <v>187544629.45683298</v>
      </c>
      <c r="AM119" s="135">
        <f>Table1123457[[#This Row],[b (mm)]]*AF119^3/12</f>
        <v>302875166.66666669</v>
      </c>
      <c r="AN119" s="111">
        <v>1620</v>
      </c>
      <c r="AP119" s="107"/>
      <c r="AU119" s="381">
        <v>36.5</v>
      </c>
      <c r="AV119" s="2">
        <f t="shared" si="9"/>
        <v>18.25</v>
      </c>
    </row>
    <row r="120" spans="1:48" x14ac:dyDescent="0.3">
      <c r="A120" s="259" t="s">
        <v>161</v>
      </c>
      <c r="B120" s="259">
        <v>4</v>
      </c>
      <c r="C120" s="185">
        <v>119</v>
      </c>
      <c r="D120" s="185">
        <f>Table1123457[[#This Row],[a (mm)]]/Table1123457[[#This Row],[d (mm)]]</f>
        <v>2.8928571428571428</v>
      </c>
      <c r="E120" s="260">
        <v>21.55</v>
      </c>
      <c r="F120" s="137">
        <f>Table1123457[[#This Row],[d (mm)]]</f>
        <v>280</v>
      </c>
      <c r="G120" s="135">
        <f t="shared" si="15"/>
        <v>17455.5</v>
      </c>
      <c r="H120" s="135">
        <f t="shared" si="16"/>
        <v>2.1882953891394411E-6</v>
      </c>
      <c r="I120" s="111">
        <f>G120/(Table1123457[[#This Row],[b (mm)]]*Table1123457[[#This Row],[h]]^2)</f>
        <v>1.4888435884751199E-3</v>
      </c>
      <c r="J120" s="135">
        <f t="shared" si="17"/>
        <v>0.37828170840692332</v>
      </c>
      <c r="K120" s="135">
        <f t="shared" si="18"/>
        <v>3.6594262094934739E-6</v>
      </c>
      <c r="L120" s="135">
        <f>E120/(Table1123457[[#This Row],[b (mm)]]*AE120)</f>
        <v>6.3085480093676822E-4</v>
      </c>
      <c r="M120" s="135">
        <f>Table1123457[[#This Row],[M (KN.mm)]]/(Table1123457[[#This Row],[b (mm)]]*Table1123457[[#This Row],[d (mm)]])</f>
        <v>0.51099238875878217</v>
      </c>
      <c r="N120" s="135">
        <f>Table1123457[[#This Row],[M (KN.mm)]]/(Table1123457[[#This Row],[b (mm)]]*Table1123457[[#This Row],[h (mm)]])</f>
        <v>0.46154151242728714</v>
      </c>
      <c r="O120" s="145">
        <f>Table1123457[[#This Row],[M (KN.mm)]]/(Table1123457[[#This Row],[b (mm)]]*Table1123457[[#This Row],[h (mm)]]*Table1123457[[#This Row],[L(mm)]])</f>
        <v>2.8490216816499209E-4</v>
      </c>
      <c r="P120" s="145">
        <f>Table1123457[[#This Row],[M (KN.mm)]]/(Table1123457[[#This Row],[b (mm)]]*Table1123457[[#This Row],[d (mm)]]*Table1123457[[#This Row],[L(mm)]])</f>
        <v>3.1542740046838405E-4</v>
      </c>
      <c r="Q120" s="145">
        <f>Table1123457[[#This Row],[M (KN.mm)]]/(Table1123457[[#This Row],[b (mm)]]*Table1123457[[#This Row],[h (mm)]]*Table1123457[[#This Row],[L(mm)]]*Table1123457[[#This Row],[fc (Mpa)]])</f>
        <v>6.7995744192122213E-6</v>
      </c>
      <c r="R120" s="145">
        <f>Table1123457[[#This Row],[M (KN.mm)]]/(Table1123457[[#This Row],[b (mm)]]*Table1123457[[#This Row],[h (mm)]]*Table1123457[[#This Row],[L(mm)]]/2)</f>
        <v>5.6980433632998419E-4</v>
      </c>
      <c r="S120" s="145">
        <f>Table1123457[[#This Row],[M (KN.mm)]]/(Table1123457[[#This Row],[a (mm)]]*Table1123457[[#This Row],[b (mm)]]*Table1123457[[#This Row],[h (mm)]]*Table1123457[[#This Row],[L(mm)]]/2)</f>
        <v>7.0346214361726437E-7</v>
      </c>
      <c r="T120" s="145">
        <f>Table1123457[[#This Row],[M (KN.mm)]]/(Table1123457[[#This Row],[a (mm)]]^2*Table1123457[[#This Row],[b (mm)]]*Table1123457[[#This Row],[h (mm)]])</f>
        <v>7.0346214361726437E-7</v>
      </c>
      <c r="U120" s="145">
        <f>Table1123457[[#This Row],[M (KN.mm)]]/(Table1123457[[#This Row],[b (mm)]]*Table1123457[[#This Row],[d (mm)]]*Table1123457[[#This Row],[pho (%)]])</f>
        <v>0.61565348043226775</v>
      </c>
      <c r="V120" s="145">
        <f>E120*224.8/(2*SQRT(Table1123457[[#This Row],[fc (Mpa)]]*145.037)*Table1123457[[#This Row],[b (mm)]]*Table1123457[[#This Row],[d (mm)]]*(1/25.4)^2)</f>
        <v>0.58683599087583838</v>
      </c>
      <c r="W120" s="145">
        <f>Table1123457[[#This Row],[M (KN.mm)]]/$G$124</f>
        <v>0.56636005256241795</v>
      </c>
      <c r="X120" s="145">
        <f>Table1123457[[#This Row],[V/(2*sqrt(fc) bd)]]</f>
        <v>0.58683599087583838</v>
      </c>
      <c r="Y120" s="111">
        <f>Table1123457[[#This Row],[a (mm)]]</f>
        <v>810</v>
      </c>
      <c r="Z120" s="111">
        <f>Table1123457[[#This Row],[width]]*Table1123457[[#This Row],[h]]^2</f>
        <v>11724200</v>
      </c>
      <c r="AA120" s="111">
        <f>Table1123457[[#This Row],[b (mm)]]</f>
        <v>122</v>
      </c>
      <c r="AB120" s="111">
        <f>Table1123457[[#This Row],[a (mm)]]/Table1123457[[#This Row],[h (mm)]]</f>
        <v>2.6129032258064515</v>
      </c>
      <c r="AC120" s="111">
        <f>Table1123457[[#This Row],[h (mm)]]</f>
        <v>310</v>
      </c>
      <c r="AD120" s="111">
        <v>810</v>
      </c>
      <c r="AE120" s="111">
        <v>280</v>
      </c>
      <c r="AF120" s="111">
        <v>310</v>
      </c>
      <c r="AG120" s="111">
        <v>122</v>
      </c>
      <c r="AH120" s="7">
        <v>41.9</v>
      </c>
      <c r="AI120" s="135">
        <f>Table1123457[[#This Row],[pho (%)]]/100*Table1123457[[#This Row],[b (mm)]]*Table1123457[[#This Row],[h (mm)]]</f>
        <v>313.90600000000001</v>
      </c>
      <c r="AJ120" s="135">
        <v>0.83</v>
      </c>
      <c r="AK120" s="160">
        <v>525</v>
      </c>
      <c r="AL120" s="135">
        <f>(1/3-0.21*(MIN(Table1123457[[#This Row],[b (mm)]],AF120)/MAX(Table1123457[[#This Row],[b (mm)]],AF120))*(MIN(Table1123457[[#This Row],[b (mm)]],AF120)^4/(12*MAX(Table1123457[[#This Row],[b (mm)]],AF120)^4)))*MAX(Table1123457[[#This Row],[b (mm)]],AF120)*MIN(Table1123457[[#This Row],[b (mm)]],AF120)^3</f>
        <v>187544629.45683298</v>
      </c>
      <c r="AM120" s="135">
        <f>Table1123457[[#This Row],[b (mm)]]*AF120^3/12</f>
        <v>302875166.66666669</v>
      </c>
      <c r="AN120" s="111">
        <v>1620</v>
      </c>
      <c r="AP120" s="107"/>
      <c r="AU120" s="381">
        <v>43.1</v>
      </c>
      <c r="AV120" s="2">
        <f t="shared" si="9"/>
        <v>21.55</v>
      </c>
    </row>
    <row r="121" spans="1:48" x14ac:dyDescent="0.3">
      <c r="A121" s="259" t="s">
        <v>161</v>
      </c>
      <c r="B121" s="259">
        <v>5</v>
      </c>
      <c r="C121" s="185">
        <v>120</v>
      </c>
      <c r="D121" s="185">
        <f>Table1123457[[#This Row],[a (mm)]]/Table1123457[[#This Row],[d (mm)]]</f>
        <v>2.8928571428571428</v>
      </c>
      <c r="E121" s="260">
        <v>26.35</v>
      </c>
      <c r="F121" s="137">
        <f>Table1123457[[#This Row],[d (mm)]]</f>
        <v>280</v>
      </c>
      <c r="G121" s="135">
        <f t="shared" si="15"/>
        <v>21343.5</v>
      </c>
      <c r="H121" s="135">
        <f t="shared" si="16"/>
        <v>2.6757115314999663E-6</v>
      </c>
      <c r="I121" s="111">
        <f>G121/(Table1123457[[#This Row],[b (mm)]]*Table1123457[[#This Row],[h]]^2)</f>
        <v>1.8204653622421998E-3</v>
      </c>
      <c r="J121" s="135">
        <f t="shared" si="17"/>
        <v>0.46253935111472988</v>
      </c>
      <c r="K121" s="135">
        <f t="shared" si="18"/>
        <v>4.4745188222808837E-6</v>
      </c>
      <c r="L121" s="135">
        <f>E121/(Table1123457[[#This Row],[b (mm)]]*AE121)</f>
        <v>7.7137002341920381E-4</v>
      </c>
      <c r="M121" s="135">
        <f>Table1123457[[#This Row],[M (KN.mm)]]/(Table1123457[[#This Row],[b (mm)]]*Table1123457[[#This Row],[d (mm)]])</f>
        <v>0.62480971896955506</v>
      </c>
      <c r="N121" s="135">
        <f>Table1123457[[#This Row],[M (KN.mm)]]/(Table1123457[[#This Row],[b (mm)]]*Table1123457[[#This Row],[h (mm)]])</f>
        <v>0.56434426229508194</v>
      </c>
      <c r="O121" s="145">
        <f>Table1123457[[#This Row],[M (KN.mm)]]/(Table1123457[[#This Row],[b (mm)]]*Table1123457[[#This Row],[h (mm)]]*Table1123457[[#This Row],[L(mm)]])</f>
        <v>3.4836065573770494E-4</v>
      </c>
      <c r="P121" s="145">
        <f>Table1123457[[#This Row],[M (KN.mm)]]/(Table1123457[[#This Row],[b (mm)]]*Table1123457[[#This Row],[d (mm)]]*Table1123457[[#This Row],[L(mm)]])</f>
        <v>3.8568501170960185E-4</v>
      </c>
      <c r="Q121" s="145">
        <f>Table1123457[[#This Row],[M (KN.mm)]]/(Table1123457[[#This Row],[b (mm)]]*Table1123457[[#This Row],[h (mm)]]*Table1123457[[#This Row],[L(mm)]]*Table1123457[[#This Row],[fc (Mpa)]])</f>
        <v>8.3140967956492822E-6</v>
      </c>
      <c r="R121" s="145">
        <f>Table1123457[[#This Row],[M (KN.mm)]]/(Table1123457[[#This Row],[b (mm)]]*Table1123457[[#This Row],[h (mm)]]*Table1123457[[#This Row],[L(mm)]]/2)</f>
        <v>6.9672131147540989E-4</v>
      </c>
      <c r="S121" s="145">
        <f>Table1123457[[#This Row],[M (KN.mm)]]/(Table1123457[[#This Row],[a (mm)]]*Table1123457[[#This Row],[b (mm)]]*Table1123457[[#This Row],[h (mm)]]*Table1123457[[#This Row],[L(mm)]]/2)</f>
        <v>8.6014976725359238E-7</v>
      </c>
      <c r="T121" s="145">
        <f>Table1123457[[#This Row],[M (KN.mm)]]/(Table1123457[[#This Row],[a (mm)]]^2*Table1123457[[#This Row],[b (mm)]]*Table1123457[[#This Row],[h (mm)]])</f>
        <v>8.6014976725359238E-7</v>
      </c>
      <c r="U121" s="145">
        <f>Table1123457[[#This Row],[M (KN.mm)]]/(Table1123457[[#This Row],[b (mm)]]*Table1123457[[#This Row],[d (mm)]]*Table1123457[[#This Row],[pho (%)]])</f>
        <v>0.75278279393922298</v>
      </c>
      <c r="V121" s="145">
        <f>E121*224.8/(2*SQRT(Table1123457[[#This Row],[fc (Mpa)]]*145.037)*Table1123457[[#This Row],[b (mm)]]*Table1123457[[#This Row],[d (mm)]]*(1/25.4)^2)</f>
        <v>0.71754655960920366</v>
      </c>
      <c r="W121" s="145">
        <f>Table1123457[[#This Row],[M (KN.mm)]]/$G$124</f>
        <v>0.69250985545335098</v>
      </c>
      <c r="X121" s="145">
        <f>Table1123457[[#This Row],[V/(2*sqrt(fc) bd)]]</f>
        <v>0.71754655960920366</v>
      </c>
      <c r="Y121" s="111">
        <f>Table1123457[[#This Row],[a (mm)]]</f>
        <v>810</v>
      </c>
      <c r="Z121" s="111">
        <f>Table1123457[[#This Row],[width]]*Table1123457[[#This Row],[h]]^2</f>
        <v>11724200</v>
      </c>
      <c r="AA121" s="111">
        <f>Table1123457[[#This Row],[b (mm)]]</f>
        <v>122</v>
      </c>
      <c r="AB121" s="111">
        <f>Table1123457[[#This Row],[a (mm)]]/Table1123457[[#This Row],[h (mm)]]</f>
        <v>2.6129032258064515</v>
      </c>
      <c r="AC121" s="111">
        <f>Table1123457[[#This Row],[h (mm)]]</f>
        <v>310</v>
      </c>
      <c r="AD121" s="111">
        <v>810</v>
      </c>
      <c r="AE121" s="111">
        <v>280</v>
      </c>
      <c r="AF121" s="111">
        <v>310</v>
      </c>
      <c r="AG121" s="111">
        <v>122</v>
      </c>
      <c r="AH121" s="7">
        <v>41.9</v>
      </c>
      <c r="AI121" s="135">
        <f>Table1123457[[#This Row],[pho (%)]]/100*Table1123457[[#This Row],[b (mm)]]*Table1123457[[#This Row],[h (mm)]]</f>
        <v>313.90600000000001</v>
      </c>
      <c r="AJ121" s="135">
        <v>0.83</v>
      </c>
      <c r="AK121" s="160">
        <v>525</v>
      </c>
      <c r="AL121" s="135">
        <f>(1/3-0.21*(MIN(Table1123457[[#This Row],[b (mm)]],AF121)/MAX(Table1123457[[#This Row],[b (mm)]],AF121))*(MIN(Table1123457[[#This Row],[b (mm)]],AF121)^4/(12*MAX(Table1123457[[#This Row],[b (mm)]],AF121)^4)))*MAX(Table1123457[[#This Row],[b (mm)]],AF121)*MIN(Table1123457[[#This Row],[b (mm)]],AF121)^3</f>
        <v>187544629.45683298</v>
      </c>
      <c r="AM121" s="135">
        <f>Table1123457[[#This Row],[b (mm)]]*AF121^3/12</f>
        <v>302875166.66666669</v>
      </c>
      <c r="AN121" s="111">
        <v>1620</v>
      </c>
      <c r="AP121" s="107"/>
      <c r="AU121" s="381">
        <v>52.7</v>
      </c>
      <c r="AV121" s="2">
        <f t="shared" si="9"/>
        <v>26.35</v>
      </c>
    </row>
    <row r="122" spans="1:48" x14ac:dyDescent="0.3">
      <c r="A122" s="259" t="s">
        <v>161</v>
      </c>
      <c r="B122" s="259">
        <v>6</v>
      </c>
      <c r="C122" s="185">
        <v>121</v>
      </c>
      <c r="D122" s="185">
        <f>Table1123457[[#This Row],[a (mm)]]/Table1123457[[#This Row],[d (mm)]]</f>
        <v>2.8928571428571428</v>
      </c>
      <c r="E122" s="260">
        <v>31.45</v>
      </c>
      <c r="F122" s="137">
        <f>Table1123457[[#This Row],[d (mm)]]</f>
        <v>280</v>
      </c>
      <c r="G122" s="135">
        <f t="shared" si="15"/>
        <v>25474.5</v>
      </c>
      <c r="H122" s="135">
        <f t="shared" si="16"/>
        <v>3.1935911827580244E-6</v>
      </c>
      <c r="I122" s="111">
        <f>G122/(Table1123457[[#This Row],[b (mm)]]*Table1123457[[#This Row],[h]]^2)</f>
        <v>2.1728134968697225E-3</v>
      </c>
      <c r="J122" s="135">
        <f t="shared" si="17"/>
        <v>0.55206309649177443</v>
      </c>
      <c r="K122" s="135">
        <f t="shared" si="18"/>
        <v>5.3405547233675059E-6</v>
      </c>
      <c r="L122" s="135">
        <f>E122/(Table1123457[[#This Row],[b (mm)]]*AE122)</f>
        <v>9.2066744730679155E-4</v>
      </c>
      <c r="M122" s="135">
        <f>Table1123457[[#This Row],[M (KN.mm)]]/(Table1123457[[#This Row],[b (mm)]]*Table1123457[[#This Row],[d (mm)]])</f>
        <v>0.74574063231850118</v>
      </c>
      <c r="N122" s="135">
        <f>Table1123457[[#This Row],[M (KN.mm)]]/(Table1123457[[#This Row],[b (mm)]]*Table1123457[[#This Row],[h (mm)]])</f>
        <v>0.67357218402961394</v>
      </c>
      <c r="O122" s="145">
        <f>Table1123457[[#This Row],[M (KN.mm)]]/(Table1123457[[#This Row],[b (mm)]]*Table1123457[[#This Row],[h (mm)]]*Table1123457[[#This Row],[L(mm)]])</f>
        <v>4.1578529878371235E-4</v>
      </c>
      <c r="P122" s="145">
        <f>Table1123457[[#This Row],[M (KN.mm)]]/(Table1123457[[#This Row],[b (mm)]]*Table1123457[[#This Row],[d (mm)]]*Table1123457[[#This Row],[L(mm)]])</f>
        <v>4.6033372365339578E-4</v>
      </c>
      <c r="Q122" s="145">
        <f>Table1123457[[#This Row],[M (KN.mm)]]/(Table1123457[[#This Row],[b (mm)]]*Table1123457[[#This Row],[h (mm)]]*Table1123457[[#This Row],[L(mm)]]*Table1123457[[#This Row],[fc (Mpa)]])</f>
        <v>9.923276820613659E-6</v>
      </c>
      <c r="R122" s="145">
        <f>Table1123457[[#This Row],[M (KN.mm)]]/(Table1123457[[#This Row],[b (mm)]]*Table1123457[[#This Row],[h (mm)]]*Table1123457[[#This Row],[L(mm)]]/2)</f>
        <v>8.315705975674247E-4</v>
      </c>
      <c r="S122" s="145">
        <f>Table1123457[[#This Row],[M (KN.mm)]]/(Table1123457[[#This Row],[a (mm)]]*Table1123457[[#This Row],[b (mm)]]*Table1123457[[#This Row],[h (mm)]]*Table1123457[[#This Row],[L(mm)]]/2)</f>
        <v>1.0266303673671909E-6</v>
      </c>
      <c r="T122" s="145">
        <f>Table1123457[[#This Row],[M (KN.mm)]]/(Table1123457[[#This Row],[a (mm)]]^2*Table1123457[[#This Row],[b (mm)]]*Table1123457[[#This Row],[h (mm)]])</f>
        <v>1.0266303673671909E-6</v>
      </c>
      <c r="U122" s="145">
        <f>Table1123457[[#This Row],[M (KN.mm)]]/(Table1123457[[#This Row],[b (mm)]]*Table1123457[[#This Row],[d (mm)]]*Table1123457[[#This Row],[pho (%)]])</f>
        <v>0.89848268954036292</v>
      </c>
      <c r="V122" s="145">
        <f>E122*224.8/(2*SQRT(Table1123457[[#This Row],[fc (Mpa)]]*145.037)*Table1123457[[#This Row],[b (mm)]]*Table1123457[[#This Row],[d (mm)]]*(1/25.4)^2)</f>
        <v>0.85642653888840437</v>
      </c>
      <c r="W122" s="145">
        <f>Table1123457[[#This Row],[M (KN.mm)]]/$G$124</f>
        <v>0.82654402102496727</v>
      </c>
      <c r="X122" s="145">
        <f>Table1123457[[#This Row],[V/(2*sqrt(fc) bd)]]</f>
        <v>0.85642653888840437</v>
      </c>
      <c r="Y122" s="111">
        <f>Table1123457[[#This Row],[a (mm)]]</f>
        <v>810</v>
      </c>
      <c r="Z122" s="111">
        <f>Table1123457[[#This Row],[width]]*Table1123457[[#This Row],[h]]^2</f>
        <v>11724200</v>
      </c>
      <c r="AA122" s="111">
        <f>Table1123457[[#This Row],[b (mm)]]</f>
        <v>122</v>
      </c>
      <c r="AB122" s="111">
        <f>Table1123457[[#This Row],[a (mm)]]/Table1123457[[#This Row],[h (mm)]]</f>
        <v>2.6129032258064515</v>
      </c>
      <c r="AC122" s="111">
        <f>Table1123457[[#This Row],[h (mm)]]</f>
        <v>310</v>
      </c>
      <c r="AD122" s="111">
        <v>810</v>
      </c>
      <c r="AE122" s="111">
        <v>280</v>
      </c>
      <c r="AF122" s="111">
        <v>310</v>
      </c>
      <c r="AG122" s="111">
        <v>122</v>
      </c>
      <c r="AH122" s="7">
        <v>41.9</v>
      </c>
      <c r="AI122" s="135">
        <f>Table1123457[[#This Row],[pho (%)]]/100*Table1123457[[#This Row],[b (mm)]]*Table1123457[[#This Row],[h (mm)]]</f>
        <v>313.90600000000001</v>
      </c>
      <c r="AJ122" s="135">
        <v>0.83</v>
      </c>
      <c r="AK122" s="160">
        <v>525</v>
      </c>
      <c r="AL122" s="135">
        <f>(1/3-0.21*(MIN(Table1123457[[#This Row],[b (mm)]],AF122)/MAX(Table1123457[[#This Row],[b (mm)]],AF122))*(MIN(Table1123457[[#This Row],[b (mm)]],AF122)^4/(12*MAX(Table1123457[[#This Row],[b (mm)]],AF122)^4)))*MAX(Table1123457[[#This Row],[b (mm)]],AF122)*MIN(Table1123457[[#This Row],[b (mm)]],AF122)^3</f>
        <v>187544629.45683298</v>
      </c>
      <c r="AM122" s="135">
        <f>Table1123457[[#This Row],[b (mm)]]*AF122^3/12</f>
        <v>302875166.66666669</v>
      </c>
      <c r="AN122" s="111">
        <v>1620</v>
      </c>
      <c r="AP122" s="107"/>
      <c r="AU122" s="381">
        <v>62.9</v>
      </c>
      <c r="AV122" s="2">
        <f t="shared" si="9"/>
        <v>31.45</v>
      </c>
    </row>
    <row r="123" spans="1:48" x14ac:dyDescent="0.3">
      <c r="A123" s="259" t="s">
        <v>161</v>
      </c>
      <c r="B123" s="259">
        <v>7</v>
      </c>
      <c r="C123" s="185">
        <v>122</v>
      </c>
      <c r="D123" s="185">
        <f>Table1123457[[#This Row],[a (mm)]]/Table1123457[[#This Row],[d (mm)]]</f>
        <v>2.8928571428571428</v>
      </c>
      <c r="E123" s="260">
        <v>34.5</v>
      </c>
      <c r="F123" s="137">
        <f>Table1123457[[#This Row],[d (mm)]]</f>
        <v>280</v>
      </c>
      <c r="G123" s="135">
        <f t="shared" si="15"/>
        <v>27945</v>
      </c>
      <c r="H123" s="135">
        <f t="shared" si="16"/>
        <v>3.5033035232162748E-6</v>
      </c>
      <c r="I123" s="111">
        <f>G123/(Table1123457[[#This Row],[b (mm)]]*Table1123457[[#This Row],[h]]^2)</f>
        <v>2.3835314989508879E-3</v>
      </c>
      <c r="J123" s="135">
        <f t="shared" si="17"/>
        <v>0.60560180696235988</v>
      </c>
      <c r="K123" s="135">
        <f t="shared" si="18"/>
        <v>5.8584781544095058E-6</v>
      </c>
      <c r="L123" s="135">
        <f>E123/(Table1123457[[#This Row],[b (mm)]]*AE123)</f>
        <v>1.0099531615925059E-3</v>
      </c>
      <c r="M123" s="135">
        <f>Table1123457[[#This Row],[M (KN.mm)]]/(Table1123457[[#This Row],[b (mm)]]*Table1123457[[#This Row],[d (mm)]])</f>
        <v>0.81806206088992972</v>
      </c>
      <c r="N123" s="135">
        <f>Table1123457[[#This Row],[M (KN.mm)]]/(Table1123457[[#This Row],[b (mm)]]*Table1123457[[#This Row],[h (mm)]])</f>
        <v>0.73889476467477522</v>
      </c>
      <c r="O123" s="145">
        <f>Table1123457[[#This Row],[M (KN.mm)]]/(Table1123457[[#This Row],[b (mm)]]*Table1123457[[#This Row],[h (mm)]]*Table1123457[[#This Row],[L(mm)]])</f>
        <v>4.5610787942887361E-4</v>
      </c>
      <c r="P123" s="145">
        <f>Table1123457[[#This Row],[M (KN.mm)]]/(Table1123457[[#This Row],[b (mm)]]*Table1123457[[#This Row],[d (mm)]]*Table1123457[[#This Row],[L(mm)]])</f>
        <v>5.0497658079625297E-4</v>
      </c>
      <c r="Q123" s="145">
        <f>Table1123457[[#This Row],[M (KN.mm)]]/(Table1123457[[#This Row],[b (mm)]]*Table1123457[[#This Row],[h (mm)]]*Table1123457[[#This Row],[L(mm)]]*Table1123457[[#This Row],[fc (Mpa)]])</f>
        <v>1.0885629580641376E-5</v>
      </c>
      <c r="R123" s="145">
        <f>Table1123457[[#This Row],[M (KN.mm)]]/(Table1123457[[#This Row],[b (mm)]]*Table1123457[[#This Row],[h (mm)]]*Table1123457[[#This Row],[L(mm)]]/2)</f>
        <v>9.1221575885774722E-4</v>
      </c>
      <c r="S123" s="145">
        <f>Table1123457[[#This Row],[M (KN.mm)]]/(Table1123457[[#This Row],[a (mm)]]*Table1123457[[#This Row],[b (mm)]]*Table1123457[[#This Row],[h (mm)]]*Table1123457[[#This Row],[L(mm)]]/2)</f>
        <v>1.1261922948861078E-6</v>
      </c>
      <c r="T123" s="145">
        <f>Table1123457[[#This Row],[M (KN.mm)]]/(Table1123457[[#This Row],[a (mm)]]^2*Table1123457[[#This Row],[b (mm)]]*Table1123457[[#This Row],[h (mm)]])</f>
        <v>1.1261922948861078E-6</v>
      </c>
      <c r="U123" s="145">
        <f>Table1123457[[#This Row],[M (KN.mm)]]/(Table1123457[[#This Row],[b (mm)]]*Table1123457[[#This Row],[d (mm)]]*Table1123457[[#This Row],[pho (%)]])</f>
        <v>0.98561694083124063</v>
      </c>
      <c r="V123" s="145">
        <f>E123*224.8/(2*SQRT(Table1123457[[#This Row],[fc (Mpa)]]*145.037)*Table1123457[[#This Row],[b (mm)]]*Table1123457[[#This Row],[d (mm)]]*(1/25.4)^2)</f>
        <v>0.93948221277106359</v>
      </c>
      <c r="W123" s="145">
        <f>Table1123457[[#This Row],[M (KN.mm)]]/$G$124</f>
        <v>0.90670170827858088</v>
      </c>
      <c r="X123" s="145">
        <f>Table1123457[[#This Row],[V/(2*sqrt(fc) bd)]]</f>
        <v>0.93948221277106359</v>
      </c>
      <c r="Y123" s="111">
        <f>Table1123457[[#This Row],[a (mm)]]</f>
        <v>810</v>
      </c>
      <c r="Z123" s="111">
        <f>Table1123457[[#This Row],[width]]*Table1123457[[#This Row],[h]]^2</f>
        <v>11724200</v>
      </c>
      <c r="AA123" s="111">
        <f>Table1123457[[#This Row],[b (mm)]]</f>
        <v>122</v>
      </c>
      <c r="AB123" s="111">
        <f>Table1123457[[#This Row],[a (mm)]]/Table1123457[[#This Row],[h (mm)]]</f>
        <v>2.6129032258064515</v>
      </c>
      <c r="AC123" s="111">
        <f>Table1123457[[#This Row],[h (mm)]]</f>
        <v>310</v>
      </c>
      <c r="AD123" s="111">
        <v>810</v>
      </c>
      <c r="AE123" s="111">
        <v>280</v>
      </c>
      <c r="AF123" s="111">
        <v>310</v>
      </c>
      <c r="AG123" s="111">
        <v>122</v>
      </c>
      <c r="AH123" s="7">
        <v>41.9</v>
      </c>
      <c r="AI123" s="135">
        <f>Table1123457[[#This Row],[pho (%)]]/100*Table1123457[[#This Row],[b (mm)]]*Table1123457[[#This Row],[h (mm)]]</f>
        <v>313.90600000000001</v>
      </c>
      <c r="AJ123" s="135">
        <v>0.83</v>
      </c>
      <c r="AK123" s="160">
        <v>525</v>
      </c>
      <c r="AL123" s="135">
        <f>(1/3-0.21*(MIN(Table1123457[[#This Row],[b (mm)]],AF123)/MAX(Table1123457[[#This Row],[b (mm)]],AF123))*(MIN(Table1123457[[#This Row],[b (mm)]],AF123)^4/(12*MAX(Table1123457[[#This Row],[b (mm)]],AF123)^4)))*MAX(Table1123457[[#This Row],[b (mm)]],AF123)*MIN(Table1123457[[#This Row],[b (mm)]],AF123)^3</f>
        <v>187544629.45683298</v>
      </c>
      <c r="AM123" s="135">
        <f>Table1123457[[#This Row],[b (mm)]]*AF123^3/12</f>
        <v>302875166.66666669</v>
      </c>
      <c r="AN123" s="111">
        <v>1620</v>
      </c>
      <c r="AP123" s="107"/>
      <c r="AU123" s="381">
        <v>69</v>
      </c>
      <c r="AV123" s="2">
        <f t="shared" si="9"/>
        <v>34.5</v>
      </c>
    </row>
    <row r="124" spans="1:48" x14ac:dyDescent="0.3">
      <c r="A124" s="259" t="s">
        <v>161</v>
      </c>
      <c r="B124" s="259" t="s">
        <v>142</v>
      </c>
      <c r="C124" s="185">
        <v>123</v>
      </c>
      <c r="D124" s="185">
        <f>Table1123457[[#This Row],[a (mm)]]/Table1123457[[#This Row],[d (mm)]]</f>
        <v>2.8928571428571428</v>
      </c>
      <c r="E124" s="260">
        <v>38.049999999999997</v>
      </c>
      <c r="F124" s="137">
        <f>Table1123457[[#This Row],[d (mm)]]</f>
        <v>280</v>
      </c>
      <c r="G124" s="135">
        <f t="shared" si="15"/>
        <v>30820.499999999996</v>
      </c>
      <c r="H124" s="135">
        <f t="shared" si="16"/>
        <v>3.8637883785037459E-6</v>
      </c>
      <c r="I124" s="111">
        <f>G124/(Table1123457[[#This Row],[b (mm)]]*Table1123457[[#This Row],[h]]^2)</f>
        <v>2.6287934357994572E-3</v>
      </c>
      <c r="J124" s="135">
        <f t="shared" si="17"/>
        <v>0.66791735521500839</v>
      </c>
      <c r="K124" s="135">
        <f t="shared" si="18"/>
        <v>6.4613070659501931E-6</v>
      </c>
      <c r="L124" s="135">
        <f>E124/(Table1123457[[#This Row],[b (mm)]]*AE124)</f>
        <v>1.1138758782201403E-3</v>
      </c>
      <c r="M124" s="135">
        <f>Table1123457[[#This Row],[M (KN.mm)]]/(Table1123457[[#This Row],[b (mm)]]*Table1123457[[#This Row],[d (mm)]])</f>
        <v>0.90223946135831368</v>
      </c>
      <c r="N124" s="135">
        <f>Table1123457[[#This Row],[M (KN.mm)]]/(Table1123457[[#This Row],[b (mm)]]*Table1123457[[#This Row],[h (mm)]])</f>
        <v>0.81492596509783177</v>
      </c>
      <c r="O124" s="145">
        <f>Table1123457[[#This Row],[M (KN.mm)]]/(Table1123457[[#This Row],[b (mm)]]*Table1123457[[#This Row],[h (mm)]]*Table1123457[[#This Row],[L(mm)]])</f>
        <v>5.0304071919619246E-4</v>
      </c>
      <c r="P124" s="145">
        <f>Table1123457[[#This Row],[M (KN.mm)]]/(Table1123457[[#This Row],[b (mm)]]*Table1123457[[#This Row],[d (mm)]]*Table1123457[[#This Row],[L(mm)]])</f>
        <v>5.5693793911007017E-4</v>
      </c>
      <c r="Q124" s="145">
        <f>Table1123457[[#This Row],[M (KN.mm)]]/(Table1123457[[#This Row],[b (mm)]]*Table1123457[[#This Row],[h (mm)]]*Table1123457[[#This Row],[L(mm)]]*Table1123457[[#This Row],[fc (Mpa)]])</f>
        <v>1.2005745088214616E-5</v>
      </c>
      <c r="R124" s="145">
        <f>Table1123457[[#This Row],[M (KN.mm)]]/(Table1123457[[#This Row],[b (mm)]]*Table1123457[[#This Row],[h (mm)]]*Table1123457[[#This Row],[L(mm)]]/2)</f>
        <v>1.0060814383923849E-3</v>
      </c>
      <c r="S124" s="145">
        <f>Table1123457[[#This Row],[M (KN.mm)]]/(Table1123457[[#This Row],[a (mm)]]*Table1123457[[#This Row],[b (mm)]]*Table1123457[[#This Row],[h (mm)]]*Table1123457[[#This Row],[L(mm)]]/2)</f>
        <v>1.2420758498671418E-6</v>
      </c>
      <c r="T124" s="145">
        <f>Table1123457[[#This Row],[M (KN.mm)]]/(Table1123457[[#This Row],[a (mm)]]^2*Table1123457[[#This Row],[b (mm)]]*Table1123457[[#This Row],[h (mm)]])</f>
        <v>1.2420758498671418E-6</v>
      </c>
      <c r="U124" s="145">
        <f>Table1123457[[#This Row],[M (KN.mm)]]/(Table1123457[[#This Row],[b (mm)]]*Table1123457[[#This Row],[d (mm)]]*Table1123457[[#This Row],[pho (%)]])</f>
        <v>1.0870354956124262</v>
      </c>
      <c r="V124" s="145">
        <f>E124*224.8/(2*SQRT(Table1123457[[#This Row],[fc (Mpa)]]*145.037)*Table1123457[[#This Row],[b (mm)]]*Table1123457[[#This Row],[d (mm)]]*(1/25.4)^2)</f>
        <v>1.0361535708967817</v>
      </c>
      <c r="W124" s="145">
        <f>Table1123457[[#This Row],[M (KN.mm)]]/$G$124</f>
        <v>1</v>
      </c>
      <c r="X124" s="145">
        <f>Table1123457[[#This Row],[V/(2*sqrt(fc) bd)]]</f>
        <v>1.0361535708967817</v>
      </c>
      <c r="Y124" s="111">
        <f>Table1123457[[#This Row],[a (mm)]]</f>
        <v>810</v>
      </c>
      <c r="Z124" s="111">
        <f>Table1123457[[#This Row],[width]]*Table1123457[[#This Row],[h]]^2</f>
        <v>11724200</v>
      </c>
      <c r="AA124" s="111">
        <f>Table1123457[[#This Row],[b (mm)]]</f>
        <v>122</v>
      </c>
      <c r="AB124" s="111">
        <f>Table1123457[[#This Row],[a (mm)]]/Table1123457[[#This Row],[h (mm)]]</f>
        <v>2.6129032258064515</v>
      </c>
      <c r="AC124" s="111">
        <f>Table1123457[[#This Row],[h (mm)]]</f>
        <v>310</v>
      </c>
      <c r="AD124" s="111">
        <v>810</v>
      </c>
      <c r="AE124" s="111">
        <v>280</v>
      </c>
      <c r="AF124" s="111">
        <v>310</v>
      </c>
      <c r="AG124" s="111">
        <v>122</v>
      </c>
      <c r="AH124" s="7">
        <v>41.9</v>
      </c>
      <c r="AI124" s="135">
        <f>Table1123457[[#This Row],[pho (%)]]/100*Table1123457[[#This Row],[b (mm)]]*Table1123457[[#This Row],[h (mm)]]</f>
        <v>313.90600000000001</v>
      </c>
      <c r="AJ124" s="135">
        <v>0.83</v>
      </c>
      <c r="AK124" s="160">
        <v>525</v>
      </c>
      <c r="AL124" s="135">
        <f>(1/3-0.21*(MIN(Table1123457[[#This Row],[b (mm)]],AF124)/MAX(Table1123457[[#This Row],[b (mm)]],AF124))*(MIN(Table1123457[[#This Row],[b (mm)]],AF124)^4/(12*MAX(Table1123457[[#This Row],[b (mm)]],AF124)^4)))*MAX(Table1123457[[#This Row],[b (mm)]],AF124)*MIN(Table1123457[[#This Row],[b (mm)]],AF124)^3</f>
        <v>187544629.45683298</v>
      </c>
      <c r="AM124" s="135">
        <f>Table1123457[[#This Row],[b (mm)]]*AF124^3/12</f>
        <v>302875166.66666669</v>
      </c>
      <c r="AN124" s="111">
        <v>1620</v>
      </c>
      <c r="AP124" s="107"/>
      <c r="AU124" s="381">
        <v>76.099999999999994</v>
      </c>
      <c r="AV124" s="2">
        <f t="shared" si="9"/>
        <v>38.049999999999997</v>
      </c>
    </row>
    <row r="125" spans="1:48" x14ac:dyDescent="0.3">
      <c r="A125" s="261" t="s">
        <v>162</v>
      </c>
      <c r="B125" s="261">
        <v>1</v>
      </c>
      <c r="C125" s="185">
        <v>124</v>
      </c>
      <c r="D125" s="185">
        <f>Table1123457[[#This Row],[a (mm)]]/Table1123457[[#This Row],[d (mm)]]</f>
        <v>2.8928571428571428</v>
      </c>
      <c r="E125" s="262">
        <v>12.45</v>
      </c>
      <c r="F125" s="137">
        <f>Table1123457[[#This Row],[d (mm)]]</f>
        <v>280</v>
      </c>
      <c r="G125" s="135">
        <f t="shared" si="15"/>
        <v>10084.5</v>
      </c>
      <c r="H125" s="135">
        <f t="shared" si="16"/>
        <v>1.2642356192476121E-6</v>
      </c>
      <c r="I125" s="111">
        <f>G125/(Table1123457[[#This Row],[b (mm)]]*Table1123457[[#This Row],[h]]^2)</f>
        <v>8.6014397570836388E-4</v>
      </c>
      <c r="J125" s="135">
        <f t="shared" si="17"/>
        <v>0.21854326077337333</v>
      </c>
      <c r="K125" s="135">
        <f t="shared" si="18"/>
        <v>2.1141464644173431E-6</v>
      </c>
      <c r="L125" s="135">
        <f>E125/(Table1123457[[#This Row],[b (mm)]]*AE125)</f>
        <v>3.6446135831381732E-4</v>
      </c>
      <c r="M125" s="135">
        <f>Table1123457[[#This Row],[M (KN.mm)]]/(Table1123457[[#This Row],[b (mm)]]*Table1123457[[#This Row],[d (mm)]])</f>
        <v>0.29521370023419202</v>
      </c>
      <c r="N125" s="135">
        <f>Table1123457[[#This Row],[M (KN.mm)]]/(Table1123457[[#This Row],[b (mm)]]*Table1123457[[#This Row],[h (mm)]])</f>
        <v>0.2666446324695928</v>
      </c>
      <c r="O125" s="145">
        <f>Table1123457[[#This Row],[M (KN.mm)]]/(Table1123457[[#This Row],[b (mm)]]*Table1123457[[#This Row],[h (mm)]]*Table1123457[[#This Row],[L(mm)]])</f>
        <v>1.6459545214172396E-4</v>
      </c>
      <c r="P125" s="145">
        <f>Table1123457[[#This Row],[M (KN.mm)]]/(Table1123457[[#This Row],[b (mm)]]*Table1123457[[#This Row],[d (mm)]]*Table1123457[[#This Row],[L(mm)]])</f>
        <v>1.8223067915690866E-4</v>
      </c>
      <c r="Q125" s="145">
        <f>Table1123457[[#This Row],[M (KN.mm)]]/(Table1123457[[#This Row],[b (mm)]]*Table1123457[[#This Row],[h (mm)]]*Table1123457[[#This Row],[L(mm)]]*Table1123457[[#This Row],[fc (Mpa)]])</f>
        <v>4.1988635750439782E-6</v>
      </c>
      <c r="R125" s="145">
        <f>Table1123457[[#This Row],[M (KN.mm)]]/(Table1123457[[#This Row],[b (mm)]]*Table1123457[[#This Row],[h (mm)]]*Table1123457[[#This Row],[L(mm)]]/2)</f>
        <v>3.2919090428344791E-4</v>
      </c>
      <c r="S125" s="145">
        <f>Table1123457[[#This Row],[M (KN.mm)]]/(Table1123457[[#This Row],[a (mm)]]*Table1123457[[#This Row],[b (mm)]]*Table1123457[[#This Row],[h (mm)]]*Table1123457[[#This Row],[L(mm)]]/2)</f>
        <v>4.0640852380672581E-7</v>
      </c>
      <c r="T125" s="145">
        <f>Table1123457[[#This Row],[M (KN.mm)]]/(Table1123457[[#This Row],[a (mm)]]^2*Table1123457[[#This Row],[b (mm)]]*Table1123457[[#This Row],[h (mm)]])</f>
        <v>4.0640852380672581E-7</v>
      </c>
      <c r="U125" s="145">
        <f>Table1123457[[#This Row],[M (KN.mm)]]/(Table1123457[[#This Row],[b (mm)]]*Table1123457[[#This Row],[d (mm)]]*Table1123457[[#This Row],[pho (%)]])</f>
        <v>0.35567915690866514</v>
      </c>
      <c r="V125" s="145">
        <f>E125*224.8/(2*SQRT(Table1123457[[#This Row],[fc (Mpa)]]*145.037)*Table1123457[[#This Row],[b (mm)]]*Table1123457[[#This Row],[d (mm)]]*(1/25.4)^2)</f>
        <v>0.35051192368157791</v>
      </c>
      <c r="W125" s="145">
        <f>Table1123457[[#This Row],[M (KN.mm)]]/$G$130</f>
        <v>0.32046332046332049</v>
      </c>
      <c r="X125" s="145">
        <f>Table1123457[[#This Row],[V/(2*sqrt(fc) bd)]]</f>
        <v>0.35051192368157791</v>
      </c>
      <c r="Y125" s="111">
        <f>Table1123457[[#This Row],[a (mm)]]</f>
        <v>810</v>
      </c>
      <c r="Z125" s="111">
        <f>Table1123457[[#This Row],[width]]*Table1123457[[#This Row],[h]]^2</f>
        <v>11724200</v>
      </c>
      <c r="AA125" s="111">
        <f>Table1123457[[#This Row],[b (mm)]]</f>
        <v>122</v>
      </c>
      <c r="AB125" s="111">
        <f>Table1123457[[#This Row],[a (mm)]]/Table1123457[[#This Row],[h (mm)]]</f>
        <v>2.6129032258064515</v>
      </c>
      <c r="AC125" s="111">
        <f>Table1123457[[#This Row],[h (mm)]]</f>
        <v>310</v>
      </c>
      <c r="AD125" s="111">
        <v>810</v>
      </c>
      <c r="AE125" s="111">
        <v>280</v>
      </c>
      <c r="AF125" s="111">
        <v>310</v>
      </c>
      <c r="AG125" s="111">
        <v>122</v>
      </c>
      <c r="AH125" s="7">
        <v>39.200000000000003</v>
      </c>
      <c r="AI125" s="135">
        <f>Table1123457[[#This Row],[pho (%)]]/100*Table1123457[[#This Row],[b (mm)]]*Table1123457[[#This Row],[h (mm)]]</f>
        <v>313.90600000000001</v>
      </c>
      <c r="AJ125" s="135">
        <v>0.83</v>
      </c>
      <c r="AK125" s="160">
        <v>525</v>
      </c>
      <c r="AL125" s="135">
        <f>(1/3-0.21*(MIN(Table1123457[[#This Row],[b (mm)]],AF125)/MAX(Table1123457[[#This Row],[b (mm)]],AF125))*(MIN(Table1123457[[#This Row],[b (mm)]],AF125)^4/(12*MAX(Table1123457[[#This Row],[b (mm)]],AF125)^4)))*MAX(Table1123457[[#This Row],[b (mm)]],AF125)*MIN(Table1123457[[#This Row],[b (mm)]],AF125)^3</f>
        <v>187544629.45683298</v>
      </c>
      <c r="AM125" s="135">
        <f>Table1123457[[#This Row],[b (mm)]]*AF125^3/12</f>
        <v>302875166.66666669</v>
      </c>
      <c r="AN125" s="111">
        <v>1620</v>
      </c>
      <c r="AP125" s="107"/>
      <c r="AU125" s="382">
        <v>24.9</v>
      </c>
      <c r="AV125" s="2">
        <f t="shared" si="9"/>
        <v>12.45</v>
      </c>
    </row>
    <row r="126" spans="1:48" x14ac:dyDescent="0.3">
      <c r="A126" s="261" t="s">
        <v>162</v>
      </c>
      <c r="B126" s="261">
        <v>2</v>
      </c>
      <c r="C126" s="185">
        <v>125</v>
      </c>
      <c r="D126" s="185">
        <f>Table1123457[[#This Row],[a (mm)]]/Table1123457[[#This Row],[d (mm)]]</f>
        <v>2.8928571428571428</v>
      </c>
      <c r="E126" s="262">
        <v>11.85</v>
      </c>
      <c r="F126" s="137">
        <f>Table1123457[[#This Row],[d (mm)]]</f>
        <v>280</v>
      </c>
      <c r="G126" s="135">
        <f t="shared" si="15"/>
        <v>9598.5</v>
      </c>
      <c r="H126" s="135">
        <f t="shared" si="16"/>
        <v>1.2033086014525466E-6</v>
      </c>
      <c r="I126" s="111">
        <f>G126/(Table1123457[[#This Row],[b (mm)]]*Table1123457[[#This Row],[h]]^2)</f>
        <v>8.1869125398747892E-4</v>
      </c>
      <c r="J126" s="135">
        <f t="shared" si="17"/>
        <v>0.20801105543489751</v>
      </c>
      <c r="K126" s="135">
        <f t="shared" si="18"/>
        <v>2.012259887818917E-6</v>
      </c>
      <c r="L126" s="135">
        <f>E126/(Table1123457[[#This Row],[b (mm)]]*AE126)</f>
        <v>3.4689695550351287E-4</v>
      </c>
      <c r="M126" s="135">
        <f>Table1123457[[#This Row],[M (KN.mm)]]/(Table1123457[[#This Row],[b (mm)]]*Table1123457[[#This Row],[d (mm)]])</f>
        <v>0.28098653395784545</v>
      </c>
      <c r="N126" s="135">
        <f>Table1123457[[#This Row],[M (KN.mm)]]/(Table1123457[[#This Row],[b (mm)]]*Table1123457[[#This Row],[h (mm)]])</f>
        <v>0.25379428873611848</v>
      </c>
      <c r="O126" s="145">
        <f>Table1123457[[#This Row],[M (KN.mm)]]/(Table1123457[[#This Row],[b (mm)]]*Table1123457[[#This Row],[h (mm)]]*Table1123457[[#This Row],[L(mm)]])</f>
        <v>1.5666314119513485E-4</v>
      </c>
      <c r="P126" s="145">
        <f>Table1123457[[#This Row],[M (KN.mm)]]/(Table1123457[[#This Row],[b (mm)]]*Table1123457[[#This Row],[d (mm)]]*Table1123457[[#This Row],[L(mm)]])</f>
        <v>1.7344847775175643E-4</v>
      </c>
      <c r="Q126" s="145">
        <f>Table1123457[[#This Row],[M (KN.mm)]]/(Table1123457[[#This Row],[b (mm)]]*Table1123457[[#This Row],[h (mm)]]*Table1123457[[#This Row],[L(mm)]]*Table1123457[[#This Row],[fc (Mpa)]])</f>
        <v>3.9965087039575213E-6</v>
      </c>
      <c r="R126" s="145">
        <f>Table1123457[[#This Row],[M (KN.mm)]]/(Table1123457[[#This Row],[b (mm)]]*Table1123457[[#This Row],[h (mm)]]*Table1123457[[#This Row],[L(mm)]]/2)</f>
        <v>3.133262823902697E-4</v>
      </c>
      <c r="S126" s="145">
        <f>Table1123457[[#This Row],[M (KN.mm)]]/(Table1123457[[#This Row],[a (mm)]]*Table1123457[[#This Row],[b (mm)]]*Table1123457[[#This Row],[h (mm)]]*Table1123457[[#This Row],[L(mm)]]/2)</f>
        <v>3.8682257085218484E-7</v>
      </c>
      <c r="T126" s="145">
        <f>Table1123457[[#This Row],[M (KN.mm)]]/(Table1123457[[#This Row],[a (mm)]]^2*Table1123457[[#This Row],[b (mm)]]*Table1123457[[#This Row],[h (mm)]])</f>
        <v>3.8682257085218484E-7</v>
      </c>
      <c r="U126" s="145">
        <f>Table1123457[[#This Row],[M (KN.mm)]]/(Table1123457[[#This Row],[b (mm)]]*Table1123457[[#This Row],[d (mm)]]*Table1123457[[#This Row],[pho (%)]])</f>
        <v>0.33853799272029572</v>
      </c>
      <c r="V126" s="145">
        <f>E126*224.8/(2*SQRT(Table1123457[[#This Row],[fc (Mpa)]]*145.037)*Table1123457[[#This Row],[b (mm)]]*Table1123457[[#This Row],[d (mm)]]*(1/25.4)^2)</f>
        <v>0.33361978278126092</v>
      </c>
      <c r="W126" s="145">
        <f>Table1123457[[#This Row],[M (KN.mm)]]/$G$130</f>
        <v>0.30501930501930502</v>
      </c>
      <c r="X126" s="145">
        <f>Table1123457[[#This Row],[V/(2*sqrt(fc) bd)]]</f>
        <v>0.33361978278126092</v>
      </c>
      <c r="Y126" s="111">
        <f>Table1123457[[#This Row],[a (mm)]]</f>
        <v>810</v>
      </c>
      <c r="Z126" s="111">
        <f>Table1123457[[#This Row],[width]]*Table1123457[[#This Row],[h]]^2</f>
        <v>11724200</v>
      </c>
      <c r="AA126" s="111">
        <f>Table1123457[[#This Row],[b (mm)]]</f>
        <v>122</v>
      </c>
      <c r="AB126" s="111">
        <f>Table1123457[[#This Row],[a (mm)]]/Table1123457[[#This Row],[h (mm)]]</f>
        <v>2.6129032258064515</v>
      </c>
      <c r="AC126" s="111">
        <f>Table1123457[[#This Row],[h (mm)]]</f>
        <v>310</v>
      </c>
      <c r="AD126" s="111">
        <v>810</v>
      </c>
      <c r="AE126" s="111">
        <v>280</v>
      </c>
      <c r="AF126" s="111">
        <v>310</v>
      </c>
      <c r="AG126" s="111">
        <v>122</v>
      </c>
      <c r="AH126" s="7">
        <v>39.200000000000003</v>
      </c>
      <c r="AI126" s="135">
        <f>Table1123457[[#This Row],[pho (%)]]/100*Table1123457[[#This Row],[b (mm)]]*Table1123457[[#This Row],[h (mm)]]</f>
        <v>313.90600000000001</v>
      </c>
      <c r="AJ126" s="135">
        <v>0.83</v>
      </c>
      <c r="AK126" s="160">
        <v>525</v>
      </c>
      <c r="AL126" s="135">
        <f>(1/3-0.21*(MIN(Table1123457[[#This Row],[b (mm)]],AF126)/MAX(Table1123457[[#This Row],[b (mm)]],AF126))*(MIN(Table1123457[[#This Row],[b (mm)]],AF126)^4/(12*MAX(Table1123457[[#This Row],[b (mm)]],AF126)^4)))*MAX(Table1123457[[#This Row],[b (mm)]],AF126)*MIN(Table1123457[[#This Row],[b (mm)]],AF126)^3</f>
        <v>187544629.45683298</v>
      </c>
      <c r="AM126" s="135">
        <f>Table1123457[[#This Row],[b (mm)]]*AF126^3/12</f>
        <v>302875166.66666669</v>
      </c>
      <c r="AN126" s="111">
        <v>1620</v>
      </c>
      <c r="AP126" s="107"/>
      <c r="AU126" s="382">
        <v>23.7</v>
      </c>
      <c r="AV126" s="2">
        <f t="shared" si="9"/>
        <v>11.85</v>
      </c>
    </row>
    <row r="127" spans="1:48" x14ac:dyDescent="0.3">
      <c r="A127" s="261" t="s">
        <v>162</v>
      </c>
      <c r="B127" s="261">
        <v>3</v>
      </c>
      <c r="C127" s="185">
        <v>126</v>
      </c>
      <c r="D127" s="185">
        <f>Table1123457[[#This Row],[a (mm)]]/Table1123457[[#This Row],[d (mm)]]</f>
        <v>2.8928571428571428</v>
      </c>
      <c r="E127" s="262">
        <v>27.75</v>
      </c>
      <c r="F127" s="137">
        <f>Table1123457[[#This Row],[d (mm)]]</f>
        <v>280</v>
      </c>
      <c r="G127" s="135">
        <f t="shared" si="15"/>
        <v>22477.5</v>
      </c>
      <c r="H127" s="135">
        <f t="shared" si="16"/>
        <v>2.8178745730217863E-6</v>
      </c>
      <c r="I127" s="111">
        <f>G127/(Table1123457[[#This Row],[b (mm)]]*Table1123457[[#This Row],[h]]^2)</f>
        <v>1.9171883795909316E-3</v>
      </c>
      <c r="J127" s="135">
        <f t="shared" si="17"/>
        <v>0.48711449690450681</v>
      </c>
      <c r="K127" s="135">
        <f t="shared" si="18"/>
        <v>4.7122541676772114E-6</v>
      </c>
      <c r="L127" s="135">
        <f>E127/(Table1123457[[#This Row],[b (mm)]]*AE127)</f>
        <v>8.1235362997658081E-4</v>
      </c>
      <c r="M127" s="135">
        <f>Table1123457[[#This Row],[M (KN.mm)]]/(Table1123457[[#This Row],[b (mm)]]*Table1123457[[#This Row],[d (mm)]])</f>
        <v>0.65800644028103039</v>
      </c>
      <c r="N127" s="135">
        <f>Table1123457[[#This Row],[M (KN.mm)]]/(Table1123457[[#This Row],[b (mm)]]*Table1123457[[#This Row],[h (mm)]])</f>
        <v>0.59432839767318879</v>
      </c>
      <c r="O127" s="145">
        <f>Table1123457[[#This Row],[M (KN.mm)]]/(Table1123457[[#This Row],[b (mm)]]*Table1123457[[#This Row],[h (mm)]]*Table1123457[[#This Row],[L(mm)]])</f>
        <v>3.6686938127974619E-4</v>
      </c>
      <c r="P127" s="145">
        <f>Table1123457[[#This Row],[M (KN.mm)]]/(Table1123457[[#This Row],[b (mm)]]*Table1123457[[#This Row],[d (mm)]]*Table1123457[[#This Row],[L(mm)]])</f>
        <v>4.061768149882904E-4</v>
      </c>
      <c r="Q127" s="145">
        <f>Table1123457[[#This Row],[M (KN.mm)]]/(Table1123457[[#This Row],[b (mm)]]*Table1123457[[#This Row],[h (mm)]]*Table1123457[[#This Row],[L(mm)]]*Table1123457[[#This Row],[fc (Mpa)]])</f>
        <v>9.3589127877486274E-6</v>
      </c>
      <c r="R127" s="145">
        <f>Table1123457[[#This Row],[M (KN.mm)]]/(Table1123457[[#This Row],[b (mm)]]*Table1123457[[#This Row],[h (mm)]]*Table1123457[[#This Row],[L(mm)]]/2)</f>
        <v>7.3373876255949239E-4</v>
      </c>
      <c r="S127" s="145">
        <f>Table1123457[[#This Row],[M (KN.mm)]]/(Table1123457[[#This Row],[a (mm)]]*Table1123457[[#This Row],[b (mm)]]*Table1123457[[#This Row],[h (mm)]]*Table1123457[[#This Row],[L(mm)]]/2)</f>
        <v>9.0585032414752136E-7</v>
      </c>
      <c r="T127" s="145">
        <f>Table1123457[[#This Row],[M (KN.mm)]]/(Table1123457[[#This Row],[a (mm)]]^2*Table1123457[[#This Row],[b (mm)]]*Table1123457[[#This Row],[h (mm)]])</f>
        <v>9.0585032414752136E-7</v>
      </c>
      <c r="U127" s="145">
        <f>Table1123457[[#This Row],[M (KN.mm)]]/(Table1123457[[#This Row],[b (mm)]]*Table1123457[[#This Row],[d (mm)]]*Table1123457[[#This Row],[pho (%)]])</f>
        <v>0.79277884371208485</v>
      </c>
      <c r="V127" s="145">
        <f>E127*224.8/(2*SQRT(Table1123457[[#This Row],[fc (Mpa)]]*145.037)*Table1123457[[#This Row],[b (mm)]]*Table1123457[[#This Row],[d (mm)]]*(1/25.4)^2)</f>
        <v>0.7812615166396617</v>
      </c>
      <c r="W127" s="145">
        <f>Table1123457[[#This Row],[M (KN.mm)]]/$G$130</f>
        <v>0.7142857142857143</v>
      </c>
      <c r="X127" s="145">
        <f>Table1123457[[#This Row],[V/(2*sqrt(fc) bd)]]</f>
        <v>0.7812615166396617</v>
      </c>
      <c r="Y127" s="111">
        <f>Table1123457[[#This Row],[a (mm)]]</f>
        <v>810</v>
      </c>
      <c r="Z127" s="111">
        <f>Table1123457[[#This Row],[width]]*Table1123457[[#This Row],[h]]^2</f>
        <v>11724200</v>
      </c>
      <c r="AA127" s="111">
        <f>Table1123457[[#This Row],[b (mm)]]</f>
        <v>122</v>
      </c>
      <c r="AB127" s="111">
        <f>Table1123457[[#This Row],[a (mm)]]/Table1123457[[#This Row],[h (mm)]]</f>
        <v>2.6129032258064515</v>
      </c>
      <c r="AC127" s="111">
        <f>Table1123457[[#This Row],[h (mm)]]</f>
        <v>310</v>
      </c>
      <c r="AD127" s="111">
        <v>810</v>
      </c>
      <c r="AE127" s="111">
        <v>280</v>
      </c>
      <c r="AF127" s="111">
        <v>310</v>
      </c>
      <c r="AG127" s="111">
        <v>122</v>
      </c>
      <c r="AH127" s="7">
        <v>39.200000000000003</v>
      </c>
      <c r="AI127" s="135">
        <f>Table1123457[[#This Row],[pho (%)]]/100*Table1123457[[#This Row],[b (mm)]]*Table1123457[[#This Row],[h (mm)]]</f>
        <v>313.90600000000001</v>
      </c>
      <c r="AJ127" s="135">
        <v>0.83</v>
      </c>
      <c r="AK127" s="160">
        <v>525</v>
      </c>
      <c r="AL127" s="135">
        <f>(1/3-0.21*(MIN(Table1123457[[#This Row],[b (mm)]],AF127)/MAX(Table1123457[[#This Row],[b (mm)]],AF127))*(MIN(Table1123457[[#This Row],[b (mm)]],AF127)^4/(12*MAX(Table1123457[[#This Row],[b (mm)]],AF127)^4)))*MAX(Table1123457[[#This Row],[b (mm)]],AF127)*MIN(Table1123457[[#This Row],[b (mm)]],AF127)^3</f>
        <v>187544629.45683298</v>
      </c>
      <c r="AM127" s="135">
        <f>Table1123457[[#This Row],[b (mm)]]*AF127^3/12</f>
        <v>302875166.66666669</v>
      </c>
      <c r="AN127" s="111">
        <v>1620</v>
      </c>
      <c r="AP127" s="107"/>
      <c r="AU127" s="382">
        <v>55.5</v>
      </c>
      <c r="AV127" s="2">
        <f t="shared" si="9"/>
        <v>27.75</v>
      </c>
    </row>
    <row r="128" spans="1:48" x14ac:dyDescent="0.3">
      <c r="A128" s="261" t="s">
        <v>162</v>
      </c>
      <c r="B128" s="261">
        <v>4</v>
      </c>
      <c r="C128" s="185">
        <v>127</v>
      </c>
      <c r="D128" s="185">
        <f>Table1123457[[#This Row],[a (mm)]]/Table1123457[[#This Row],[d (mm)]]</f>
        <v>2.8928571428571428</v>
      </c>
      <c r="E128" s="262">
        <v>32.5</v>
      </c>
      <c r="F128" s="137">
        <f>Table1123457[[#This Row],[d (mm)]]</f>
        <v>280</v>
      </c>
      <c r="G128" s="135">
        <f t="shared" si="15"/>
        <v>26325</v>
      </c>
      <c r="H128" s="135">
        <f t="shared" si="16"/>
        <v>3.3002134638993893E-6</v>
      </c>
      <c r="I128" s="111">
        <f>G128/(Table1123457[[#This Row],[b (mm)]]*Table1123457[[#This Row],[h]]^2)</f>
        <v>2.2453557598812713E-3</v>
      </c>
      <c r="J128" s="135">
        <f t="shared" si="17"/>
        <v>0.57049445583410707</v>
      </c>
      <c r="K128" s="135">
        <f t="shared" si="18"/>
        <v>5.5188562324147516E-6</v>
      </c>
      <c r="L128" s="135">
        <f>E128/(Table1123457[[#This Row],[b (mm)]]*AE128)</f>
        <v>9.5140515222482433E-4</v>
      </c>
      <c r="M128" s="135">
        <f>Table1123457[[#This Row],[M (KN.mm)]]/(Table1123457[[#This Row],[b (mm)]]*Table1123457[[#This Row],[d (mm)]])</f>
        <v>0.77063817330210771</v>
      </c>
      <c r="N128" s="135">
        <f>Table1123457[[#This Row],[M (KN.mm)]]/(Table1123457[[#This Row],[b (mm)]]*Table1123457[[#This Row],[h (mm)]])</f>
        <v>0.6960602855631941</v>
      </c>
      <c r="O128" s="145">
        <f>Table1123457[[#This Row],[M (KN.mm)]]/(Table1123457[[#This Row],[b (mm)]]*Table1123457[[#This Row],[h (mm)]]*Table1123457[[#This Row],[L(mm)]])</f>
        <v>4.2966684294024326E-4</v>
      </c>
      <c r="P128" s="145">
        <f>Table1123457[[#This Row],[M (KN.mm)]]/(Table1123457[[#This Row],[b (mm)]]*Table1123457[[#This Row],[d (mm)]]*Table1123457[[#This Row],[L(mm)]])</f>
        <v>4.7570257611241216E-4</v>
      </c>
      <c r="Q128" s="145">
        <f>Table1123457[[#This Row],[M (KN.mm)]]/(Table1123457[[#This Row],[b (mm)]]*Table1123457[[#This Row],[h (mm)]]*Table1123457[[#This Row],[L(mm)]]*Table1123457[[#This Row],[fc (Mpa)]])</f>
        <v>1.096088885051641E-5</v>
      </c>
      <c r="R128" s="145">
        <f>Table1123457[[#This Row],[M (KN.mm)]]/(Table1123457[[#This Row],[b (mm)]]*Table1123457[[#This Row],[h (mm)]]*Table1123457[[#This Row],[L(mm)]]/2)</f>
        <v>8.5933368588048651E-4</v>
      </c>
      <c r="S128" s="145">
        <f>Table1123457[[#This Row],[M (KN.mm)]]/(Table1123457[[#This Row],[a (mm)]]*Table1123457[[#This Row],[b (mm)]]*Table1123457[[#This Row],[h (mm)]]*Table1123457[[#This Row],[L(mm)]]/2)</f>
        <v>1.0609057850376377E-6</v>
      </c>
      <c r="T128" s="145">
        <f>Table1123457[[#This Row],[M (KN.mm)]]/(Table1123457[[#This Row],[a (mm)]]^2*Table1123457[[#This Row],[b (mm)]]*Table1123457[[#This Row],[h (mm)]])</f>
        <v>1.0609057850376377E-6</v>
      </c>
      <c r="U128" s="145">
        <f>Table1123457[[#This Row],[M (KN.mm)]]/(Table1123457[[#This Row],[b (mm)]]*Table1123457[[#This Row],[d (mm)]]*Table1123457[[#This Row],[pho (%)]])</f>
        <v>0.92847972687000935</v>
      </c>
      <c r="V128" s="145">
        <f>E128*224.8/(2*SQRT(Table1123457[[#This Row],[fc (Mpa)]]*145.037)*Table1123457[[#This Row],[b (mm)]]*Table1123457[[#This Row],[d (mm)]]*(1/25.4)^2)</f>
        <v>0.91499096543383795</v>
      </c>
      <c r="W128" s="145">
        <f>Table1123457[[#This Row],[M (KN.mm)]]/$G$130</f>
        <v>0.83655083655083651</v>
      </c>
      <c r="X128" s="145">
        <f>Table1123457[[#This Row],[V/(2*sqrt(fc) bd)]]</f>
        <v>0.91499096543383795</v>
      </c>
      <c r="Y128" s="111">
        <f>Table1123457[[#This Row],[a (mm)]]</f>
        <v>810</v>
      </c>
      <c r="Z128" s="111">
        <f>Table1123457[[#This Row],[width]]*Table1123457[[#This Row],[h]]^2</f>
        <v>11724200</v>
      </c>
      <c r="AA128" s="111">
        <f>Table1123457[[#This Row],[b (mm)]]</f>
        <v>122</v>
      </c>
      <c r="AB128" s="111">
        <f>Table1123457[[#This Row],[a (mm)]]/Table1123457[[#This Row],[h (mm)]]</f>
        <v>2.6129032258064515</v>
      </c>
      <c r="AC128" s="111">
        <f>Table1123457[[#This Row],[h (mm)]]</f>
        <v>310</v>
      </c>
      <c r="AD128" s="111">
        <v>810</v>
      </c>
      <c r="AE128" s="111">
        <v>280</v>
      </c>
      <c r="AF128" s="111">
        <v>310</v>
      </c>
      <c r="AG128" s="111">
        <v>122</v>
      </c>
      <c r="AH128" s="7">
        <v>39.200000000000003</v>
      </c>
      <c r="AI128" s="135">
        <f>Table1123457[[#This Row],[pho (%)]]/100*Table1123457[[#This Row],[b (mm)]]*Table1123457[[#This Row],[h (mm)]]</f>
        <v>313.90600000000001</v>
      </c>
      <c r="AJ128" s="135">
        <v>0.83</v>
      </c>
      <c r="AK128" s="160">
        <v>525</v>
      </c>
      <c r="AL128" s="135">
        <f>(1/3-0.21*(MIN(Table1123457[[#This Row],[b (mm)]],AF128)/MAX(Table1123457[[#This Row],[b (mm)]],AF128))*(MIN(Table1123457[[#This Row],[b (mm)]],AF128)^4/(12*MAX(Table1123457[[#This Row],[b (mm)]],AF128)^4)))*MAX(Table1123457[[#This Row],[b (mm)]],AF128)*MIN(Table1123457[[#This Row],[b (mm)]],AF128)^3</f>
        <v>187544629.45683298</v>
      </c>
      <c r="AM128" s="135">
        <f>Table1123457[[#This Row],[b (mm)]]*AF128^3/12</f>
        <v>302875166.66666669</v>
      </c>
      <c r="AN128" s="111">
        <v>1620</v>
      </c>
      <c r="AP128" s="107"/>
      <c r="AU128" s="382">
        <v>65</v>
      </c>
      <c r="AV128" s="2">
        <f t="shared" si="9"/>
        <v>32.5</v>
      </c>
    </row>
    <row r="129" spans="1:48" x14ac:dyDescent="0.3">
      <c r="A129" s="261" t="s">
        <v>162</v>
      </c>
      <c r="B129" s="261">
        <v>5</v>
      </c>
      <c r="C129" s="185">
        <v>128</v>
      </c>
      <c r="D129" s="185">
        <f>Table1123457[[#This Row],[a (mm)]]/Table1123457[[#This Row],[d (mm)]]</f>
        <v>2.8928571428571428</v>
      </c>
      <c r="E129" s="262">
        <v>37.5</v>
      </c>
      <c r="F129" s="137">
        <f>Table1123457[[#This Row],[d (mm)]]</f>
        <v>280</v>
      </c>
      <c r="G129" s="135">
        <f t="shared" si="15"/>
        <v>30375</v>
      </c>
      <c r="H129" s="135">
        <f t="shared" si="16"/>
        <v>3.807938612191603E-6</v>
      </c>
      <c r="I129" s="111">
        <f>G129/(Table1123457[[#This Row],[b (mm)]]*Table1123457[[#This Row],[h]]^2)</f>
        <v>2.5907951075553131E-3</v>
      </c>
      <c r="J129" s="135">
        <f t="shared" si="17"/>
        <v>0.65826283365473892</v>
      </c>
      <c r="K129" s="135">
        <f t="shared" si="18"/>
        <v>6.3679110374016365E-6</v>
      </c>
      <c r="L129" s="135">
        <f>E129/(Table1123457[[#This Row],[b (mm)]]*AE129)</f>
        <v>1.097775175644028E-3</v>
      </c>
      <c r="M129" s="135">
        <f>Table1123457[[#This Row],[M (KN.mm)]]/(Table1123457[[#This Row],[b (mm)]]*Table1123457[[#This Row],[d (mm)]])</f>
        <v>0.88919789227166279</v>
      </c>
      <c r="N129" s="135">
        <f>Table1123457[[#This Row],[M (KN.mm)]]/(Table1123457[[#This Row],[b (mm)]]*Table1123457[[#This Row],[h (mm)]])</f>
        <v>0.803146483342147</v>
      </c>
      <c r="O129" s="145">
        <f>Table1123457[[#This Row],[M (KN.mm)]]/(Table1123457[[#This Row],[b (mm)]]*Table1123457[[#This Row],[h (mm)]]*Table1123457[[#This Row],[L(mm)]])</f>
        <v>4.957694341618192E-4</v>
      </c>
      <c r="P129" s="145">
        <f>Table1123457[[#This Row],[M (KN.mm)]]/(Table1123457[[#This Row],[b (mm)]]*Table1123457[[#This Row],[d (mm)]]*Table1123457[[#This Row],[L(mm)]])</f>
        <v>5.4888758782201401E-4</v>
      </c>
      <c r="Q129" s="145">
        <f>Table1123457[[#This Row],[M (KN.mm)]]/(Table1123457[[#This Row],[b (mm)]]*Table1123457[[#This Row],[h (mm)]]*Table1123457[[#This Row],[L(mm)]]*Table1123457[[#This Row],[fc (Mpa)]])</f>
        <v>1.2647179442903549E-5</v>
      </c>
      <c r="R129" s="145">
        <f>Table1123457[[#This Row],[M (KN.mm)]]/(Table1123457[[#This Row],[b (mm)]]*Table1123457[[#This Row],[h (mm)]]*Table1123457[[#This Row],[L(mm)]]/2)</f>
        <v>9.9153886832363839E-4</v>
      </c>
      <c r="S129" s="145">
        <f>Table1123457[[#This Row],[M (KN.mm)]]/(Table1123457[[#This Row],[a (mm)]]*Table1123457[[#This Row],[b (mm)]]*Table1123457[[#This Row],[h (mm)]]*Table1123457[[#This Row],[L(mm)]]/2)</f>
        <v>1.2241220596588126E-6</v>
      </c>
      <c r="T129" s="145">
        <f>Table1123457[[#This Row],[M (KN.mm)]]/(Table1123457[[#This Row],[a (mm)]]^2*Table1123457[[#This Row],[b (mm)]]*Table1123457[[#This Row],[h (mm)]])</f>
        <v>1.2241220596588126E-6</v>
      </c>
      <c r="U129" s="145">
        <f>Table1123457[[#This Row],[M (KN.mm)]]/(Table1123457[[#This Row],[b (mm)]]*Table1123457[[#This Row],[d (mm)]]*Table1123457[[#This Row],[pho (%)]])</f>
        <v>1.0713227617730876</v>
      </c>
      <c r="V129" s="145">
        <f>E129*224.8/(2*SQRT(Table1123457[[#This Row],[fc (Mpa)]]*145.037)*Table1123457[[#This Row],[b (mm)]]*Table1123457[[#This Row],[d (mm)]]*(1/25.4)^2)</f>
        <v>1.0557588062698131</v>
      </c>
      <c r="W129" s="145">
        <f>Table1123457[[#This Row],[M (KN.mm)]]/$G$130</f>
        <v>0.96525096525096521</v>
      </c>
      <c r="X129" s="145">
        <f>Table1123457[[#This Row],[V/(2*sqrt(fc) bd)]]</f>
        <v>1.0557588062698131</v>
      </c>
      <c r="Y129" s="111">
        <f>Table1123457[[#This Row],[a (mm)]]</f>
        <v>810</v>
      </c>
      <c r="Z129" s="111">
        <f>Table1123457[[#This Row],[width]]*Table1123457[[#This Row],[h]]^2</f>
        <v>11724200</v>
      </c>
      <c r="AA129" s="111">
        <f>Table1123457[[#This Row],[b (mm)]]</f>
        <v>122</v>
      </c>
      <c r="AB129" s="111">
        <f>Table1123457[[#This Row],[a (mm)]]/Table1123457[[#This Row],[h (mm)]]</f>
        <v>2.6129032258064515</v>
      </c>
      <c r="AC129" s="111">
        <f>Table1123457[[#This Row],[h (mm)]]</f>
        <v>310</v>
      </c>
      <c r="AD129" s="111">
        <v>810</v>
      </c>
      <c r="AE129" s="111">
        <v>280</v>
      </c>
      <c r="AF129" s="111">
        <v>310</v>
      </c>
      <c r="AG129" s="111">
        <v>122</v>
      </c>
      <c r="AH129" s="7">
        <v>39.200000000000003</v>
      </c>
      <c r="AI129" s="135">
        <f>Table1123457[[#This Row],[pho (%)]]/100*Table1123457[[#This Row],[b (mm)]]*Table1123457[[#This Row],[h (mm)]]</f>
        <v>313.90600000000001</v>
      </c>
      <c r="AJ129" s="135">
        <v>0.83</v>
      </c>
      <c r="AK129" s="160">
        <v>525</v>
      </c>
      <c r="AL129" s="135">
        <f>(1/3-0.21*(MIN(Table1123457[[#This Row],[b (mm)]],AF129)/MAX(Table1123457[[#This Row],[b (mm)]],AF129))*(MIN(Table1123457[[#This Row],[b (mm)]],AF129)^4/(12*MAX(Table1123457[[#This Row],[b (mm)]],AF129)^4)))*MAX(Table1123457[[#This Row],[b (mm)]],AF129)*MIN(Table1123457[[#This Row],[b (mm)]],AF129)^3</f>
        <v>187544629.45683298</v>
      </c>
      <c r="AM129" s="135">
        <f>Table1123457[[#This Row],[b (mm)]]*AF129^3/12</f>
        <v>302875166.66666669</v>
      </c>
      <c r="AN129" s="111">
        <v>1620</v>
      </c>
      <c r="AP129" s="107"/>
      <c r="AU129" s="382">
        <v>75</v>
      </c>
      <c r="AV129" s="2">
        <f t="shared" si="9"/>
        <v>37.5</v>
      </c>
    </row>
    <row r="130" spans="1:48" x14ac:dyDescent="0.3">
      <c r="A130" s="261" t="s">
        <v>162</v>
      </c>
      <c r="B130" s="261" t="s">
        <v>142</v>
      </c>
      <c r="C130" s="185">
        <v>129</v>
      </c>
      <c r="D130" s="185">
        <f>Table1123457[[#This Row],[a (mm)]]/Table1123457[[#This Row],[d (mm)]]</f>
        <v>2.8928571428571428</v>
      </c>
      <c r="E130" s="262">
        <v>38.85</v>
      </c>
      <c r="F130" s="137">
        <f>Table1123457[[#This Row],[d (mm)]]</f>
        <v>280</v>
      </c>
      <c r="G130" s="135">
        <f t="shared" si="15"/>
        <v>31468.5</v>
      </c>
      <c r="H130" s="135">
        <f t="shared" si="16"/>
        <v>3.9450244022305002E-6</v>
      </c>
      <c r="I130" s="111">
        <f>G130/(Table1123457[[#This Row],[b (mm)]]*Table1123457[[#This Row],[h]]^2)</f>
        <v>2.6840637314273041E-3</v>
      </c>
      <c r="J130" s="135">
        <f t="shared" si="17"/>
        <v>0.68196029566630956</v>
      </c>
      <c r="K130" s="135">
        <f t="shared" si="18"/>
        <v>6.5971558347480959E-6</v>
      </c>
      <c r="L130" s="135">
        <f>E130/(Table1123457[[#This Row],[b (mm)]]*AE130)</f>
        <v>1.1372950819672132E-3</v>
      </c>
      <c r="M130" s="135">
        <f>Table1123457[[#This Row],[M (KN.mm)]]/(Table1123457[[#This Row],[b (mm)]]*Table1123457[[#This Row],[d (mm)]])</f>
        <v>0.92120901639344266</v>
      </c>
      <c r="N130" s="135">
        <f>Table1123457[[#This Row],[M (KN.mm)]]/(Table1123457[[#This Row],[b (mm)]]*Table1123457[[#This Row],[h (mm)]])</f>
        <v>0.83205975674246435</v>
      </c>
      <c r="O130" s="145">
        <f>Table1123457[[#This Row],[M (KN.mm)]]/(Table1123457[[#This Row],[b (mm)]]*Table1123457[[#This Row],[h (mm)]]*Table1123457[[#This Row],[L(mm)]])</f>
        <v>5.136171337916446E-4</v>
      </c>
      <c r="P130" s="145">
        <f>Table1123457[[#This Row],[M (KN.mm)]]/(Table1123457[[#This Row],[b (mm)]]*Table1123457[[#This Row],[d (mm)]]*Table1123457[[#This Row],[L(mm)]])</f>
        <v>5.6864754098360658E-4</v>
      </c>
      <c r="Q130" s="145">
        <f>Table1123457[[#This Row],[M (KN.mm)]]/(Table1123457[[#This Row],[b (mm)]]*Table1123457[[#This Row],[h (mm)]]*Table1123457[[#This Row],[L(mm)]]*Table1123457[[#This Row],[fc (Mpa)]])</f>
        <v>1.3102477902848077E-5</v>
      </c>
      <c r="R130" s="145">
        <f>Table1123457[[#This Row],[M (KN.mm)]]/(Table1123457[[#This Row],[b (mm)]]*Table1123457[[#This Row],[h (mm)]]*Table1123457[[#This Row],[L(mm)]]/2)</f>
        <v>1.0272342675832892E-3</v>
      </c>
      <c r="S130" s="145">
        <f>Table1123457[[#This Row],[M (KN.mm)]]/(Table1123457[[#This Row],[a (mm)]]*Table1123457[[#This Row],[b (mm)]]*Table1123457[[#This Row],[h (mm)]]*Table1123457[[#This Row],[L(mm)]]/2)</f>
        <v>1.2681904538065299E-6</v>
      </c>
      <c r="T130" s="145">
        <f>Table1123457[[#This Row],[M (KN.mm)]]/(Table1123457[[#This Row],[a (mm)]]^2*Table1123457[[#This Row],[b (mm)]]*Table1123457[[#This Row],[h (mm)]])</f>
        <v>1.2681904538065299E-6</v>
      </c>
      <c r="U130" s="145">
        <f>Table1123457[[#This Row],[M (KN.mm)]]/(Table1123457[[#This Row],[b (mm)]]*Table1123457[[#This Row],[d (mm)]]*Table1123457[[#This Row],[pho (%)]])</f>
        <v>1.1098903811969187</v>
      </c>
      <c r="V130" s="145">
        <f>E130*224.8/(2*SQRT(Table1123457[[#This Row],[fc (Mpa)]]*145.037)*Table1123457[[#This Row],[b (mm)]]*Table1123457[[#This Row],[d (mm)]]*(1/25.4)^2)</f>
        <v>1.0937661232955265</v>
      </c>
      <c r="W130" s="145">
        <f>Table1123457[[#This Row],[M (KN.mm)]]/$G$130</f>
        <v>1</v>
      </c>
      <c r="X130" s="145">
        <f>Table1123457[[#This Row],[V/(2*sqrt(fc) bd)]]</f>
        <v>1.0937661232955265</v>
      </c>
      <c r="Y130" s="111">
        <f>Table1123457[[#This Row],[a (mm)]]</f>
        <v>810</v>
      </c>
      <c r="Z130" s="111">
        <f>Table1123457[[#This Row],[width]]*Table1123457[[#This Row],[h]]^2</f>
        <v>11724200</v>
      </c>
      <c r="AA130" s="111">
        <f>Table1123457[[#This Row],[b (mm)]]</f>
        <v>122</v>
      </c>
      <c r="AB130" s="111">
        <f>Table1123457[[#This Row],[a (mm)]]/Table1123457[[#This Row],[h (mm)]]</f>
        <v>2.6129032258064515</v>
      </c>
      <c r="AC130" s="111">
        <f>Table1123457[[#This Row],[h (mm)]]</f>
        <v>310</v>
      </c>
      <c r="AD130" s="111">
        <v>810</v>
      </c>
      <c r="AE130" s="111">
        <v>280</v>
      </c>
      <c r="AF130" s="111">
        <v>310</v>
      </c>
      <c r="AG130" s="111">
        <v>122</v>
      </c>
      <c r="AH130" s="7">
        <v>39.200000000000003</v>
      </c>
      <c r="AI130" s="135">
        <f>Table1123457[[#This Row],[pho (%)]]/100*Table1123457[[#This Row],[b (mm)]]*Table1123457[[#This Row],[h (mm)]]</f>
        <v>313.90600000000001</v>
      </c>
      <c r="AJ130" s="135">
        <v>0.83</v>
      </c>
      <c r="AK130" s="160">
        <v>525</v>
      </c>
      <c r="AL130" s="135">
        <f>(1/3-0.21*(MIN(Table1123457[[#This Row],[b (mm)]],AF130)/MAX(Table1123457[[#This Row],[b (mm)]],AF130))*(MIN(Table1123457[[#This Row],[b (mm)]],AF130)^4/(12*MAX(Table1123457[[#This Row],[b (mm)]],AF130)^4)))*MAX(Table1123457[[#This Row],[b (mm)]],AF130)*MIN(Table1123457[[#This Row],[b (mm)]],AF130)^3</f>
        <v>187544629.45683298</v>
      </c>
      <c r="AM130" s="135">
        <f>Table1123457[[#This Row],[b (mm)]]*AF130^3/12</f>
        <v>302875166.66666669</v>
      </c>
      <c r="AN130" s="111">
        <v>1620</v>
      </c>
      <c r="AP130" s="107"/>
      <c r="AU130" s="382">
        <v>77.7</v>
      </c>
      <c r="AV130" s="2">
        <f t="shared" si="9"/>
        <v>38.85</v>
      </c>
    </row>
    <row r="131" spans="1:48" x14ac:dyDescent="0.3">
      <c r="A131" s="263" t="s">
        <v>163</v>
      </c>
      <c r="B131" s="263">
        <v>1</v>
      </c>
      <c r="C131" s="185">
        <v>130</v>
      </c>
      <c r="D131" s="185">
        <f>Table1123457[[#This Row],[a (mm)]]/Table1123457[[#This Row],[d (mm)]]</f>
        <v>2.8928571428571428</v>
      </c>
      <c r="E131" s="264">
        <v>12</v>
      </c>
      <c r="F131" s="137">
        <f>Table1123457[[#This Row],[d (mm)]]</f>
        <v>280</v>
      </c>
      <c r="G131" s="135">
        <f t="shared" ref="G131:G162" si="19">E131*AD131</f>
        <v>9720</v>
      </c>
      <c r="H131" s="135">
        <f t="shared" ref="H131:H162" si="20">G131/($AQ$5*AM131*0.001)</f>
        <v>1.218540355901313E-6</v>
      </c>
      <c r="I131" s="111">
        <f>G131/(Table1123457[[#This Row],[b (mm)]]*Table1123457[[#This Row],[h]]^2)</f>
        <v>8.2905443441770013E-4</v>
      </c>
      <c r="J131" s="135">
        <f t="shared" ref="J131:J162" si="21">G131/(AI131*AK131*AE131*0.001)</f>
        <v>0.21064410676951648</v>
      </c>
      <c r="K131" s="135">
        <f t="shared" ref="K131:K162" si="22">E131/($AQ$4*AL131*0.001)</f>
        <v>2.0377315319685239E-6</v>
      </c>
      <c r="L131" s="135">
        <f>E131/(Table1123457[[#This Row],[b (mm)]]*AE131)</f>
        <v>3.5128805620608899E-4</v>
      </c>
      <c r="M131" s="135">
        <f>Table1123457[[#This Row],[M (KN.mm)]]/(Table1123457[[#This Row],[b (mm)]]*Table1123457[[#This Row],[d (mm)]])</f>
        <v>0.28454332552693207</v>
      </c>
      <c r="N131" s="135">
        <f>Table1123457[[#This Row],[M (KN.mm)]]/(Table1123457[[#This Row],[b (mm)]]*Table1123457[[#This Row],[h (mm)]])</f>
        <v>0.25700687466948702</v>
      </c>
      <c r="O131" s="145">
        <f>Table1123457[[#This Row],[M (KN.mm)]]/(Table1123457[[#This Row],[b (mm)]]*Table1123457[[#This Row],[h (mm)]]*Table1123457[[#This Row],[L(mm)]])</f>
        <v>1.5864621893178213E-4</v>
      </c>
      <c r="P131" s="145">
        <f>Table1123457[[#This Row],[M (KN.mm)]]/(Table1123457[[#This Row],[b (mm)]]*Table1123457[[#This Row],[d (mm)]]*Table1123457[[#This Row],[L(mm)]])</f>
        <v>1.756440281030445E-4</v>
      </c>
      <c r="Q131" s="145">
        <f>Table1123457[[#This Row],[M (KN.mm)]]/(Table1123457[[#This Row],[b (mm)]]*Table1123457[[#This Row],[h (mm)]]*Table1123457[[#This Row],[L(mm)]]*Table1123457[[#This Row],[fc (Mpa)]])</f>
        <v>4.1639427541150168E-6</v>
      </c>
      <c r="R131" s="145">
        <f>Table1123457[[#This Row],[M (KN.mm)]]/(Table1123457[[#This Row],[b (mm)]]*Table1123457[[#This Row],[h (mm)]]*Table1123457[[#This Row],[L(mm)]]/2)</f>
        <v>3.1729243786356425E-4</v>
      </c>
      <c r="S131" s="145">
        <f>Table1123457[[#This Row],[M (KN.mm)]]/(Table1123457[[#This Row],[a (mm)]]*Table1123457[[#This Row],[b (mm)]]*Table1123457[[#This Row],[h (mm)]]*Table1123457[[#This Row],[L(mm)]]/2)</f>
        <v>3.9171905909082008E-7</v>
      </c>
      <c r="T131" s="145">
        <f>Table1123457[[#This Row],[M (KN.mm)]]/(Table1123457[[#This Row],[a (mm)]]^2*Table1123457[[#This Row],[b (mm)]]*Table1123457[[#This Row],[h (mm)]])</f>
        <v>3.9171905909082008E-7</v>
      </c>
      <c r="U131" s="145">
        <f>Table1123457[[#This Row],[M (KN.mm)]]/(Table1123457[[#This Row],[b (mm)]]*Table1123457[[#This Row],[d (mm)]]*Table1123457[[#This Row],[pho (%)]])</f>
        <v>0.34282328376738808</v>
      </c>
      <c r="V131" s="145">
        <f>E131*224.8/(2*SQRT(Table1123457[[#This Row],[fc (Mpa)]]*145.037)*Table1123457[[#This Row],[b (mm)]]*Table1123457[[#This Row],[d (mm)]]*(1/25.4)^2)</f>
        <v>0.34268511182046946</v>
      </c>
      <c r="W131" s="145">
        <f>Table1123457[[#This Row],[M (KN.mm)]]/$G$140</f>
        <v>0.3162055335968379</v>
      </c>
      <c r="X131" s="145">
        <f>Table1123457[[#This Row],[V/(2*sqrt(fc) bd)]]</f>
        <v>0.34268511182046946</v>
      </c>
      <c r="Y131" s="111">
        <f>Table1123457[[#This Row],[a (mm)]]</f>
        <v>810</v>
      </c>
      <c r="Z131" s="111">
        <f>Table1123457[[#This Row],[width]]*Table1123457[[#This Row],[h]]^2</f>
        <v>11724200</v>
      </c>
      <c r="AA131" s="111">
        <f>Table1123457[[#This Row],[b (mm)]]</f>
        <v>122</v>
      </c>
      <c r="AB131" s="111">
        <f>Table1123457[[#This Row],[a (mm)]]/Table1123457[[#This Row],[h (mm)]]</f>
        <v>2.6129032258064515</v>
      </c>
      <c r="AC131" s="111">
        <f>Table1123457[[#This Row],[h (mm)]]</f>
        <v>310</v>
      </c>
      <c r="AD131" s="111">
        <v>810</v>
      </c>
      <c r="AE131" s="111">
        <v>280</v>
      </c>
      <c r="AF131" s="111">
        <v>310</v>
      </c>
      <c r="AG131" s="111">
        <v>122</v>
      </c>
      <c r="AH131" s="7">
        <v>38.1</v>
      </c>
      <c r="AI131" s="135">
        <f>Table1123457[[#This Row],[pho (%)]]/100*Table1123457[[#This Row],[b (mm)]]*Table1123457[[#This Row],[h (mm)]]</f>
        <v>313.90600000000001</v>
      </c>
      <c r="AJ131" s="135">
        <v>0.83</v>
      </c>
      <c r="AK131" s="160">
        <v>525</v>
      </c>
      <c r="AL131" s="135">
        <f>(1/3-0.21*(MIN(Table1123457[[#This Row],[b (mm)]],AF131)/MAX(Table1123457[[#This Row],[b (mm)]],AF131))*(MIN(Table1123457[[#This Row],[b (mm)]],AF131)^4/(12*MAX(Table1123457[[#This Row],[b (mm)]],AF131)^4)))*MAX(Table1123457[[#This Row],[b (mm)]],AF131)*MIN(Table1123457[[#This Row],[b (mm)]],AF131)^3</f>
        <v>187544629.45683298</v>
      </c>
      <c r="AM131" s="135">
        <f>Table1123457[[#This Row],[b (mm)]]*AF131^3/12</f>
        <v>302875166.66666669</v>
      </c>
      <c r="AN131" s="111">
        <v>1620</v>
      </c>
      <c r="AP131" s="107"/>
      <c r="AU131" s="383">
        <v>24</v>
      </c>
      <c r="AV131" s="2">
        <f t="shared" ref="AV131:AV194" si="23">AU131/2</f>
        <v>12</v>
      </c>
    </row>
    <row r="132" spans="1:48" x14ac:dyDescent="0.3">
      <c r="A132" s="263" t="s">
        <v>163</v>
      </c>
      <c r="B132" s="263">
        <v>2</v>
      </c>
      <c r="C132" s="185">
        <v>131</v>
      </c>
      <c r="D132" s="185">
        <f>Table1123457[[#This Row],[a (mm)]]/Table1123457[[#This Row],[d (mm)]]</f>
        <v>2.8928571428571428</v>
      </c>
      <c r="E132" s="264">
        <v>17</v>
      </c>
      <c r="F132" s="137">
        <f>Table1123457[[#This Row],[d (mm)]]</f>
        <v>280</v>
      </c>
      <c r="G132" s="135">
        <f t="shared" si="19"/>
        <v>13770</v>
      </c>
      <c r="H132" s="135">
        <f t="shared" si="20"/>
        <v>1.7262655041935266E-6</v>
      </c>
      <c r="I132" s="111">
        <f>G132/(Table1123457[[#This Row],[b (mm)]]*Table1123457[[#This Row],[h]]^2)</f>
        <v>1.1744937820917418E-3</v>
      </c>
      <c r="J132" s="135">
        <f t="shared" si="21"/>
        <v>0.29841248459014835</v>
      </c>
      <c r="K132" s="135">
        <f t="shared" si="22"/>
        <v>2.8867863369554087E-6</v>
      </c>
      <c r="L132" s="135">
        <f>E132/(Table1123457[[#This Row],[b (mm)]]*AE132)</f>
        <v>4.9765807962529279E-4</v>
      </c>
      <c r="M132" s="135">
        <f>Table1123457[[#This Row],[M (KN.mm)]]/(Table1123457[[#This Row],[b (mm)]]*Table1123457[[#This Row],[d (mm)]])</f>
        <v>0.4031030444964871</v>
      </c>
      <c r="N132" s="135">
        <f>Table1123457[[#This Row],[M (KN.mm)]]/(Table1123457[[#This Row],[b (mm)]]*Table1123457[[#This Row],[h (mm)]])</f>
        <v>0.36409307244843997</v>
      </c>
      <c r="O132" s="145">
        <f>Table1123457[[#This Row],[M (KN.mm)]]/(Table1123457[[#This Row],[b (mm)]]*Table1123457[[#This Row],[h (mm)]]*Table1123457[[#This Row],[L(mm)]])</f>
        <v>2.2474881015335801E-4</v>
      </c>
      <c r="P132" s="145">
        <f>Table1123457[[#This Row],[M (KN.mm)]]/(Table1123457[[#This Row],[b (mm)]]*Table1123457[[#This Row],[d (mm)]]*Table1123457[[#This Row],[L(mm)]])</f>
        <v>2.488290398126464E-4</v>
      </c>
      <c r="Q132" s="145">
        <f>Table1123457[[#This Row],[M (KN.mm)]]/(Table1123457[[#This Row],[b (mm)]]*Table1123457[[#This Row],[h (mm)]]*Table1123457[[#This Row],[L(mm)]]*Table1123457[[#This Row],[fc (Mpa)]])</f>
        <v>5.8989189016629399E-6</v>
      </c>
      <c r="R132" s="145">
        <f>Table1123457[[#This Row],[M (KN.mm)]]/(Table1123457[[#This Row],[b (mm)]]*Table1123457[[#This Row],[h (mm)]]*Table1123457[[#This Row],[L(mm)]]/2)</f>
        <v>4.4949762030671602E-4</v>
      </c>
      <c r="S132" s="145">
        <f>Table1123457[[#This Row],[M (KN.mm)]]/(Table1123457[[#This Row],[a (mm)]]*Table1123457[[#This Row],[b (mm)]]*Table1123457[[#This Row],[h (mm)]]*Table1123457[[#This Row],[L(mm)]]/2)</f>
        <v>5.5493533371199507E-7</v>
      </c>
      <c r="T132" s="145">
        <f>Table1123457[[#This Row],[M (KN.mm)]]/(Table1123457[[#This Row],[a (mm)]]^2*Table1123457[[#This Row],[b (mm)]]*Table1123457[[#This Row],[h (mm)]])</f>
        <v>5.5493533371199507E-7</v>
      </c>
      <c r="U132" s="145">
        <f>Table1123457[[#This Row],[M (KN.mm)]]/(Table1123457[[#This Row],[b (mm)]]*Table1123457[[#This Row],[d (mm)]]*Table1123457[[#This Row],[pho (%)]])</f>
        <v>0.48566631867046645</v>
      </c>
      <c r="V132" s="145">
        <f>E132*224.8/(2*SQRT(Table1123457[[#This Row],[fc (Mpa)]]*145.037)*Table1123457[[#This Row],[b (mm)]]*Table1123457[[#This Row],[d (mm)]]*(1/25.4)^2)</f>
        <v>0.48547057507899843</v>
      </c>
      <c r="W132" s="145">
        <f>Table1123457[[#This Row],[M (KN.mm)]]/$G$140</f>
        <v>0.44795783926218702</v>
      </c>
      <c r="X132" s="145">
        <f>Table1123457[[#This Row],[V/(2*sqrt(fc) bd)]]</f>
        <v>0.48547057507899843</v>
      </c>
      <c r="Y132" s="111">
        <f>Table1123457[[#This Row],[a (mm)]]</f>
        <v>810</v>
      </c>
      <c r="Z132" s="111">
        <f>Table1123457[[#This Row],[width]]*Table1123457[[#This Row],[h]]^2</f>
        <v>11724200</v>
      </c>
      <c r="AA132" s="111">
        <f>Table1123457[[#This Row],[b (mm)]]</f>
        <v>122</v>
      </c>
      <c r="AB132" s="111">
        <f>Table1123457[[#This Row],[a (mm)]]/Table1123457[[#This Row],[h (mm)]]</f>
        <v>2.6129032258064515</v>
      </c>
      <c r="AC132" s="111">
        <f>Table1123457[[#This Row],[h (mm)]]</f>
        <v>310</v>
      </c>
      <c r="AD132" s="111">
        <v>810</v>
      </c>
      <c r="AE132" s="111">
        <v>280</v>
      </c>
      <c r="AF132" s="111">
        <v>310</v>
      </c>
      <c r="AG132" s="111">
        <v>122</v>
      </c>
      <c r="AH132" s="7">
        <v>38.1</v>
      </c>
      <c r="AI132" s="135">
        <f>Table1123457[[#This Row],[pho (%)]]/100*Table1123457[[#This Row],[b (mm)]]*Table1123457[[#This Row],[h (mm)]]</f>
        <v>313.90600000000001</v>
      </c>
      <c r="AJ132" s="135">
        <v>0.83</v>
      </c>
      <c r="AK132" s="160">
        <v>525</v>
      </c>
      <c r="AL132" s="135">
        <f>(1/3-0.21*(MIN(Table1123457[[#This Row],[b (mm)]],AF132)/MAX(Table1123457[[#This Row],[b (mm)]],AF132))*(MIN(Table1123457[[#This Row],[b (mm)]],AF132)^4/(12*MAX(Table1123457[[#This Row],[b (mm)]],AF132)^4)))*MAX(Table1123457[[#This Row],[b (mm)]],AF132)*MIN(Table1123457[[#This Row],[b (mm)]],AF132)^3</f>
        <v>187544629.45683298</v>
      </c>
      <c r="AM132" s="135">
        <f>Table1123457[[#This Row],[b (mm)]]*AF132^3/12</f>
        <v>302875166.66666669</v>
      </c>
      <c r="AN132" s="111">
        <v>1620</v>
      </c>
      <c r="AP132" s="107"/>
      <c r="AU132" s="383">
        <v>34</v>
      </c>
      <c r="AV132" s="2">
        <f t="shared" si="23"/>
        <v>17</v>
      </c>
    </row>
    <row r="133" spans="1:48" x14ac:dyDescent="0.3">
      <c r="A133" s="263" t="s">
        <v>163</v>
      </c>
      <c r="B133" s="263">
        <v>3</v>
      </c>
      <c r="C133" s="185">
        <v>132</v>
      </c>
      <c r="D133" s="185">
        <f>Table1123457[[#This Row],[a (mm)]]/Table1123457[[#This Row],[d (mm)]]</f>
        <v>2.8928571428571428</v>
      </c>
      <c r="E133" s="264">
        <v>22.75</v>
      </c>
      <c r="F133" s="137">
        <f>Table1123457[[#This Row],[d (mm)]]</f>
        <v>280</v>
      </c>
      <c r="G133" s="135">
        <f t="shared" si="19"/>
        <v>18427.5</v>
      </c>
      <c r="H133" s="135">
        <f t="shared" si="20"/>
        <v>2.3101494247295726E-6</v>
      </c>
      <c r="I133" s="111">
        <f>G133/(Table1123457[[#This Row],[b (mm)]]*Table1123457[[#This Row],[h]]^2)</f>
        <v>1.5717490319168898E-3</v>
      </c>
      <c r="J133" s="135">
        <f t="shared" si="21"/>
        <v>0.39934611908387496</v>
      </c>
      <c r="K133" s="135">
        <f t="shared" si="22"/>
        <v>3.8631993626903265E-6</v>
      </c>
      <c r="L133" s="135">
        <f>E133/(Table1123457[[#This Row],[b (mm)]]*AE133)</f>
        <v>6.6598360655737701E-4</v>
      </c>
      <c r="M133" s="135">
        <f>Table1123457[[#This Row],[M (KN.mm)]]/(Table1123457[[#This Row],[b (mm)]]*Table1123457[[#This Row],[d (mm)]])</f>
        <v>0.53944672131147542</v>
      </c>
      <c r="N133" s="135">
        <f>Table1123457[[#This Row],[M (KN.mm)]]/(Table1123457[[#This Row],[b (mm)]]*Table1123457[[#This Row],[h (mm)]])</f>
        <v>0.48724219989423584</v>
      </c>
      <c r="O133" s="145">
        <f>Table1123457[[#This Row],[M (KN.mm)]]/(Table1123457[[#This Row],[b (mm)]]*Table1123457[[#This Row],[h (mm)]]*Table1123457[[#This Row],[L(mm)]])</f>
        <v>3.0076679005817031E-4</v>
      </c>
      <c r="P133" s="145">
        <f>Table1123457[[#This Row],[M (KN.mm)]]/(Table1123457[[#This Row],[b (mm)]]*Table1123457[[#This Row],[d (mm)]]*Table1123457[[#This Row],[L(mm)]])</f>
        <v>3.329918032786885E-4</v>
      </c>
      <c r="Q133" s="145">
        <f>Table1123457[[#This Row],[M (KN.mm)]]/(Table1123457[[#This Row],[b (mm)]]*Table1123457[[#This Row],[h (mm)]]*Table1123457[[#This Row],[L(mm)]]*Table1123457[[#This Row],[fc (Mpa)]])</f>
        <v>7.8941414713430523E-6</v>
      </c>
      <c r="R133" s="145">
        <f>Table1123457[[#This Row],[M (KN.mm)]]/(Table1123457[[#This Row],[b (mm)]]*Table1123457[[#This Row],[h (mm)]]*Table1123457[[#This Row],[L(mm)]]/2)</f>
        <v>6.0153358011634061E-4</v>
      </c>
      <c r="S133" s="145">
        <f>Table1123457[[#This Row],[M (KN.mm)]]/(Table1123457[[#This Row],[a (mm)]]*Table1123457[[#This Row],[b (mm)]]*Table1123457[[#This Row],[h (mm)]]*Table1123457[[#This Row],[L(mm)]]/2)</f>
        <v>7.4263404952634632E-7</v>
      </c>
      <c r="T133" s="145">
        <f>Table1123457[[#This Row],[M (KN.mm)]]/(Table1123457[[#This Row],[a (mm)]]^2*Table1123457[[#This Row],[b (mm)]]*Table1123457[[#This Row],[h (mm)]])</f>
        <v>7.4263404952634632E-7</v>
      </c>
      <c r="U133" s="145">
        <f>Table1123457[[#This Row],[M (KN.mm)]]/(Table1123457[[#This Row],[b (mm)]]*Table1123457[[#This Row],[d (mm)]]*Table1123457[[#This Row],[pho (%)]])</f>
        <v>0.64993580880900659</v>
      </c>
      <c r="V133" s="145">
        <f>E133*224.8/(2*SQRT(Table1123457[[#This Row],[fc (Mpa)]]*145.037)*Table1123457[[#This Row],[b (mm)]]*Table1123457[[#This Row],[d (mm)]]*(1/25.4)^2)</f>
        <v>0.6496738578263066</v>
      </c>
      <c r="W133" s="145">
        <f>Table1123457[[#This Row],[M (KN.mm)]]/$G$140</f>
        <v>0.59947299077733851</v>
      </c>
      <c r="X133" s="145">
        <f>Table1123457[[#This Row],[V/(2*sqrt(fc) bd)]]</f>
        <v>0.6496738578263066</v>
      </c>
      <c r="Y133" s="111">
        <f>Table1123457[[#This Row],[a (mm)]]</f>
        <v>810</v>
      </c>
      <c r="Z133" s="111">
        <f>Table1123457[[#This Row],[width]]*Table1123457[[#This Row],[h]]^2</f>
        <v>11724200</v>
      </c>
      <c r="AA133" s="111">
        <f>Table1123457[[#This Row],[b (mm)]]</f>
        <v>122</v>
      </c>
      <c r="AB133" s="111">
        <f>Table1123457[[#This Row],[a (mm)]]/Table1123457[[#This Row],[h (mm)]]</f>
        <v>2.6129032258064515</v>
      </c>
      <c r="AC133" s="111">
        <f>Table1123457[[#This Row],[h (mm)]]</f>
        <v>310</v>
      </c>
      <c r="AD133" s="111">
        <v>810</v>
      </c>
      <c r="AE133" s="111">
        <v>280</v>
      </c>
      <c r="AF133" s="111">
        <v>310</v>
      </c>
      <c r="AG133" s="111">
        <v>122</v>
      </c>
      <c r="AH133" s="7">
        <v>38.1</v>
      </c>
      <c r="AI133" s="135">
        <f>Table1123457[[#This Row],[pho (%)]]/100*Table1123457[[#This Row],[b (mm)]]*Table1123457[[#This Row],[h (mm)]]</f>
        <v>313.90600000000001</v>
      </c>
      <c r="AJ133" s="135">
        <v>0.83</v>
      </c>
      <c r="AK133" s="160">
        <v>525</v>
      </c>
      <c r="AL133" s="135">
        <f>(1/3-0.21*(MIN(Table1123457[[#This Row],[b (mm)]],AF133)/MAX(Table1123457[[#This Row],[b (mm)]],AF133))*(MIN(Table1123457[[#This Row],[b (mm)]],AF133)^4/(12*MAX(Table1123457[[#This Row],[b (mm)]],AF133)^4)))*MAX(Table1123457[[#This Row],[b (mm)]],AF133)*MIN(Table1123457[[#This Row],[b (mm)]],AF133)^3</f>
        <v>187544629.45683298</v>
      </c>
      <c r="AM133" s="135">
        <f>Table1123457[[#This Row],[b (mm)]]*AF133^3/12</f>
        <v>302875166.66666669</v>
      </c>
      <c r="AN133" s="111">
        <v>1620</v>
      </c>
      <c r="AP133" s="107"/>
      <c r="AU133" s="383">
        <v>45.5</v>
      </c>
      <c r="AV133" s="2">
        <f t="shared" si="23"/>
        <v>22.75</v>
      </c>
    </row>
    <row r="134" spans="1:48" x14ac:dyDescent="0.3">
      <c r="A134" s="263" t="s">
        <v>163</v>
      </c>
      <c r="B134" s="263">
        <v>4</v>
      </c>
      <c r="C134" s="185">
        <v>133</v>
      </c>
      <c r="D134" s="185">
        <f>Table1123457[[#This Row],[a (mm)]]/Table1123457[[#This Row],[d (mm)]]</f>
        <v>2.8928571428571428</v>
      </c>
      <c r="E134" s="264">
        <v>27.5</v>
      </c>
      <c r="F134" s="137">
        <f>Table1123457[[#This Row],[d (mm)]]</f>
        <v>280</v>
      </c>
      <c r="G134" s="135">
        <f t="shared" si="19"/>
        <v>22275</v>
      </c>
      <c r="H134" s="135">
        <f t="shared" si="20"/>
        <v>2.7924883156071757E-6</v>
      </c>
      <c r="I134" s="111">
        <f>G134/(Table1123457[[#This Row],[b (mm)]]*Table1123457[[#This Row],[h]]^2)</f>
        <v>1.8999164122072295E-3</v>
      </c>
      <c r="J134" s="135">
        <f t="shared" si="21"/>
        <v>0.48272607801347522</v>
      </c>
      <c r="K134" s="135">
        <f t="shared" si="22"/>
        <v>4.6698014274278668E-6</v>
      </c>
      <c r="L134" s="135">
        <f>E134/(Table1123457[[#This Row],[b (mm)]]*AE134)</f>
        <v>8.0503512880562064E-4</v>
      </c>
      <c r="M134" s="135">
        <f>Table1123457[[#This Row],[M (KN.mm)]]/(Table1123457[[#This Row],[b (mm)]]*Table1123457[[#This Row],[d (mm)]])</f>
        <v>0.65207845433255274</v>
      </c>
      <c r="N134" s="135">
        <f>Table1123457[[#This Row],[M (KN.mm)]]/(Table1123457[[#This Row],[b (mm)]]*Table1123457[[#This Row],[h (mm)]])</f>
        <v>0.5889740877842411</v>
      </c>
      <c r="O134" s="145">
        <f>Table1123457[[#This Row],[M (KN.mm)]]/(Table1123457[[#This Row],[b (mm)]]*Table1123457[[#This Row],[h (mm)]]*Table1123457[[#This Row],[L(mm)]])</f>
        <v>3.6356425171866737E-4</v>
      </c>
      <c r="P134" s="145">
        <f>Table1123457[[#This Row],[M (KN.mm)]]/(Table1123457[[#This Row],[b (mm)]]*Table1123457[[#This Row],[d (mm)]]*Table1123457[[#This Row],[L(mm)]])</f>
        <v>4.0251756440281032E-4</v>
      </c>
      <c r="Q134" s="145">
        <f>Table1123457[[#This Row],[M (KN.mm)]]/(Table1123457[[#This Row],[b (mm)]]*Table1123457[[#This Row],[h (mm)]]*Table1123457[[#This Row],[L(mm)]]*Table1123457[[#This Row],[fc (Mpa)]])</f>
        <v>9.5423688115135789E-6</v>
      </c>
      <c r="R134" s="145">
        <f>Table1123457[[#This Row],[M (KN.mm)]]/(Table1123457[[#This Row],[b (mm)]]*Table1123457[[#This Row],[h (mm)]]*Table1123457[[#This Row],[L(mm)]]/2)</f>
        <v>7.2712850343733474E-4</v>
      </c>
      <c r="S134" s="145">
        <f>Table1123457[[#This Row],[M (KN.mm)]]/(Table1123457[[#This Row],[a (mm)]]*Table1123457[[#This Row],[b (mm)]]*Table1123457[[#This Row],[h (mm)]]*Table1123457[[#This Row],[L(mm)]]/2)</f>
        <v>8.9768951041646266E-7</v>
      </c>
      <c r="T134" s="145">
        <f>Table1123457[[#This Row],[M (KN.mm)]]/(Table1123457[[#This Row],[a (mm)]]^2*Table1123457[[#This Row],[b (mm)]]*Table1123457[[#This Row],[h (mm)]])</f>
        <v>8.9768951041646266E-7</v>
      </c>
      <c r="U134" s="145">
        <f>Table1123457[[#This Row],[M (KN.mm)]]/(Table1123457[[#This Row],[b (mm)]]*Table1123457[[#This Row],[d (mm)]]*Table1123457[[#This Row],[pho (%)]])</f>
        <v>0.78563669196693098</v>
      </c>
      <c r="V134" s="145">
        <f>E134*224.8/(2*SQRT(Table1123457[[#This Row],[fc (Mpa)]]*145.037)*Table1123457[[#This Row],[b (mm)]]*Table1123457[[#This Row],[d (mm)]]*(1/25.4)^2)</f>
        <v>0.78532004792190913</v>
      </c>
      <c r="W134" s="145">
        <f>Table1123457[[#This Row],[M (KN.mm)]]/$G$140</f>
        <v>0.72463768115942018</v>
      </c>
      <c r="X134" s="145">
        <f>Table1123457[[#This Row],[V/(2*sqrt(fc) bd)]]</f>
        <v>0.78532004792190913</v>
      </c>
      <c r="Y134" s="111">
        <f>Table1123457[[#This Row],[a (mm)]]</f>
        <v>810</v>
      </c>
      <c r="Z134" s="111">
        <f>Table1123457[[#This Row],[width]]*Table1123457[[#This Row],[h]]^2</f>
        <v>11724200</v>
      </c>
      <c r="AA134" s="111">
        <f>Table1123457[[#This Row],[b (mm)]]</f>
        <v>122</v>
      </c>
      <c r="AB134" s="111">
        <f>Table1123457[[#This Row],[a (mm)]]/Table1123457[[#This Row],[h (mm)]]</f>
        <v>2.6129032258064515</v>
      </c>
      <c r="AC134" s="111">
        <f>Table1123457[[#This Row],[h (mm)]]</f>
        <v>310</v>
      </c>
      <c r="AD134" s="111">
        <v>810</v>
      </c>
      <c r="AE134" s="111">
        <v>280</v>
      </c>
      <c r="AF134" s="111">
        <v>310</v>
      </c>
      <c r="AG134" s="111">
        <v>122</v>
      </c>
      <c r="AH134" s="7">
        <v>38.1</v>
      </c>
      <c r="AI134" s="135">
        <f>Table1123457[[#This Row],[pho (%)]]/100*Table1123457[[#This Row],[b (mm)]]*Table1123457[[#This Row],[h (mm)]]</f>
        <v>313.90600000000001</v>
      </c>
      <c r="AJ134" s="135">
        <v>0.83</v>
      </c>
      <c r="AK134" s="160">
        <v>525</v>
      </c>
      <c r="AL134" s="135">
        <f>(1/3-0.21*(MIN(Table1123457[[#This Row],[b (mm)]],AF134)/MAX(Table1123457[[#This Row],[b (mm)]],AF134))*(MIN(Table1123457[[#This Row],[b (mm)]],AF134)^4/(12*MAX(Table1123457[[#This Row],[b (mm)]],AF134)^4)))*MAX(Table1123457[[#This Row],[b (mm)]],AF134)*MIN(Table1123457[[#This Row],[b (mm)]],AF134)^3</f>
        <v>187544629.45683298</v>
      </c>
      <c r="AM134" s="135">
        <f>Table1123457[[#This Row],[b (mm)]]*AF134^3/12</f>
        <v>302875166.66666669</v>
      </c>
      <c r="AN134" s="111">
        <v>1620</v>
      </c>
      <c r="AP134" s="107"/>
      <c r="AU134" s="383">
        <v>55</v>
      </c>
      <c r="AV134" s="2">
        <f t="shared" si="23"/>
        <v>27.5</v>
      </c>
    </row>
    <row r="135" spans="1:48" x14ac:dyDescent="0.3">
      <c r="A135" s="263" t="s">
        <v>163</v>
      </c>
      <c r="B135" s="263">
        <v>5</v>
      </c>
      <c r="C135" s="185">
        <v>134</v>
      </c>
      <c r="D135" s="185">
        <f>Table1123457[[#This Row],[a (mm)]]/Table1123457[[#This Row],[d (mm)]]</f>
        <v>2.8928571428571428</v>
      </c>
      <c r="E135" s="264">
        <v>32.549999999999997</v>
      </c>
      <c r="F135" s="137">
        <f>Table1123457[[#This Row],[d (mm)]]</f>
        <v>280</v>
      </c>
      <c r="G135" s="135">
        <f t="shared" si="19"/>
        <v>26365.499999999996</v>
      </c>
      <c r="H135" s="135">
        <f t="shared" si="20"/>
        <v>3.3052907153823107E-6</v>
      </c>
      <c r="I135" s="111">
        <f>G135/(Table1123457[[#This Row],[b (mm)]]*Table1123457[[#This Row],[h]]^2)</f>
        <v>2.2488101533580111E-3</v>
      </c>
      <c r="J135" s="135">
        <f t="shared" si="21"/>
        <v>0.57137213961231337</v>
      </c>
      <c r="K135" s="135">
        <f t="shared" si="22"/>
        <v>5.5273467804646199E-6</v>
      </c>
      <c r="L135" s="135">
        <f>E135/(Table1123457[[#This Row],[b (mm)]]*AE135)</f>
        <v>9.528688524590163E-4</v>
      </c>
      <c r="M135" s="135">
        <f>Table1123457[[#This Row],[M (KN.mm)]]/(Table1123457[[#This Row],[b (mm)]]*Table1123457[[#This Row],[d (mm)]])</f>
        <v>0.77182377049180317</v>
      </c>
      <c r="N135" s="135">
        <f>Table1123457[[#This Row],[M (KN.mm)]]/(Table1123457[[#This Row],[b (mm)]]*Table1123457[[#This Row],[h (mm)]])</f>
        <v>0.69713114754098349</v>
      </c>
      <c r="O135" s="145">
        <f>Table1123457[[#This Row],[M (KN.mm)]]/(Table1123457[[#This Row],[b (mm)]]*Table1123457[[#This Row],[h (mm)]]*Table1123457[[#This Row],[L(mm)]])</f>
        <v>4.3032786885245893E-4</v>
      </c>
      <c r="P135" s="145">
        <f>Table1123457[[#This Row],[M (KN.mm)]]/(Table1123457[[#This Row],[b (mm)]]*Table1123457[[#This Row],[d (mm)]]*Table1123457[[#This Row],[L(mm)]])</f>
        <v>4.7643442622950815E-4</v>
      </c>
      <c r="Q135" s="145">
        <f>Table1123457[[#This Row],[M (KN.mm)]]/(Table1123457[[#This Row],[b (mm)]]*Table1123457[[#This Row],[h (mm)]]*Table1123457[[#This Row],[L(mm)]]*Table1123457[[#This Row],[fc (Mpa)]])</f>
        <v>1.129469472053698E-5</v>
      </c>
      <c r="R135" s="145">
        <f>Table1123457[[#This Row],[M (KN.mm)]]/(Table1123457[[#This Row],[b (mm)]]*Table1123457[[#This Row],[h (mm)]]*Table1123457[[#This Row],[L(mm)]]/2)</f>
        <v>8.6065573770491787E-4</v>
      </c>
      <c r="S135" s="145">
        <f>Table1123457[[#This Row],[M (KN.mm)]]/(Table1123457[[#This Row],[a (mm)]]*Table1123457[[#This Row],[b (mm)]]*Table1123457[[#This Row],[h (mm)]]*Table1123457[[#This Row],[L(mm)]]/2)</f>
        <v>1.0625379477838493E-6</v>
      </c>
      <c r="T135" s="145">
        <f>Table1123457[[#This Row],[M (KN.mm)]]/(Table1123457[[#This Row],[a (mm)]]^2*Table1123457[[#This Row],[b (mm)]]*Table1123457[[#This Row],[h (mm)]])</f>
        <v>1.0625379477838493E-6</v>
      </c>
      <c r="U135" s="145">
        <f>Table1123457[[#This Row],[M (KN.mm)]]/(Table1123457[[#This Row],[b (mm)]]*Table1123457[[#This Row],[d (mm)]]*Table1123457[[#This Row],[pho (%)]])</f>
        <v>0.92990815721903997</v>
      </c>
      <c r="V135" s="145">
        <f>E135*224.8/(2*SQRT(Table1123457[[#This Row],[fc (Mpa)]]*145.037)*Table1123457[[#This Row],[b (mm)]]*Table1123457[[#This Row],[d (mm)]]*(1/25.4)^2)</f>
        <v>0.92953336581302337</v>
      </c>
      <c r="W135" s="145">
        <f>Table1123457[[#This Row],[M (KN.mm)]]/$G$140</f>
        <v>0.85770750988142275</v>
      </c>
      <c r="X135" s="145">
        <f>Table1123457[[#This Row],[V/(2*sqrt(fc) bd)]]</f>
        <v>0.92953336581302337</v>
      </c>
      <c r="Y135" s="111">
        <f>Table1123457[[#This Row],[a (mm)]]</f>
        <v>810</v>
      </c>
      <c r="Z135" s="111">
        <f>Table1123457[[#This Row],[width]]*Table1123457[[#This Row],[h]]^2</f>
        <v>11724200</v>
      </c>
      <c r="AA135" s="111">
        <f>Table1123457[[#This Row],[b (mm)]]</f>
        <v>122</v>
      </c>
      <c r="AB135" s="111">
        <f>Table1123457[[#This Row],[a (mm)]]/Table1123457[[#This Row],[h (mm)]]</f>
        <v>2.6129032258064515</v>
      </c>
      <c r="AC135" s="111">
        <f>Table1123457[[#This Row],[h (mm)]]</f>
        <v>310</v>
      </c>
      <c r="AD135" s="111">
        <v>810</v>
      </c>
      <c r="AE135" s="111">
        <v>280</v>
      </c>
      <c r="AF135" s="111">
        <v>310</v>
      </c>
      <c r="AG135" s="111">
        <v>122</v>
      </c>
      <c r="AH135" s="7">
        <v>38.1</v>
      </c>
      <c r="AI135" s="135">
        <f>Table1123457[[#This Row],[pho (%)]]/100*Table1123457[[#This Row],[b (mm)]]*Table1123457[[#This Row],[h (mm)]]</f>
        <v>313.90600000000001</v>
      </c>
      <c r="AJ135" s="135">
        <v>0.83</v>
      </c>
      <c r="AK135" s="160">
        <v>525</v>
      </c>
      <c r="AL135" s="135">
        <f>(1/3-0.21*(MIN(Table1123457[[#This Row],[b (mm)]],AF135)/MAX(Table1123457[[#This Row],[b (mm)]],AF135))*(MIN(Table1123457[[#This Row],[b (mm)]],AF135)^4/(12*MAX(Table1123457[[#This Row],[b (mm)]],AF135)^4)))*MAX(Table1123457[[#This Row],[b (mm)]],AF135)*MIN(Table1123457[[#This Row],[b (mm)]],AF135)^3</f>
        <v>187544629.45683298</v>
      </c>
      <c r="AM135" s="135">
        <f>Table1123457[[#This Row],[b (mm)]]*AF135^3/12</f>
        <v>302875166.66666669</v>
      </c>
      <c r="AN135" s="111">
        <v>1620</v>
      </c>
      <c r="AP135" s="107"/>
      <c r="AU135" s="383">
        <v>65.099999999999994</v>
      </c>
      <c r="AV135" s="2">
        <f t="shared" si="23"/>
        <v>32.549999999999997</v>
      </c>
    </row>
    <row r="136" spans="1:48" x14ac:dyDescent="0.3">
      <c r="A136" s="263" t="s">
        <v>163</v>
      </c>
      <c r="B136" s="263">
        <v>6</v>
      </c>
      <c r="C136" s="185">
        <v>135</v>
      </c>
      <c r="D136" s="185">
        <f>Table1123457[[#This Row],[a (mm)]]/Table1123457[[#This Row],[d (mm)]]</f>
        <v>2.8928571428571428</v>
      </c>
      <c r="E136" s="264">
        <v>32.5</v>
      </c>
      <c r="F136" s="137">
        <f>Table1123457[[#This Row],[d (mm)]]</f>
        <v>280</v>
      </c>
      <c r="G136" s="135">
        <f t="shared" si="19"/>
        <v>26325</v>
      </c>
      <c r="H136" s="135">
        <f t="shared" si="20"/>
        <v>3.3002134638993893E-6</v>
      </c>
      <c r="I136" s="111">
        <f>G136/(Table1123457[[#This Row],[b (mm)]]*Table1123457[[#This Row],[h]]^2)</f>
        <v>2.2453557598812713E-3</v>
      </c>
      <c r="J136" s="135">
        <f t="shared" si="21"/>
        <v>0.57049445583410707</v>
      </c>
      <c r="K136" s="135">
        <f t="shared" si="22"/>
        <v>5.5188562324147516E-6</v>
      </c>
      <c r="L136" s="135">
        <f>E136/(Table1123457[[#This Row],[b (mm)]]*AE136)</f>
        <v>9.5140515222482433E-4</v>
      </c>
      <c r="M136" s="135">
        <f>Table1123457[[#This Row],[M (KN.mm)]]/(Table1123457[[#This Row],[b (mm)]]*Table1123457[[#This Row],[d (mm)]])</f>
        <v>0.77063817330210771</v>
      </c>
      <c r="N136" s="135">
        <f>Table1123457[[#This Row],[M (KN.mm)]]/(Table1123457[[#This Row],[b (mm)]]*Table1123457[[#This Row],[h (mm)]])</f>
        <v>0.6960602855631941</v>
      </c>
      <c r="O136" s="145">
        <f>Table1123457[[#This Row],[M (KN.mm)]]/(Table1123457[[#This Row],[b (mm)]]*Table1123457[[#This Row],[h (mm)]]*Table1123457[[#This Row],[L(mm)]])</f>
        <v>4.2966684294024326E-4</v>
      </c>
      <c r="P136" s="145">
        <f>Table1123457[[#This Row],[M (KN.mm)]]/(Table1123457[[#This Row],[b (mm)]]*Table1123457[[#This Row],[d (mm)]]*Table1123457[[#This Row],[L(mm)]])</f>
        <v>4.7570257611241216E-4</v>
      </c>
      <c r="Q136" s="145">
        <f>Table1123457[[#This Row],[M (KN.mm)]]/(Table1123457[[#This Row],[b (mm)]]*Table1123457[[#This Row],[h (mm)]]*Table1123457[[#This Row],[L(mm)]]*Table1123457[[#This Row],[fc (Mpa)]])</f>
        <v>1.1277344959061503E-5</v>
      </c>
      <c r="R136" s="145">
        <f>Table1123457[[#This Row],[M (KN.mm)]]/(Table1123457[[#This Row],[b (mm)]]*Table1123457[[#This Row],[h (mm)]]*Table1123457[[#This Row],[L(mm)]]/2)</f>
        <v>8.5933368588048651E-4</v>
      </c>
      <c r="S136" s="145">
        <f>Table1123457[[#This Row],[M (KN.mm)]]/(Table1123457[[#This Row],[a (mm)]]*Table1123457[[#This Row],[b (mm)]]*Table1123457[[#This Row],[h (mm)]]*Table1123457[[#This Row],[L(mm)]]/2)</f>
        <v>1.0609057850376377E-6</v>
      </c>
      <c r="T136" s="145">
        <f>Table1123457[[#This Row],[M (KN.mm)]]/(Table1123457[[#This Row],[a (mm)]]^2*Table1123457[[#This Row],[b (mm)]]*Table1123457[[#This Row],[h (mm)]])</f>
        <v>1.0609057850376377E-6</v>
      </c>
      <c r="U136" s="145">
        <f>Table1123457[[#This Row],[M (KN.mm)]]/(Table1123457[[#This Row],[b (mm)]]*Table1123457[[#This Row],[d (mm)]]*Table1123457[[#This Row],[pho (%)]])</f>
        <v>0.92847972687000935</v>
      </c>
      <c r="V136" s="145">
        <f>E136*224.8/(2*SQRT(Table1123457[[#This Row],[fc (Mpa)]]*145.037)*Table1123457[[#This Row],[b (mm)]]*Table1123457[[#This Row],[d (mm)]]*(1/25.4)^2)</f>
        <v>0.92810551118043805</v>
      </c>
      <c r="W136" s="145">
        <f>Table1123457[[#This Row],[M (KN.mm)]]/$G$140</f>
        <v>0.8563899868247693</v>
      </c>
      <c r="X136" s="145">
        <f>Table1123457[[#This Row],[V/(2*sqrt(fc) bd)]]</f>
        <v>0.92810551118043805</v>
      </c>
      <c r="Y136" s="111">
        <f>Table1123457[[#This Row],[a (mm)]]</f>
        <v>810</v>
      </c>
      <c r="Z136" s="111">
        <f>Table1123457[[#This Row],[width]]*Table1123457[[#This Row],[h]]^2</f>
        <v>11724200</v>
      </c>
      <c r="AA136" s="111">
        <f>Table1123457[[#This Row],[b (mm)]]</f>
        <v>122</v>
      </c>
      <c r="AB136" s="111">
        <f>Table1123457[[#This Row],[a (mm)]]/Table1123457[[#This Row],[h (mm)]]</f>
        <v>2.6129032258064515</v>
      </c>
      <c r="AC136" s="111">
        <f>Table1123457[[#This Row],[h (mm)]]</f>
        <v>310</v>
      </c>
      <c r="AD136" s="111">
        <v>810</v>
      </c>
      <c r="AE136" s="111">
        <v>280</v>
      </c>
      <c r="AF136" s="111">
        <v>310</v>
      </c>
      <c r="AG136" s="111">
        <v>122</v>
      </c>
      <c r="AH136" s="7">
        <v>38.1</v>
      </c>
      <c r="AI136" s="135">
        <f>Table1123457[[#This Row],[pho (%)]]/100*Table1123457[[#This Row],[b (mm)]]*Table1123457[[#This Row],[h (mm)]]</f>
        <v>313.90600000000001</v>
      </c>
      <c r="AJ136" s="135">
        <v>0.83</v>
      </c>
      <c r="AK136" s="160">
        <v>525</v>
      </c>
      <c r="AL136" s="135">
        <f>(1/3-0.21*(MIN(Table1123457[[#This Row],[b (mm)]],AF136)/MAX(Table1123457[[#This Row],[b (mm)]],AF136))*(MIN(Table1123457[[#This Row],[b (mm)]],AF136)^4/(12*MAX(Table1123457[[#This Row],[b (mm)]],AF136)^4)))*MAX(Table1123457[[#This Row],[b (mm)]],AF136)*MIN(Table1123457[[#This Row],[b (mm)]],AF136)^3</f>
        <v>187544629.45683298</v>
      </c>
      <c r="AM136" s="135">
        <f>Table1123457[[#This Row],[b (mm)]]*AF136^3/12</f>
        <v>302875166.66666669</v>
      </c>
      <c r="AN136" s="111">
        <v>1620</v>
      </c>
      <c r="AP136" s="107"/>
      <c r="AU136" s="383">
        <v>65</v>
      </c>
      <c r="AV136" s="2">
        <f t="shared" si="23"/>
        <v>32.5</v>
      </c>
    </row>
    <row r="137" spans="1:48" x14ac:dyDescent="0.3">
      <c r="A137" s="263" t="s">
        <v>163</v>
      </c>
      <c r="B137" s="263">
        <v>7</v>
      </c>
      <c r="C137" s="185">
        <v>136</v>
      </c>
      <c r="D137" s="185">
        <f>Table1123457[[#This Row],[a (mm)]]/Table1123457[[#This Row],[d (mm)]]</f>
        <v>2.8928571428571428</v>
      </c>
      <c r="E137" s="264">
        <v>37.35</v>
      </c>
      <c r="F137" s="137">
        <f>Table1123457[[#This Row],[d (mm)]]</f>
        <v>280</v>
      </c>
      <c r="G137" s="135">
        <f t="shared" si="19"/>
        <v>30253.5</v>
      </c>
      <c r="H137" s="135">
        <f t="shared" si="20"/>
        <v>3.7927068577428364E-6</v>
      </c>
      <c r="I137" s="111">
        <f>G137/(Table1123457[[#This Row],[b (mm)]]*Table1123457[[#This Row],[h]]^2)</f>
        <v>2.5804319271250918E-3</v>
      </c>
      <c r="J137" s="135">
        <f t="shared" si="21"/>
        <v>0.65562978232012004</v>
      </c>
      <c r="K137" s="135">
        <f t="shared" si="22"/>
        <v>6.3424393932520301E-6</v>
      </c>
      <c r="L137" s="135">
        <f>E137/(Table1123457[[#This Row],[b (mm)]]*AE137)</f>
        <v>1.0933840749414521E-3</v>
      </c>
      <c r="M137" s="135">
        <f>Table1123457[[#This Row],[M (KN.mm)]]/(Table1123457[[#This Row],[b (mm)]]*Table1123457[[#This Row],[d (mm)]])</f>
        <v>0.88564110070257607</v>
      </c>
      <c r="N137" s="135">
        <f>Table1123457[[#This Row],[M (KN.mm)]]/(Table1123457[[#This Row],[b (mm)]]*Table1123457[[#This Row],[h (mm)]])</f>
        <v>0.7999338974087784</v>
      </c>
      <c r="O137" s="145">
        <f>Table1123457[[#This Row],[M (KN.mm)]]/(Table1123457[[#This Row],[b (mm)]]*Table1123457[[#This Row],[h (mm)]]*Table1123457[[#This Row],[L(mm)]])</f>
        <v>4.9378635642517189E-4</v>
      </c>
      <c r="P137" s="145">
        <f>Table1123457[[#This Row],[M (KN.mm)]]/(Table1123457[[#This Row],[b (mm)]]*Table1123457[[#This Row],[d (mm)]]*Table1123457[[#This Row],[L(mm)]])</f>
        <v>5.4669203747072595E-4</v>
      </c>
      <c r="Q137" s="145">
        <f>Table1123457[[#This Row],[M (KN.mm)]]/(Table1123457[[#This Row],[b (mm)]]*Table1123457[[#This Row],[h (mm)]]*Table1123457[[#This Row],[L(mm)]]*Table1123457[[#This Row],[fc (Mpa)]])</f>
        <v>1.2960271822182989E-5</v>
      </c>
      <c r="R137" s="145">
        <f>Table1123457[[#This Row],[M (KN.mm)]]/(Table1123457[[#This Row],[b (mm)]]*Table1123457[[#This Row],[h (mm)]]*Table1123457[[#This Row],[L(mm)]]/2)</f>
        <v>9.8757271285034379E-4</v>
      </c>
      <c r="S137" s="145">
        <f>Table1123457[[#This Row],[M (KN.mm)]]/(Table1123457[[#This Row],[a (mm)]]*Table1123457[[#This Row],[b (mm)]]*Table1123457[[#This Row],[h (mm)]]*Table1123457[[#This Row],[L(mm)]]/2)</f>
        <v>1.2192255714201775E-6</v>
      </c>
      <c r="T137" s="145">
        <f>Table1123457[[#This Row],[M (KN.mm)]]/(Table1123457[[#This Row],[a (mm)]]^2*Table1123457[[#This Row],[b (mm)]]*Table1123457[[#This Row],[h (mm)]])</f>
        <v>1.2192255714201775E-6</v>
      </c>
      <c r="U137" s="145">
        <f>Table1123457[[#This Row],[M (KN.mm)]]/(Table1123457[[#This Row],[b (mm)]]*Table1123457[[#This Row],[d (mm)]]*Table1123457[[#This Row],[pho (%)]])</f>
        <v>1.0670374707259953</v>
      </c>
      <c r="V137" s="145">
        <f>E137*224.8/(2*SQRT(Table1123457[[#This Row],[fc (Mpa)]]*145.037)*Table1123457[[#This Row],[b (mm)]]*Table1123457[[#This Row],[d (mm)]]*(1/25.4)^2)</f>
        <v>1.0666074105412111</v>
      </c>
      <c r="W137" s="145">
        <f>Table1123457[[#This Row],[M (KN.mm)]]/$G$140</f>
        <v>0.98418972332015797</v>
      </c>
      <c r="X137" s="145">
        <f>Table1123457[[#This Row],[V/(2*sqrt(fc) bd)]]</f>
        <v>1.0666074105412111</v>
      </c>
      <c r="Y137" s="111">
        <f>Table1123457[[#This Row],[a (mm)]]</f>
        <v>810</v>
      </c>
      <c r="Z137" s="111">
        <f>Table1123457[[#This Row],[width]]*Table1123457[[#This Row],[h]]^2</f>
        <v>11724200</v>
      </c>
      <c r="AA137" s="111">
        <f>Table1123457[[#This Row],[b (mm)]]</f>
        <v>122</v>
      </c>
      <c r="AB137" s="111">
        <f>Table1123457[[#This Row],[a (mm)]]/Table1123457[[#This Row],[h (mm)]]</f>
        <v>2.6129032258064515</v>
      </c>
      <c r="AC137" s="111">
        <f>Table1123457[[#This Row],[h (mm)]]</f>
        <v>310</v>
      </c>
      <c r="AD137" s="111">
        <v>810</v>
      </c>
      <c r="AE137" s="111">
        <v>280</v>
      </c>
      <c r="AF137" s="111">
        <v>310</v>
      </c>
      <c r="AG137" s="111">
        <v>122</v>
      </c>
      <c r="AH137" s="7">
        <v>38.1</v>
      </c>
      <c r="AI137" s="135">
        <f>Table1123457[[#This Row],[pho (%)]]/100*Table1123457[[#This Row],[b (mm)]]*Table1123457[[#This Row],[h (mm)]]</f>
        <v>313.90600000000001</v>
      </c>
      <c r="AJ137" s="135">
        <v>0.83</v>
      </c>
      <c r="AK137" s="160">
        <v>525</v>
      </c>
      <c r="AL137" s="135">
        <f>(1/3-0.21*(MIN(Table1123457[[#This Row],[b (mm)]],AF137)/MAX(Table1123457[[#This Row],[b (mm)]],AF137))*(MIN(Table1123457[[#This Row],[b (mm)]],AF137)^4/(12*MAX(Table1123457[[#This Row],[b (mm)]],AF137)^4)))*MAX(Table1123457[[#This Row],[b (mm)]],AF137)*MIN(Table1123457[[#This Row],[b (mm)]],AF137)^3</f>
        <v>187544629.45683298</v>
      </c>
      <c r="AM137" s="135">
        <f>Table1123457[[#This Row],[b (mm)]]*AF137^3/12</f>
        <v>302875166.66666669</v>
      </c>
      <c r="AN137" s="111">
        <v>1620</v>
      </c>
      <c r="AP137" s="107"/>
      <c r="AU137" s="383">
        <v>74.7</v>
      </c>
      <c r="AV137" s="2">
        <f t="shared" si="23"/>
        <v>37.35</v>
      </c>
    </row>
    <row r="138" spans="1:48" x14ac:dyDescent="0.3">
      <c r="A138" s="263" t="s">
        <v>163</v>
      </c>
      <c r="B138" s="263">
        <v>8</v>
      </c>
      <c r="C138" s="185">
        <v>137</v>
      </c>
      <c r="D138" s="185">
        <f>Table1123457[[#This Row],[a (mm)]]/Table1123457[[#This Row],[d (mm)]]</f>
        <v>2.8928571428571428</v>
      </c>
      <c r="E138" s="264">
        <v>37.450000000000003</v>
      </c>
      <c r="F138" s="137">
        <f>Table1123457[[#This Row],[d (mm)]]</f>
        <v>280</v>
      </c>
      <c r="G138" s="135">
        <f t="shared" si="19"/>
        <v>30334.500000000004</v>
      </c>
      <c r="H138" s="135">
        <f t="shared" si="20"/>
        <v>3.8028613607086812E-6</v>
      </c>
      <c r="I138" s="111">
        <f>G138/(Table1123457[[#This Row],[b (mm)]]*Table1123457[[#This Row],[h]]^2)</f>
        <v>2.5873407140785728E-3</v>
      </c>
      <c r="J138" s="135">
        <f t="shared" si="21"/>
        <v>0.65738514987653274</v>
      </c>
      <c r="K138" s="135">
        <f t="shared" si="22"/>
        <v>6.3594204893517683E-6</v>
      </c>
      <c r="L138" s="135">
        <f>E138/(Table1123457[[#This Row],[b (mm)]]*AE138)</f>
        <v>1.0963114754098361E-3</v>
      </c>
      <c r="M138" s="135">
        <f>Table1123457[[#This Row],[M (KN.mm)]]/(Table1123457[[#This Row],[b (mm)]]*Table1123457[[#This Row],[d (mm)]])</f>
        <v>0.88801229508196733</v>
      </c>
      <c r="N138" s="135">
        <f>Table1123457[[#This Row],[M (KN.mm)]]/(Table1123457[[#This Row],[b (mm)]]*Table1123457[[#This Row],[h (mm)]])</f>
        <v>0.80207562136435762</v>
      </c>
      <c r="O138" s="145">
        <f>Table1123457[[#This Row],[M (KN.mm)]]/(Table1123457[[#This Row],[b (mm)]]*Table1123457[[#This Row],[h (mm)]]*Table1123457[[#This Row],[L(mm)]])</f>
        <v>4.9510840824960347E-4</v>
      </c>
      <c r="P138" s="145">
        <f>Table1123457[[#This Row],[M (KN.mm)]]/(Table1123457[[#This Row],[b (mm)]]*Table1123457[[#This Row],[d (mm)]]*Table1123457[[#This Row],[L(mm)]])</f>
        <v>5.4815573770491813E-4</v>
      </c>
      <c r="Q138" s="145">
        <f>Table1123457[[#This Row],[M (KN.mm)]]/(Table1123457[[#This Row],[b (mm)]]*Table1123457[[#This Row],[h (mm)]]*Table1123457[[#This Row],[L(mm)]]*Table1123457[[#This Row],[fc (Mpa)]])</f>
        <v>1.2994971345133948E-5</v>
      </c>
      <c r="R138" s="145">
        <f>Table1123457[[#This Row],[M (KN.mm)]]/(Table1123457[[#This Row],[b (mm)]]*Table1123457[[#This Row],[h (mm)]]*Table1123457[[#This Row],[L(mm)]]/2)</f>
        <v>9.9021681649920693E-4</v>
      </c>
      <c r="S138" s="145">
        <f>Table1123457[[#This Row],[M (KN.mm)]]/(Table1123457[[#This Row],[a (mm)]]*Table1123457[[#This Row],[b (mm)]]*Table1123457[[#This Row],[h (mm)]]*Table1123457[[#This Row],[L(mm)]]/2)</f>
        <v>1.2224898969126011E-6</v>
      </c>
      <c r="T138" s="145">
        <f>Table1123457[[#This Row],[M (KN.mm)]]/(Table1123457[[#This Row],[a (mm)]]^2*Table1123457[[#This Row],[b (mm)]]*Table1123457[[#This Row],[h (mm)]])</f>
        <v>1.2224898969126011E-6</v>
      </c>
      <c r="U138" s="145">
        <f>Table1123457[[#This Row],[M (KN.mm)]]/(Table1123457[[#This Row],[b (mm)]]*Table1123457[[#This Row],[d (mm)]]*Table1123457[[#This Row],[pho (%)]])</f>
        <v>1.069894331424057</v>
      </c>
      <c r="V138" s="145">
        <f>E138*224.8/(2*SQRT(Table1123457[[#This Row],[fc (Mpa)]]*145.037)*Table1123457[[#This Row],[b (mm)]]*Table1123457[[#This Row],[d (mm)]]*(1/25.4)^2)</f>
        <v>1.0694631198063818</v>
      </c>
      <c r="W138" s="145">
        <f>Table1123457[[#This Row],[M (KN.mm)]]/$G$140</f>
        <v>0.98682476943346509</v>
      </c>
      <c r="X138" s="145">
        <f>Table1123457[[#This Row],[V/(2*sqrt(fc) bd)]]</f>
        <v>1.0694631198063818</v>
      </c>
      <c r="Y138" s="111">
        <f>Table1123457[[#This Row],[a (mm)]]</f>
        <v>810</v>
      </c>
      <c r="Z138" s="111">
        <f>Table1123457[[#This Row],[width]]*Table1123457[[#This Row],[h]]^2</f>
        <v>11724200</v>
      </c>
      <c r="AA138" s="111">
        <f>Table1123457[[#This Row],[b (mm)]]</f>
        <v>122</v>
      </c>
      <c r="AB138" s="111">
        <f>Table1123457[[#This Row],[a (mm)]]/Table1123457[[#This Row],[h (mm)]]</f>
        <v>2.6129032258064515</v>
      </c>
      <c r="AC138" s="111">
        <f>Table1123457[[#This Row],[h (mm)]]</f>
        <v>310</v>
      </c>
      <c r="AD138" s="111">
        <v>810</v>
      </c>
      <c r="AE138" s="111">
        <v>280</v>
      </c>
      <c r="AF138" s="111">
        <v>310</v>
      </c>
      <c r="AG138" s="111">
        <v>122</v>
      </c>
      <c r="AH138" s="7">
        <v>38.1</v>
      </c>
      <c r="AI138" s="135">
        <f>Table1123457[[#This Row],[pho (%)]]/100*Table1123457[[#This Row],[b (mm)]]*Table1123457[[#This Row],[h (mm)]]</f>
        <v>313.90600000000001</v>
      </c>
      <c r="AJ138" s="135">
        <v>0.83</v>
      </c>
      <c r="AK138" s="160">
        <v>525</v>
      </c>
      <c r="AL138" s="135">
        <f>(1/3-0.21*(MIN(Table1123457[[#This Row],[b (mm)]],AF138)/MAX(Table1123457[[#This Row],[b (mm)]],AF138))*(MIN(Table1123457[[#This Row],[b (mm)]],AF138)^4/(12*MAX(Table1123457[[#This Row],[b (mm)]],AF138)^4)))*MAX(Table1123457[[#This Row],[b (mm)]],AF138)*MIN(Table1123457[[#This Row],[b (mm)]],AF138)^3</f>
        <v>187544629.45683298</v>
      </c>
      <c r="AM138" s="135">
        <f>Table1123457[[#This Row],[b (mm)]]*AF138^3/12</f>
        <v>302875166.66666669</v>
      </c>
      <c r="AN138" s="111">
        <v>1620</v>
      </c>
      <c r="AP138" s="107"/>
      <c r="AU138" s="383">
        <v>74.900000000000006</v>
      </c>
      <c r="AV138" s="2">
        <f t="shared" si="23"/>
        <v>37.450000000000003</v>
      </c>
    </row>
    <row r="139" spans="1:48" x14ac:dyDescent="0.3">
      <c r="A139" s="263" t="s">
        <v>163</v>
      </c>
      <c r="B139" s="263">
        <v>9</v>
      </c>
      <c r="C139" s="185">
        <v>138</v>
      </c>
      <c r="D139" s="185">
        <f>Table1123457[[#This Row],[a (mm)]]/Table1123457[[#This Row],[d (mm)]]</f>
        <v>2.8928571428571428</v>
      </c>
      <c r="E139" s="264">
        <v>37.5</v>
      </c>
      <c r="F139" s="137">
        <f>Table1123457[[#This Row],[d (mm)]]</f>
        <v>280</v>
      </c>
      <c r="G139" s="135">
        <f t="shared" si="19"/>
        <v>30375</v>
      </c>
      <c r="H139" s="135">
        <f t="shared" si="20"/>
        <v>3.807938612191603E-6</v>
      </c>
      <c r="I139" s="111">
        <f>G139/(Table1123457[[#This Row],[b (mm)]]*Table1123457[[#This Row],[h]]^2)</f>
        <v>2.5907951075553131E-3</v>
      </c>
      <c r="J139" s="135">
        <f t="shared" si="21"/>
        <v>0.65826283365473892</v>
      </c>
      <c r="K139" s="135">
        <f t="shared" si="22"/>
        <v>6.3679110374016365E-6</v>
      </c>
      <c r="L139" s="135">
        <f>E139/(Table1123457[[#This Row],[b (mm)]]*AE139)</f>
        <v>1.097775175644028E-3</v>
      </c>
      <c r="M139" s="135">
        <f>Table1123457[[#This Row],[M (KN.mm)]]/(Table1123457[[#This Row],[b (mm)]]*Table1123457[[#This Row],[d (mm)]])</f>
        <v>0.88919789227166279</v>
      </c>
      <c r="N139" s="135">
        <f>Table1123457[[#This Row],[M (KN.mm)]]/(Table1123457[[#This Row],[b (mm)]]*Table1123457[[#This Row],[h (mm)]])</f>
        <v>0.803146483342147</v>
      </c>
      <c r="O139" s="145">
        <f>Table1123457[[#This Row],[M (KN.mm)]]/(Table1123457[[#This Row],[b (mm)]]*Table1123457[[#This Row],[h (mm)]]*Table1123457[[#This Row],[L(mm)]])</f>
        <v>4.957694341618192E-4</v>
      </c>
      <c r="P139" s="145">
        <f>Table1123457[[#This Row],[M (KN.mm)]]/(Table1123457[[#This Row],[b (mm)]]*Table1123457[[#This Row],[d (mm)]]*Table1123457[[#This Row],[L(mm)]])</f>
        <v>5.4888758782201401E-4</v>
      </c>
      <c r="Q139" s="145">
        <f>Table1123457[[#This Row],[M (KN.mm)]]/(Table1123457[[#This Row],[b (mm)]]*Table1123457[[#This Row],[h (mm)]]*Table1123457[[#This Row],[L(mm)]]*Table1123457[[#This Row],[fc (Mpa)]])</f>
        <v>1.3012321106609427E-5</v>
      </c>
      <c r="R139" s="145">
        <f>Table1123457[[#This Row],[M (KN.mm)]]/(Table1123457[[#This Row],[b (mm)]]*Table1123457[[#This Row],[h (mm)]]*Table1123457[[#This Row],[L(mm)]]/2)</f>
        <v>9.9153886832363839E-4</v>
      </c>
      <c r="S139" s="145">
        <f>Table1123457[[#This Row],[M (KN.mm)]]/(Table1123457[[#This Row],[a (mm)]]*Table1123457[[#This Row],[b (mm)]]*Table1123457[[#This Row],[h (mm)]]*Table1123457[[#This Row],[L(mm)]]/2)</f>
        <v>1.2241220596588126E-6</v>
      </c>
      <c r="T139" s="145">
        <f>Table1123457[[#This Row],[M (KN.mm)]]/(Table1123457[[#This Row],[a (mm)]]^2*Table1123457[[#This Row],[b (mm)]]*Table1123457[[#This Row],[h (mm)]])</f>
        <v>1.2241220596588126E-6</v>
      </c>
      <c r="U139" s="145">
        <f>Table1123457[[#This Row],[M (KN.mm)]]/(Table1123457[[#This Row],[b (mm)]]*Table1123457[[#This Row],[d (mm)]]*Table1123457[[#This Row],[pho (%)]])</f>
        <v>1.0713227617730876</v>
      </c>
      <c r="V139" s="145">
        <f>E139*224.8/(2*SQRT(Table1123457[[#This Row],[fc (Mpa)]]*145.037)*Table1123457[[#This Row],[b (mm)]]*Table1123457[[#This Row],[d (mm)]]*(1/25.4)^2)</f>
        <v>1.070890974438967</v>
      </c>
      <c r="W139" s="145">
        <f>Table1123457[[#This Row],[M (KN.mm)]]/$G$140</f>
        <v>0.98814229249011842</v>
      </c>
      <c r="X139" s="145">
        <f>Table1123457[[#This Row],[V/(2*sqrt(fc) bd)]]</f>
        <v>1.070890974438967</v>
      </c>
      <c r="Y139" s="111">
        <f>Table1123457[[#This Row],[a (mm)]]</f>
        <v>810</v>
      </c>
      <c r="Z139" s="111">
        <f>Table1123457[[#This Row],[width]]*Table1123457[[#This Row],[h]]^2</f>
        <v>11724200</v>
      </c>
      <c r="AA139" s="111">
        <f>Table1123457[[#This Row],[b (mm)]]</f>
        <v>122</v>
      </c>
      <c r="AB139" s="111">
        <f>Table1123457[[#This Row],[a (mm)]]/Table1123457[[#This Row],[h (mm)]]</f>
        <v>2.6129032258064515</v>
      </c>
      <c r="AC139" s="111">
        <f>Table1123457[[#This Row],[h (mm)]]</f>
        <v>310</v>
      </c>
      <c r="AD139" s="111">
        <v>810</v>
      </c>
      <c r="AE139" s="111">
        <v>280</v>
      </c>
      <c r="AF139" s="111">
        <v>310</v>
      </c>
      <c r="AG139" s="111">
        <v>122</v>
      </c>
      <c r="AH139" s="7">
        <v>38.1</v>
      </c>
      <c r="AI139" s="135">
        <f>Table1123457[[#This Row],[pho (%)]]/100*Table1123457[[#This Row],[b (mm)]]*Table1123457[[#This Row],[h (mm)]]</f>
        <v>313.90600000000001</v>
      </c>
      <c r="AJ139" s="135">
        <v>0.83</v>
      </c>
      <c r="AK139" s="160">
        <v>525</v>
      </c>
      <c r="AL139" s="135">
        <f>(1/3-0.21*(MIN(Table1123457[[#This Row],[b (mm)]],AF139)/MAX(Table1123457[[#This Row],[b (mm)]],AF139))*(MIN(Table1123457[[#This Row],[b (mm)]],AF139)^4/(12*MAX(Table1123457[[#This Row],[b (mm)]],AF139)^4)))*MAX(Table1123457[[#This Row],[b (mm)]],AF139)*MIN(Table1123457[[#This Row],[b (mm)]],AF139)^3</f>
        <v>187544629.45683298</v>
      </c>
      <c r="AM139" s="135">
        <f>Table1123457[[#This Row],[b (mm)]]*AF139^3/12</f>
        <v>302875166.66666669</v>
      </c>
      <c r="AN139" s="111">
        <v>1620</v>
      </c>
      <c r="AP139" s="107"/>
      <c r="AU139" s="383">
        <v>75</v>
      </c>
      <c r="AV139" s="2">
        <f t="shared" si="23"/>
        <v>37.5</v>
      </c>
    </row>
    <row r="140" spans="1:48" x14ac:dyDescent="0.3">
      <c r="A140" s="263" t="s">
        <v>163</v>
      </c>
      <c r="B140" s="263" t="s">
        <v>142</v>
      </c>
      <c r="C140" s="185">
        <v>139</v>
      </c>
      <c r="D140" s="185">
        <f>Table1123457[[#This Row],[a (mm)]]/Table1123457[[#This Row],[d (mm)]]</f>
        <v>2.8928571428571428</v>
      </c>
      <c r="E140" s="264">
        <v>37.950000000000003</v>
      </c>
      <c r="F140" s="137">
        <f>Table1123457[[#This Row],[d (mm)]]</f>
        <v>280</v>
      </c>
      <c r="G140" s="135">
        <f t="shared" si="19"/>
        <v>30739.500000000004</v>
      </c>
      <c r="H140" s="135">
        <f t="shared" si="20"/>
        <v>3.8536338755379023E-6</v>
      </c>
      <c r="I140" s="111">
        <f>G140/(Table1123457[[#This Row],[b (mm)]]*Table1123457[[#This Row],[h]]^2)</f>
        <v>2.6218846488459771E-3</v>
      </c>
      <c r="J140" s="135">
        <f t="shared" si="21"/>
        <v>0.66616198765859591</v>
      </c>
      <c r="K140" s="135">
        <f t="shared" si="22"/>
        <v>6.4443259698504566E-6</v>
      </c>
      <c r="L140" s="135">
        <f>E140/(Table1123457[[#This Row],[b (mm)]]*AE140)</f>
        <v>1.1109484777517566E-3</v>
      </c>
      <c r="M140" s="135">
        <f>Table1123457[[#This Row],[M (KN.mm)]]/(Table1123457[[#This Row],[b (mm)]]*Table1123457[[#This Row],[d (mm)]])</f>
        <v>0.89986826697892286</v>
      </c>
      <c r="N140" s="135">
        <f>Table1123457[[#This Row],[M (KN.mm)]]/(Table1123457[[#This Row],[b (mm)]]*Table1123457[[#This Row],[h (mm)]])</f>
        <v>0.81278424114225289</v>
      </c>
      <c r="O140" s="145">
        <f>Table1123457[[#This Row],[M (KN.mm)]]/(Table1123457[[#This Row],[b (mm)]]*Table1123457[[#This Row],[h (mm)]]*Table1123457[[#This Row],[L(mm)]])</f>
        <v>5.01718667371761E-4</v>
      </c>
      <c r="P140" s="145">
        <f>Table1123457[[#This Row],[M (KN.mm)]]/(Table1123457[[#This Row],[b (mm)]]*Table1123457[[#This Row],[d (mm)]]*Table1123457[[#This Row],[L(mm)]])</f>
        <v>5.5547423887587831E-4</v>
      </c>
      <c r="Q140" s="145">
        <f>Table1123457[[#This Row],[M (KN.mm)]]/(Table1123457[[#This Row],[b (mm)]]*Table1123457[[#This Row],[h (mm)]]*Table1123457[[#This Row],[L(mm)]]*Table1123457[[#This Row],[fc (Mpa)]])</f>
        <v>1.3168468959888741E-5</v>
      </c>
      <c r="R140" s="145">
        <f>Table1123457[[#This Row],[M (KN.mm)]]/(Table1123457[[#This Row],[b (mm)]]*Table1123457[[#This Row],[h (mm)]]*Table1123457[[#This Row],[L(mm)]]/2)</f>
        <v>1.003437334743522E-3</v>
      </c>
      <c r="S140" s="145">
        <f>Table1123457[[#This Row],[M (KN.mm)]]/(Table1123457[[#This Row],[a (mm)]]*Table1123457[[#This Row],[b (mm)]]*Table1123457[[#This Row],[h (mm)]]*Table1123457[[#This Row],[L(mm)]]/2)</f>
        <v>1.2388115243747187E-6</v>
      </c>
      <c r="T140" s="145">
        <f>Table1123457[[#This Row],[M (KN.mm)]]/(Table1123457[[#This Row],[a (mm)]]^2*Table1123457[[#This Row],[b (mm)]]*Table1123457[[#This Row],[h (mm)]])</f>
        <v>1.2388115243747187E-6</v>
      </c>
      <c r="U140" s="145">
        <f>Table1123457[[#This Row],[M (KN.mm)]]/(Table1123457[[#This Row],[b (mm)]]*Table1123457[[#This Row],[d (mm)]]*Table1123457[[#This Row],[pho (%)]])</f>
        <v>1.0841786349143649</v>
      </c>
      <c r="V140" s="145">
        <f>E140*224.8/(2*SQRT(Table1123457[[#This Row],[fc (Mpa)]]*145.037)*Table1123457[[#This Row],[b (mm)]]*Table1123457[[#This Row],[d (mm)]]*(1/25.4)^2)</f>
        <v>1.0837416661322348</v>
      </c>
      <c r="W140" s="145">
        <f>Table1123457[[#This Row],[M (KN.mm)]]/$G$140</f>
        <v>1</v>
      </c>
      <c r="X140" s="145">
        <f>Table1123457[[#This Row],[V/(2*sqrt(fc) bd)]]</f>
        <v>1.0837416661322348</v>
      </c>
      <c r="Y140" s="111">
        <f>Table1123457[[#This Row],[a (mm)]]</f>
        <v>810</v>
      </c>
      <c r="Z140" s="111">
        <f>Table1123457[[#This Row],[width]]*Table1123457[[#This Row],[h]]^2</f>
        <v>11724200</v>
      </c>
      <c r="AA140" s="111">
        <f>Table1123457[[#This Row],[b (mm)]]</f>
        <v>122</v>
      </c>
      <c r="AB140" s="111">
        <f>Table1123457[[#This Row],[a (mm)]]/Table1123457[[#This Row],[h (mm)]]</f>
        <v>2.6129032258064515</v>
      </c>
      <c r="AC140" s="111">
        <f>Table1123457[[#This Row],[h (mm)]]</f>
        <v>310</v>
      </c>
      <c r="AD140" s="111">
        <v>810</v>
      </c>
      <c r="AE140" s="111">
        <v>280</v>
      </c>
      <c r="AF140" s="111">
        <v>310</v>
      </c>
      <c r="AG140" s="111">
        <v>122</v>
      </c>
      <c r="AH140" s="7">
        <v>38.1</v>
      </c>
      <c r="AI140" s="135">
        <f>Table1123457[[#This Row],[pho (%)]]/100*Table1123457[[#This Row],[b (mm)]]*Table1123457[[#This Row],[h (mm)]]</f>
        <v>313.90600000000001</v>
      </c>
      <c r="AJ140" s="135">
        <v>0.83</v>
      </c>
      <c r="AK140" s="160">
        <v>525</v>
      </c>
      <c r="AL140" s="135">
        <f>(1/3-0.21*(MIN(Table1123457[[#This Row],[b (mm)]],AF140)/MAX(Table1123457[[#This Row],[b (mm)]],AF140))*(MIN(Table1123457[[#This Row],[b (mm)]],AF140)^4/(12*MAX(Table1123457[[#This Row],[b (mm)]],AF140)^4)))*MAX(Table1123457[[#This Row],[b (mm)]],AF140)*MIN(Table1123457[[#This Row],[b (mm)]],AF140)^3</f>
        <v>187544629.45683298</v>
      </c>
      <c r="AM140" s="135">
        <f>Table1123457[[#This Row],[b (mm)]]*AF140^3/12</f>
        <v>302875166.66666669</v>
      </c>
      <c r="AN140" s="111">
        <v>1620</v>
      </c>
      <c r="AP140" s="107"/>
      <c r="AU140" s="383">
        <v>75.900000000000006</v>
      </c>
      <c r="AV140" s="2">
        <f t="shared" si="23"/>
        <v>37.950000000000003</v>
      </c>
    </row>
    <row r="141" spans="1:48" x14ac:dyDescent="0.3">
      <c r="A141" s="257" t="s">
        <v>164</v>
      </c>
      <c r="B141" s="257">
        <v>1</v>
      </c>
      <c r="C141" s="185">
        <v>140</v>
      </c>
      <c r="D141" s="185">
        <f>Table1123457[[#This Row],[a (mm)]]/Table1123457[[#This Row],[d (mm)]]</f>
        <v>2.8928571428571428</v>
      </c>
      <c r="E141" s="258">
        <v>9.65</v>
      </c>
      <c r="F141" s="137">
        <f>Table1123457[[#This Row],[d (mm)]]</f>
        <v>280</v>
      </c>
      <c r="G141" s="135">
        <f t="shared" si="19"/>
        <v>7816.5</v>
      </c>
      <c r="H141" s="135">
        <f t="shared" si="20"/>
        <v>9.7990953620397252E-7</v>
      </c>
      <c r="I141" s="111">
        <f>G141/(Table1123457[[#This Row],[b (mm)]]*Table1123457[[#This Row],[h]]^2)</f>
        <v>6.6669794101090055E-4</v>
      </c>
      <c r="J141" s="135">
        <f t="shared" si="21"/>
        <v>0.16939296919381949</v>
      </c>
      <c r="K141" s="135">
        <f t="shared" si="22"/>
        <v>1.6386757736246878E-6</v>
      </c>
      <c r="L141" s="135">
        <f>E141/(Table1123457[[#This Row],[b (mm)]]*AE141)</f>
        <v>2.8249414519906322E-4</v>
      </c>
      <c r="M141" s="135">
        <f>Table1123457[[#This Row],[M (KN.mm)]]/(Table1123457[[#This Row],[b (mm)]]*Table1123457[[#This Row],[d (mm)]])</f>
        <v>0.22882025761124122</v>
      </c>
      <c r="N141" s="135">
        <f>Table1123457[[#This Row],[M (KN.mm)]]/(Table1123457[[#This Row],[b (mm)]]*Table1123457[[#This Row],[h (mm)]])</f>
        <v>0.20667636171337916</v>
      </c>
      <c r="O141" s="145">
        <f>Table1123457[[#This Row],[M (KN.mm)]]/(Table1123457[[#This Row],[b (mm)]]*Table1123457[[#This Row],[h (mm)]]*Table1123457[[#This Row],[L(mm)]])</f>
        <v>1.2757800105764146E-4</v>
      </c>
      <c r="P141" s="145">
        <f>Table1123457[[#This Row],[M (KN.mm)]]/(Table1123457[[#This Row],[b (mm)]]*Table1123457[[#This Row],[d (mm)]]*Table1123457[[#This Row],[L(mm)]])</f>
        <v>1.4124707259953161E-4</v>
      </c>
      <c r="Q141" s="145">
        <f>Table1123457[[#This Row],[M (KN.mm)]]/(Table1123457[[#This Row],[b (mm)]]*Table1123457[[#This Row],[h (mm)]]*Table1123457[[#This Row],[L(mm)]]*Table1123457[[#This Row],[fc (Mpa)]])</f>
        <v>4.3841237476852733E-6</v>
      </c>
      <c r="R141" s="145">
        <f>Table1123457[[#This Row],[M (KN.mm)]]/(Table1123457[[#This Row],[b (mm)]]*Table1123457[[#This Row],[h (mm)]]*Table1123457[[#This Row],[L(mm)]]/2)</f>
        <v>2.5515600211528292E-4</v>
      </c>
      <c r="S141" s="145">
        <f>Table1123457[[#This Row],[M (KN.mm)]]/(Table1123457[[#This Row],[a (mm)]]*Table1123457[[#This Row],[b (mm)]]*Table1123457[[#This Row],[h (mm)]]*Table1123457[[#This Row],[L(mm)]]/2)</f>
        <v>3.1500741001886781E-7</v>
      </c>
      <c r="T141" s="145">
        <f>Table1123457[[#This Row],[M (KN.mm)]]/(Table1123457[[#This Row],[a (mm)]]^2*Table1123457[[#This Row],[b (mm)]]*Table1123457[[#This Row],[h (mm)]])</f>
        <v>3.1500741001886781E-7</v>
      </c>
      <c r="U141" s="145">
        <f>Table1123457[[#This Row],[M (KN.mm)]]/(Table1123457[[#This Row],[b (mm)]]*Table1123457[[#This Row],[d (mm)]]*Table1123457[[#This Row],[pho (%)]])</f>
        <v>0.27568705736294125</v>
      </c>
      <c r="V141" s="145">
        <f>E141*224.8/(2*SQRT(Table1123457[[#This Row],[fc (Mpa)]]*145.037)*Table1123457[[#This Row],[b (mm)]]*Table1123457[[#This Row],[d (mm)]]*(1/25.4)^2)</f>
        <v>0.31532419615416635</v>
      </c>
      <c r="W141" s="145">
        <f>Table1123457[[#This Row],[M (KN.mm)]]/$G$150</f>
        <v>0.2325301204819277</v>
      </c>
      <c r="X141" s="145">
        <f>Table1123457[[#This Row],[V/(2*sqrt(fc) bd)]]</f>
        <v>0.31532419615416635</v>
      </c>
      <c r="Y141" s="111">
        <f>Table1123457[[#This Row],[a (mm)]]</f>
        <v>810</v>
      </c>
      <c r="Z141" s="111">
        <f>Table1123457[[#This Row],[width]]*Table1123457[[#This Row],[h]]^2</f>
        <v>11724200</v>
      </c>
      <c r="AA141" s="111">
        <f>Table1123457[[#This Row],[b (mm)]]</f>
        <v>122</v>
      </c>
      <c r="AB141" s="111">
        <f>Table1123457[[#This Row],[a (mm)]]/Table1123457[[#This Row],[h (mm)]]</f>
        <v>2.6129032258064515</v>
      </c>
      <c r="AC141" s="111">
        <f>Table1123457[[#This Row],[h (mm)]]</f>
        <v>310</v>
      </c>
      <c r="AD141" s="111">
        <v>810</v>
      </c>
      <c r="AE141" s="111">
        <v>280</v>
      </c>
      <c r="AF141" s="111">
        <v>310</v>
      </c>
      <c r="AG141" s="111">
        <v>122</v>
      </c>
      <c r="AH141" s="7">
        <v>29.1</v>
      </c>
      <c r="AI141" s="135">
        <f>Table1123457[[#This Row],[pho (%)]]/100*Table1123457[[#This Row],[b (mm)]]*Table1123457[[#This Row],[h (mm)]]</f>
        <v>313.90600000000001</v>
      </c>
      <c r="AJ141" s="135">
        <v>0.83</v>
      </c>
      <c r="AK141" s="160">
        <v>525</v>
      </c>
      <c r="AL141" s="135">
        <f>(1/3-0.21*(MIN(Table1123457[[#This Row],[b (mm)]],AF141)/MAX(Table1123457[[#This Row],[b (mm)]],AF141))*(MIN(Table1123457[[#This Row],[b (mm)]],AF141)^4/(12*MAX(Table1123457[[#This Row],[b (mm)]],AF141)^4)))*MAX(Table1123457[[#This Row],[b (mm)]],AF141)*MIN(Table1123457[[#This Row],[b (mm)]],AF141)^3</f>
        <v>187544629.45683298</v>
      </c>
      <c r="AM141" s="135">
        <f>Table1123457[[#This Row],[b (mm)]]*AF141^3/12</f>
        <v>302875166.66666669</v>
      </c>
      <c r="AN141" s="111">
        <v>1620</v>
      </c>
      <c r="AP141" s="107"/>
      <c r="AU141" s="380">
        <v>19.3</v>
      </c>
      <c r="AV141" s="2">
        <f t="shared" si="23"/>
        <v>9.65</v>
      </c>
    </row>
    <row r="142" spans="1:48" x14ac:dyDescent="0.3">
      <c r="A142" s="257" t="s">
        <v>164</v>
      </c>
      <c r="B142" s="257">
        <v>2</v>
      </c>
      <c r="C142" s="185">
        <v>141</v>
      </c>
      <c r="D142" s="185">
        <f>Table1123457[[#This Row],[a (mm)]]/Table1123457[[#This Row],[d (mm)]]</f>
        <v>2.8928571428571428</v>
      </c>
      <c r="E142" s="258">
        <v>13.9</v>
      </c>
      <c r="F142" s="137">
        <f>Table1123457[[#This Row],[d (mm)]]</f>
        <v>280</v>
      </c>
      <c r="G142" s="135">
        <f t="shared" si="19"/>
        <v>11259</v>
      </c>
      <c r="H142" s="135">
        <f t="shared" si="20"/>
        <v>1.4114759122523542E-6</v>
      </c>
      <c r="I142" s="111">
        <f>G142/(Table1123457[[#This Row],[b (mm)]]*Table1123457[[#This Row],[h]]^2)</f>
        <v>9.6032138653383595E-4</v>
      </c>
      <c r="J142" s="135">
        <f t="shared" si="21"/>
        <v>0.24399609034135658</v>
      </c>
      <c r="K142" s="135">
        <f t="shared" si="22"/>
        <v>2.3603723578635402E-6</v>
      </c>
      <c r="L142" s="135">
        <f>E142/(Table1123457[[#This Row],[b (mm)]]*AE142)</f>
        <v>4.0690866510538644E-4</v>
      </c>
      <c r="M142" s="135">
        <f>Table1123457[[#This Row],[M (KN.mm)]]/(Table1123457[[#This Row],[b (mm)]]*Table1123457[[#This Row],[d (mm)]])</f>
        <v>0.32959601873536298</v>
      </c>
      <c r="N142" s="135">
        <f>Table1123457[[#This Row],[M (KN.mm)]]/(Table1123457[[#This Row],[b (mm)]]*Table1123457[[#This Row],[h (mm)]])</f>
        <v>0.29769962982548914</v>
      </c>
      <c r="O142" s="145">
        <f>Table1123457[[#This Row],[M (KN.mm)]]/(Table1123457[[#This Row],[b (mm)]]*Table1123457[[#This Row],[h (mm)]]*Table1123457[[#This Row],[L(mm)]])</f>
        <v>1.8376520359598096E-4</v>
      </c>
      <c r="P142" s="145">
        <f>Table1123457[[#This Row],[M (KN.mm)]]/(Table1123457[[#This Row],[b (mm)]]*Table1123457[[#This Row],[d (mm)]]*Table1123457[[#This Row],[L(mm)]])</f>
        <v>2.0345433255269322E-4</v>
      </c>
      <c r="Q142" s="145">
        <f>Table1123457[[#This Row],[M (KN.mm)]]/(Table1123457[[#This Row],[b (mm)]]*Table1123457[[#This Row],[h (mm)]]*Table1123457[[#This Row],[L(mm)]]*Table1123457[[#This Row],[fc (Mpa)]])</f>
        <v>6.3149554500337099E-6</v>
      </c>
      <c r="R142" s="145">
        <f>Table1123457[[#This Row],[M (KN.mm)]]/(Table1123457[[#This Row],[b (mm)]]*Table1123457[[#This Row],[h (mm)]]*Table1123457[[#This Row],[L(mm)]]/2)</f>
        <v>3.6753040719196192E-4</v>
      </c>
      <c r="S142" s="145">
        <f>Table1123457[[#This Row],[M (KN.mm)]]/(Table1123457[[#This Row],[a (mm)]]*Table1123457[[#This Row],[b (mm)]]*Table1123457[[#This Row],[h (mm)]]*Table1123457[[#This Row],[L(mm)]]/2)</f>
        <v>4.5374124344686657E-7</v>
      </c>
      <c r="T142" s="145">
        <f>Table1123457[[#This Row],[M (KN.mm)]]/(Table1123457[[#This Row],[a (mm)]]^2*Table1123457[[#This Row],[b (mm)]]*Table1123457[[#This Row],[h (mm)]])</f>
        <v>4.5374124344686657E-7</v>
      </c>
      <c r="U142" s="145">
        <f>Table1123457[[#This Row],[M (KN.mm)]]/(Table1123457[[#This Row],[b (mm)]]*Table1123457[[#This Row],[d (mm)]]*Table1123457[[#This Row],[pho (%)]])</f>
        <v>0.39710363703055784</v>
      </c>
      <c r="V142" s="145">
        <f>E142*224.8/(2*SQRT(Table1123457[[#This Row],[fc (Mpa)]]*145.037)*Table1123457[[#This Row],[b (mm)]]*Table1123457[[#This Row],[d (mm)]]*(1/25.4)^2)</f>
        <v>0.45419754679201163</v>
      </c>
      <c r="W142" s="145">
        <f>Table1123457[[#This Row],[M (KN.mm)]]/$G$150</f>
        <v>0.33493975903614459</v>
      </c>
      <c r="X142" s="145">
        <f>Table1123457[[#This Row],[V/(2*sqrt(fc) bd)]]</f>
        <v>0.45419754679201163</v>
      </c>
      <c r="Y142" s="111">
        <f>Table1123457[[#This Row],[a (mm)]]</f>
        <v>810</v>
      </c>
      <c r="Z142" s="111">
        <f>Table1123457[[#This Row],[width]]*Table1123457[[#This Row],[h]]^2</f>
        <v>11724200</v>
      </c>
      <c r="AA142" s="111">
        <f>Table1123457[[#This Row],[b (mm)]]</f>
        <v>122</v>
      </c>
      <c r="AB142" s="111">
        <f>Table1123457[[#This Row],[a (mm)]]/Table1123457[[#This Row],[h (mm)]]</f>
        <v>2.6129032258064515</v>
      </c>
      <c r="AC142" s="111">
        <f>Table1123457[[#This Row],[h (mm)]]</f>
        <v>310</v>
      </c>
      <c r="AD142" s="111">
        <v>810</v>
      </c>
      <c r="AE142" s="111">
        <v>280</v>
      </c>
      <c r="AF142" s="111">
        <v>310</v>
      </c>
      <c r="AG142" s="111">
        <v>122</v>
      </c>
      <c r="AH142" s="7">
        <v>29.1</v>
      </c>
      <c r="AI142" s="135">
        <f>Table1123457[[#This Row],[pho (%)]]/100*Table1123457[[#This Row],[b (mm)]]*Table1123457[[#This Row],[h (mm)]]</f>
        <v>313.90600000000001</v>
      </c>
      <c r="AJ142" s="135">
        <v>0.83</v>
      </c>
      <c r="AK142" s="160">
        <v>525</v>
      </c>
      <c r="AL142" s="135">
        <f>(1/3-0.21*(MIN(Table1123457[[#This Row],[b (mm)]],AF142)/MAX(Table1123457[[#This Row],[b (mm)]],AF142))*(MIN(Table1123457[[#This Row],[b (mm)]],AF142)^4/(12*MAX(Table1123457[[#This Row],[b (mm)]],AF142)^4)))*MAX(Table1123457[[#This Row],[b (mm)]],AF142)*MIN(Table1123457[[#This Row],[b (mm)]],AF142)^3</f>
        <v>187544629.45683298</v>
      </c>
      <c r="AM142" s="135">
        <f>Table1123457[[#This Row],[b (mm)]]*AF142^3/12</f>
        <v>302875166.66666669</v>
      </c>
      <c r="AN142" s="111">
        <v>1620</v>
      </c>
      <c r="AP142" s="107"/>
      <c r="AU142" s="380">
        <v>27.8</v>
      </c>
      <c r="AV142" s="2">
        <f t="shared" si="23"/>
        <v>13.9</v>
      </c>
    </row>
    <row r="143" spans="1:48" x14ac:dyDescent="0.3">
      <c r="A143" s="257" t="s">
        <v>164</v>
      </c>
      <c r="B143" s="257">
        <v>3</v>
      </c>
      <c r="C143" s="185">
        <v>142</v>
      </c>
      <c r="D143" s="185">
        <f>Table1123457[[#This Row],[a (mm)]]/Table1123457[[#This Row],[d (mm)]]</f>
        <v>2.8928571428571428</v>
      </c>
      <c r="E143" s="258">
        <v>18.350000000000001</v>
      </c>
      <c r="F143" s="137">
        <f>Table1123457[[#This Row],[d (mm)]]</f>
        <v>280</v>
      </c>
      <c r="G143" s="135">
        <f t="shared" si="19"/>
        <v>14863.500000000002</v>
      </c>
      <c r="H143" s="135">
        <f t="shared" si="20"/>
        <v>1.8633512942324245E-6</v>
      </c>
      <c r="I143" s="111">
        <f>G143/(Table1123457[[#This Row],[b (mm)]]*Table1123457[[#This Row],[h]]^2)</f>
        <v>1.2677624059637333E-3</v>
      </c>
      <c r="J143" s="135">
        <f t="shared" si="21"/>
        <v>0.32210994660171899</v>
      </c>
      <c r="K143" s="135">
        <f t="shared" si="22"/>
        <v>3.1160311343018677E-6</v>
      </c>
      <c r="L143" s="135">
        <f>E143/(Table1123457[[#This Row],[b (mm)]]*AE143)</f>
        <v>5.3717798594847782E-4</v>
      </c>
      <c r="M143" s="135">
        <f>Table1123457[[#This Row],[M (KN.mm)]]/(Table1123457[[#This Row],[b (mm)]]*Table1123457[[#This Row],[d (mm)]])</f>
        <v>0.43511416861826702</v>
      </c>
      <c r="N143" s="135">
        <f>Table1123457[[#This Row],[M (KN.mm)]]/(Table1123457[[#This Row],[b (mm)]]*Table1123457[[#This Row],[h (mm)]])</f>
        <v>0.39300634584875732</v>
      </c>
      <c r="O143" s="145">
        <f>Table1123457[[#This Row],[M (KN.mm)]]/(Table1123457[[#This Row],[b (mm)]]*Table1123457[[#This Row],[h (mm)]]*Table1123457[[#This Row],[L(mm)]])</f>
        <v>2.4259650978318353E-4</v>
      </c>
      <c r="P143" s="145">
        <f>Table1123457[[#This Row],[M (KN.mm)]]/(Table1123457[[#This Row],[b (mm)]]*Table1123457[[#This Row],[d (mm)]]*Table1123457[[#This Row],[L(mm)]])</f>
        <v>2.6858899297423891E-4</v>
      </c>
      <c r="Q143" s="145">
        <f>Table1123457[[#This Row],[M (KN.mm)]]/(Table1123457[[#This Row],[b (mm)]]*Table1123457[[#This Row],[h (mm)]]*Table1123457[[#This Row],[L(mm)]]*Table1123457[[#This Row],[fc (Mpa)]])</f>
        <v>8.336649820727956E-6</v>
      </c>
      <c r="R143" s="145">
        <f>Table1123457[[#This Row],[M (KN.mm)]]/(Table1123457[[#This Row],[b (mm)]]*Table1123457[[#This Row],[h (mm)]]*Table1123457[[#This Row],[L(mm)]]/2)</f>
        <v>4.8519301956636706E-4</v>
      </c>
      <c r="S143" s="145">
        <f>Table1123457[[#This Row],[M (KN.mm)]]/(Table1123457[[#This Row],[a (mm)]]*Table1123457[[#This Row],[b (mm)]]*Table1123457[[#This Row],[h (mm)]]*Table1123457[[#This Row],[L(mm)]]/2)</f>
        <v>5.9900372785971247E-7</v>
      </c>
      <c r="T143" s="145">
        <f>Table1123457[[#This Row],[M (KN.mm)]]/(Table1123457[[#This Row],[a (mm)]]^2*Table1123457[[#This Row],[b (mm)]]*Table1123457[[#This Row],[h (mm)]])</f>
        <v>5.9900372785971247E-7</v>
      </c>
      <c r="U143" s="145">
        <f>Table1123457[[#This Row],[M (KN.mm)]]/(Table1123457[[#This Row],[b (mm)]]*Table1123457[[#This Row],[d (mm)]]*Table1123457[[#This Row],[pho (%)]])</f>
        <v>0.52423393809429764</v>
      </c>
      <c r="V143" s="145">
        <f>E143*224.8/(2*SQRT(Table1123457[[#This Row],[fc (Mpa)]]*145.037)*Table1123457[[#This Row],[b (mm)]]*Table1123457[[#This Row],[d (mm)]]*(1/25.4)^2)</f>
        <v>0.59960611393046148</v>
      </c>
      <c r="W143" s="145">
        <f>Table1123457[[#This Row],[M (KN.mm)]]/$G$150</f>
        <v>0.44216867469879523</v>
      </c>
      <c r="X143" s="145">
        <f>Table1123457[[#This Row],[V/(2*sqrt(fc) bd)]]</f>
        <v>0.59960611393046148</v>
      </c>
      <c r="Y143" s="111">
        <f>Table1123457[[#This Row],[a (mm)]]</f>
        <v>810</v>
      </c>
      <c r="Z143" s="111">
        <f>Table1123457[[#This Row],[width]]*Table1123457[[#This Row],[h]]^2</f>
        <v>11724200</v>
      </c>
      <c r="AA143" s="111">
        <f>Table1123457[[#This Row],[b (mm)]]</f>
        <v>122</v>
      </c>
      <c r="AB143" s="111">
        <f>Table1123457[[#This Row],[a (mm)]]/Table1123457[[#This Row],[h (mm)]]</f>
        <v>2.6129032258064515</v>
      </c>
      <c r="AC143" s="111">
        <f>Table1123457[[#This Row],[h (mm)]]</f>
        <v>310</v>
      </c>
      <c r="AD143" s="111">
        <v>810</v>
      </c>
      <c r="AE143" s="111">
        <v>280</v>
      </c>
      <c r="AF143" s="111">
        <v>310</v>
      </c>
      <c r="AG143" s="111">
        <v>122</v>
      </c>
      <c r="AH143" s="7">
        <v>29.1</v>
      </c>
      <c r="AI143" s="135">
        <f>Table1123457[[#This Row],[pho (%)]]/100*Table1123457[[#This Row],[b (mm)]]*Table1123457[[#This Row],[h (mm)]]</f>
        <v>313.90600000000001</v>
      </c>
      <c r="AJ143" s="135">
        <v>0.83</v>
      </c>
      <c r="AK143" s="160">
        <v>525</v>
      </c>
      <c r="AL143" s="135">
        <f>(1/3-0.21*(MIN(Table1123457[[#This Row],[b (mm)]],AF143)/MAX(Table1123457[[#This Row],[b (mm)]],AF143))*(MIN(Table1123457[[#This Row],[b (mm)]],AF143)^4/(12*MAX(Table1123457[[#This Row],[b (mm)]],AF143)^4)))*MAX(Table1123457[[#This Row],[b (mm)]],AF143)*MIN(Table1123457[[#This Row],[b (mm)]],AF143)^3</f>
        <v>187544629.45683298</v>
      </c>
      <c r="AM143" s="135">
        <f>Table1123457[[#This Row],[b (mm)]]*AF143^3/12</f>
        <v>302875166.66666669</v>
      </c>
      <c r="AN143" s="111">
        <v>1620</v>
      </c>
      <c r="AP143" s="107"/>
      <c r="AU143" s="380">
        <v>36.700000000000003</v>
      </c>
      <c r="AV143" s="2">
        <f t="shared" si="23"/>
        <v>18.350000000000001</v>
      </c>
    </row>
    <row r="144" spans="1:48" x14ac:dyDescent="0.3">
      <c r="A144" s="257" t="s">
        <v>164</v>
      </c>
      <c r="B144" s="257">
        <v>4</v>
      </c>
      <c r="C144" s="185">
        <v>143</v>
      </c>
      <c r="D144" s="185">
        <f>Table1123457[[#This Row],[a (mm)]]/Table1123457[[#This Row],[d (mm)]]</f>
        <v>2.8928571428571428</v>
      </c>
      <c r="E144" s="258">
        <v>21.5</v>
      </c>
      <c r="F144" s="137">
        <f>Table1123457[[#This Row],[d (mm)]]</f>
        <v>280</v>
      </c>
      <c r="G144" s="135">
        <f t="shared" si="19"/>
        <v>17415</v>
      </c>
      <c r="H144" s="135">
        <f t="shared" si="20"/>
        <v>2.1832181376565189E-6</v>
      </c>
      <c r="I144" s="111">
        <f>G144/(Table1123457[[#This Row],[b (mm)]]*Table1123457[[#This Row],[h]]^2)</f>
        <v>1.4853891949983794E-3</v>
      </c>
      <c r="J144" s="135">
        <f t="shared" si="21"/>
        <v>0.37740402462871703</v>
      </c>
      <c r="K144" s="135">
        <f t="shared" si="22"/>
        <v>3.6509356614436048E-6</v>
      </c>
      <c r="L144" s="135">
        <f>E144/(Table1123457[[#This Row],[b (mm)]]*AE144)</f>
        <v>6.2939110070257614E-4</v>
      </c>
      <c r="M144" s="135">
        <f>Table1123457[[#This Row],[M (KN.mm)]]/(Table1123457[[#This Row],[b (mm)]]*Table1123457[[#This Row],[d (mm)]])</f>
        <v>0.5098067915690867</v>
      </c>
      <c r="N144" s="135">
        <f>Table1123457[[#This Row],[M (KN.mm)]]/(Table1123457[[#This Row],[b (mm)]]*Table1123457[[#This Row],[h (mm)]])</f>
        <v>0.46047065044949764</v>
      </c>
      <c r="O144" s="145">
        <f>Table1123457[[#This Row],[M (KN.mm)]]/(Table1123457[[#This Row],[b (mm)]]*Table1123457[[#This Row],[h (mm)]]*Table1123457[[#This Row],[L(mm)]])</f>
        <v>2.8424114225277631E-4</v>
      </c>
      <c r="P144" s="145">
        <f>Table1123457[[#This Row],[M (KN.mm)]]/(Table1123457[[#This Row],[b (mm)]]*Table1123457[[#This Row],[d (mm)]]*Table1123457[[#This Row],[L(mm)]])</f>
        <v>3.1469555035128807E-4</v>
      </c>
      <c r="Q144" s="145">
        <f>Table1123457[[#This Row],[M (KN.mm)]]/(Table1123457[[#This Row],[b (mm)]]*Table1123457[[#This Row],[h (mm)]]*Table1123457[[#This Row],[L(mm)]]*Table1123457[[#This Row],[fc (Mpa)]])</f>
        <v>9.7677368471744439E-6</v>
      </c>
      <c r="R144" s="145">
        <f>Table1123457[[#This Row],[M (KN.mm)]]/(Table1123457[[#This Row],[b (mm)]]*Table1123457[[#This Row],[h (mm)]]*Table1123457[[#This Row],[L(mm)]]/2)</f>
        <v>5.6848228450555262E-4</v>
      </c>
      <c r="S144" s="145">
        <f>Table1123457[[#This Row],[M (KN.mm)]]/(Table1123457[[#This Row],[a (mm)]]*Table1123457[[#This Row],[b (mm)]]*Table1123457[[#This Row],[h (mm)]]*Table1123457[[#This Row],[L(mm)]]/2)</f>
        <v>7.0182998087105259E-7</v>
      </c>
      <c r="T144" s="145">
        <f>Table1123457[[#This Row],[M (KN.mm)]]/(Table1123457[[#This Row],[a (mm)]]^2*Table1123457[[#This Row],[b (mm)]]*Table1123457[[#This Row],[h (mm)]])</f>
        <v>7.0182998087105259E-7</v>
      </c>
      <c r="U144" s="145">
        <f>Table1123457[[#This Row],[M (KN.mm)]]/(Table1123457[[#This Row],[b (mm)]]*Table1123457[[#This Row],[d (mm)]]*Table1123457[[#This Row],[pho (%)]])</f>
        <v>0.61422505008323691</v>
      </c>
      <c r="V144" s="145">
        <f>E144*224.8/(2*SQRT(Table1123457[[#This Row],[fc (Mpa)]]*145.037)*Table1123457[[#This Row],[b (mm)]]*Table1123457[[#This Row],[d (mm)]]*(1/25.4)^2)</f>
        <v>0.702535773814982</v>
      </c>
      <c r="W144" s="145">
        <f>Table1123457[[#This Row],[M (KN.mm)]]/$G$150</f>
        <v>0.51807228915662651</v>
      </c>
      <c r="X144" s="145">
        <f>Table1123457[[#This Row],[V/(2*sqrt(fc) bd)]]</f>
        <v>0.702535773814982</v>
      </c>
      <c r="Y144" s="111">
        <f>Table1123457[[#This Row],[a (mm)]]</f>
        <v>810</v>
      </c>
      <c r="Z144" s="111">
        <f>Table1123457[[#This Row],[width]]*Table1123457[[#This Row],[h]]^2</f>
        <v>11724200</v>
      </c>
      <c r="AA144" s="111">
        <f>Table1123457[[#This Row],[b (mm)]]</f>
        <v>122</v>
      </c>
      <c r="AB144" s="111">
        <f>Table1123457[[#This Row],[a (mm)]]/Table1123457[[#This Row],[h (mm)]]</f>
        <v>2.6129032258064515</v>
      </c>
      <c r="AC144" s="111">
        <f>Table1123457[[#This Row],[h (mm)]]</f>
        <v>310</v>
      </c>
      <c r="AD144" s="111">
        <v>810</v>
      </c>
      <c r="AE144" s="111">
        <v>280</v>
      </c>
      <c r="AF144" s="111">
        <v>310</v>
      </c>
      <c r="AG144" s="111">
        <v>122</v>
      </c>
      <c r="AH144" s="7">
        <v>29.1</v>
      </c>
      <c r="AI144" s="135">
        <f>Table1123457[[#This Row],[pho (%)]]/100*Table1123457[[#This Row],[b (mm)]]*Table1123457[[#This Row],[h (mm)]]</f>
        <v>313.90600000000001</v>
      </c>
      <c r="AJ144" s="135">
        <v>0.83</v>
      </c>
      <c r="AK144" s="160">
        <v>525</v>
      </c>
      <c r="AL144" s="135">
        <f>(1/3-0.21*(MIN(Table1123457[[#This Row],[b (mm)]],AF144)/MAX(Table1123457[[#This Row],[b (mm)]],AF144))*(MIN(Table1123457[[#This Row],[b (mm)]],AF144)^4/(12*MAX(Table1123457[[#This Row],[b (mm)]],AF144)^4)))*MAX(Table1123457[[#This Row],[b (mm)]],AF144)*MIN(Table1123457[[#This Row],[b (mm)]],AF144)^3</f>
        <v>187544629.45683298</v>
      </c>
      <c r="AM144" s="135">
        <f>Table1123457[[#This Row],[b (mm)]]*AF144^3/12</f>
        <v>302875166.66666669</v>
      </c>
      <c r="AN144" s="111">
        <v>1620</v>
      </c>
      <c r="AP144" s="107"/>
      <c r="AU144" s="380">
        <v>43</v>
      </c>
      <c r="AV144" s="2">
        <f t="shared" si="23"/>
        <v>21.5</v>
      </c>
    </row>
    <row r="145" spans="1:48" x14ac:dyDescent="0.3">
      <c r="A145" s="257" t="s">
        <v>164</v>
      </c>
      <c r="B145" s="257">
        <v>5</v>
      </c>
      <c r="C145" s="185">
        <v>144</v>
      </c>
      <c r="D145" s="185">
        <f>Table1123457[[#This Row],[a (mm)]]/Table1123457[[#This Row],[d (mm)]]</f>
        <v>2.8928571428571428</v>
      </c>
      <c r="E145" s="258">
        <v>26.45</v>
      </c>
      <c r="F145" s="137">
        <f>Table1123457[[#This Row],[d (mm)]]</f>
        <v>280</v>
      </c>
      <c r="G145" s="135">
        <f t="shared" si="19"/>
        <v>21424.5</v>
      </c>
      <c r="H145" s="135">
        <f t="shared" si="20"/>
        <v>2.6858660344658107E-6</v>
      </c>
      <c r="I145" s="111">
        <f>G145/(Table1123457[[#This Row],[b (mm)]]*Table1123457[[#This Row],[h]]^2)</f>
        <v>1.8273741491956806E-3</v>
      </c>
      <c r="J145" s="135">
        <f t="shared" si="21"/>
        <v>0.46429471867114253</v>
      </c>
      <c r="K145" s="135">
        <f t="shared" si="22"/>
        <v>4.4914999183806211E-6</v>
      </c>
      <c r="L145" s="135">
        <f>E145/(Table1123457[[#This Row],[b (mm)]]*AE145)</f>
        <v>7.7429742388758775E-4</v>
      </c>
      <c r="M145" s="135">
        <f>Table1123457[[#This Row],[M (KN.mm)]]/(Table1123457[[#This Row],[b (mm)]]*Table1123457[[#This Row],[d (mm)]])</f>
        <v>0.6271809133489461</v>
      </c>
      <c r="N145" s="135">
        <f>Table1123457[[#This Row],[M (KN.mm)]]/(Table1123457[[#This Row],[b (mm)]]*Table1123457[[#This Row],[h (mm)]])</f>
        <v>0.56648598625066104</v>
      </c>
      <c r="O145" s="145">
        <f>Table1123457[[#This Row],[M (KN.mm)]]/(Table1123457[[#This Row],[b (mm)]]*Table1123457[[#This Row],[h (mm)]]*Table1123457[[#This Row],[L(mm)]])</f>
        <v>3.4968270756213646E-4</v>
      </c>
      <c r="P145" s="145">
        <f>Table1123457[[#This Row],[M (KN.mm)]]/(Table1123457[[#This Row],[b (mm)]]*Table1123457[[#This Row],[d (mm)]]*Table1123457[[#This Row],[L(mm)]])</f>
        <v>3.8714871194379393E-4</v>
      </c>
      <c r="Q145" s="145">
        <f>Table1123457[[#This Row],[M (KN.mm)]]/(Table1123457[[#This Row],[b (mm)]]*Table1123457[[#This Row],[h (mm)]]*Table1123457[[#This Row],[L(mm)]]*Table1123457[[#This Row],[fc (Mpa)]])</f>
        <v>1.2016587888733212E-5</v>
      </c>
      <c r="R145" s="145">
        <f>Table1123457[[#This Row],[M (KN.mm)]]/(Table1123457[[#This Row],[b (mm)]]*Table1123457[[#This Row],[h (mm)]]*Table1123457[[#This Row],[L(mm)]]/2)</f>
        <v>6.9936541512427293E-4</v>
      </c>
      <c r="S145" s="145">
        <f>Table1123457[[#This Row],[M (KN.mm)]]/(Table1123457[[#This Row],[a (mm)]]*Table1123457[[#This Row],[b (mm)]]*Table1123457[[#This Row],[h (mm)]]*Table1123457[[#This Row],[L(mm)]]/2)</f>
        <v>8.6341409274601585E-7</v>
      </c>
      <c r="T145" s="145">
        <f>Table1123457[[#This Row],[M (KN.mm)]]/(Table1123457[[#This Row],[a (mm)]]^2*Table1123457[[#This Row],[b (mm)]]*Table1123457[[#This Row],[h (mm)]])</f>
        <v>8.6341409274601585E-7</v>
      </c>
      <c r="U145" s="145">
        <f>Table1123457[[#This Row],[M (KN.mm)]]/(Table1123457[[#This Row],[b (mm)]]*Table1123457[[#This Row],[d (mm)]]*Table1123457[[#This Row],[pho (%)]])</f>
        <v>0.75563965463728455</v>
      </c>
      <c r="V145" s="145">
        <f>E145*224.8/(2*SQRT(Table1123457[[#This Row],[fc (Mpa)]]*145.037)*Table1123457[[#This Row],[b (mm)]]*Table1123457[[#This Row],[d (mm)]]*(1/25.4)^2)</f>
        <v>0.86428238220494291</v>
      </c>
      <c r="W145" s="145">
        <f>Table1123457[[#This Row],[M (KN.mm)]]/$G$150</f>
        <v>0.63734939759036147</v>
      </c>
      <c r="X145" s="145">
        <f>Table1123457[[#This Row],[V/(2*sqrt(fc) bd)]]</f>
        <v>0.86428238220494291</v>
      </c>
      <c r="Y145" s="111">
        <f>Table1123457[[#This Row],[a (mm)]]</f>
        <v>810</v>
      </c>
      <c r="Z145" s="111">
        <f>Table1123457[[#This Row],[width]]*Table1123457[[#This Row],[h]]^2</f>
        <v>11724200</v>
      </c>
      <c r="AA145" s="111">
        <f>Table1123457[[#This Row],[b (mm)]]</f>
        <v>122</v>
      </c>
      <c r="AB145" s="111">
        <f>Table1123457[[#This Row],[a (mm)]]/Table1123457[[#This Row],[h (mm)]]</f>
        <v>2.6129032258064515</v>
      </c>
      <c r="AC145" s="111">
        <f>Table1123457[[#This Row],[h (mm)]]</f>
        <v>310</v>
      </c>
      <c r="AD145" s="111">
        <v>810</v>
      </c>
      <c r="AE145" s="111">
        <v>280</v>
      </c>
      <c r="AF145" s="111">
        <v>310</v>
      </c>
      <c r="AG145" s="111">
        <v>122</v>
      </c>
      <c r="AH145" s="7">
        <v>29.1</v>
      </c>
      <c r="AI145" s="135">
        <f>Table1123457[[#This Row],[pho (%)]]/100*Table1123457[[#This Row],[b (mm)]]*Table1123457[[#This Row],[h (mm)]]</f>
        <v>313.90600000000001</v>
      </c>
      <c r="AJ145" s="135">
        <v>0.83</v>
      </c>
      <c r="AK145" s="160">
        <v>525</v>
      </c>
      <c r="AL145" s="135">
        <f>(1/3-0.21*(MIN(Table1123457[[#This Row],[b (mm)]],AF145)/MAX(Table1123457[[#This Row],[b (mm)]],AF145))*(MIN(Table1123457[[#This Row],[b (mm)]],AF145)^4/(12*MAX(Table1123457[[#This Row],[b (mm)]],AF145)^4)))*MAX(Table1123457[[#This Row],[b (mm)]],AF145)*MIN(Table1123457[[#This Row],[b (mm)]],AF145)^3</f>
        <v>187544629.45683298</v>
      </c>
      <c r="AM145" s="135">
        <f>Table1123457[[#This Row],[b (mm)]]*AF145^3/12</f>
        <v>302875166.66666669</v>
      </c>
      <c r="AN145" s="111">
        <v>1620</v>
      </c>
      <c r="AP145" s="107"/>
      <c r="AU145" s="380">
        <v>52.9</v>
      </c>
      <c r="AV145" s="2">
        <f t="shared" si="23"/>
        <v>26.45</v>
      </c>
    </row>
    <row r="146" spans="1:48" x14ac:dyDescent="0.3">
      <c r="A146" s="257" t="s">
        <v>164</v>
      </c>
      <c r="B146" s="257">
        <v>6</v>
      </c>
      <c r="C146" s="185">
        <v>145</v>
      </c>
      <c r="D146" s="185">
        <f>Table1123457[[#This Row],[a (mm)]]/Table1123457[[#This Row],[d (mm)]]</f>
        <v>2.8928571428571428</v>
      </c>
      <c r="E146" s="258">
        <v>31.4</v>
      </c>
      <c r="F146" s="137">
        <f>Table1123457[[#This Row],[d (mm)]]</f>
        <v>280</v>
      </c>
      <c r="G146" s="135">
        <f t="shared" si="19"/>
        <v>25434</v>
      </c>
      <c r="H146" s="135">
        <f t="shared" si="20"/>
        <v>3.1885139312751022E-6</v>
      </c>
      <c r="I146" s="111">
        <f>G146/(Table1123457[[#This Row],[b (mm)]]*Table1123457[[#This Row],[h]]^2)</f>
        <v>2.1693591033929822E-3</v>
      </c>
      <c r="J146" s="135">
        <f t="shared" si="21"/>
        <v>0.55118541271356813</v>
      </c>
      <c r="K146" s="135">
        <f t="shared" si="22"/>
        <v>5.3320641753176368E-6</v>
      </c>
      <c r="L146" s="135">
        <f>E146/(Table1123457[[#This Row],[b (mm)]]*AE146)</f>
        <v>9.1920374707259948E-4</v>
      </c>
      <c r="M146" s="135">
        <f>Table1123457[[#This Row],[M (KN.mm)]]/(Table1123457[[#This Row],[b (mm)]]*Table1123457[[#This Row],[d (mm)]])</f>
        <v>0.74455503512880561</v>
      </c>
      <c r="N146" s="135">
        <f>Table1123457[[#This Row],[M (KN.mm)]]/(Table1123457[[#This Row],[b (mm)]]*Table1123457[[#This Row],[h (mm)]])</f>
        <v>0.67250132205182445</v>
      </c>
      <c r="O146" s="145">
        <f>Table1123457[[#This Row],[M (KN.mm)]]/(Table1123457[[#This Row],[b (mm)]]*Table1123457[[#This Row],[h (mm)]]*Table1123457[[#This Row],[L(mm)]])</f>
        <v>4.1512427287149656E-4</v>
      </c>
      <c r="P146" s="145">
        <f>Table1123457[[#This Row],[M (KN.mm)]]/(Table1123457[[#This Row],[b (mm)]]*Table1123457[[#This Row],[d (mm)]]*Table1123457[[#This Row],[L(mm)]])</f>
        <v>4.5960187353629979E-4</v>
      </c>
      <c r="Q146" s="145">
        <f>Table1123457[[#This Row],[M (KN.mm)]]/(Table1123457[[#This Row],[b (mm)]]*Table1123457[[#This Row],[h (mm)]]*Table1123457[[#This Row],[L(mm)]]*Table1123457[[#This Row],[fc (Mpa)]])</f>
        <v>1.4265438930291978E-5</v>
      </c>
      <c r="R146" s="145">
        <f>Table1123457[[#This Row],[M (KN.mm)]]/(Table1123457[[#This Row],[b (mm)]]*Table1123457[[#This Row],[h (mm)]]*Table1123457[[#This Row],[L(mm)]]/2)</f>
        <v>8.3024854574299312E-4</v>
      </c>
      <c r="S146" s="145">
        <f>Table1123457[[#This Row],[M (KN.mm)]]/(Table1123457[[#This Row],[a (mm)]]*Table1123457[[#This Row],[b (mm)]]*Table1123457[[#This Row],[h (mm)]]*Table1123457[[#This Row],[L(mm)]]/2)</f>
        <v>1.0249982046209791E-6</v>
      </c>
      <c r="T146" s="145">
        <f>Table1123457[[#This Row],[M (KN.mm)]]/(Table1123457[[#This Row],[a (mm)]]^2*Table1123457[[#This Row],[b (mm)]]*Table1123457[[#This Row],[h (mm)]])</f>
        <v>1.0249982046209791E-6</v>
      </c>
      <c r="U146" s="145">
        <f>Table1123457[[#This Row],[M (KN.mm)]]/(Table1123457[[#This Row],[b (mm)]]*Table1123457[[#This Row],[d (mm)]]*Table1123457[[#This Row],[pho (%)]])</f>
        <v>0.89705425919133208</v>
      </c>
      <c r="V146" s="145">
        <f>E146*224.8/(2*SQRT(Table1123457[[#This Row],[fc (Mpa)]]*145.037)*Table1123457[[#This Row],[b (mm)]]*Table1123457[[#This Row],[d (mm)]]*(1/25.4)^2)</f>
        <v>1.026028990594904</v>
      </c>
      <c r="W146" s="145">
        <f>Table1123457[[#This Row],[M (KN.mm)]]/$G$150</f>
        <v>0.75662650602409642</v>
      </c>
      <c r="X146" s="145">
        <f>Table1123457[[#This Row],[V/(2*sqrt(fc) bd)]]</f>
        <v>1.026028990594904</v>
      </c>
      <c r="Y146" s="111">
        <f>Table1123457[[#This Row],[a (mm)]]</f>
        <v>810</v>
      </c>
      <c r="Z146" s="111">
        <f>Table1123457[[#This Row],[width]]*Table1123457[[#This Row],[h]]^2</f>
        <v>11724200</v>
      </c>
      <c r="AA146" s="111">
        <f>Table1123457[[#This Row],[b (mm)]]</f>
        <v>122</v>
      </c>
      <c r="AB146" s="111">
        <f>Table1123457[[#This Row],[a (mm)]]/Table1123457[[#This Row],[h (mm)]]</f>
        <v>2.6129032258064515</v>
      </c>
      <c r="AC146" s="111">
        <f>Table1123457[[#This Row],[h (mm)]]</f>
        <v>310</v>
      </c>
      <c r="AD146" s="111">
        <v>810</v>
      </c>
      <c r="AE146" s="111">
        <v>280</v>
      </c>
      <c r="AF146" s="111">
        <v>310</v>
      </c>
      <c r="AG146" s="111">
        <v>122</v>
      </c>
      <c r="AH146" s="7">
        <v>29.1</v>
      </c>
      <c r="AI146" s="135">
        <f>Table1123457[[#This Row],[pho (%)]]/100*Table1123457[[#This Row],[b (mm)]]*Table1123457[[#This Row],[h (mm)]]</f>
        <v>313.90600000000001</v>
      </c>
      <c r="AJ146" s="135">
        <v>0.83</v>
      </c>
      <c r="AK146" s="160">
        <v>525</v>
      </c>
      <c r="AL146" s="135">
        <f>(1/3-0.21*(MIN(Table1123457[[#This Row],[b (mm)]],AF146)/MAX(Table1123457[[#This Row],[b (mm)]],AF146))*(MIN(Table1123457[[#This Row],[b (mm)]],AF146)^4/(12*MAX(Table1123457[[#This Row],[b (mm)]],AF146)^4)))*MAX(Table1123457[[#This Row],[b (mm)]],AF146)*MIN(Table1123457[[#This Row],[b (mm)]],AF146)^3</f>
        <v>187544629.45683298</v>
      </c>
      <c r="AM146" s="135">
        <f>Table1123457[[#This Row],[b (mm)]]*AF146^3/12</f>
        <v>302875166.66666669</v>
      </c>
      <c r="AN146" s="111">
        <v>1620</v>
      </c>
      <c r="AP146" s="107"/>
      <c r="AU146" s="380">
        <v>62.8</v>
      </c>
      <c r="AV146" s="2">
        <f t="shared" si="23"/>
        <v>31.4</v>
      </c>
    </row>
    <row r="147" spans="1:48" x14ac:dyDescent="0.3">
      <c r="A147" s="257" t="s">
        <v>164</v>
      </c>
      <c r="B147" s="257">
        <v>7</v>
      </c>
      <c r="C147" s="185">
        <v>146</v>
      </c>
      <c r="D147" s="185">
        <f>Table1123457[[#This Row],[a (mm)]]/Table1123457[[#This Row],[d (mm)]]</f>
        <v>2.8928571428571428</v>
      </c>
      <c r="E147" s="258">
        <v>35.549999999999997</v>
      </c>
      <c r="F147" s="137">
        <f>Table1123457[[#This Row],[d (mm)]]</f>
        <v>280</v>
      </c>
      <c r="G147" s="135">
        <f t="shared" si="19"/>
        <v>28795.499999999996</v>
      </c>
      <c r="H147" s="135">
        <f t="shared" si="20"/>
        <v>3.6099258043576393E-6</v>
      </c>
      <c r="I147" s="111">
        <f>G147/(Table1123457[[#This Row],[b (mm)]]*Table1123457[[#This Row],[h]]^2)</f>
        <v>2.4560737619624363E-3</v>
      </c>
      <c r="J147" s="135">
        <f t="shared" si="21"/>
        <v>0.62403316630469241</v>
      </c>
      <c r="K147" s="135">
        <f t="shared" si="22"/>
        <v>6.0367796634567506E-6</v>
      </c>
      <c r="L147" s="135">
        <f>E147/(Table1123457[[#This Row],[b (mm)]]*AE147)</f>
        <v>1.0406908665105386E-3</v>
      </c>
      <c r="M147" s="135">
        <f>Table1123457[[#This Row],[M (KN.mm)]]/(Table1123457[[#This Row],[b (mm)]]*Table1123457[[#This Row],[d (mm)]])</f>
        <v>0.84295960187353625</v>
      </c>
      <c r="N147" s="135">
        <f>Table1123457[[#This Row],[M (KN.mm)]]/(Table1123457[[#This Row],[b (mm)]]*Table1123457[[#This Row],[h (mm)]])</f>
        <v>0.76138286620835527</v>
      </c>
      <c r="O147" s="145">
        <f>Table1123457[[#This Row],[M (KN.mm)]]/(Table1123457[[#This Row],[b (mm)]]*Table1123457[[#This Row],[h (mm)]]*Table1123457[[#This Row],[L(mm)]])</f>
        <v>4.6998942358540447E-4</v>
      </c>
      <c r="P147" s="145">
        <f>Table1123457[[#This Row],[M (KN.mm)]]/(Table1123457[[#This Row],[b (mm)]]*Table1123457[[#This Row],[d (mm)]]*Table1123457[[#This Row],[L(mm)]])</f>
        <v>5.203454332552693E-4</v>
      </c>
      <c r="Q147" s="145">
        <f>Table1123457[[#This Row],[M (KN.mm)]]/(Table1123457[[#This Row],[b (mm)]]*Table1123457[[#This Row],[h (mm)]]*Table1123457[[#This Row],[L(mm)]]*Table1123457[[#This Row],[fc (Mpa)]])</f>
        <v>1.6150839298467507E-5</v>
      </c>
      <c r="R147" s="145">
        <f>Table1123457[[#This Row],[M (KN.mm)]]/(Table1123457[[#This Row],[b (mm)]]*Table1123457[[#This Row],[h (mm)]]*Table1123457[[#This Row],[L(mm)]]/2)</f>
        <v>9.3997884717080893E-4</v>
      </c>
      <c r="S147" s="145">
        <f>Table1123457[[#This Row],[M (KN.mm)]]/(Table1123457[[#This Row],[a (mm)]]*Table1123457[[#This Row],[b (mm)]]*Table1123457[[#This Row],[h (mm)]]*Table1123457[[#This Row],[L(mm)]]/2)</f>
        <v>1.1604677125565544E-6</v>
      </c>
      <c r="T147" s="145">
        <f>Table1123457[[#This Row],[M (KN.mm)]]/(Table1123457[[#This Row],[a (mm)]]^2*Table1123457[[#This Row],[b (mm)]]*Table1123457[[#This Row],[h (mm)]])</f>
        <v>1.1604677125565544E-6</v>
      </c>
      <c r="U147" s="145">
        <f>Table1123457[[#This Row],[M (KN.mm)]]/(Table1123457[[#This Row],[b (mm)]]*Table1123457[[#This Row],[d (mm)]]*Table1123457[[#This Row],[pho (%)]])</f>
        <v>1.0156139781608871</v>
      </c>
      <c r="V147" s="145">
        <f>E147*224.8/(2*SQRT(Table1123457[[#This Row],[fc (Mpa)]]*145.037)*Table1123457[[#This Row],[b (mm)]]*Table1123457[[#This Row],[d (mm)]]*(1/25.4)^2)</f>
        <v>1.1616347329824468</v>
      </c>
      <c r="W147" s="145">
        <f>Table1123457[[#This Row],[M (KN.mm)]]/$G$150</f>
        <v>0.85662650602409629</v>
      </c>
      <c r="X147" s="145">
        <f>Table1123457[[#This Row],[V/(2*sqrt(fc) bd)]]</f>
        <v>1.1616347329824468</v>
      </c>
      <c r="Y147" s="111">
        <f>Table1123457[[#This Row],[a (mm)]]</f>
        <v>810</v>
      </c>
      <c r="Z147" s="111">
        <f>Table1123457[[#This Row],[width]]*Table1123457[[#This Row],[h]]^2</f>
        <v>11724200</v>
      </c>
      <c r="AA147" s="111">
        <f>Table1123457[[#This Row],[b (mm)]]</f>
        <v>122</v>
      </c>
      <c r="AB147" s="111">
        <f>Table1123457[[#This Row],[a (mm)]]/Table1123457[[#This Row],[h (mm)]]</f>
        <v>2.6129032258064515</v>
      </c>
      <c r="AC147" s="111">
        <f>Table1123457[[#This Row],[h (mm)]]</f>
        <v>310</v>
      </c>
      <c r="AD147" s="111">
        <v>810</v>
      </c>
      <c r="AE147" s="111">
        <v>280</v>
      </c>
      <c r="AF147" s="111">
        <v>310</v>
      </c>
      <c r="AG147" s="111">
        <v>122</v>
      </c>
      <c r="AH147" s="7">
        <v>29.1</v>
      </c>
      <c r="AI147" s="135">
        <f>Table1123457[[#This Row],[pho (%)]]/100*Table1123457[[#This Row],[b (mm)]]*Table1123457[[#This Row],[h (mm)]]</f>
        <v>313.90600000000001</v>
      </c>
      <c r="AJ147" s="135">
        <v>0.83</v>
      </c>
      <c r="AK147" s="160">
        <v>525</v>
      </c>
      <c r="AL147" s="135">
        <f>(1/3-0.21*(MIN(Table1123457[[#This Row],[b (mm)]],AF147)/MAX(Table1123457[[#This Row],[b (mm)]],AF147))*(MIN(Table1123457[[#This Row],[b (mm)]],AF147)^4/(12*MAX(Table1123457[[#This Row],[b (mm)]],AF147)^4)))*MAX(Table1123457[[#This Row],[b (mm)]],AF147)*MIN(Table1123457[[#This Row],[b (mm)]],AF147)^3</f>
        <v>187544629.45683298</v>
      </c>
      <c r="AM147" s="135">
        <f>Table1123457[[#This Row],[b (mm)]]*AF147^3/12</f>
        <v>302875166.66666669</v>
      </c>
      <c r="AN147" s="111">
        <v>1620</v>
      </c>
      <c r="AP147" s="107"/>
      <c r="AU147" s="380">
        <v>71.099999999999994</v>
      </c>
      <c r="AV147" s="2">
        <f t="shared" si="23"/>
        <v>35.549999999999997</v>
      </c>
    </row>
    <row r="148" spans="1:48" x14ac:dyDescent="0.3">
      <c r="A148" s="257" t="s">
        <v>164</v>
      </c>
      <c r="B148" s="257">
        <v>8</v>
      </c>
      <c r="C148" s="185">
        <v>147</v>
      </c>
      <c r="D148" s="185">
        <f>Table1123457[[#This Row],[a (mm)]]/Table1123457[[#This Row],[d (mm)]]</f>
        <v>2.8928571428571428</v>
      </c>
      <c r="E148" s="258">
        <v>36.549999999999997</v>
      </c>
      <c r="F148" s="137">
        <f>Table1123457[[#This Row],[d (mm)]]</f>
        <v>280</v>
      </c>
      <c r="G148" s="135">
        <f t="shared" si="19"/>
        <v>29605.499999999996</v>
      </c>
      <c r="H148" s="135">
        <f t="shared" si="20"/>
        <v>3.711470834016082E-6</v>
      </c>
      <c r="I148" s="111">
        <f>G148/(Table1123457[[#This Row],[b (mm)]]*Table1123457[[#This Row],[h]]^2)</f>
        <v>2.5251616314972448E-3</v>
      </c>
      <c r="J148" s="135">
        <f t="shared" si="21"/>
        <v>0.64158684186881887</v>
      </c>
      <c r="K148" s="135">
        <f t="shared" si="22"/>
        <v>6.2065906244541281E-6</v>
      </c>
      <c r="L148" s="135">
        <f>E148/(Table1123457[[#This Row],[b (mm)]]*AE148)</f>
        <v>1.0699648711943793E-3</v>
      </c>
      <c r="M148" s="135">
        <f>Table1123457[[#This Row],[M (KN.mm)]]/(Table1123457[[#This Row],[b (mm)]]*Table1123457[[#This Row],[d (mm)]])</f>
        <v>0.8666715456674472</v>
      </c>
      <c r="N148" s="135">
        <f>Table1123457[[#This Row],[M (KN.mm)]]/(Table1123457[[#This Row],[b (mm)]]*Table1123457[[#This Row],[h (mm)]])</f>
        <v>0.78280010576414583</v>
      </c>
      <c r="O148" s="145">
        <f>Table1123457[[#This Row],[M (KN.mm)]]/(Table1123457[[#This Row],[b (mm)]]*Table1123457[[#This Row],[h (mm)]]*Table1123457[[#This Row],[L(mm)]])</f>
        <v>4.8320994182971964E-4</v>
      </c>
      <c r="P148" s="145">
        <f>Table1123457[[#This Row],[M (KN.mm)]]/(Table1123457[[#This Row],[b (mm)]]*Table1123457[[#This Row],[d (mm)]]*Table1123457[[#This Row],[L(mm)]])</f>
        <v>5.3498243559718965E-4</v>
      </c>
      <c r="Q148" s="145">
        <f>Table1123457[[#This Row],[M (KN.mm)]]/(Table1123457[[#This Row],[b (mm)]]*Table1123457[[#This Row],[h (mm)]]*Table1123457[[#This Row],[L(mm)]]*Table1123457[[#This Row],[fc (Mpa)]])</f>
        <v>1.6605152640196551E-5</v>
      </c>
      <c r="R148" s="145">
        <f>Table1123457[[#This Row],[M (KN.mm)]]/(Table1123457[[#This Row],[b (mm)]]*Table1123457[[#This Row],[h (mm)]]*Table1123457[[#This Row],[L(mm)]]/2)</f>
        <v>9.6641988365943929E-4</v>
      </c>
      <c r="S148" s="145">
        <f>Table1123457[[#This Row],[M (KN.mm)]]/(Table1123457[[#This Row],[a (mm)]]*Table1123457[[#This Row],[b (mm)]]*Table1123457[[#This Row],[h (mm)]]*Table1123457[[#This Row],[L(mm)]]/2)</f>
        <v>1.1931109674807894E-6</v>
      </c>
      <c r="T148" s="145">
        <f>Table1123457[[#This Row],[M (KN.mm)]]/(Table1123457[[#This Row],[a (mm)]]^2*Table1123457[[#This Row],[b (mm)]]*Table1123457[[#This Row],[h (mm)]])</f>
        <v>1.1931109674807894E-6</v>
      </c>
      <c r="U148" s="145">
        <f>Table1123457[[#This Row],[M (KN.mm)]]/(Table1123457[[#This Row],[b (mm)]]*Table1123457[[#This Row],[d (mm)]]*Table1123457[[#This Row],[pho (%)]])</f>
        <v>1.0441825851415028</v>
      </c>
      <c r="V148" s="145">
        <f>E148*224.8/(2*SQRT(Table1123457[[#This Row],[fc (Mpa)]]*145.037)*Table1123457[[#This Row],[b (mm)]]*Table1123457[[#This Row],[d (mm)]]*(1/25.4)^2)</f>
        <v>1.1943108154854694</v>
      </c>
      <c r="W148" s="145">
        <f>Table1123457[[#This Row],[M (KN.mm)]]/$G$150</f>
        <v>0.88072289156626493</v>
      </c>
      <c r="X148" s="145">
        <f>Table1123457[[#This Row],[V/(2*sqrt(fc) bd)]]</f>
        <v>1.1943108154854694</v>
      </c>
      <c r="Y148" s="111">
        <f>Table1123457[[#This Row],[a (mm)]]</f>
        <v>810</v>
      </c>
      <c r="Z148" s="111">
        <f>Table1123457[[#This Row],[width]]*Table1123457[[#This Row],[h]]^2</f>
        <v>11724200</v>
      </c>
      <c r="AA148" s="111">
        <f>Table1123457[[#This Row],[b (mm)]]</f>
        <v>122</v>
      </c>
      <c r="AB148" s="111">
        <f>Table1123457[[#This Row],[a (mm)]]/Table1123457[[#This Row],[h (mm)]]</f>
        <v>2.6129032258064515</v>
      </c>
      <c r="AC148" s="111">
        <f>Table1123457[[#This Row],[h (mm)]]</f>
        <v>310</v>
      </c>
      <c r="AD148" s="111">
        <v>810</v>
      </c>
      <c r="AE148" s="111">
        <v>280</v>
      </c>
      <c r="AF148" s="111">
        <v>310</v>
      </c>
      <c r="AG148" s="111">
        <v>122</v>
      </c>
      <c r="AH148" s="7">
        <v>29.1</v>
      </c>
      <c r="AI148" s="135">
        <f>Table1123457[[#This Row],[pho (%)]]/100*Table1123457[[#This Row],[b (mm)]]*Table1123457[[#This Row],[h (mm)]]</f>
        <v>313.90600000000001</v>
      </c>
      <c r="AJ148" s="135">
        <v>0.83</v>
      </c>
      <c r="AK148" s="160">
        <v>525</v>
      </c>
      <c r="AL148" s="135">
        <f>(1/3-0.21*(MIN(Table1123457[[#This Row],[b (mm)]],AF148)/MAX(Table1123457[[#This Row],[b (mm)]],AF148))*(MIN(Table1123457[[#This Row],[b (mm)]],AF148)^4/(12*MAX(Table1123457[[#This Row],[b (mm)]],AF148)^4)))*MAX(Table1123457[[#This Row],[b (mm)]],AF148)*MIN(Table1123457[[#This Row],[b (mm)]],AF148)^3</f>
        <v>187544629.45683298</v>
      </c>
      <c r="AM148" s="135">
        <f>Table1123457[[#This Row],[b (mm)]]*AF148^3/12</f>
        <v>302875166.66666669</v>
      </c>
      <c r="AN148" s="111">
        <v>1620</v>
      </c>
      <c r="AP148" s="107"/>
      <c r="AU148" s="380">
        <v>73.099999999999994</v>
      </c>
      <c r="AV148" s="2">
        <f t="shared" si="23"/>
        <v>36.549999999999997</v>
      </c>
    </row>
    <row r="149" spans="1:48" x14ac:dyDescent="0.3">
      <c r="A149" s="257" t="s">
        <v>164</v>
      </c>
      <c r="B149" s="257">
        <v>9</v>
      </c>
      <c r="C149" s="185">
        <v>148</v>
      </c>
      <c r="D149" s="185">
        <f>Table1123457[[#This Row],[a (mm)]]/Table1123457[[#This Row],[d (mm)]]</f>
        <v>2.8928571428571428</v>
      </c>
      <c r="E149" s="258">
        <v>38.25</v>
      </c>
      <c r="F149" s="137">
        <f>Table1123457[[#This Row],[d (mm)]]</f>
        <v>280</v>
      </c>
      <c r="G149" s="135">
        <f t="shared" si="19"/>
        <v>30982.5</v>
      </c>
      <c r="H149" s="135">
        <f t="shared" si="20"/>
        <v>3.8840973844354347E-6</v>
      </c>
      <c r="I149" s="111">
        <f>G149/(Table1123457[[#This Row],[b (mm)]]*Table1123457[[#This Row],[h]]^2)</f>
        <v>2.6426110097064193E-3</v>
      </c>
      <c r="J149" s="135">
        <f t="shared" si="21"/>
        <v>0.67142809032783368</v>
      </c>
      <c r="K149" s="135">
        <f t="shared" si="22"/>
        <v>6.4952692581496694E-6</v>
      </c>
      <c r="L149" s="135">
        <f>E149/(Table1123457[[#This Row],[b (mm)]]*AE149)</f>
        <v>1.1197306791569087E-3</v>
      </c>
      <c r="M149" s="135">
        <f>Table1123457[[#This Row],[M (KN.mm)]]/(Table1123457[[#This Row],[b (mm)]]*Table1123457[[#This Row],[d (mm)]])</f>
        <v>0.90698185011709598</v>
      </c>
      <c r="N149" s="135">
        <f>Table1123457[[#This Row],[M (KN.mm)]]/(Table1123457[[#This Row],[b (mm)]]*Table1123457[[#This Row],[h (mm)]])</f>
        <v>0.81920941300898997</v>
      </c>
      <c r="O149" s="145">
        <f>Table1123457[[#This Row],[M (KN.mm)]]/(Table1123457[[#This Row],[b (mm)]]*Table1123457[[#This Row],[h (mm)]]*Table1123457[[#This Row],[L(mm)]])</f>
        <v>5.056848228450555E-4</v>
      </c>
      <c r="P149" s="145">
        <f>Table1123457[[#This Row],[M (KN.mm)]]/(Table1123457[[#This Row],[b (mm)]]*Table1123457[[#This Row],[d (mm)]]*Table1123457[[#This Row],[L(mm)]])</f>
        <v>5.5986533957845433E-4</v>
      </c>
      <c r="Q149" s="145">
        <f>Table1123457[[#This Row],[M (KN.mm)]]/(Table1123457[[#This Row],[b (mm)]]*Table1123457[[#This Row],[h (mm)]]*Table1123457[[#This Row],[L(mm)]]*Table1123457[[#This Row],[fc (Mpa)]])</f>
        <v>1.737748532113593E-5</v>
      </c>
      <c r="R149" s="145">
        <f>Table1123457[[#This Row],[M (KN.mm)]]/(Table1123457[[#This Row],[b (mm)]]*Table1123457[[#This Row],[h (mm)]]*Table1123457[[#This Row],[L(mm)]]/2)</f>
        <v>1.011369645690111E-3</v>
      </c>
      <c r="S149" s="145">
        <f>Table1123457[[#This Row],[M (KN.mm)]]/(Table1123457[[#This Row],[a (mm)]]*Table1123457[[#This Row],[b (mm)]]*Table1123457[[#This Row],[h (mm)]]*Table1123457[[#This Row],[L(mm)]]/2)</f>
        <v>1.248604500851989E-6</v>
      </c>
      <c r="T149" s="145">
        <f>Table1123457[[#This Row],[M (KN.mm)]]/(Table1123457[[#This Row],[a (mm)]]^2*Table1123457[[#This Row],[b (mm)]]*Table1123457[[#This Row],[h (mm)]])</f>
        <v>1.248604500851989E-6</v>
      </c>
      <c r="U149" s="145">
        <f>Table1123457[[#This Row],[M (KN.mm)]]/(Table1123457[[#This Row],[b (mm)]]*Table1123457[[#This Row],[d (mm)]]*Table1123457[[#This Row],[pho (%)]])</f>
        <v>1.0927492170085495</v>
      </c>
      <c r="V149" s="145">
        <f>E149*224.8/(2*SQRT(Table1123457[[#This Row],[fc (Mpa)]]*145.037)*Table1123457[[#This Row],[b (mm)]]*Table1123457[[#This Row],[d (mm)]]*(1/25.4)^2)</f>
        <v>1.2498601557406075</v>
      </c>
      <c r="W149" s="145">
        <f>Table1123457[[#This Row],[M (KN.mm)]]/$G$150</f>
        <v>0.92168674698795183</v>
      </c>
      <c r="X149" s="145">
        <f>Table1123457[[#This Row],[V/(2*sqrt(fc) bd)]]</f>
        <v>1.2498601557406075</v>
      </c>
      <c r="Y149" s="111">
        <f>Table1123457[[#This Row],[a (mm)]]</f>
        <v>810</v>
      </c>
      <c r="Z149" s="111">
        <f>Table1123457[[#This Row],[width]]*Table1123457[[#This Row],[h]]^2</f>
        <v>11724200</v>
      </c>
      <c r="AA149" s="111">
        <f>Table1123457[[#This Row],[b (mm)]]</f>
        <v>122</v>
      </c>
      <c r="AB149" s="111">
        <f>Table1123457[[#This Row],[a (mm)]]/Table1123457[[#This Row],[h (mm)]]</f>
        <v>2.6129032258064515</v>
      </c>
      <c r="AC149" s="111">
        <f>Table1123457[[#This Row],[h (mm)]]</f>
        <v>310</v>
      </c>
      <c r="AD149" s="111">
        <v>810</v>
      </c>
      <c r="AE149" s="111">
        <v>280</v>
      </c>
      <c r="AF149" s="111">
        <v>310</v>
      </c>
      <c r="AG149" s="111">
        <v>122</v>
      </c>
      <c r="AH149" s="7">
        <v>29.1</v>
      </c>
      <c r="AI149" s="135">
        <f>Table1123457[[#This Row],[pho (%)]]/100*Table1123457[[#This Row],[b (mm)]]*Table1123457[[#This Row],[h (mm)]]</f>
        <v>313.90600000000001</v>
      </c>
      <c r="AJ149" s="135">
        <v>0.83</v>
      </c>
      <c r="AK149" s="160">
        <v>525</v>
      </c>
      <c r="AL149" s="135">
        <f>(1/3-0.21*(MIN(Table1123457[[#This Row],[b (mm)]],AF149)/MAX(Table1123457[[#This Row],[b (mm)]],AF149))*(MIN(Table1123457[[#This Row],[b (mm)]],AF149)^4/(12*MAX(Table1123457[[#This Row],[b (mm)]],AF149)^4)))*MAX(Table1123457[[#This Row],[b (mm)]],AF149)*MIN(Table1123457[[#This Row],[b (mm)]],AF149)^3</f>
        <v>187544629.45683298</v>
      </c>
      <c r="AM149" s="135">
        <f>Table1123457[[#This Row],[b (mm)]]*AF149^3/12</f>
        <v>302875166.66666669</v>
      </c>
      <c r="AN149" s="111">
        <v>1620</v>
      </c>
      <c r="AP149" s="107"/>
      <c r="AU149" s="380">
        <v>76.5</v>
      </c>
      <c r="AV149" s="2">
        <f t="shared" si="23"/>
        <v>38.25</v>
      </c>
    </row>
    <row r="150" spans="1:48" x14ac:dyDescent="0.3">
      <c r="A150" s="257" t="s">
        <v>164</v>
      </c>
      <c r="B150" s="257" t="s">
        <v>142</v>
      </c>
      <c r="C150" s="185">
        <v>149</v>
      </c>
      <c r="D150" s="185">
        <f>Table1123457[[#This Row],[a (mm)]]/Table1123457[[#This Row],[d (mm)]]</f>
        <v>2.8928571428571428</v>
      </c>
      <c r="E150" s="258">
        <v>41.5</v>
      </c>
      <c r="F150" s="137">
        <f>Table1123457[[#This Row],[d (mm)]]</f>
        <v>280</v>
      </c>
      <c r="G150" s="135">
        <f t="shared" si="19"/>
        <v>33615</v>
      </c>
      <c r="H150" s="135">
        <f t="shared" si="20"/>
        <v>4.2141187308253743E-6</v>
      </c>
      <c r="I150" s="111">
        <f>G150/(Table1123457[[#This Row],[b (mm)]]*Table1123457[[#This Row],[h]]^2)</f>
        <v>2.8671465856945464E-3</v>
      </c>
      <c r="J150" s="135">
        <f t="shared" si="21"/>
        <v>0.72847753591124442</v>
      </c>
      <c r="K150" s="135">
        <f t="shared" si="22"/>
        <v>7.0471548813911447E-6</v>
      </c>
      <c r="L150" s="135">
        <f>E150/(Table1123457[[#This Row],[b (mm)]]*AE150)</f>
        <v>1.214871194379391E-3</v>
      </c>
      <c r="M150" s="135">
        <f>Table1123457[[#This Row],[M (KN.mm)]]/(Table1123457[[#This Row],[b (mm)]]*Table1123457[[#This Row],[d (mm)]])</f>
        <v>0.98404566744730682</v>
      </c>
      <c r="N150" s="135">
        <f>Table1123457[[#This Row],[M (KN.mm)]]/(Table1123457[[#This Row],[b (mm)]]*Table1123457[[#This Row],[h (mm)]])</f>
        <v>0.88881544156530934</v>
      </c>
      <c r="O150" s="145">
        <f>Table1123457[[#This Row],[M (KN.mm)]]/(Table1123457[[#This Row],[b (mm)]]*Table1123457[[#This Row],[h (mm)]]*Table1123457[[#This Row],[L(mm)]])</f>
        <v>5.4865150713907991E-4</v>
      </c>
      <c r="P150" s="145">
        <f>Table1123457[[#This Row],[M (KN.mm)]]/(Table1123457[[#This Row],[b (mm)]]*Table1123457[[#This Row],[d (mm)]]*Table1123457[[#This Row],[L(mm)]])</f>
        <v>6.0743559718969551E-4</v>
      </c>
      <c r="Q150" s="145">
        <f>Table1123457[[#This Row],[M (KN.mm)]]/(Table1123457[[#This Row],[b (mm)]]*Table1123457[[#This Row],[h (mm)]]*Table1123457[[#This Row],[L(mm)]]*Table1123457[[#This Row],[fc (Mpa)]])</f>
        <v>1.8854003681755323E-5</v>
      </c>
      <c r="R150" s="145">
        <f>Table1123457[[#This Row],[M (KN.mm)]]/(Table1123457[[#This Row],[b (mm)]]*Table1123457[[#This Row],[h (mm)]]*Table1123457[[#This Row],[L(mm)]]/2)</f>
        <v>1.0973030142781598E-3</v>
      </c>
      <c r="S150" s="145">
        <f>Table1123457[[#This Row],[M (KN.mm)]]/(Table1123457[[#This Row],[a (mm)]]*Table1123457[[#This Row],[b (mm)]]*Table1123457[[#This Row],[h (mm)]]*Table1123457[[#This Row],[L(mm)]]/2)</f>
        <v>1.3546950793557527E-6</v>
      </c>
      <c r="T150" s="145">
        <f>Table1123457[[#This Row],[M (KN.mm)]]/(Table1123457[[#This Row],[a (mm)]]^2*Table1123457[[#This Row],[b (mm)]]*Table1123457[[#This Row],[h (mm)]])</f>
        <v>1.3546950793557527E-6</v>
      </c>
      <c r="U150" s="145">
        <f>Table1123457[[#This Row],[M (KN.mm)]]/(Table1123457[[#This Row],[b (mm)]]*Table1123457[[#This Row],[d (mm)]]*Table1123457[[#This Row],[pho (%)]])</f>
        <v>1.1855971896955504</v>
      </c>
      <c r="V150" s="145">
        <f>E150*224.8/(2*SQRT(Table1123457[[#This Row],[fc (Mpa)]]*145.037)*Table1123457[[#This Row],[b (mm)]]*Table1123457[[#This Row],[d (mm)]]*(1/25.4)^2)</f>
        <v>1.3560574238754304</v>
      </c>
      <c r="W150" s="145">
        <f>Table1123457[[#This Row],[M (KN.mm)]]/$G$150</f>
        <v>1</v>
      </c>
      <c r="X150" s="145">
        <f>Table1123457[[#This Row],[V/(2*sqrt(fc) bd)]]</f>
        <v>1.3560574238754304</v>
      </c>
      <c r="Y150" s="111">
        <f>Table1123457[[#This Row],[a (mm)]]</f>
        <v>810</v>
      </c>
      <c r="Z150" s="111">
        <f>Table1123457[[#This Row],[width]]*Table1123457[[#This Row],[h]]^2</f>
        <v>11724200</v>
      </c>
      <c r="AA150" s="111">
        <f>Table1123457[[#This Row],[b (mm)]]</f>
        <v>122</v>
      </c>
      <c r="AB150" s="111">
        <f>Table1123457[[#This Row],[a (mm)]]/Table1123457[[#This Row],[h (mm)]]</f>
        <v>2.6129032258064515</v>
      </c>
      <c r="AC150" s="111">
        <f>Table1123457[[#This Row],[h (mm)]]</f>
        <v>310</v>
      </c>
      <c r="AD150" s="111">
        <v>810</v>
      </c>
      <c r="AE150" s="111">
        <v>280</v>
      </c>
      <c r="AF150" s="111">
        <v>310</v>
      </c>
      <c r="AG150" s="111">
        <v>122</v>
      </c>
      <c r="AH150" s="7">
        <v>29.1</v>
      </c>
      <c r="AI150" s="135">
        <f>Table1123457[[#This Row],[pho (%)]]/100*Table1123457[[#This Row],[b (mm)]]*Table1123457[[#This Row],[h (mm)]]</f>
        <v>313.90600000000001</v>
      </c>
      <c r="AJ150" s="135">
        <v>0.83</v>
      </c>
      <c r="AK150" s="160">
        <v>525</v>
      </c>
      <c r="AL150" s="135">
        <f>(1/3-0.21*(MIN(Table1123457[[#This Row],[b (mm)]],AF150)/MAX(Table1123457[[#This Row],[b (mm)]],AF150))*(MIN(Table1123457[[#This Row],[b (mm)]],AF150)^4/(12*MAX(Table1123457[[#This Row],[b (mm)]],AF150)^4)))*MAX(Table1123457[[#This Row],[b (mm)]],AF150)*MIN(Table1123457[[#This Row],[b (mm)]],AF150)^3</f>
        <v>187544629.45683298</v>
      </c>
      <c r="AM150" s="135">
        <f>Table1123457[[#This Row],[b (mm)]]*AF150^3/12</f>
        <v>302875166.66666669</v>
      </c>
      <c r="AN150" s="111">
        <v>1620</v>
      </c>
      <c r="AP150" s="107"/>
      <c r="AU150" s="380">
        <v>83</v>
      </c>
      <c r="AV150" s="2">
        <f t="shared" si="23"/>
        <v>41.5</v>
      </c>
    </row>
    <row r="151" spans="1:48" x14ac:dyDescent="0.3">
      <c r="A151" s="265" t="s">
        <v>165</v>
      </c>
      <c r="B151" s="265">
        <v>1</v>
      </c>
      <c r="C151" s="185">
        <v>150</v>
      </c>
      <c r="D151" s="185">
        <f>Table1123457[[#This Row],[a (mm)]]/Table1123457[[#This Row],[d (mm)]]</f>
        <v>2.8928571428571428</v>
      </c>
      <c r="E151" s="266">
        <v>10</v>
      </c>
      <c r="F151" s="137">
        <f>Table1123457[[#This Row],[d (mm)]]</f>
        <v>280</v>
      </c>
      <c r="G151" s="135">
        <f t="shared" si="19"/>
        <v>8100</v>
      </c>
      <c r="H151" s="135">
        <f t="shared" si="20"/>
        <v>1.0154502965844275E-6</v>
      </c>
      <c r="I151" s="111">
        <f>G151/(Table1123457[[#This Row],[b (mm)]]*Table1123457[[#This Row],[h]]^2)</f>
        <v>6.908786953480835E-4</v>
      </c>
      <c r="J151" s="135">
        <f t="shared" si="21"/>
        <v>0.17553675564126373</v>
      </c>
      <c r="K151" s="135">
        <f t="shared" si="22"/>
        <v>1.6981096099737697E-6</v>
      </c>
      <c r="L151" s="135">
        <f>E151/(Table1123457[[#This Row],[b (mm)]]*AE151)</f>
        <v>2.9274004683840749E-4</v>
      </c>
      <c r="M151" s="135">
        <f>Table1123457[[#This Row],[M (KN.mm)]]/(Table1123457[[#This Row],[b (mm)]]*Table1123457[[#This Row],[d (mm)]])</f>
        <v>0.23711943793911008</v>
      </c>
      <c r="N151" s="135">
        <f>Table1123457[[#This Row],[M (KN.mm)]]/(Table1123457[[#This Row],[b (mm)]]*Table1123457[[#This Row],[h (mm)]])</f>
        <v>0.21417239555790588</v>
      </c>
      <c r="O151" s="145">
        <f>Table1123457[[#This Row],[M (KN.mm)]]/(Table1123457[[#This Row],[b (mm)]]*Table1123457[[#This Row],[h (mm)]]*Table1123457[[#This Row],[L(mm)]])</f>
        <v>1.3220518244315177E-4</v>
      </c>
      <c r="P151" s="145">
        <f>Table1123457[[#This Row],[M (KN.mm)]]/(Table1123457[[#This Row],[b (mm)]]*Table1123457[[#This Row],[d (mm)]]*Table1123457[[#This Row],[L(mm)]])</f>
        <v>1.4637002341920375E-4</v>
      </c>
      <c r="Q151" s="145">
        <f>Table1123457[[#This Row],[M (KN.mm)]]/(Table1123457[[#This Row],[b (mm)]]*Table1123457[[#This Row],[h (mm)]]*Table1123457[[#This Row],[L(mm)]]*Table1123457[[#This Row],[fc (Mpa)]])</f>
        <v>4.5431334172904393E-6</v>
      </c>
      <c r="R151" s="145">
        <f>Table1123457[[#This Row],[M (KN.mm)]]/(Table1123457[[#This Row],[b (mm)]]*Table1123457[[#This Row],[h (mm)]]*Table1123457[[#This Row],[L(mm)]]/2)</f>
        <v>2.6441036488630354E-4</v>
      </c>
      <c r="S151" s="145">
        <f>Table1123457[[#This Row],[M (KN.mm)]]/(Table1123457[[#This Row],[a (mm)]]*Table1123457[[#This Row],[b (mm)]]*Table1123457[[#This Row],[h (mm)]]*Table1123457[[#This Row],[L(mm)]]/2)</f>
        <v>3.2643254924235008E-7</v>
      </c>
      <c r="T151" s="145">
        <f>Table1123457[[#This Row],[M (KN.mm)]]/(Table1123457[[#This Row],[a (mm)]]^2*Table1123457[[#This Row],[b (mm)]]*Table1123457[[#This Row],[h (mm)]])</f>
        <v>3.2643254924235008E-7</v>
      </c>
      <c r="U151" s="145">
        <f>Table1123457[[#This Row],[M (KN.mm)]]/(Table1123457[[#This Row],[b (mm)]]*Table1123457[[#This Row],[d (mm)]]*Table1123457[[#This Row],[pho (%)]])</f>
        <v>0.28568606980615674</v>
      </c>
      <c r="V151" s="145">
        <f>E151*224.8/(2*SQRT(Table1123457[[#This Row],[fc (Mpa)]]*145.037)*Table1123457[[#This Row],[b (mm)]]*Table1123457[[#This Row],[d (mm)]]*(1/25.4)^2)</f>
        <v>0.32676082503022419</v>
      </c>
      <c r="W151" s="145">
        <f>Table1123457[[#This Row],[M (KN.mm)]]/$G$157</f>
        <v>0.28985507246376813</v>
      </c>
      <c r="X151" s="145">
        <f>Table1123457[[#This Row],[V/(2*sqrt(fc) bd)]]</f>
        <v>0.32676082503022419</v>
      </c>
      <c r="Y151" s="111">
        <f>Table1123457[[#This Row],[a (mm)]]</f>
        <v>810</v>
      </c>
      <c r="Z151" s="111">
        <f>Table1123457[[#This Row],[width]]*Table1123457[[#This Row],[h]]^2</f>
        <v>11724200</v>
      </c>
      <c r="AA151" s="111">
        <f>Table1123457[[#This Row],[b (mm)]]</f>
        <v>122</v>
      </c>
      <c r="AB151" s="111">
        <f>Table1123457[[#This Row],[a (mm)]]/Table1123457[[#This Row],[h (mm)]]</f>
        <v>2.6129032258064515</v>
      </c>
      <c r="AC151" s="111">
        <f>Table1123457[[#This Row],[h (mm)]]</f>
        <v>310</v>
      </c>
      <c r="AD151" s="111">
        <v>810</v>
      </c>
      <c r="AE151" s="111">
        <v>280</v>
      </c>
      <c r="AF151" s="111">
        <v>310</v>
      </c>
      <c r="AG151" s="111">
        <v>122</v>
      </c>
      <c r="AH151" s="7">
        <v>29.1</v>
      </c>
      <c r="AI151" s="135">
        <f>Table1123457[[#This Row],[pho (%)]]/100*Table1123457[[#This Row],[b (mm)]]*Table1123457[[#This Row],[h (mm)]]</f>
        <v>313.90600000000001</v>
      </c>
      <c r="AJ151" s="135">
        <v>0.83</v>
      </c>
      <c r="AK151" s="160">
        <v>525</v>
      </c>
      <c r="AL151" s="135">
        <f>(1/3-0.21*(MIN(Table1123457[[#This Row],[b (mm)]],AF151)/MAX(Table1123457[[#This Row],[b (mm)]],AF151))*(MIN(Table1123457[[#This Row],[b (mm)]],AF151)^4/(12*MAX(Table1123457[[#This Row],[b (mm)]],AF151)^4)))*MAX(Table1123457[[#This Row],[b (mm)]],AF151)*MIN(Table1123457[[#This Row],[b (mm)]],AF151)^3</f>
        <v>187544629.45683298</v>
      </c>
      <c r="AM151" s="135">
        <f>Table1123457[[#This Row],[b (mm)]]*AF151^3/12</f>
        <v>302875166.66666669</v>
      </c>
      <c r="AN151" s="111">
        <v>1620</v>
      </c>
      <c r="AP151" s="107"/>
      <c r="AU151" s="384">
        <v>20</v>
      </c>
      <c r="AV151" s="2">
        <f t="shared" si="23"/>
        <v>10</v>
      </c>
    </row>
    <row r="152" spans="1:48" x14ac:dyDescent="0.3">
      <c r="A152" s="265" t="s">
        <v>165</v>
      </c>
      <c r="B152" s="265">
        <v>2</v>
      </c>
      <c r="C152" s="185">
        <v>151</v>
      </c>
      <c r="D152" s="185">
        <f>Table1123457[[#This Row],[a (mm)]]/Table1123457[[#This Row],[d (mm)]]</f>
        <v>2.8928571428571428</v>
      </c>
      <c r="E152" s="266">
        <v>15</v>
      </c>
      <c r="F152" s="137">
        <f>Table1123457[[#This Row],[d (mm)]]</f>
        <v>280</v>
      </c>
      <c r="G152" s="135">
        <f t="shared" si="19"/>
        <v>12150</v>
      </c>
      <c r="H152" s="135">
        <f t="shared" si="20"/>
        <v>1.5231754448766411E-6</v>
      </c>
      <c r="I152" s="111">
        <f>G152/(Table1123457[[#This Row],[b (mm)]]*Table1123457[[#This Row],[h]]^2)</f>
        <v>1.0363180430221252E-3</v>
      </c>
      <c r="J152" s="135">
        <f t="shared" si="21"/>
        <v>0.2633051334618956</v>
      </c>
      <c r="K152" s="135">
        <f t="shared" si="22"/>
        <v>2.5471644149606546E-6</v>
      </c>
      <c r="L152" s="135">
        <f>E152/(Table1123457[[#This Row],[b (mm)]]*AE152)</f>
        <v>4.3911007025761124E-4</v>
      </c>
      <c r="M152" s="135">
        <f>Table1123457[[#This Row],[M (KN.mm)]]/(Table1123457[[#This Row],[b (mm)]]*Table1123457[[#This Row],[d (mm)]])</f>
        <v>0.35567915690866508</v>
      </c>
      <c r="N152" s="135">
        <f>Table1123457[[#This Row],[M (KN.mm)]]/(Table1123457[[#This Row],[b (mm)]]*Table1123457[[#This Row],[h (mm)]])</f>
        <v>0.3212585933368588</v>
      </c>
      <c r="O152" s="145">
        <f>Table1123457[[#This Row],[M (KN.mm)]]/(Table1123457[[#This Row],[b (mm)]]*Table1123457[[#This Row],[h (mm)]]*Table1123457[[#This Row],[L(mm)]])</f>
        <v>1.9830777366472766E-4</v>
      </c>
      <c r="P152" s="145">
        <f>Table1123457[[#This Row],[M (KN.mm)]]/(Table1123457[[#This Row],[b (mm)]]*Table1123457[[#This Row],[d (mm)]]*Table1123457[[#This Row],[L(mm)]])</f>
        <v>2.1955503512880562E-4</v>
      </c>
      <c r="Q152" s="145">
        <f>Table1123457[[#This Row],[M (KN.mm)]]/(Table1123457[[#This Row],[b (mm)]]*Table1123457[[#This Row],[h (mm)]]*Table1123457[[#This Row],[L(mm)]]*Table1123457[[#This Row],[fc (Mpa)]])</f>
        <v>6.8147001259356585E-6</v>
      </c>
      <c r="R152" s="145">
        <f>Table1123457[[#This Row],[M (KN.mm)]]/(Table1123457[[#This Row],[b (mm)]]*Table1123457[[#This Row],[h (mm)]]*Table1123457[[#This Row],[L(mm)]]/2)</f>
        <v>3.9661554732945531E-4</v>
      </c>
      <c r="S152" s="145">
        <f>Table1123457[[#This Row],[M (KN.mm)]]/(Table1123457[[#This Row],[a (mm)]]*Table1123457[[#This Row],[b (mm)]]*Table1123457[[#This Row],[h (mm)]]*Table1123457[[#This Row],[L(mm)]]/2)</f>
        <v>4.8964882386352511E-7</v>
      </c>
      <c r="T152" s="145">
        <f>Table1123457[[#This Row],[M (KN.mm)]]/(Table1123457[[#This Row],[a (mm)]]^2*Table1123457[[#This Row],[b (mm)]]*Table1123457[[#This Row],[h (mm)]])</f>
        <v>4.8964882386352511E-7</v>
      </c>
      <c r="U152" s="145">
        <f>Table1123457[[#This Row],[M (KN.mm)]]/(Table1123457[[#This Row],[b (mm)]]*Table1123457[[#This Row],[d (mm)]]*Table1123457[[#This Row],[pho (%)]])</f>
        <v>0.42852910470923505</v>
      </c>
      <c r="V152" s="145">
        <f>E152*224.8/(2*SQRT(Table1123457[[#This Row],[fc (Mpa)]]*145.037)*Table1123457[[#This Row],[b (mm)]]*Table1123457[[#This Row],[d (mm)]]*(1/25.4)^2)</f>
        <v>0.49014123754533628</v>
      </c>
      <c r="W152" s="145">
        <f>Table1123457[[#This Row],[M (KN.mm)]]/$G$157</f>
        <v>0.43478260869565216</v>
      </c>
      <c r="X152" s="145">
        <f>Table1123457[[#This Row],[V/(2*sqrt(fc) bd)]]</f>
        <v>0.49014123754533628</v>
      </c>
      <c r="Y152" s="111">
        <f>Table1123457[[#This Row],[a (mm)]]</f>
        <v>810</v>
      </c>
      <c r="Z152" s="111">
        <f>Table1123457[[#This Row],[width]]*Table1123457[[#This Row],[h]]^2</f>
        <v>11724200</v>
      </c>
      <c r="AA152" s="111">
        <f>Table1123457[[#This Row],[b (mm)]]</f>
        <v>122</v>
      </c>
      <c r="AB152" s="111">
        <f>Table1123457[[#This Row],[a (mm)]]/Table1123457[[#This Row],[h (mm)]]</f>
        <v>2.6129032258064515</v>
      </c>
      <c r="AC152" s="111">
        <f>Table1123457[[#This Row],[h (mm)]]</f>
        <v>310</v>
      </c>
      <c r="AD152" s="111">
        <v>810</v>
      </c>
      <c r="AE152" s="111">
        <v>280</v>
      </c>
      <c r="AF152" s="111">
        <v>310</v>
      </c>
      <c r="AG152" s="111">
        <v>122</v>
      </c>
      <c r="AH152" s="7">
        <v>29.1</v>
      </c>
      <c r="AI152" s="135">
        <f>Table1123457[[#This Row],[pho (%)]]/100*Table1123457[[#This Row],[b (mm)]]*Table1123457[[#This Row],[h (mm)]]</f>
        <v>313.90600000000001</v>
      </c>
      <c r="AJ152" s="135">
        <v>0.83</v>
      </c>
      <c r="AK152" s="160">
        <v>525</v>
      </c>
      <c r="AL152" s="135">
        <f>(1/3-0.21*(MIN(Table1123457[[#This Row],[b (mm)]],AF152)/MAX(Table1123457[[#This Row],[b (mm)]],AF152))*(MIN(Table1123457[[#This Row],[b (mm)]],AF152)^4/(12*MAX(Table1123457[[#This Row],[b (mm)]],AF152)^4)))*MAX(Table1123457[[#This Row],[b (mm)]],AF152)*MIN(Table1123457[[#This Row],[b (mm)]],AF152)^3</f>
        <v>187544629.45683298</v>
      </c>
      <c r="AM152" s="135">
        <f>Table1123457[[#This Row],[b (mm)]]*AF152^3/12</f>
        <v>302875166.66666669</v>
      </c>
      <c r="AN152" s="111">
        <v>1620</v>
      </c>
      <c r="AP152" s="107"/>
      <c r="AU152" s="384">
        <v>30</v>
      </c>
      <c r="AV152" s="2">
        <f t="shared" si="23"/>
        <v>15</v>
      </c>
    </row>
    <row r="153" spans="1:48" x14ac:dyDescent="0.3">
      <c r="A153" s="265" t="s">
        <v>165</v>
      </c>
      <c r="B153" s="265">
        <v>3</v>
      </c>
      <c r="C153" s="185">
        <v>152</v>
      </c>
      <c r="D153" s="185">
        <f>Table1123457[[#This Row],[a (mm)]]/Table1123457[[#This Row],[d (mm)]]</f>
        <v>2.8928571428571428</v>
      </c>
      <c r="E153" s="266">
        <v>18.649999999999999</v>
      </c>
      <c r="F153" s="137">
        <f>Table1123457[[#This Row],[d (mm)]]</f>
        <v>280</v>
      </c>
      <c r="G153" s="135">
        <f t="shared" si="19"/>
        <v>15106.499999999998</v>
      </c>
      <c r="H153" s="135">
        <f t="shared" si="20"/>
        <v>1.8938148031299569E-6</v>
      </c>
      <c r="I153" s="111">
        <f>G153/(Table1123457[[#This Row],[b (mm)]]*Table1123457[[#This Row],[h]]^2)</f>
        <v>1.2884887668241755E-3</v>
      </c>
      <c r="J153" s="135">
        <f t="shared" si="21"/>
        <v>0.32737604927095681</v>
      </c>
      <c r="K153" s="135">
        <f t="shared" si="22"/>
        <v>3.1669744226010805E-6</v>
      </c>
      <c r="L153" s="135">
        <f>E153/(Table1123457[[#This Row],[b (mm)]]*AE153)</f>
        <v>5.4596018735362996E-4</v>
      </c>
      <c r="M153" s="135">
        <f>Table1123457[[#This Row],[M (KN.mm)]]/(Table1123457[[#This Row],[b (mm)]]*Table1123457[[#This Row],[d (mm)]])</f>
        <v>0.44222775175644025</v>
      </c>
      <c r="N153" s="135">
        <f>Table1123457[[#This Row],[M (KN.mm)]]/(Table1123457[[#This Row],[b (mm)]]*Table1123457[[#This Row],[h (mm)]])</f>
        <v>0.3994315177154944</v>
      </c>
      <c r="O153" s="145">
        <f>Table1123457[[#This Row],[M (KN.mm)]]/(Table1123457[[#This Row],[b (mm)]]*Table1123457[[#This Row],[h (mm)]]*Table1123457[[#This Row],[L(mm)]])</f>
        <v>2.4656266525647803E-4</v>
      </c>
      <c r="P153" s="145">
        <f>Table1123457[[#This Row],[M (KN.mm)]]/(Table1123457[[#This Row],[b (mm)]]*Table1123457[[#This Row],[d (mm)]]*Table1123457[[#This Row],[L(mm)]])</f>
        <v>2.7298009367681498E-4</v>
      </c>
      <c r="Q153" s="145">
        <f>Table1123457[[#This Row],[M (KN.mm)]]/(Table1123457[[#This Row],[b (mm)]]*Table1123457[[#This Row],[h (mm)]]*Table1123457[[#This Row],[L(mm)]]*Table1123457[[#This Row],[fc (Mpa)]])</f>
        <v>8.4729438232466671E-6</v>
      </c>
      <c r="R153" s="145">
        <f>Table1123457[[#This Row],[M (KN.mm)]]/(Table1123457[[#This Row],[b (mm)]]*Table1123457[[#This Row],[h (mm)]]*Table1123457[[#This Row],[L(mm)]]/2)</f>
        <v>4.9312533051295605E-4</v>
      </c>
      <c r="S153" s="145">
        <f>Table1123457[[#This Row],[M (KN.mm)]]/(Table1123457[[#This Row],[a (mm)]]*Table1123457[[#This Row],[b (mm)]]*Table1123457[[#This Row],[h (mm)]]*Table1123457[[#This Row],[L(mm)]]/2)</f>
        <v>6.0879670433698275E-7</v>
      </c>
      <c r="T153" s="145">
        <f>Table1123457[[#This Row],[M (KN.mm)]]/(Table1123457[[#This Row],[a (mm)]]^2*Table1123457[[#This Row],[b (mm)]]*Table1123457[[#This Row],[h (mm)]])</f>
        <v>6.0879670433698275E-7</v>
      </c>
      <c r="U153" s="145">
        <f>Table1123457[[#This Row],[M (KN.mm)]]/(Table1123457[[#This Row],[b (mm)]]*Table1123457[[#This Row],[d (mm)]]*Table1123457[[#This Row],[pho (%)]])</f>
        <v>0.53280452018848223</v>
      </c>
      <c r="V153" s="145">
        <f>E153*224.8/(2*SQRT(Table1123457[[#This Row],[fc (Mpa)]]*145.037)*Table1123457[[#This Row],[b (mm)]]*Table1123457[[#This Row],[d (mm)]]*(1/25.4)^2)</f>
        <v>0.60940893868136803</v>
      </c>
      <c r="W153" s="145">
        <f>Table1123457[[#This Row],[M (KN.mm)]]/$G$157</f>
        <v>0.54057971014492745</v>
      </c>
      <c r="X153" s="145">
        <f>Table1123457[[#This Row],[V/(2*sqrt(fc) bd)]]</f>
        <v>0.60940893868136803</v>
      </c>
      <c r="Y153" s="111">
        <f>Table1123457[[#This Row],[a (mm)]]</f>
        <v>810</v>
      </c>
      <c r="Z153" s="111">
        <f>Table1123457[[#This Row],[width]]*Table1123457[[#This Row],[h]]^2</f>
        <v>11724200</v>
      </c>
      <c r="AA153" s="111">
        <f>Table1123457[[#This Row],[b (mm)]]</f>
        <v>122</v>
      </c>
      <c r="AB153" s="111">
        <f>Table1123457[[#This Row],[a (mm)]]/Table1123457[[#This Row],[h (mm)]]</f>
        <v>2.6129032258064515</v>
      </c>
      <c r="AC153" s="111">
        <f>Table1123457[[#This Row],[h (mm)]]</f>
        <v>310</v>
      </c>
      <c r="AD153" s="111">
        <v>810</v>
      </c>
      <c r="AE153" s="111">
        <v>280</v>
      </c>
      <c r="AF153" s="111">
        <v>310</v>
      </c>
      <c r="AG153" s="111">
        <v>122</v>
      </c>
      <c r="AH153" s="7">
        <v>29.1</v>
      </c>
      <c r="AI153" s="135">
        <f>Table1123457[[#This Row],[pho (%)]]/100*Table1123457[[#This Row],[b (mm)]]*Table1123457[[#This Row],[h (mm)]]</f>
        <v>313.90600000000001</v>
      </c>
      <c r="AJ153" s="135">
        <v>0.83</v>
      </c>
      <c r="AK153" s="160">
        <v>525</v>
      </c>
      <c r="AL153" s="135">
        <f>(1/3-0.21*(MIN(Table1123457[[#This Row],[b (mm)]],AF153)/MAX(Table1123457[[#This Row],[b (mm)]],AF153))*(MIN(Table1123457[[#This Row],[b (mm)]],AF153)^4/(12*MAX(Table1123457[[#This Row],[b (mm)]],AF153)^4)))*MAX(Table1123457[[#This Row],[b (mm)]],AF153)*MIN(Table1123457[[#This Row],[b (mm)]],AF153)^3</f>
        <v>187544629.45683298</v>
      </c>
      <c r="AM153" s="135">
        <f>Table1123457[[#This Row],[b (mm)]]*AF153^3/12</f>
        <v>302875166.66666669</v>
      </c>
      <c r="AN153" s="111">
        <v>1620</v>
      </c>
      <c r="AP153" s="107"/>
      <c r="AU153" s="384">
        <v>37.299999999999997</v>
      </c>
      <c r="AV153" s="2">
        <f t="shared" si="23"/>
        <v>18.649999999999999</v>
      </c>
    </row>
    <row r="154" spans="1:48" x14ac:dyDescent="0.3">
      <c r="A154" s="265" t="s">
        <v>165</v>
      </c>
      <c r="B154" s="265">
        <v>4</v>
      </c>
      <c r="C154" s="185">
        <v>153</v>
      </c>
      <c r="D154" s="185">
        <f>Table1123457[[#This Row],[a (mm)]]/Table1123457[[#This Row],[d (mm)]]</f>
        <v>2.8928571428571428</v>
      </c>
      <c r="E154" s="266">
        <v>21.45</v>
      </c>
      <c r="F154" s="137">
        <f>Table1123457[[#This Row],[d (mm)]]</f>
        <v>280</v>
      </c>
      <c r="G154" s="135">
        <f t="shared" si="19"/>
        <v>17374.5</v>
      </c>
      <c r="H154" s="135">
        <f t="shared" si="20"/>
        <v>2.1781408861735967E-6</v>
      </c>
      <c r="I154" s="111">
        <f>G154/(Table1123457[[#This Row],[b (mm)]]*Table1123457[[#This Row],[h]]^2)</f>
        <v>1.4819348015216391E-3</v>
      </c>
      <c r="J154" s="135">
        <f t="shared" si="21"/>
        <v>0.37652634085051068</v>
      </c>
      <c r="K154" s="135">
        <f t="shared" si="22"/>
        <v>3.6424451133937362E-6</v>
      </c>
      <c r="L154" s="135">
        <f>E154/(Table1123457[[#This Row],[b (mm)]]*AE154)</f>
        <v>6.2792740046838406E-4</v>
      </c>
      <c r="M154" s="135">
        <f>Table1123457[[#This Row],[M (KN.mm)]]/(Table1123457[[#This Row],[b (mm)]]*Table1123457[[#This Row],[d (mm)]])</f>
        <v>0.50862119437939113</v>
      </c>
      <c r="N154" s="135">
        <f>Table1123457[[#This Row],[M (KN.mm)]]/(Table1123457[[#This Row],[b (mm)]]*Table1123457[[#This Row],[h (mm)]])</f>
        <v>0.45939978847170809</v>
      </c>
      <c r="O154" s="145">
        <f>Table1123457[[#This Row],[M (KN.mm)]]/(Table1123457[[#This Row],[b (mm)]]*Table1123457[[#This Row],[h (mm)]]*Table1123457[[#This Row],[L(mm)]])</f>
        <v>2.8358011634056058E-4</v>
      </c>
      <c r="P154" s="145">
        <f>Table1123457[[#This Row],[M (KN.mm)]]/(Table1123457[[#This Row],[b (mm)]]*Table1123457[[#This Row],[d (mm)]]*Table1123457[[#This Row],[L(mm)]])</f>
        <v>3.1396370023419203E-4</v>
      </c>
      <c r="Q154" s="145">
        <f>Table1123457[[#This Row],[M (KN.mm)]]/(Table1123457[[#This Row],[b (mm)]]*Table1123457[[#This Row],[h (mm)]]*Table1123457[[#This Row],[L(mm)]]*Table1123457[[#This Row],[fc (Mpa)]])</f>
        <v>9.7450211800879915E-6</v>
      </c>
      <c r="R154" s="145">
        <f>Table1123457[[#This Row],[M (KN.mm)]]/(Table1123457[[#This Row],[b (mm)]]*Table1123457[[#This Row],[h (mm)]]*Table1123457[[#This Row],[L(mm)]]/2)</f>
        <v>5.6716023268112115E-4</v>
      </c>
      <c r="S154" s="145">
        <f>Table1123457[[#This Row],[M (KN.mm)]]/(Table1123457[[#This Row],[a (mm)]]*Table1123457[[#This Row],[b (mm)]]*Table1123457[[#This Row],[h (mm)]]*Table1123457[[#This Row],[L(mm)]]/2)</f>
        <v>7.0019781812484091E-7</v>
      </c>
      <c r="T154" s="145">
        <f>Table1123457[[#This Row],[M (KN.mm)]]/(Table1123457[[#This Row],[a (mm)]]^2*Table1123457[[#This Row],[b (mm)]]*Table1123457[[#This Row],[h (mm)]])</f>
        <v>7.0019781812484091E-7</v>
      </c>
      <c r="U154" s="145">
        <f>Table1123457[[#This Row],[M (KN.mm)]]/(Table1123457[[#This Row],[b (mm)]]*Table1123457[[#This Row],[d (mm)]]*Table1123457[[#This Row],[pho (%)]])</f>
        <v>0.61279661973420618</v>
      </c>
      <c r="V154" s="145">
        <f>E154*224.8/(2*SQRT(Table1123457[[#This Row],[fc (Mpa)]]*145.037)*Table1123457[[#This Row],[b (mm)]]*Table1123457[[#This Row],[d (mm)]]*(1/25.4)^2)</f>
        <v>0.70090196968983087</v>
      </c>
      <c r="W154" s="145">
        <f>Table1123457[[#This Row],[M (KN.mm)]]/$G$157</f>
        <v>0.62173913043478257</v>
      </c>
      <c r="X154" s="145">
        <f>Table1123457[[#This Row],[V/(2*sqrt(fc) bd)]]</f>
        <v>0.70090196968983087</v>
      </c>
      <c r="Y154" s="111">
        <f>Table1123457[[#This Row],[a (mm)]]</f>
        <v>810</v>
      </c>
      <c r="Z154" s="111">
        <f>Table1123457[[#This Row],[width]]*Table1123457[[#This Row],[h]]^2</f>
        <v>11724200</v>
      </c>
      <c r="AA154" s="111">
        <f>Table1123457[[#This Row],[b (mm)]]</f>
        <v>122</v>
      </c>
      <c r="AB154" s="111">
        <f>Table1123457[[#This Row],[a (mm)]]/Table1123457[[#This Row],[h (mm)]]</f>
        <v>2.6129032258064515</v>
      </c>
      <c r="AC154" s="111">
        <f>Table1123457[[#This Row],[h (mm)]]</f>
        <v>310</v>
      </c>
      <c r="AD154" s="111">
        <v>810</v>
      </c>
      <c r="AE154" s="111">
        <v>280</v>
      </c>
      <c r="AF154" s="111">
        <v>310</v>
      </c>
      <c r="AG154" s="111">
        <v>122</v>
      </c>
      <c r="AH154" s="7">
        <v>29.1</v>
      </c>
      <c r="AI154" s="135">
        <f>Table1123457[[#This Row],[pho (%)]]/100*Table1123457[[#This Row],[b (mm)]]*Table1123457[[#This Row],[h (mm)]]</f>
        <v>313.90600000000001</v>
      </c>
      <c r="AJ154" s="135">
        <v>0.83</v>
      </c>
      <c r="AK154" s="160">
        <v>525</v>
      </c>
      <c r="AL154" s="135">
        <f>(1/3-0.21*(MIN(Table1123457[[#This Row],[b (mm)]],AF154)/MAX(Table1123457[[#This Row],[b (mm)]],AF154))*(MIN(Table1123457[[#This Row],[b (mm)]],AF154)^4/(12*MAX(Table1123457[[#This Row],[b (mm)]],AF154)^4)))*MAX(Table1123457[[#This Row],[b (mm)]],AF154)*MIN(Table1123457[[#This Row],[b (mm)]],AF154)^3</f>
        <v>187544629.45683298</v>
      </c>
      <c r="AM154" s="135">
        <f>Table1123457[[#This Row],[b (mm)]]*AF154^3/12</f>
        <v>302875166.66666669</v>
      </c>
      <c r="AN154" s="111">
        <v>1620</v>
      </c>
      <c r="AP154" s="107"/>
      <c r="AU154" s="384">
        <v>42.9</v>
      </c>
      <c r="AV154" s="2">
        <f t="shared" si="23"/>
        <v>21.45</v>
      </c>
    </row>
    <row r="155" spans="1:48" x14ac:dyDescent="0.3">
      <c r="A155" s="265" t="s">
        <v>165</v>
      </c>
      <c r="B155" s="265">
        <v>5</v>
      </c>
      <c r="C155" s="185">
        <v>154</v>
      </c>
      <c r="D155" s="185">
        <f>Table1123457[[#This Row],[a (mm)]]/Table1123457[[#This Row],[d (mm)]]</f>
        <v>2.8928571428571428</v>
      </c>
      <c r="E155" s="266">
        <v>26.5</v>
      </c>
      <c r="F155" s="137">
        <f>Table1123457[[#This Row],[d (mm)]]</f>
        <v>280</v>
      </c>
      <c r="G155" s="135">
        <f t="shared" si="19"/>
        <v>21465</v>
      </c>
      <c r="H155" s="135">
        <f t="shared" si="20"/>
        <v>2.6909432859487325E-6</v>
      </c>
      <c r="I155" s="111">
        <f>G155/(Table1123457[[#This Row],[b (mm)]]*Table1123457[[#This Row],[h]]^2)</f>
        <v>1.8308285426724212E-3</v>
      </c>
      <c r="J155" s="135">
        <f t="shared" si="21"/>
        <v>0.46517240244934888</v>
      </c>
      <c r="K155" s="135">
        <f t="shared" si="22"/>
        <v>4.4999904664304901E-6</v>
      </c>
      <c r="L155" s="135">
        <f>E155/(Table1123457[[#This Row],[b (mm)]]*AE155)</f>
        <v>7.7576112412177983E-4</v>
      </c>
      <c r="M155" s="135">
        <f>Table1123457[[#This Row],[M (KN.mm)]]/(Table1123457[[#This Row],[b (mm)]]*Table1123457[[#This Row],[d (mm)]])</f>
        <v>0.62836651053864168</v>
      </c>
      <c r="N155" s="135">
        <f>Table1123457[[#This Row],[M (KN.mm)]]/(Table1123457[[#This Row],[b (mm)]]*Table1123457[[#This Row],[h (mm)]])</f>
        <v>0.56755684822845054</v>
      </c>
      <c r="O155" s="145">
        <f>Table1123457[[#This Row],[M (KN.mm)]]/(Table1123457[[#This Row],[b (mm)]]*Table1123457[[#This Row],[h (mm)]]*Table1123457[[#This Row],[L(mm)]])</f>
        <v>3.5034373347435219E-4</v>
      </c>
      <c r="P155" s="145">
        <f>Table1123457[[#This Row],[M (KN.mm)]]/(Table1123457[[#This Row],[b (mm)]]*Table1123457[[#This Row],[d (mm)]]*Table1123457[[#This Row],[L(mm)]])</f>
        <v>3.8788056206088992E-4</v>
      </c>
      <c r="Q155" s="145">
        <f>Table1123457[[#This Row],[M (KN.mm)]]/(Table1123457[[#This Row],[b (mm)]]*Table1123457[[#This Row],[h (mm)]]*Table1123457[[#This Row],[L(mm)]]*Table1123457[[#This Row],[fc (Mpa)]])</f>
        <v>1.2039303555819662E-5</v>
      </c>
      <c r="R155" s="145">
        <f>Table1123457[[#This Row],[M (KN.mm)]]/(Table1123457[[#This Row],[b (mm)]]*Table1123457[[#This Row],[h (mm)]]*Table1123457[[#This Row],[L(mm)]]/2)</f>
        <v>7.0068746694870439E-4</v>
      </c>
      <c r="S155" s="145">
        <f>Table1123457[[#This Row],[M (KN.mm)]]/(Table1123457[[#This Row],[a (mm)]]*Table1123457[[#This Row],[b (mm)]]*Table1123457[[#This Row],[h (mm)]]*Table1123457[[#This Row],[L(mm)]]/2)</f>
        <v>8.6504625549222763E-7</v>
      </c>
      <c r="T155" s="145">
        <f>Table1123457[[#This Row],[M (KN.mm)]]/(Table1123457[[#This Row],[a (mm)]]^2*Table1123457[[#This Row],[b (mm)]]*Table1123457[[#This Row],[h (mm)]])</f>
        <v>8.6504625549222763E-7</v>
      </c>
      <c r="U155" s="145">
        <f>Table1123457[[#This Row],[M (KN.mm)]]/(Table1123457[[#This Row],[b (mm)]]*Table1123457[[#This Row],[d (mm)]]*Table1123457[[#This Row],[pho (%)]])</f>
        <v>0.75706808498631528</v>
      </c>
      <c r="V155" s="145">
        <f>E155*224.8/(2*SQRT(Table1123457[[#This Row],[fc (Mpa)]]*145.037)*Table1123457[[#This Row],[b (mm)]]*Table1123457[[#This Row],[d (mm)]]*(1/25.4)^2)</f>
        <v>0.86591618633009415</v>
      </c>
      <c r="W155" s="145">
        <f>Table1123457[[#This Row],[M (KN.mm)]]/$G$157</f>
        <v>0.76811594202898548</v>
      </c>
      <c r="X155" s="145">
        <f>Table1123457[[#This Row],[V/(2*sqrt(fc) bd)]]</f>
        <v>0.86591618633009415</v>
      </c>
      <c r="Y155" s="111">
        <f>Table1123457[[#This Row],[a (mm)]]</f>
        <v>810</v>
      </c>
      <c r="Z155" s="111">
        <f>Table1123457[[#This Row],[width]]*Table1123457[[#This Row],[h]]^2</f>
        <v>11724200</v>
      </c>
      <c r="AA155" s="111">
        <f>Table1123457[[#This Row],[b (mm)]]</f>
        <v>122</v>
      </c>
      <c r="AB155" s="111">
        <f>Table1123457[[#This Row],[a (mm)]]/Table1123457[[#This Row],[h (mm)]]</f>
        <v>2.6129032258064515</v>
      </c>
      <c r="AC155" s="111">
        <f>Table1123457[[#This Row],[h (mm)]]</f>
        <v>310</v>
      </c>
      <c r="AD155" s="111">
        <v>810</v>
      </c>
      <c r="AE155" s="111">
        <v>280</v>
      </c>
      <c r="AF155" s="111">
        <v>310</v>
      </c>
      <c r="AG155" s="111">
        <v>122</v>
      </c>
      <c r="AH155" s="7">
        <v>29.1</v>
      </c>
      <c r="AI155" s="135">
        <f>Table1123457[[#This Row],[pho (%)]]/100*Table1123457[[#This Row],[b (mm)]]*Table1123457[[#This Row],[h (mm)]]</f>
        <v>313.90600000000001</v>
      </c>
      <c r="AJ155" s="135">
        <v>0.83</v>
      </c>
      <c r="AK155" s="160">
        <v>525</v>
      </c>
      <c r="AL155" s="135">
        <f>(1/3-0.21*(MIN(Table1123457[[#This Row],[b (mm)]],AF155)/MAX(Table1123457[[#This Row],[b (mm)]],AF155))*(MIN(Table1123457[[#This Row],[b (mm)]],AF155)^4/(12*MAX(Table1123457[[#This Row],[b (mm)]],AF155)^4)))*MAX(Table1123457[[#This Row],[b (mm)]],AF155)*MIN(Table1123457[[#This Row],[b (mm)]],AF155)^3</f>
        <v>187544629.45683298</v>
      </c>
      <c r="AM155" s="135">
        <f>Table1123457[[#This Row],[b (mm)]]*AF155^3/12</f>
        <v>302875166.66666669</v>
      </c>
      <c r="AN155" s="111">
        <v>1620</v>
      </c>
      <c r="AP155" s="107"/>
      <c r="AU155" s="384">
        <v>53</v>
      </c>
      <c r="AV155" s="2">
        <f t="shared" si="23"/>
        <v>26.5</v>
      </c>
    </row>
    <row r="156" spans="1:48" x14ac:dyDescent="0.3">
      <c r="A156" s="265" t="s">
        <v>165</v>
      </c>
      <c r="B156" s="265">
        <v>6</v>
      </c>
      <c r="C156" s="185">
        <v>155</v>
      </c>
      <c r="D156" s="185">
        <f>Table1123457[[#This Row],[a (mm)]]/Table1123457[[#This Row],[d (mm)]]</f>
        <v>2.8928571428571428</v>
      </c>
      <c r="E156" s="266">
        <v>31.5</v>
      </c>
      <c r="F156" s="137">
        <f>Table1123457[[#This Row],[d (mm)]]</f>
        <v>280</v>
      </c>
      <c r="G156" s="135">
        <f t="shared" si="19"/>
        <v>25515</v>
      </c>
      <c r="H156" s="135">
        <f t="shared" si="20"/>
        <v>3.1986684342409466E-6</v>
      </c>
      <c r="I156" s="111">
        <f>G156/(Table1123457[[#This Row],[b (mm)]]*Table1123457[[#This Row],[h]]^2)</f>
        <v>2.1762678903464627E-3</v>
      </c>
      <c r="J156" s="135">
        <f t="shared" si="21"/>
        <v>0.55294078026998073</v>
      </c>
      <c r="K156" s="135">
        <f t="shared" si="22"/>
        <v>5.349045271417375E-6</v>
      </c>
      <c r="L156" s="135">
        <f>E156/(Table1123457[[#This Row],[b (mm)]]*AE156)</f>
        <v>9.2213114754098363E-4</v>
      </c>
      <c r="M156" s="135">
        <f>Table1123457[[#This Row],[M (KN.mm)]]/(Table1123457[[#This Row],[b (mm)]]*Table1123457[[#This Row],[d (mm)]])</f>
        <v>0.74692622950819676</v>
      </c>
      <c r="N156" s="135">
        <f>Table1123457[[#This Row],[M (KN.mm)]]/(Table1123457[[#This Row],[b (mm)]]*Table1123457[[#This Row],[h (mm)]])</f>
        <v>0.67464304600740344</v>
      </c>
      <c r="O156" s="145">
        <f>Table1123457[[#This Row],[M (KN.mm)]]/(Table1123457[[#This Row],[b (mm)]]*Table1123457[[#This Row],[h (mm)]]*Table1123457[[#This Row],[L(mm)]])</f>
        <v>4.1644632469592808E-4</v>
      </c>
      <c r="P156" s="145">
        <f>Table1123457[[#This Row],[M (KN.mm)]]/(Table1123457[[#This Row],[b (mm)]]*Table1123457[[#This Row],[d (mm)]]*Table1123457[[#This Row],[L(mm)]])</f>
        <v>4.6106557377049182E-4</v>
      </c>
      <c r="Q156" s="145">
        <f>Table1123457[[#This Row],[M (KN.mm)]]/(Table1123457[[#This Row],[b (mm)]]*Table1123457[[#This Row],[h (mm)]]*Table1123457[[#This Row],[L(mm)]]*Table1123457[[#This Row],[fc (Mpa)]])</f>
        <v>1.4310870264464882E-5</v>
      </c>
      <c r="R156" s="145">
        <f>Table1123457[[#This Row],[M (KN.mm)]]/(Table1123457[[#This Row],[b (mm)]]*Table1123457[[#This Row],[h (mm)]]*Table1123457[[#This Row],[L(mm)]]/2)</f>
        <v>8.3289264939185616E-4</v>
      </c>
      <c r="S156" s="145">
        <f>Table1123457[[#This Row],[M (KN.mm)]]/(Table1123457[[#This Row],[a (mm)]]*Table1123457[[#This Row],[b (mm)]]*Table1123457[[#This Row],[h (mm)]]*Table1123457[[#This Row],[L(mm)]]/2)</f>
        <v>1.0282625301134027E-6</v>
      </c>
      <c r="T156" s="145">
        <f>Table1123457[[#This Row],[M (KN.mm)]]/(Table1123457[[#This Row],[a (mm)]]^2*Table1123457[[#This Row],[b (mm)]]*Table1123457[[#This Row],[h (mm)]])</f>
        <v>1.0282625301134027E-6</v>
      </c>
      <c r="U156" s="145">
        <f>Table1123457[[#This Row],[M (KN.mm)]]/(Table1123457[[#This Row],[b (mm)]]*Table1123457[[#This Row],[d (mm)]]*Table1123457[[#This Row],[pho (%)]])</f>
        <v>0.89991111988939365</v>
      </c>
      <c r="V156" s="145">
        <f>E156*224.8/(2*SQRT(Table1123457[[#This Row],[fc (Mpa)]]*145.037)*Table1123457[[#This Row],[b (mm)]]*Table1123457[[#This Row],[d (mm)]]*(1/25.4)^2)</f>
        <v>1.0292965988452063</v>
      </c>
      <c r="W156" s="145">
        <f>Table1123457[[#This Row],[M (KN.mm)]]/$G$157</f>
        <v>0.91304347826086951</v>
      </c>
      <c r="X156" s="145">
        <f>Table1123457[[#This Row],[V/(2*sqrt(fc) bd)]]</f>
        <v>1.0292965988452063</v>
      </c>
      <c r="Y156" s="111">
        <f>Table1123457[[#This Row],[a (mm)]]</f>
        <v>810</v>
      </c>
      <c r="Z156" s="111">
        <f>Table1123457[[#This Row],[width]]*Table1123457[[#This Row],[h]]^2</f>
        <v>11724200</v>
      </c>
      <c r="AA156" s="111">
        <f>Table1123457[[#This Row],[b (mm)]]</f>
        <v>122</v>
      </c>
      <c r="AB156" s="111">
        <f>Table1123457[[#This Row],[a (mm)]]/Table1123457[[#This Row],[h (mm)]]</f>
        <v>2.6129032258064515</v>
      </c>
      <c r="AC156" s="111">
        <f>Table1123457[[#This Row],[h (mm)]]</f>
        <v>310</v>
      </c>
      <c r="AD156" s="111">
        <v>810</v>
      </c>
      <c r="AE156" s="111">
        <v>280</v>
      </c>
      <c r="AF156" s="111">
        <v>310</v>
      </c>
      <c r="AG156" s="111">
        <v>122</v>
      </c>
      <c r="AH156" s="7">
        <v>29.1</v>
      </c>
      <c r="AI156" s="135">
        <f>Table1123457[[#This Row],[pho (%)]]/100*Table1123457[[#This Row],[b (mm)]]*Table1123457[[#This Row],[h (mm)]]</f>
        <v>313.90600000000001</v>
      </c>
      <c r="AJ156" s="135">
        <v>0.83</v>
      </c>
      <c r="AK156" s="160">
        <v>525</v>
      </c>
      <c r="AL156" s="135">
        <f>(1/3-0.21*(MIN(Table1123457[[#This Row],[b (mm)]],AF156)/MAX(Table1123457[[#This Row],[b (mm)]],AF156))*(MIN(Table1123457[[#This Row],[b (mm)]],AF156)^4/(12*MAX(Table1123457[[#This Row],[b (mm)]],AF156)^4)))*MAX(Table1123457[[#This Row],[b (mm)]],AF156)*MIN(Table1123457[[#This Row],[b (mm)]],AF156)^3</f>
        <v>187544629.45683298</v>
      </c>
      <c r="AM156" s="135">
        <f>Table1123457[[#This Row],[b (mm)]]*AF156^3/12</f>
        <v>302875166.66666669</v>
      </c>
      <c r="AN156" s="111">
        <v>1620</v>
      </c>
      <c r="AP156" s="107"/>
      <c r="AU156" s="384">
        <v>63</v>
      </c>
      <c r="AV156" s="2">
        <f t="shared" si="23"/>
        <v>31.5</v>
      </c>
    </row>
    <row r="157" spans="1:48" x14ac:dyDescent="0.3">
      <c r="A157" s="265" t="s">
        <v>165</v>
      </c>
      <c r="B157" s="265" t="s">
        <v>142</v>
      </c>
      <c r="C157" s="185">
        <v>156</v>
      </c>
      <c r="D157" s="185">
        <f>Table1123457[[#This Row],[a (mm)]]/Table1123457[[#This Row],[d (mm)]]</f>
        <v>2.8928571428571428</v>
      </c>
      <c r="E157" s="266">
        <v>34.5</v>
      </c>
      <c r="F157" s="137">
        <f>Table1123457[[#This Row],[d (mm)]]</f>
        <v>280</v>
      </c>
      <c r="G157" s="135">
        <f t="shared" si="19"/>
        <v>27945</v>
      </c>
      <c r="H157" s="135">
        <f t="shared" si="20"/>
        <v>3.5033035232162748E-6</v>
      </c>
      <c r="I157" s="111">
        <f>G157/(Table1123457[[#This Row],[b (mm)]]*Table1123457[[#This Row],[h]]^2)</f>
        <v>2.3835314989508879E-3</v>
      </c>
      <c r="J157" s="135">
        <f t="shared" si="21"/>
        <v>0.60560180696235988</v>
      </c>
      <c r="K157" s="135">
        <f t="shared" si="22"/>
        <v>5.8584781544095058E-6</v>
      </c>
      <c r="L157" s="135">
        <f>E157/(Table1123457[[#This Row],[b (mm)]]*AE157)</f>
        <v>1.0099531615925059E-3</v>
      </c>
      <c r="M157" s="135">
        <f>Table1123457[[#This Row],[M (KN.mm)]]/(Table1123457[[#This Row],[b (mm)]]*Table1123457[[#This Row],[d (mm)]])</f>
        <v>0.81806206088992972</v>
      </c>
      <c r="N157" s="135">
        <f>Table1123457[[#This Row],[M (KN.mm)]]/(Table1123457[[#This Row],[b (mm)]]*Table1123457[[#This Row],[h (mm)]])</f>
        <v>0.73889476467477522</v>
      </c>
      <c r="O157" s="145">
        <f>Table1123457[[#This Row],[M (KN.mm)]]/(Table1123457[[#This Row],[b (mm)]]*Table1123457[[#This Row],[h (mm)]]*Table1123457[[#This Row],[L(mm)]])</f>
        <v>4.5610787942887361E-4</v>
      </c>
      <c r="P157" s="145">
        <f>Table1123457[[#This Row],[M (KN.mm)]]/(Table1123457[[#This Row],[b (mm)]]*Table1123457[[#This Row],[d (mm)]]*Table1123457[[#This Row],[L(mm)]])</f>
        <v>5.0497658079625297E-4</v>
      </c>
      <c r="Q157" s="145">
        <f>Table1123457[[#This Row],[M (KN.mm)]]/(Table1123457[[#This Row],[b (mm)]]*Table1123457[[#This Row],[h (mm)]]*Table1123457[[#This Row],[L(mm)]]*Table1123457[[#This Row],[fc (Mpa)]])</f>
        <v>1.5673810289652013E-5</v>
      </c>
      <c r="R157" s="145">
        <f>Table1123457[[#This Row],[M (KN.mm)]]/(Table1123457[[#This Row],[b (mm)]]*Table1123457[[#This Row],[h (mm)]]*Table1123457[[#This Row],[L(mm)]]/2)</f>
        <v>9.1221575885774722E-4</v>
      </c>
      <c r="S157" s="145">
        <f>Table1123457[[#This Row],[M (KN.mm)]]/(Table1123457[[#This Row],[a (mm)]]*Table1123457[[#This Row],[b (mm)]]*Table1123457[[#This Row],[h (mm)]]*Table1123457[[#This Row],[L(mm)]]/2)</f>
        <v>1.1261922948861078E-6</v>
      </c>
      <c r="T157" s="145">
        <f>Table1123457[[#This Row],[M (KN.mm)]]/(Table1123457[[#This Row],[a (mm)]]^2*Table1123457[[#This Row],[b (mm)]]*Table1123457[[#This Row],[h (mm)]])</f>
        <v>1.1261922948861078E-6</v>
      </c>
      <c r="U157" s="145">
        <f>Table1123457[[#This Row],[M (KN.mm)]]/(Table1123457[[#This Row],[b (mm)]]*Table1123457[[#This Row],[d (mm)]]*Table1123457[[#This Row],[pho (%)]])</f>
        <v>0.98561694083124063</v>
      </c>
      <c r="V157" s="145">
        <f>E157*224.8/(2*SQRT(Table1123457[[#This Row],[fc (Mpa)]]*145.037)*Table1123457[[#This Row],[b (mm)]]*Table1123457[[#This Row],[d (mm)]]*(1/25.4)^2)</f>
        <v>1.1273248463542735</v>
      </c>
      <c r="W157" s="145">
        <f>Table1123457[[#This Row],[M (KN.mm)]]/$G$157</f>
        <v>1</v>
      </c>
      <c r="X157" s="145">
        <f>Table1123457[[#This Row],[V/(2*sqrt(fc) bd)]]</f>
        <v>1.1273248463542735</v>
      </c>
      <c r="Y157" s="111">
        <f>Table1123457[[#This Row],[a (mm)]]</f>
        <v>810</v>
      </c>
      <c r="Z157" s="111">
        <f>Table1123457[[#This Row],[width]]*Table1123457[[#This Row],[h]]^2</f>
        <v>11724200</v>
      </c>
      <c r="AA157" s="111">
        <f>Table1123457[[#This Row],[b (mm)]]</f>
        <v>122</v>
      </c>
      <c r="AB157" s="111">
        <f>Table1123457[[#This Row],[a (mm)]]/Table1123457[[#This Row],[h (mm)]]</f>
        <v>2.6129032258064515</v>
      </c>
      <c r="AC157" s="111">
        <f>Table1123457[[#This Row],[h (mm)]]</f>
        <v>310</v>
      </c>
      <c r="AD157" s="111">
        <v>810</v>
      </c>
      <c r="AE157" s="111">
        <v>280</v>
      </c>
      <c r="AF157" s="111">
        <v>310</v>
      </c>
      <c r="AG157" s="111">
        <v>122</v>
      </c>
      <c r="AH157" s="7">
        <v>29.1</v>
      </c>
      <c r="AI157" s="135">
        <f>Table1123457[[#This Row],[pho (%)]]/100*Table1123457[[#This Row],[b (mm)]]*Table1123457[[#This Row],[h (mm)]]</f>
        <v>313.90600000000001</v>
      </c>
      <c r="AJ157" s="135">
        <v>0.83</v>
      </c>
      <c r="AK157" s="160">
        <v>525</v>
      </c>
      <c r="AL157" s="135">
        <f>(1/3-0.21*(MIN(Table1123457[[#This Row],[b (mm)]],AF157)/MAX(Table1123457[[#This Row],[b (mm)]],AF157))*(MIN(Table1123457[[#This Row],[b (mm)]],AF157)^4/(12*MAX(Table1123457[[#This Row],[b (mm)]],AF157)^4)))*MAX(Table1123457[[#This Row],[b (mm)]],AF157)*MIN(Table1123457[[#This Row],[b (mm)]],AF157)^3</f>
        <v>187544629.45683298</v>
      </c>
      <c r="AM157" s="135">
        <f>Table1123457[[#This Row],[b (mm)]]*AF157^3/12</f>
        <v>302875166.66666669</v>
      </c>
      <c r="AN157" s="111">
        <v>1620</v>
      </c>
      <c r="AP157" s="107"/>
      <c r="AU157" s="384">
        <v>69</v>
      </c>
      <c r="AV157" s="2">
        <f t="shared" si="23"/>
        <v>34.5</v>
      </c>
    </row>
    <row r="158" spans="1:48" x14ac:dyDescent="0.3">
      <c r="A158" s="267" t="s">
        <v>166</v>
      </c>
      <c r="B158" s="267">
        <v>1</v>
      </c>
      <c r="C158" s="185">
        <v>157</v>
      </c>
      <c r="D158" s="185">
        <f>Table1123457[[#This Row],[a (mm)]]/Table1123457[[#This Row],[d (mm)]]</f>
        <v>2.8928571428571428</v>
      </c>
      <c r="E158" s="268">
        <v>9.3000000000000007</v>
      </c>
      <c r="F158" s="137">
        <f>Table1123457[[#This Row],[d (mm)]]</f>
        <v>280</v>
      </c>
      <c r="G158" s="135">
        <f t="shared" si="19"/>
        <v>7533.0000000000009</v>
      </c>
      <c r="H158" s="135">
        <f t="shared" si="20"/>
        <v>9.4436877582351765E-7</v>
      </c>
      <c r="I158" s="111">
        <f>G158/(Table1123457[[#This Row],[b (mm)]]*Table1123457[[#This Row],[h]]^2)</f>
        <v>6.4251718667371772E-4</v>
      </c>
      <c r="J158" s="135">
        <f t="shared" si="21"/>
        <v>0.16324918274637529</v>
      </c>
      <c r="K158" s="135">
        <f t="shared" si="22"/>
        <v>1.5792419372756059E-6</v>
      </c>
      <c r="L158" s="135">
        <f>E158/(Table1123457[[#This Row],[b (mm)]]*AE158)</f>
        <v>2.72248243559719E-4</v>
      </c>
      <c r="M158" s="135">
        <f>Table1123457[[#This Row],[M (KN.mm)]]/(Table1123457[[#This Row],[b (mm)]]*Table1123457[[#This Row],[d (mm)]])</f>
        <v>0.22052107728337239</v>
      </c>
      <c r="N158" s="135">
        <f>Table1123457[[#This Row],[M (KN.mm)]]/(Table1123457[[#This Row],[b (mm)]]*Table1123457[[#This Row],[h (mm)]])</f>
        <v>0.19918032786885248</v>
      </c>
      <c r="O158" s="145">
        <f>Table1123457[[#This Row],[M (KN.mm)]]/(Table1123457[[#This Row],[b (mm)]]*Table1123457[[#This Row],[h (mm)]]*Table1123457[[#This Row],[L(mm)]])</f>
        <v>1.2295081967213117E-4</v>
      </c>
      <c r="P158" s="145">
        <f>Table1123457[[#This Row],[M (KN.mm)]]/(Table1123457[[#This Row],[b (mm)]]*Table1123457[[#This Row],[d (mm)]]*Table1123457[[#This Row],[L(mm)]])</f>
        <v>1.361241217798595E-4</v>
      </c>
      <c r="Q158" s="145">
        <f>Table1123457[[#This Row],[M (KN.mm)]]/(Table1123457[[#This Row],[b (mm)]]*Table1123457[[#This Row],[h (mm)]]*Table1123457[[#This Row],[L(mm)]]*Table1123457[[#This Row],[fc (Mpa)]])</f>
        <v>2.8264556246466935E-6</v>
      </c>
      <c r="R158" s="145">
        <f>Table1123457[[#This Row],[M (KN.mm)]]/(Table1123457[[#This Row],[b (mm)]]*Table1123457[[#This Row],[h (mm)]]*Table1123457[[#This Row],[L(mm)]]/2)</f>
        <v>2.4590163934426235E-4</v>
      </c>
      <c r="S158" s="145">
        <f>Table1123457[[#This Row],[M (KN.mm)]]/(Table1123457[[#This Row],[a (mm)]]*Table1123457[[#This Row],[b (mm)]]*Table1123457[[#This Row],[h (mm)]]*Table1123457[[#This Row],[L(mm)]]/2)</f>
        <v>3.0358227079538559E-7</v>
      </c>
      <c r="T158" s="145">
        <f>Table1123457[[#This Row],[M (KN.mm)]]/(Table1123457[[#This Row],[a (mm)]]^2*Table1123457[[#This Row],[b (mm)]]*Table1123457[[#This Row],[h (mm)]])</f>
        <v>3.0358227079538559E-7</v>
      </c>
      <c r="U158" s="145">
        <f>Table1123457[[#This Row],[M (KN.mm)]]/(Table1123457[[#This Row],[b (mm)]]*Table1123457[[#This Row],[d (mm)]]*Table1123457[[#This Row],[pho (%)]])</f>
        <v>0.26568804491972581</v>
      </c>
      <c r="V158" s="145">
        <f>E158*224.8/(2*SQRT(Table1123457[[#This Row],[fc (Mpa)]]*145.037)*Table1123457[[#This Row],[b (mm)]]*Table1123457[[#This Row],[d (mm)]]*(1/25.4)^2)</f>
        <v>0.24855059006279989</v>
      </c>
      <c r="W158" s="145">
        <f>Table1123457[[#This Row],[M (KN.mm)]]/$G$164</f>
        <v>0.24313725490196081</v>
      </c>
      <c r="X158" s="145">
        <f>Table1123457[[#This Row],[V/(2*sqrt(fc) bd)]]</f>
        <v>0.24855059006279989</v>
      </c>
      <c r="Y158" s="111">
        <f>Table1123457[[#This Row],[a (mm)]]</f>
        <v>810</v>
      </c>
      <c r="Z158" s="111">
        <f>Table1123457[[#This Row],[width]]*Table1123457[[#This Row],[h]]^2</f>
        <v>11724200</v>
      </c>
      <c r="AA158" s="111">
        <f>Table1123457[[#This Row],[b (mm)]]</f>
        <v>122</v>
      </c>
      <c r="AB158" s="111">
        <f>Table1123457[[#This Row],[a (mm)]]/Table1123457[[#This Row],[h (mm)]]</f>
        <v>2.6129032258064515</v>
      </c>
      <c r="AC158" s="111">
        <f>Table1123457[[#This Row],[h (mm)]]</f>
        <v>310</v>
      </c>
      <c r="AD158" s="111">
        <v>810</v>
      </c>
      <c r="AE158" s="111">
        <v>280</v>
      </c>
      <c r="AF158" s="111">
        <v>310</v>
      </c>
      <c r="AG158" s="111">
        <v>122</v>
      </c>
      <c r="AH158" s="7">
        <v>43.5</v>
      </c>
      <c r="AI158" s="135">
        <f>Table1123457[[#This Row],[pho (%)]]/100*Table1123457[[#This Row],[b (mm)]]*Table1123457[[#This Row],[h (mm)]]</f>
        <v>313.90600000000001</v>
      </c>
      <c r="AJ158" s="135">
        <v>0.83</v>
      </c>
      <c r="AK158" s="160">
        <v>525</v>
      </c>
      <c r="AL158" s="135">
        <f>(1/3-0.21*(MIN(Table1123457[[#This Row],[b (mm)]],AF158)/MAX(Table1123457[[#This Row],[b (mm)]],AF158))*(MIN(Table1123457[[#This Row],[b (mm)]],AF158)^4/(12*MAX(Table1123457[[#This Row],[b (mm)]],AF158)^4)))*MAX(Table1123457[[#This Row],[b (mm)]],AF158)*MIN(Table1123457[[#This Row],[b (mm)]],AF158)^3</f>
        <v>187544629.45683298</v>
      </c>
      <c r="AM158" s="135">
        <f>Table1123457[[#This Row],[b (mm)]]*AF158^3/12</f>
        <v>302875166.66666669</v>
      </c>
      <c r="AN158" s="111">
        <v>1620</v>
      </c>
      <c r="AP158" s="107"/>
      <c r="AU158" s="385">
        <v>18.600000000000001</v>
      </c>
      <c r="AV158" s="2">
        <f t="shared" si="23"/>
        <v>9.3000000000000007</v>
      </c>
    </row>
    <row r="159" spans="1:48" x14ac:dyDescent="0.3">
      <c r="A159" s="267" t="s">
        <v>166</v>
      </c>
      <c r="B159" s="267">
        <v>2</v>
      </c>
      <c r="C159" s="185">
        <v>158</v>
      </c>
      <c r="D159" s="185">
        <f>Table1123457[[#This Row],[a (mm)]]/Table1123457[[#This Row],[d (mm)]]</f>
        <v>2.8928571428571428</v>
      </c>
      <c r="E159" s="268">
        <v>15.45</v>
      </c>
      <c r="F159" s="137">
        <f>Table1123457[[#This Row],[d (mm)]]</f>
        <v>280</v>
      </c>
      <c r="G159" s="135">
        <f t="shared" si="19"/>
        <v>12514.5</v>
      </c>
      <c r="H159" s="135">
        <f t="shared" si="20"/>
        <v>1.5688707082229403E-6</v>
      </c>
      <c r="I159" s="111">
        <f>G159/(Table1123457[[#This Row],[b (mm)]]*Table1123457[[#This Row],[h]]^2)</f>
        <v>1.0674075843127889E-3</v>
      </c>
      <c r="J159" s="135">
        <f t="shared" si="21"/>
        <v>0.27120428746575242</v>
      </c>
      <c r="K159" s="135">
        <f t="shared" si="22"/>
        <v>2.6235793474094743E-6</v>
      </c>
      <c r="L159" s="135">
        <f>E159/(Table1123457[[#This Row],[b (mm)]]*AE159)</f>
        <v>4.5228337236533956E-4</v>
      </c>
      <c r="M159" s="135">
        <f>Table1123457[[#This Row],[M (KN.mm)]]/(Table1123457[[#This Row],[b (mm)]]*Table1123457[[#This Row],[d (mm)]])</f>
        <v>0.36634953161592504</v>
      </c>
      <c r="N159" s="135">
        <f>Table1123457[[#This Row],[M (KN.mm)]]/(Table1123457[[#This Row],[b (mm)]]*Table1123457[[#This Row],[h (mm)]])</f>
        <v>0.33089635113696458</v>
      </c>
      <c r="O159" s="145">
        <f>Table1123457[[#This Row],[M (KN.mm)]]/(Table1123457[[#This Row],[b (mm)]]*Table1123457[[#This Row],[h (mm)]]*Table1123457[[#This Row],[L(mm)]])</f>
        <v>2.0425700687466949E-4</v>
      </c>
      <c r="P159" s="145">
        <f>Table1123457[[#This Row],[M (KN.mm)]]/(Table1123457[[#This Row],[b (mm)]]*Table1123457[[#This Row],[d (mm)]]*Table1123457[[#This Row],[L(mm)]])</f>
        <v>2.2614168618266978E-4</v>
      </c>
      <c r="Q159" s="145">
        <f>Table1123457[[#This Row],[M (KN.mm)]]/(Table1123457[[#This Row],[b (mm)]]*Table1123457[[#This Row],[h (mm)]]*Table1123457[[#This Row],[L(mm)]]*Table1123457[[#This Row],[fc (Mpa)]])</f>
        <v>4.6955633764291837E-6</v>
      </c>
      <c r="R159" s="145">
        <f>Table1123457[[#This Row],[M (KN.mm)]]/(Table1123457[[#This Row],[b (mm)]]*Table1123457[[#This Row],[h (mm)]]*Table1123457[[#This Row],[L(mm)]]/2)</f>
        <v>4.0851401374933897E-4</v>
      </c>
      <c r="S159" s="145">
        <f>Table1123457[[#This Row],[M (KN.mm)]]/(Table1123457[[#This Row],[a (mm)]]*Table1123457[[#This Row],[b (mm)]]*Table1123457[[#This Row],[h (mm)]]*Table1123457[[#This Row],[L(mm)]]/2)</f>
        <v>5.0433828857943085E-7</v>
      </c>
      <c r="T159" s="145">
        <f>Table1123457[[#This Row],[M (KN.mm)]]/(Table1123457[[#This Row],[a (mm)]]^2*Table1123457[[#This Row],[b (mm)]]*Table1123457[[#This Row],[h (mm)]])</f>
        <v>5.0433828857943085E-7</v>
      </c>
      <c r="U159" s="145">
        <f>Table1123457[[#This Row],[M (KN.mm)]]/(Table1123457[[#This Row],[b (mm)]]*Table1123457[[#This Row],[d (mm)]]*Table1123457[[#This Row],[pho (%)]])</f>
        <v>0.44138497785051212</v>
      </c>
      <c r="V159" s="145">
        <f>E159*224.8/(2*SQRT(Table1123457[[#This Row],[fc (Mpa)]]*145.037)*Table1123457[[#This Row],[b (mm)]]*Table1123457[[#This Row],[d (mm)]]*(1/25.4)^2)</f>
        <v>0.41291468994303843</v>
      </c>
      <c r="W159" s="145">
        <f>Table1123457[[#This Row],[M (KN.mm)]]/$G$164</f>
        <v>0.40392156862745099</v>
      </c>
      <c r="X159" s="145">
        <f>Table1123457[[#This Row],[V/(2*sqrt(fc) bd)]]</f>
        <v>0.41291468994303843</v>
      </c>
      <c r="Y159" s="111">
        <f>Table1123457[[#This Row],[a (mm)]]</f>
        <v>810</v>
      </c>
      <c r="Z159" s="111">
        <f>Table1123457[[#This Row],[width]]*Table1123457[[#This Row],[h]]^2</f>
        <v>11724200</v>
      </c>
      <c r="AA159" s="111">
        <f>Table1123457[[#This Row],[b (mm)]]</f>
        <v>122</v>
      </c>
      <c r="AB159" s="111">
        <f>Table1123457[[#This Row],[a (mm)]]/Table1123457[[#This Row],[h (mm)]]</f>
        <v>2.6129032258064515</v>
      </c>
      <c r="AC159" s="111">
        <f>Table1123457[[#This Row],[h (mm)]]</f>
        <v>310</v>
      </c>
      <c r="AD159" s="111">
        <v>810</v>
      </c>
      <c r="AE159" s="111">
        <v>280</v>
      </c>
      <c r="AF159" s="111">
        <v>310</v>
      </c>
      <c r="AG159" s="111">
        <v>122</v>
      </c>
      <c r="AH159" s="7">
        <v>43.5</v>
      </c>
      <c r="AI159" s="135">
        <f>Table1123457[[#This Row],[pho (%)]]/100*Table1123457[[#This Row],[b (mm)]]*Table1123457[[#This Row],[h (mm)]]</f>
        <v>313.90600000000001</v>
      </c>
      <c r="AJ159" s="135">
        <v>0.83</v>
      </c>
      <c r="AK159" s="160">
        <v>525</v>
      </c>
      <c r="AL159" s="135">
        <f>(1/3-0.21*(MIN(Table1123457[[#This Row],[b (mm)]],AF159)/MAX(Table1123457[[#This Row],[b (mm)]],AF159))*(MIN(Table1123457[[#This Row],[b (mm)]],AF159)^4/(12*MAX(Table1123457[[#This Row],[b (mm)]],AF159)^4)))*MAX(Table1123457[[#This Row],[b (mm)]],AF159)*MIN(Table1123457[[#This Row],[b (mm)]],AF159)^3</f>
        <v>187544629.45683298</v>
      </c>
      <c r="AM159" s="135">
        <f>Table1123457[[#This Row],[b (mm)]]*AF159^3/12</f>
        <v>302875166.66666669</v>
      </c>
      <c r="AN159" s="111">
        <v>1620</v>
      </c>
      <c r="AP159" s="107"/>
      <c r="AU159" s="385">
        <v>30.9</v>
      </c>
      <c r="AV159" s="2">
        <f t="shared" si="23"/>
        <v>15.45</v>
      </c>
    </row>
    <row r="160" spans="1:48" x14ac:dyDescent="0.3">
      <c r="A160" s="267" t="s">
        <v>166</v>
      </c>
      <c r="B160" s="267">
        <v>3</v>
      </c>
      <c r="C160" s="185">
        <v>159</v>
      </c>
      <c r="D160" s="185">
        <f>Table1123457[[#This Row],[a (mm)]]/Table1123457[[#This Row],[d (mm)]]</f>
        <v>2.8928571428571428</v>
      </c>
      <c r="E160" s="268">
        <v>26.35</v>
      </c>
      <c r="F160" s="137">
        <f>Table1123457[[#This Row],[d (mm)]]</f>
        <v>280</v>
      </c>
      <c r="G160" s="135">
        <f t="shared" si="19"/>
        <v>21343.5</v>
      </c>
      <c r="H160" s="135">
        <f t="shared" si="20"/>
        <v>2.6757115314999663E-6</v>
      </c>
      <c r="I160" s="111">
        <f>G160/(Table1123457[[#This Row],[b (mm)]]*Table1123457[[#This Row],[h]]^2)</f>
        <v>1.8204653622421998E-3</v>
      </c>
      <c r="J160" s="135">
        <f t="shared" si="21"/>
        <v>0.46253935111472988</v>
      </c>
      <c r="K160" s="135">
        <f t="shared" si="22"/>
        <v>4.4745188222808837E-6</v>
      </c>
      <c r="L160" s="135">
        <f>E160/(Table1123457[[#This Row],[b (mm)]]*AE160)</f>
        <v>7.7137002341920381E-4</v>
      </c>
      <c r="M160" s="135">
        <f>Table1123457[[#This Row],[M (KN.mm)]]/(Table1123457[[#This Row],[b (mm)]]*Table1123457[[#This Row],[d (mm)]])</f>
        <v>0.62480971896955506</v>
      </c>
      <c r="N160" s="135">
        <f>Table1123457[[#This Row],[M (KN.mm)]]/(Table1123457[[#This Row],[b (mm)]]*Table1123457[[#This Row],[h (mm)]])</f>
        <v>0.56434426229508194</v>
      </c>
      <c r="O160" s="145">
        <f>Table1123457[[#This Row],[M (KN.mm)]]/(Table1123457[[#This Row],[b (mm)]]*Table1123457[[#This Row],[h (mm)]]*Table1123457[[#This Row],[L(mm)]])</f>
        <v>3.4836065573770494E-4</v>
      </c>
      <c r="P160" s="145">
        <f>Table1123457[[#This Row],[M (KN.mm)]]/(Table1123457[[#This Row],[b (mm)]]*Table1123457[[#This Row],[d (mm)]]*Table1123457[[#This Row],[L(mm)]])</f>
        <v>3.8568501170960185E-4</v>
      </c>
      <c r="Q160" s="145">
        <f>Table1123457[[#This Row],[M (KN.mm)]]/(Table1123457[[#This Row],[b (mm)]]*Table1123457[[#This Row],[h (mm)]]*Table1123457[[#This Row],[L(mm)]]*Table1123457[[#This Row],[fc (Mpa)]])</f>
        <v>8.0082909364989644E-6</v>
      </c>
      <c r="R160" s="145">
        <f>Table1123457[[#This Row],[M (KN.mm)]]/(Table1123457[[#This Row],[b (mm)]]*Table1123457[[#This Row],[h (mm)]]*Table1123457[[#This Row],[L(mm)]]/2)</f>
        <v>6.9672131147540989E-4</v>
      </c>
      <c r="S160" s="145">
        <f>Table1123457[[#This Row],[M (KN.mm)]]/(Table1123457[[#This Row],[a (mm)]]*Table1123457[[#This Row],[b (mm)]]*Table1123457[[#This Row],[h (mm)]]*Table1123457[[#This Row],[L(mm)]]/2)</f>
        <v>8.6014976725359238E-7</v>
      </c>
      <c r="T160" s="145">
        <f>Table1123457[[#This Row],[M (KN.mm)]]/(Table1123457[[#This Row],[a (mm)]]^2*Table1123457[[#This Row],[b (mm)]]*Table1123457[[#This Row],[h (mm)]])</f>
        <v>8.6014976725359238E-7</v>
      </c>
      <c r="U160" s="145">
        <f>Table1123457[[#This Row],[M (KN.mm)]]/(Table1123457[[#This Row],[b (mm)]]*Table1123457[[#This Row],[d (mm)]]*Table1123457[[#This Row],[pho (%)]])</f>
        <v>0.75278279393922298</v>
      </c>
      <c r="V160" s="145">
        <f>E160*224.8/(2*SQRT(Table1123457[[#This Row],[fc (Mpa)]]*145.037)*Table1123457[[#This Row],[b (mm)]]*Table1123457[[#This Row],[d (mm)]]*(1/25.4)^2)</f>
        <v>0.70422667184459964</v>
      </c>
      <c r="W160" s="145">
        <f>Table1123457[[#This Row],[M (KN.mm)]]/$G$164</f>
        <v>0.68888888888888888</v>
      </c>
      <c r="X160" s="145">
        <f>Table1123457[[#This Row],[V/(2*sqrt(fc) bd)]]</f>
        <v>0.70422667184459964</v>
      </c>
      <c r="Y160" s="111">
        <f>Table1123457[[#This Row],[a (mm)]]</f>
        <v>810</v>
      </c>
      <c r="Z160" s="111">
        <f>Table1123457[[#This Row],[width]]*Table1123457[[#This Row],[h]]^2</f>
        <v>11724200</v>
      </c>
      <c r="AA160" s="111">
        <f>Table1123457[[#This Row],[b (mm)]]</f>
        <v>122</v>
      </c>
      <c r="AB160" s="111">
        <f>Table1123457[[#This Row],[a (mm)]]/Table1123457[[#This Row],[h (mm)]]</f>
        <v>2.6129032258064515</v>
      </c>
      <c r="AC160" s="111">
        <f>Table1123457[[#This Row],[h (mm)]]</f>
        <v>310</v>
      </c>
      <c r="AD160" s="111">
        <v>810</v>
      </c>
      <c r="AE160" s="111">
        <v>280</v>
      </c>
      <c r="AF160" s="111">
        <v>310</v>
      </c>
      <c r="AG160" s="111">
        <v>122</v>
      </c>
      <c r="AH160" s="7">
        <v>43.5</v>
      </c>
      <c r="AI160" s="135">
        <f>Table1123457[[#This Row],[pho (%)]]/100*Table1123457[[#This Row],[b (mm)]]*Table1123457[[#This Row],[h (mm)]]</f>
        <v>313.90600000000001</v>
      </c>
      <c r="AJ160" s="135">
        <v>0.83</v>
      </c>
      <c r="AK160" s="160">
        <v>525</v>
      </c>
      <c r="AL160" s="135">
        <f>(1/3-0.21*(MIN(Table1123457[[#This Row],[b (mm)]],AF160)/MAX(Table1123457[[#This Row],[b (mm)]],AF160))*(MIN(Table1123457[[#This Row],[b (mm)]],AF160)^4/(12*MAX(Table1123457[[#This Row],[b (mm)]],AF160)^4)))*MAX(Table1123457[[#This Row],[b (mm)]],AF160)*MIN(Table1123457[[#This Row],[b (mm)]],AF160)^3</f>
        <v>187544629.45683298</v>
      </c>
      <c r="AM160" s="135">
        <f>Table1123457[[#This Row],[b (mm)]]*AF160^3/12</f>
        <v>302875166.66666669</v>
      </c>
      <c r="AN160" s="111">
        <v>1620</v>
      </c>
      <c r="AP160" s="107"/>
      <c r="AU160" s="385">
        <v>52.7</v>
      </c>
      <c r="AV160" s="2">
        <f t="shared" si="23"/>
        <v>26.35</v>
      </c>
    </row>
    <row r="161" spans="1:48" x14ac:dyDescent="0.3">
      <c r="A161" s="267" t="s">
        <v>166</v>
      </c>
      <c r="B161" s="267">
        <v>4</v>
      </c>
      <c r="C161" s="185">
        <v>160</v>
      </c>
      <c r="D161" s="185">
        <f>Table1123457[[#This Row],[a (mm)]]/Table1123457[[#This Row],[d (mm)]]</f>
        <v>2.8928571428571428</v>
      </c>
      <c r="E161" s="268">
        <v>27.55</v>
      </c>
      <c r="F161" s="137">
        <f>Table1123457[[#This Row],[d (mm)]]</f>
        <v>280</v>
      </c>
      <c r="G161" s="135">
        <f t="shared" si="19"/>
        <v>22315.5</v>
      </c>
      <c r="H161" s="135">
        <f t="shared" si="20"/>
        <v>2.7975655670900975E-6</v>
      </c>
      <c r="I161" s="111">
        <f>G161/(Table1123457[[#This Row],[b (mm)]]*Table1123457[[#This Row],[h]]^2)</f>
        <v>1.90337080568397E-3</v>
      </c>
      <c r="J161" s="135">
        <f t="shared" si="21"/>
        <v>0.48360376179168157</v>
      </c>
      <c r="K161" s="135">
        <f t="shared" si="22"/>
        <v>4.6782919754777359E-6</v>
      </c>
      <c r="L161" s="135">
        <f>E161/(Table1123457[[#This Row],[b (mm)]]*AE161)</f>
        <v>8.0649882903981271E-4</v>
      </c>
      <c r="M161" s="135">
        <f>Table1123457[[#This Row],[M (KN.mm)]]/(Table1123457[[#This Row],[b (mm)]]*Table1123457[[#This Row],[d (mm)]])</f>
        <v>0.6532640515222482</v>
      </c>
      <c r="N161" s="135">
        <f>Table1123457[[#This Row],[M (KN.mm)]]/(Table1123457[[#This Row],[b (mm)]]*Table1123457[[#This Row],[h (mm)]])</f>
        <v>0.5900449497620307</v>
      </c>
      <c r="O161" s="145">
        <f>Table1123457[[#This Row],[M (KN.mm)]]/(Table1123457[[#This Row],[b (mm)]]*Table1123457[[#This Row],[h (mm)]]*Table1123457[[#This Row],[L(mm)]])</f>
        <v>3.6422527763088316E-4</v>
      </c>
      <c r="P161" s="145">
        <f>Table1123457[[#This Row],[M (KN.mm)]]/(Table1123457[[#This Row],[b (mm)]]*Table1123457[[#This Row],[d (mm)]]*Table1123457[[#This Row],[L(mm)]])</f>
        <v>4.032494145199063E-4</v>
      </c>
      <c r="Q161" s="145">
        <f>Table1123457[[#This Row],[M (KN.mm)]]/(Table1123457[[#This Row],[b (mm)]]*Table1123457[[#This Row],[h (mm)]]*Table1123457[[#This Row],[L(mm)]]*Table1123457[[#This Row],[fc (Mpa)]])</f>
        <v>8.3729948880662789E-6</v>
      </c>
      <c r="R161" s="145">
        <f>Table1123457[[#This Row],[M (KN.mm)]]/(Table1123457[[#This Row],[b (mm)]]*Table1123457[[#This Row],[h (mm)]]*Table1123457[[#This Row],[L(mm)]]/2)</f>
        <v>7.2845055526176631E-4</v>
      </c>
      <c r="S161" s="145">
        <f>Table1123457[[#This Row],[M (KN.mm)]]/(Table1123457[[#This Row],[a (mm)]]*Table1123457[[#This Row],[b (mm)]]*Table1123457[[#This Row],[h (mm)]]*Table1123457[[#This Row],[L(mm)]]/2)</f>
        <v>8.9932167316267444E-7</v>
      </c>
      <c r="T161" s="145">
        <f>Table1123457[[#This Row],[M (KN.mm)]]/(Table1123457[[#This Row],[a (mm)]]^2*Table1123457[[#This Row],[b (mm)]]*Table1123457[[#This Row],[h (mm)]])</f>
        <v>8.9932167316267444E-7</v>
      </c>
      <c r="U161" s="145">
        <f>Table1123457[[#This Row],[M (KN.mm)]]/(Table1123457[[#This Row],[b (mm)]]*Table1123457[[#This Row],[d (mm)]]*Table1123457[[#This Row],[pho (%)]])</f>
        <v>0.78706512231596171</v>
      </c>
      <c r="V161" s="145">
        <f>E161*224.8/(2*SQRT(Table1123457[[#This Row],[fc (Mpa)]]*145.037)*Table1123457[[#This Row],[b (mm)]]*Table1123457[[#This Row],[d (mm)]]*(1/25.4)^2)</f>
        <v>0.73629771572367064</v>
      </c>
      <c r="W161" s="145">
        <f>Table1123457[[#This Row],[M (KN.mm)]]/$G$164</f>
        <v>0.72026143790849673</v>
      </c>
      <c r="X161" s="145">
        <f>Table1123457[[#This Row],[V/(2*sqrt(fc) bd)]]</f>
        <v>0.73629771572367064</v>
      </c>
      <c r="Y161" s="111">
        <f>Table1123457[[#This Row],[a (mm)]]</f>
        <v>810</v>
      </c>
      <c r="Z161" s="111">
        <f>Table1123457[[#This Row],[width]]*Table1123457[[#This Row],[h]]^2</f>
        <v>11724200</v>
      </c>
      <c r="AA161" s="111">
        <f>Table1123457[[#This Row],[b (mm)]]</f>
        <v>122</v>
      </c>
      <c r="AB161" s="111">
        <f>Table1123457[[#This Row],[a (mm)]]/Table1123457[[#This Row],[h (mm)]]</f>
        <v>2.6129032258064515</v>
      </c>
      <c r="AC161" s="111">
        <f>Table1123457[[#This Row],[h (mm)]]</f>
        <v>310</v>
      </c>
      <c r="AD161" s="111">
        <v>810</v>
      </c>
      <c r="AE161" s="111">
        <v>280</v>
      </c>
      <c r="AF161" s="111">
        <v>310</v>
      </c>
      <c r="AG161" s="111">
        <v>122</v>
      </c>
      <c r="AH161" s="7">
        <v>43.5</v>
      </c>
      <c r="AI161" s="135">
        <f>Table1123457[[#This Row],[pho (%)]]/100*Table1123457[[#This Row],[b (mm)]]*Table1123457[[#This Row],[h (mm)]]</f>
        <v>313.90600000000001</v>
      </c>
      <c r="AJ161" s="135">
        <v>0.83</v>
      </c>
      <c r="AK161" s="160">
        <v>525</v>
      </c>
      <c r="AL161" s="135">
        <f>(1/3-0.21*(MIN(Table1123457[[#This Row],[b (mm)]],AF161)/MAX(Table1123457[[#This Row],[b (mm)]],AF161))*(MIN(Table1123457[[#This Row],[b (mm)]],AF161)^4/(12*MAX(Table1123457[[#This Row],[b (mm)]],AF161)^4)))*MAX(Table1123457[[#This Row],[b (mm)]],AF161)*MIN(Table1123457[[#This Row],[b (mm)]],AF161)^3</f>
        <v>187544629.45683298</v>
      </c>
      <c r="AM161" s="135">
        <f>Table1123457[[#This Row],[b (mm)]]*AF161^3/12</f>
        <v>302875166.66666669</v>
      </c>
      <c r="AN161" s="111">
        <v>1620</v>
      </c>
      <c r="AP161" s="107"/>
      <c r="AU161" s="385">
        <v>55.1</v>
      </c>
      <c r="AV161" s="2">
        <f t="shared" si="23"/>
        <v>27.55</v>
      </c>
    </row>
    <row r="162" spans="1:48" x14ac:dyDescent="0.3">
      <c r="A162" s="267" t="s">
        <v>166</v>
      </c>
      <c r="B162" s="267">
        <v>5</v>
      </c>
      <c r="C162" s="185">
        <v>161</v>
      </c>
      <c r="D162" s="185">
        <f>Table1123457[[#This Row],[a (mm)]]/Table1123457[[#This Row],[d (mm)]]</f>
        <v>2.8928571428571428</v>
      </c>
      <c r="E162" s="268">
        <v>33.25</v>
      </c>
      <c r="F162" s="137">
        <f>Table1123457[[#This Row],[d (mm)]]</f>
        <v>280</v>
      </c>
      <c r="G162" s="135">
        <f t="shared" si="19"/>
        <v>26932.5</v>
      </c>
      <c r="H162" s="135">
        <f t="shared" si="20"/>
        <v>3.3763722361432211E-6</v>
      </c>
      <c r="I162" s="111">
        <f>G162/(Table1123457[[#This Row],[b (mm)]]*Table1123457[[#This Row],[h]]^2)</f>
        <v>2.2971716620323775E-3</v>
      </c>
      <c r="J162" s="135">
        <f t="shared" si="21"/>
        <v>0.58365971250720183</v>
      </c>
      <c r="K162" s="135">
        <f t="shared" si="22"/>
        <v>5.6462144531627845E-6</v>
      </c>
      <c r="L162" s="135">
        <f>E162/(Table1123457[[#This Row],[b (mm)]]*AE162)</f>
        <v>9.7336065573770496E-4</v>
      </c>
      <c r="M162" s="135">
        <f>Table1123457[[#This Row],[M (KN.mm)]]/(Table1123457[[#This Row],[b (mm)]]*Table1123457[[#This Row],[d (mm)]])</f>
        <v>0.78842213114754101</v>
      </c>
      <c r="N162" s="135">
        <f>Table1123457[[#This Row],[M (KN.mm)]]/(Table1123457[[#This Row],[b (mm)]]*Table1123457[[#This Row],[h (mm)]])</f>
        <v>0.71212321523003697</v>
      </c>
      <c r="O162" s="145">
        <f>Table1123457[[#This Row],[M (KN.mm)]]/(Table1123457[[#This Row],[b (mm)]]*Table1123457[[#This Row],[h (mm)]]*Table1123457[[#This Row],[L(mm)]])</f>
        <v>4.3958223162347967E-4</v>
      </c>
      <c r="P162" s="145">
        <f>Table1123457[[#This Row],[M (KN.mm)]]/(Table1123457[[#This Row],[b (mm)]]*Table1123457[[#This Row],[d (mm)]]*Table1123457[[#This Row],[L(mm)]])</f>
        <v>4.8668032786885248E-4</v>
      </c>
      <c r="Q162" s="145">
        <f>Table1123457[[#This Row],[M (KN.mm)]]/(Table1123457[[#This Row],[b (mm)]]*Table1123457[[#This Row],[h (mm)]]*Table1123457[[#This Row],[L(mm)]]*Table1123457[[#This Row],[fc (Mpa)]])</f>
        <v>1.0105338658011027E-5</v>
      </c>
      <c r="R162" s="145">
        <f>Table1123457[[#This Row],[M (KN.mm)]]/(Table1123457[[#This Row],[b (mm)]]*Table1123457[[#This Row],[h (mm)]]*Table1123457[[#This Row],[L(mm)]]/2)</f>
        <v>8.7916446324695933E-4</v>
      </c>
      <c r="S162" s="145">
        <f>Table1123457[[#This Row],[M (KN.mm)]]/(Table1123457[[#This Row],[a (mm)]]*Table1123457[[#This Row],[b (mm)]]*Table1123457[[#This Row],[h (mm)]]*Table1123457[[#This Row],[L(mm)]]/2)</f>
        <v>1.085388226230814E-6</v>
      </c>
      <c r="T162" s="145">
        <f>Table1123457[[#This Row],[M (KN.mm)]]/(Table1123457[[#This Row],[a (mm)]]^2*Table1123457[[#This Row],[b (mm)]]*Table1123457[[#This Row],[h (mm)]])</f>
        <v>1.085388226230814E-6</v>
      </c>
      <c r="U162" s="145">
        <f>Table1123457[[#This Row],[M (KN.mm)]]/(Table1123457[[#This Row],[b (mm)]]*Table1123457[[#This Row],[d (mm)]]*Table1123457[[#This Row],[pho (%)]])</f>
        <v>0.94990618210547106</v>
      </c>
      <c r="V162" s="145">
        <f>E162*224.8/(2*SQRT(Table1123457[[#This Row],[fc (Mpa)]]*145.037)*Table1123457[[#This Row],[b (mm)]]*Table1123457[[#This Row],[d (mm)]]*(1/25.4)^2)</f>
        <v>0.88863517414925752</v>
      </c>
      <c r="W162" s="145">
        <f>Table1123457[[#This Row],[M (KN.mm)]]/$G$164</f>
        <v>0.86928104575163401</v>
      </c>
      <c r="X162" s="145">
        <f>Table1123457[[#This Row],[V/(2*sqrt(fc) bd)]]</f>
        <v>0.88863517414925752</v>
      </c>
      <c r="Y162" s="111">
        <f>Table1123457[[#This Row],[a (mm)]]</f>
        <v>810</v>
      </c>
      <c r="Z162" s="111">
        <f>Table1123457[[#This Row],[width]]*Table1123457[[#This Row],[h]]^2</f>
        <v>11724200</v>
      </c>
      <c r="AA162" s="111">
        <f>Table1123457[[#This Row],[b (mm)]]</f>
        <v>122</v>
      </c>
      <c r="AB162" s="111">
        <f>Table1123457[[#This Row],[a (mm)]]/Table1123457[[#This Row],[h (mm)]]</f>
        <v>2.6129032258064515</v>
      </c>
      <c r="AC162" s="111">
        <f>Table1123457[[#This Row],[h (mm)]]</f>
        <v>310</v>
      </c>
      <c r="AD162" s="111">
        <v>810</v>
      </c>
      <c r="AE162" s="111">
        <v>280</v>
      </c>
      <c r="AF162" s="111">
        <v>310</v>
      </c>
      <c r="AG162" s="111">
        <v>122</v>
      </c>
      <c r="AH162" s="7">
        <v>43.5</v>
      </c>
      <c r="AI162" s="135">
        <f>Table1123457[[#This Row],[pho (%)]]/100*Table1123457[[#This Row],[b (mm)]]*Table1123457[[#This Row],[h (mm)]]</f>
        <v>313.90600000000001</v>
      </c>
      <c r="AJ162" s="135">
        <v>0.83</v>
      </c>
      <c r="AK162" s="160">
        <v>525</v>
      </c>
      <c r="AL162" s="135">
        <f>(1/3-0.21*(MIN(Table1123457[[#This Row],[b (mm)]],AF162)/MAX(Table1123457[[#This Row],[b (mm)]],AF162))*(MIN(Table1123457[[#This Row],[b (mm)]],AF162)^4/(12*MAX(Table1123457[[#This Row],[b (mm)]],AF162)^4)))*MAX(Table1123457[[#This Row],[b (mm)]],AF162)*MIN(Table1123457[[#This Row],[b (mm)]],AF162)^3</f>
        <v>187544629.45683298</v>
      </c>
      <c r="AM162" s="135">
        <f>Table1123457[[#This Row],[b (mm)]]*AF162^3/12</f>
        <v>302875166.66666669</v>
      </c>
      <c r="AN162" s="111">
        <v>1620</v>
      </c>
      <c r="AP162" s="107"/>
      <c r="AU162" s="385">
        <v>66.5</v>
      </c>
      <c r="AV162" s="2">
        <f t="shared" si="23"/>
        <v>33.25</v>
      </c>
    </row>
    <row r="163" spans="1:48" x14ac:dyDescent="0.3">
      <c r="A163" s="267" t="s">
        <v>166</v>
      </c>
      <c r="B163" s="267">
        <v>6</v>
      </c>
      <c r="C163" s="185">
        <v>162</v>
      </c>
      <c r="D163" s="185">
        <f>Table1123457[[#This Row],[a (mm)]]/Table1123457[[#This Row],[d (mm)]]</f>
        <v>2.8928571428571428</v>
      </c>
      <c r="E163" s="268">
        <v>36.299999999999997</v>
      </c>
      <c r="F163" s="137">
        <f>Table1123457[[#This Row],[d (mm)]]</f>
        <v>280</v>
      </c>
      <c r="G163" s="135">
        <f t="shared" ref="G163:G192" si="24">E163*AD163</f>
        <v>29402.999999999996</v>
      </c>
      <c r="H163" s="135">
        <f t="shared" ref="H163:H192" si="25">G163/($AQ$5*AM163*0.001)</f>
        <v>3.686084576601471E-6</v>
      </c>
      <c r="I163" s="111">
        <f>G163/(Table1123457[[#This Row],[b (mm)]]*Table1123457[[#This Row],[h]]^2)</f>
        <v>2.5078896641135425E-3</v>
      </c>
      <c r="J163" s="135">
        <f t="shared" ref="J163:J192" si="26">G163/(AI163*AK163*AE163*0.001)</f>
        <v>0.63719842297778728</v>
      </c>
      <c r="K163" s="135">
        <f t="shared" ref="K163:K192" si="27">E163/($AQ$4*AL163*0.001)</f>
        <v>6.1641378842047835E-6</v>
      </c>
      <c r="L163" s="135">
        <f>E163/(Table1123457[[#This Row],[b (mm)]]*AE163)</f>
        <v>1.062646370023419E-3</v>
      </c>
      <c r="M163" s="135">
        <f>Table1123457[[#This Row],[M (KN.mm)]]/(Table1123457[[#This Row],[b (mm)]]*Table1123457[[#This Row],[d (mm)]])</f>
        <v>0.86074355971896943</v>
      </c>
      <c r="N163" s="135">
        <f>Table1123457[[#This Row],[M (KN.mm)]]/(Table1123457[[#This Row],[b (mm)]]*Table1123457[[#This Row],[h (mm)]])</f>
        <v>0.77744579587519824</v>
      </c>
      <c r="O163" s="145">
        <f>Table1123457[[#This Row],[M (KN.mm)]]/(Table1123457[[#This Row],[b (mm)]]*Table1123457[[#This Row],[h (mm)]]*Table1123457[[#This Row],[L(mm)]])</f>
        <v>4.7990481226864088E-4</v>
      </c>
      <c r="P163" s="145">
        <f>Table1123457[[#This Row],[M (KN.mm)]]/(Table1123457[[#This Row],[b (mm)]]*Table1123457[[#This Row],[d (mm)]]*Table1123457[[#This Row],[L(mm)]])</f>
        <v>5.3132318501170951E-4</v>
      </c>
      <c r="Q163" s="145">
        <f>Table1123457[[#This Row],[M (KN.mm)]]/(Table1123457[[#This Row],[b (mm)]]*Table1123457[[#This Row],[h (mm)]]*Table1123457[[#This Row],[L(mm)]]*Table1123457[[#This Row],[fc (Mpa)]])</f>
        <v>1.1032294534911284E-5</v>
      </c>
      <c r="R163" s="145">
        <f>Table1123457[[#This Row],[M (KN.mm)]]/(Table1123457[[#This Row],[b (mm)]]*Table1123457[[#This Row],[h (mm)]]*Table1123457[[#This Row],[L(mm)]]/2)</f>
        <v>9.5980962453728175E-4</v>
      </c>
      <c r="S163" s="145">
        <f>Table1123457[[#This Row],[M (KN.mm)]]/(Table1123457[[#This Row],[a (mm)]]*Table1123457[[#This Row],[b (mm)]]*Table1123457[[#This Row],[h (mm)]]*Table1123457[[#This Row],[L(mm)]]/2)</f>
        <v>1.1849501537497305E-6</v>
      </c>
      <c r="T163" s="145">
        <f>Table1123457[[#This Row],[M (KN.mm)]]/(Table1123457[[#This Row],[a (mm)]]^2*Table1123457[[#This Row],[b (mm)]]*Table1123457[[#This Row],[h (mm)]])</f>
        <v>1.1849501537497305E-6</v>
      </c>
      <c r="U163" s="145">
        <f>Table1123457[[#This Row],[M (KN.mm)]]/(Table1123457[[#This Row],[b (mm)]]*Table1123457[[#This Row],[d (mm)]]*Table1123457[[#This Row],[pho (%)]])</f>
        <v>1.0370404333963488</v>
      </c>
      <c r="V163" s="145">
        <f>E163*224.8/(2*SQRT(Table1123457[[#This Row],[fc (Mpa)]]*145.037)*Table1123457[[#This Row],[b (mm)]]*Table1123457[[#This Row],[d (mm)]]*(1/25.4)^2)</f>
        <v>0.97014907734189615</v>
      </c>
      <c r="W163" s="145">
        <f>Table1123457[[#This Row],[M (KN.mm)]]/$G$164</f>
        <v>0.9490196078431371</v>
      </c>
      <c r="X163" s="145">
        <f>Table1123457[[#This Row],[V/(2*sqrt(fc) bd)]]</f>
        <v>0.97014907734189615</v>
      </c>
      <c r="Y163" s="111">
        <f>Table1123457[[#This Row],[a (mm)]]</f>
        <v>810</v>
      </c>
      <c r="Z163" s="111">
        <f>Table1123457[[#This Row],[width]]*Table1123457[[#This Row],[h]]^2</f>
        <v>11724200</v>
      </c>
      <c r="AA163" s="111">
        <f>Table1123457[[#This Row],[b (mm)]]</f>
        <v>122</v>
      </c>
      <c r="AB163" s="111">
        <f>Table1123457[[#This Row],[a (mm)]]/Table1123457[[#This Row],[h (mm)]]</f>
        <v>2.6129032258064515</v>
      </c>
      <c r="AC163" s="111">
        <f>Table1123457[[#This Row],[h (mm)]]</f>
        <v>310</v>
      </c>
      <c r="AD163" s="111">
        <v>810</v>
      </c>
      <c r="AE163" s="111">
        <v>280</v>
      </c>
      <c r="AF163" s="111">
        <v>310</v>
      </c>
      <c r="AG163" s="111">
        <v>122</v>
      </c>
      <c r="AH163" s="7">
        <v>43.5</v>
      </c>
      <c r="AI163" s="135">
        <f>Table1123457[[#This Row],[pho (%)]]/100*Table1123457[[#This Row],[b (mm)]]*Table1123457[[#This Row],[h (mm)]]</f>
        <v>313.90600000000001</v>
      </c>
      <c r="AJ163" s="135">
        <v>0.83</v>
      </c>
      <c r="AK163" s="160">
        <v>525</v>
      </c>
      <c r="AL163" s="135">
        <f>(1/3-0.21*(MIN(Table1123457[[#This Row],[b (mm)]],AF163)/MAX(Table1123457[[#This Row],[b (mm)]],AF163))*(MIN(Table1123457[[#This Row],[b (mm)]],AF163)^4/(12*MAX(Table1123457[[#This Row],[b (mm)]],AF163)^4)))*MAX(Table1123457[[#This Row],[b (mm)]],AF163)*MIN(Table1123457[[#This Row],[b (mm)]],AF163)^3</f>
        <v>187544629.45683298</v>
      </c>
      <c r="AM163" s="135">
        <f>Table1123457[[#This Row],[b (mm)]]*AF163^3/12</f>
        <v>302875166.66666669</v>
      </c>
      <c r="AN163" s="111">
        <v>1620</v>
      </c>
      <c r="AP163" s="107"/>
      <c r="AU163" s="385">
        <v>72.599999999999994</v>
      </c>
      <c r="AV163" s="2">
        <f t="shared" si="23"/>
        <v>36.299999999999997</v>
      </c>
    </row>
    <row r="164" spans="1:48" x14ac:dyDescent="0.3">
      <c r="A164" s="267" t="s">
        <v>166</v>
      </c>
      <c r="B164" s="267" t="s">
        <v>142</v>
      </c>
      <c r="C164" s="185">
        <v>163</v>
      </c>
      <c r="D164" s="185">
        <f>Table1123457[[#This Row],[a (mm)]]/Table1123457[[#This Row],[d (mm)]]</f>
        <v>2.8928571428571428</v>
      </c>
      <c r="E164" s="268">
        <v>38.25</v>
      </c>
      <c r="F164" s="137">
        <f>Table1123457[[#This Row],[d (mm)]]</f>
        <v>280</v>
      </c>
      <c r="G164" s="135">
        <f t="shared" si="24"/>
        <v>30982.5</v>
      </c>
      <c r="H164" s="135">
        <f t="shared" si="25"/>
        <v>3.8840973844354347E-6</v>
      </c>
      <c r="I164" s="111">
        <f>G164/(Table1123457[[#This Row],[b (mm)]]*Table1123457[[#This Row],[h]]^2)</f>
        <v>2.6426110097064193E-3</v>
      </c>
      <c r="J164" s="135">
        <f t="shared" si="26"/>
        <v>0.67142809032783368</v>
      </c>
      <c r="K164" s="135">
        <f t="shared" si="27"/>
        <v>6.4952692581496694E-6</v>
      </c>
      <c r="L164" s="135">
        <f>E164/(Table1123457[[#This Row],[b (mm)]]*AE164)</f>
        <v>1.1197306791569087E-3</v>
      </c>
      <c r="M164" s="135">
        <f>Table1123457[[#This Row],[M (KN.mm)]]/(Table1123457[[#This Row],[b (mm)]]*Table1123457[[#This Row],[d (mm)]])</f>
        <v>0.90698185011709598</v>
      </c>
      <c r="N164" s="135">
        <f>Table1123457[[#This Row],[M (KN.mm)]]/(Table1123457[[#This Row],[b (mm)]]*Table1123457[[#This Row],[h (mm)]])</f>
        <v>0.81920941300898997</v>
      </c>
      <c r="O164" s="145">
        <f>Table1123457[[#This Row],[M (KN.mm)]]/(Table1123457[[#This Row],[b (mm)]]*Table1123457[[#This Row],[h (mm)]]*Table1123457[[#This Row],[L(mm)]])</f>
        <v>5.056848228450555E-4</v>
      </c>
      <c r="P164" s="145">
        <f>Table1123457[[#This Row],[M (KN.mm)]]/(Table1123457[[#This Row],[b (mm)]]*Table1123457[[#This Row],[d (mm)]]*Table1123457[[#This Row],[L(mm)]])</f>
        <v>5.5986533957845433E-4</v>
      </c>
      <c r="Q164" s="145">
        <f>Table1123457[[#This Row],[M (KN.mm)]]/(Table1123457[[#This Row],[b (mm)]]*Table1123457[[#This Row],[h (mm)]]*Table1123457[[#This Row],[L(mm)]]*Table1123457[[#This Row],[fc (Mpa)]])</f>
        <v>1.1624938456208173E-5</v>
      </c>
      <c r="R164" s="145">
        <f>Table1123457[[#This Row],[M (KN.mm)]]/(Table1123457[[#This Row],[b (mm)]]*Table1123457[[#This Row],[h (mm)]]*Table1123457[[#This Row],[L(mm)]]/2)</f>
        <v>1.011369645690111E-3</v>
      </c>
      <c r="S164" s="145">
        <f>Table1123457[[#This Row],[M (KN.mm)]]/(Table1123457[[#This Row],[a (mm)]]*Table1123457[[#This Row],[b (mm)]]*Table1123457[[#This Row],[h (mm)]]*Table1123457[[#This Row],[L(mm)]]/2)</f>
        <v>1.248604500851989E-6</v>
      </c>
      <c r="T164" s="145">
        <f>Table1123457[[#This Row],[M (KN.mm)]]/(Table1123457[[#This Row],[a (mm)]]^2*Table1123457[[#This Row],[b (mm)]]*Table1123457[[#This Row],[h (mm)]])</f>
        <v>1.248604500851989E-6</v>
      </c>
      <c r="U164" s="145">
        <f>Table1123457[[#This Row],[M (KN.mm)]]/(Table1123457[[#This Row],[b (mm)]]*Table1123457[[#This Row],[d (mm)]]*Table1123457[[#This Row],[pho (%)]])</f>
        <v>1.0927492170085495</v>
      </c>
      <c r="V164" s="145">
        <f>E164*224.8/(2*SQRT(Table1123457[[#This Row],[fc (Mpa)]]*145.037)*Table1123457[[#This Row],[b (mm)]]*Table1123457[[#This Row],[d (mm)]]*(1/25.4)^2)</f>
        <v>1.0222645236453864</v>
      </c>
      <c r="W164" s="145">
        <f>Table1123457[[#This Row],[M (KN.mm)]]/$G$164</f>
        <v>1</v>
      </c>
      <c r="X164" s="145">
        <f>Table1123457[[#This Row],[V/(2*sqrt(fc) bd)]]</f>
        <v>1.0222645236453864</v>
      </c>
      <c r="Y164" s="111">
        <f>Table1123457[[#This Row],[a (mm)]]</f>
        <v>810</v>
      </c>
      <c r="Z164" s="111">
        <f>Table1123457[[#This Row],[width]]*Table1123457[[#This Row],[h]]^2</f>
        <v>11724200</v>
      </c>
      <c r="AA164" s="111">
        <f>Table1123457[[#This Row],[b (mm)]]</f>
        <v>122</v>
      </c>
      <c r="AB164" s="111">
        <f>Table1123457[[#This Row],[a (mm)]]/Table1123457[[#This Row],[h (mm)]]</f>
        <v>2.6129032258064515</v>
      </c>
      <c r="AC164" s="111">
        <f>Table1123457[[#This Row],[h (mm)]]</f>
        <v>310</v>
      </c>
      <c r="AD164" s="111">
        <v>810</v>
      </c>
      <c r="AE164" s="111">
        <v>280</v>
      </c>
      <c r="AF164" s="111">
        <v>310</v>
      </c>
      <c r="AG164" s="111">
        <v>122</v>
      </c>
      <c r="AH164" s="7">
        <v>43.5</v>
      </c>
      <c r="AI164" s="135">
        <f>Table1123457[[#This Row],[pho (%)]]/100*Table1123457[[#This Row],[b (mm)]]*Table1123457[[#This Row],[h (mm)]]</f>
        <v>313.90600000000001</v>
      </c>
      <c r="AJ164" s="135">
        <v>0.83</v>
      </c>
      <c r="AK164" s="160">
        <v>525</v>
      </c>
      <c r="AL164" s="135">
        <f>(1/3-0.21*(MIN(Table1123457[[#This Row],[b (mm)]],AF164)/MAX(Table1123457[[#This Row],[b (mm)]],AF164))*(MIN(Table1123457[[#This Row],[b (mm)]],AF164)^4/(12*MAX(Table1123457[[#This Row],[b (mm)]],AF164)^4)))*MAX(Table1123457[[#This Row],[b (mm)]],AF164)*MIN(Table1123457[[#This Row],[b (mm)]],AF164)^3</f>
        <v>187544629.45683298</v>
      </c>
      <c r="AM164" s="135">
        <f>Table1123457[[#This Row],[b (mm)]]*AF164^3/12</f>
        <v>302875166.66666669</v>
      </c>
      <c r="AN164" s="111">
        <v>1620</v>
      </c>
      <c r="AP164" s="107"/>
      <c r="AU164" s="385">
        <v>76.5</v>
      </c>
      <c r="AV164" s="2">
        <f t="shared" si="23"/>
        <v>38.25</v>
      </c>
    </row>
    <row r="165" spans="1:48" x14ac:dyDescent="0.3">
      <c r="A165" s="269" t="s">
        <v>167</v>
      </c>
      <c r="B165" s="269">
        <v>1</v>
      </c>
      <c r="C165" s="185">
        <v>164</v>
      </c>
      <c r="D165" s="185">
        <f>Table1123457[[#This Row],[a (mm)]]/Table1123457[[#This Row],[d (mm)]]</f>
        <v>2.8928571428571428</v>
      </c>
      <c r="E165" s="270">
        <v>12.6</v>
      </c>
      <c r="F165" s="137">
        <f>Table1123457[[#This Row],[d (mm)]]</f>
        <v>280</v>
      </c>
      <c r="G165" s="135">
        <f t="shared" si="24"/>
        <v>10206</v>
      </c>
      <c r="H165" s="135">
        <f t="shared" si="25"/>
        <v>1.2794673736963785E-6</v>
      </c>
      <c r="I165" s="111">
        <f>G165/(Table1123457[[#This Row],[b (mm)]]*Table1123457[[#This Row],[h]]^2)</f>
        <v>8.705071561385851E-4</v>
      </c>
      <c r="J165" s="135">
        <f t="shared" si="26"/>
        <v>0.2211763121079923</v>
      </c>
      <c r="K165" s="135">
        <f t="shared" si="27"/>
        <v>2.1396181085669499E-6</v>
      </c>
      <c r="L165" s="135">
        <f>E165/(Table1123457[[#This Row],[b (mm)]]*AE165)</f>
        <v>3.6885245901639344E-4</v>
      </c>
      <c r="M165" s="135">
        <f>Table1123457[[#This Row],[M (KN.mm)]]/(Table1123457[[#This Row],[b (mm)]]*Table1123457[[#This Row],[d (mm)]])</f>
        <v>0.29877049180327869</v>
      </c>
      <c r="N165" s="135">
        <f>Table1123457[[#This Row],[M (KN.mm)]]/(Table1123457[[#This Row],[b (mm)]]*Table1123457[[#This Row],[h (mm)]])</f>
        <v>0.2698572184029614</v>
      </c>
      <c r="O165" s="145">
        <f>Table1123457[[#This Row],[M (KN.mm)]]/(Table1123457[[#This Row],[b (mm)]]*Table1123457[[#This Row],[h (mm)]]*Table1123457[[#This Row],[L(mm)]])</f>
        <v>1.6657852987837123E-4</v>
      </c>
      <c r="P165" s="145">
        <f>Table1123457[[#This Row],[M (KN.mm)]]/(Table1123457[[#This Row],[b (mm)]]*Table1123457[[#This Row],[d (mm)]]*Table1123457[[#This Row],[L(mm)]])</f>
        <v>1.8442622950819672E-4</v>
      </c>
      <c r="Q165" s="145">
        <f>Table1123457[[#This Row],[M (KN.mm)]]/(Table1123457[[#This Row],[b (mm)]]*Table1123457[[#This Row],[h (mm)]]*Table1123457[[#This Row],[L(mm)]]*Table1123457[[#This Row],[fc (Mpa)]])</f>
        <v>3.8293914914568098E-6</v>
      </c>
      <c r="R165" s="145">
        <f>Table1123457[[#This Row],[M (KN.mm)]]/(Table1123457[[#This Row],[b (mm)]]*Table1123457[[#This Row],[h (mm)]]*Table1123457[[#This Row],[L(mm)]]/2)</f>
        <v>3.3315705975674246E-4</v>
      </c>
      <c r="S165" s="145">
        <f>Table1123457[[#This Row],[M (KN.mm)]]/(Table1123457[[#This Row],[a (mm)]]*Table1123457[[#This Row],[b (mm)]]*Table1123457[[#This Row],[h (mm)]]*Table1123457[[#This Row],[L(mm)]]/2)</f>
        <v>4.1130501204536106E-7</v>
      </c>
      <c r="T165" s="145">
        <f>Table1123457[[#This Row],[M (KN.mm)]]/(Table1123457[[#This Row],[a (mm)]]^2*Table1123457[[#This Row],[b (mm)]]*Table1123457[[#This Row],[h (mm)]])</f>
        <v>4.1130501204536106E-7</v>
      </c>
      <c r="U165" s="145">
        <f>Table1123457[[#This Row],[M (KN.mm)]]/(Table1123457[[#This Row],[b (mm)]]*Table1123457[[#This Row],[d (mm)]]*Table1123457[[#This Row],[pho (%)]])</f>
        <v>0.35996444795575744</v>
      </c>
      <c r="V165" s="145">
        <f>E165*224.8/(2*SQRT(Table1123457[[#This Row],[fc (Mpa)]]*145.037)*Table1123457[[#This Row],[b (mm)]]*Table1123457[[#This Row],[d (mm)]]*(1/25.4)^2)</f>
        <v>0.33674596073024499</v>
      </c>
      <c r="W165" s="145">
        <f>Table1123457[[#This Row],[M (KN.mm)]]/$G$171</f>
        <v>0.31265508684863524</v>
      </c>
      <c r="X165" s="145">
        <f>Table1123457[[#This Row],[V/(2*sqrt(fc) bd)]]</f>
        <v>0.33674596073024499</v>
      </c>
      <c r="Y165" s="111">
        <f>Table1123457[[#This Row],[a (mm)]]</f>
        <v>810</v>
      </c>
      <c r="Z165" s="111">
        <f>Table1123457[[#This Row],[width]]*Table1123457[[#This Row],[h]]^2</f>
        <v>11724200</v>
      </c>
      <c r="AA165" s="111">
        <f>Table1123457[[#This Row],[b (mm)]]</f>
        <v>122</v>
      </c>
      <c r="AB165" s="111">
        <f>Table1123457[[#This Row],[a (mm)]]/Table1123457[[#This Row],[h (mm)]]</f>
        <v>2.6129032258064515</v>
      </c>
      <c r="AC165" s="111">
        <f>Table1123457[[#This Row],[h (mm)]]</f>
        <v>310</v>
      </c>
      <c r="AD165" s="111">
        <v>810</v>
      </c>
      <c r="AE165" s="111">
        <v>280</v>
      </c>
      <c r="AF165" s="111">
        <v>310</v>
      </c>
      <c r="AG165" s="111">
        <v>122</v>
      </c>
      <c r="AH165" s="7">
        <v>43.5</v>
      </c>
      <c r="AI165" s="135">
        <f>Table1123457[[#This Row],[pho (%)]]/100*Table1123457[[#This Row],[b (mm)]]*Table1123457[[#This Row],[h (mm)]]</f>
        <v>313.90600000000001</v>
      </c>
      <c r="AJ165" s="135">
        <v>0.83</v>
      </c>
      <c r="AK165" s="160">
        <v>525</v>
      </c>
      <c r="AL165" s="135">
        <f>(1/3-0.21*(MIN(Table1123457[[#This Row],[b (mm)]],AF165)/MAX(Table1123457[[#This Row],[b (mm)]],AF165))*(MIN(Table1123457[[#This Row],[b (mm)]],AF165)^4/(12*MAX(Table1123457[[#This Row],[b (mm)]],AF165)^4)))*MAX(Table1123457[[#This Row],[b (mm)]],AF165)*MIN(Table1123457[[#This Row],[b (mm)]],AF165)^3</f>
        <v>187544629.45683298</v>
      </c>
      <c r="AM165" s="135">
        <f>Table1123457[[#This Row],[b (mm)]]*AF165^3/12</f>
        <v>302875166.66666669</v>
      </c>
      <c r="AN165" s="111">
        <v>1620</v>
      </c>
      <c r="AP165" s="107"/>
      <c r="AU165" s="386">
        <v>25.2</v>
      </c>
      <c r="AV165" s="2">
        <f t="shared" si="23"/>
        <v>12.6</v>
      </c>
    </row>
    <row r="166" spans="1:48" x14ac:dyDescent="0.3">
      <c r="A166" s="269" t="s">
        <v>167</v>
      </c>
      <c r="B166" s="269">
        <v>2</v>
      </c>
      <c r="C166" s="185">
        <v>165</v>
      </c>
      <c r="D166" s="185">
        <f>Table1123457[[#This Row],[a (mm)]]/Table1123457[[#This Row],[d (mm)]]</f>
        <v>2.8928571428571428</v>
      </c>
      <c r="E166" s="270">
        <v>17.600000000000001</v>
      </c>
      <c r="F166" s="137">
        <f>Table1123457[[#This Row],[d (mm)]]</f>
        <v>280</v>
      </c>
      <c r="G166" s="135">
        <f t="shared" si="24"/>
        <v>14256.000000000002</v>
      </c>
      <c r="H166" s="135">
        <f t="shared" si="25"/>
        <v>1.7871925219885926E-6</v>
      </c>
      <c r="I166" s="111">
        <f>G166/(Table1123457[[#This Row],[b (mm)]]*Table1123457[[#This Row],[h]]^2)</f>
        <v>1.2159465038126271E-3</v>
      </c>
      <c r="J166" s="135">
        <f t="shared" si="26"/>
        <v>0.30894468992862417</v>
      </c>
      <c r="K166" s="135">
        <f t="shared" si="27"/>
        <v>2.9886729135538352E-6</v>
      </c>
      <c r="L166" s="135">
        <f>E166/(Table1123457[[#This Row],[b (mm)]]*AE166)</f>
        <v>5.1522248243559719E-4</v>
      </c>
      <c r="M166" s="135">
        <f>Table1123457[[#This Row],[M (KN.mm)]]/(Table1123457[[#This Row],[b (mm)]]*Table1123457[[#This Row],[d (mm)]])</f>
        <v>0.41733021077283378</v>
      </c>
      <c r="N166" s="135">
        <f>Table1123457[[#This Row],[M (KN.mm)]]/(Table1123457[[#This Row],[b (mm)]]*Table1123457[[#This Row],[h (mm)]])</f>
        <v>0.3769434161819144</v>
      </c>
      <c r="O166" s="145">
        <f>Table1123457[[#This Row],[M (KN.mm)]]/(Table1123457[[#This Row],[b (mm)]]*Table1123457[[#This Row],[h (mm)]]*Table1123457[[#This Row],[L(mm)]])</f>
        <v>2.3268112109994714E-4</v>
      </c>
      <c r="P166" s="145">
        <f>Table1123457[[#This Row],[M (KN.mm)]]/(Table1123457[[#This Row],[b (mm)]]*Table1123457[[#This Row],[d (mm)]]*Table1123457[[#This Row],[L(mm)]])</f>
        <v>2.5761124121779865E-4</v>
      </c>
      <c r="Q166" s="145">
        <f>Table1123457[[#This Row],[M (KN.mm)]]/(Table1123457[[#This Row],[b (mm)]]*Table1123457[[#This Row],[h (mm)]]*Table1123457[[#This Row],[L(mm)]]*Table1123457[[#This Row],[fc (Mpa)]])</f>
        <v>5.3489912896539577E-6</v>
      </c>
      <c r="R166" s="145">
        <f>Table1123457[[#This Row],[M (KN.mm)]]/(Table1123457[[#This Row],[b (mm)]]*Table1123457[[#This Row],[h (mm)]]*Table1123457[[#This Row],[L(mm)]]/2)</f>
        <v>4.6536224219989429E-4</v>
      </c>
      <c r="S166" s="145">
        <f>Table1123457[[#This Row],[M (KN.mm)]]/(Table1123457[[#This Row],[a (mm)]]*Table1123457[[#This Row],[b (mm)]]*Table1123457[[#This Row],[h (mm)]]*Table1123457[[#This Row],[L(mm)]]/2)</f>
        <v>5.7452128666653615E-7</v>
      </c>
      <c r="T166" s="145">
        <f>Table1123457[[#This Row],[M (KN.mm)]]/(Table1123457[[#This Row],[a (mm)]]^2*Table1123457[[#This Row],[b (mm)]]*Table1123457[[#This Row],[h (mm)]])</f>
        <v>5.7452128666653615E-7</v>
      </c>
      <c r="U166" s="145">
        <f>Table1123457[[#This Row],[M (KN.mm)]]/(Table1123457[[#This Row],[b (mm)]]*Table1123457[[#This Row],[d (mm)]]*Table1123457[[#This Row],[pho (%)]])</f>
        <v>0.50280748285883592</v>
      </c>
      <c r="V166" s="145">
        <f>E166*224.8/(2*SQRT(Table1123457[[#This Row],[fc (Mpa)]]*145.037)*Table1123457[[#This Row],[b (mm)]]*Table1123457[[#This Row],[d (mm)]]*(1/25.4)^2)</f>
        <v>0.47037531022637397</v>
      </c>
      <c r="W166" s="145">
        <f>Table1123457[[#This Row],[M (KN.mm)]]/$G$171</f>
        <v>0.43672456575682395</v>
      </c>
      <c r="X166" s="145">
        <f>Table1123457[[#This Row],[V/(2*sqrt(fc) bd)]]</f>
        <v>0.47037531022637397</v>
      </c>
      <c r="Y166" s="111">
        <f>Table1123457[[#This Row],[a (mm)]]</f>
        <v>810</v>
      </c>
      <c r="Z166" s="111">
        <f>Table1123457[[#This Row],[width]]*Table1123457[[#This Row],[h]]^2</f>
        <v>11724200</v>
      </c>
      <c r="AA166" s="111">
        <f>Table1123457[[#This Row],[b (mm)]]</f>
        <v>122</v>
      </c>
      <c r="AB166" s="111">
        <f>Table1123457[[#This Row],[a (mm)]]/Table1123457[[#This Row],[h (mm)]]</f>
        <v>2.6129032258064515</v>
      </c>
      <c r="AC166" s="111">
        <f>Table1123457[[#This Row],[h (mm)]]</f>
        <v>310</v>
      </c>
      <c r="AD166" s="111">
        <v>810</v>
      </c>
      <c r="AE166" s="111">
        <v>280</v>
      </c>
      <c r="AF166" s="111">
        <v>310</v>
      </c>
      <c r="AG166" s="111">
        <v>122</v>
      </c>
      <c r="AH166" s="7">
        <v>43.5</v>
      </c>
      <c r="AI166" s="135">
        <f>Table1123457[[#This Row],[pho (%)]]/100*Table1123457[[#This Row],[b (mm)]]*Table1123457[[#This Row],[h (mm)]]</f>
        <v>313.90600000000001</v>
      </c>
      <c r="AJ166" s="135">
        <v>0.83</v>
      </c>
      <c r="AK166" s="160">
        <v>525</v>
      </c>
      <c r="AL166" s="135">
        <f>(1/3-0.21*(MIN(Table1123457[[#This Row],[b (mm)]],AF166)/MAX(Table1123457[[#This Row],[b (mm)]],AF166))*(MIN(Table1123457[[#This Row],[b (mm)]],AF166)^4/(12*MAX(Table1123457[[#This Row],[b (mm)]],AF166)^4)))*MAX(Table1123457[[#This Row],[b (mm)]],AF166)*MIN(Table1123457[[#This Row],[b (mm)]],AF166)^3</f>
        <v>187544629.45683298</v>
      </c>
      <c r="AM166" s="135">
        <f>Table1123457[[#This Row],[b (mm)]]*AF166^3/12</f>
        <v>302875166.66666669</v>
      </c>
      <c r="AN166" s="111">
        <v>1620</v>
      </c>
      <c r="AP166" s="107"/>
      <c r="AU166" s="386">
        <v>35.200000000000003</v>
      </c>
      <c r="AV166" s="2">
        <f t="shared" si="23"/>
        <v>17.600000000000001</v>
      </c>
    </row>
    <row r="167" spans="1:48" x14ac:dyDescent="0.3">
      <c r="A167" s="269" t="s">
        <v>167</v>
      </c>
      <c r="B167" s="269">
        <v>3</v>
      </c>
      <c r="C167" s="185">
        <v>166</v>
      </c>
      <c r="D167" s="185">
        <f>Table1123457[[#This Row],[a (mm)]]/Table1123457[[#This Row],[d (mm)]]</f>
        <v>2.8928571428571428</v>
      </c>
      <c r="E167" s="270">
        <v>22.65</v>
      </c>
      <c r="F167" s="137">
        <f>Table1123457[[#This Row],[d (mm)]]</f>
        <v>280</v>
      </c>
      <c r="G167" s="135">
        <f t="shared" si="24"/>
        <v>18346.5</v>
      </c>
      <c r="H167" s="135">
        <f t="shared" si="25"/>
        <v>2.2999949217637282E-6</v>
      </c>
      <c r="I167" s="111">
        <f>G167/(Table1123457[[#This Row],[b (mm)]]*Table1123457[[#This Row],[h]]^2)</f>
        <v>1.564840244963409E-3</v>
      </c>
      <c r="J167" s="135">
        <f t="shared" si="26"/>
        <v>0.39759075152746232</v>
      </c>
      <c r="K167" s="135">
        <f t="shared" si="27"/>
        <v>3.8462182665905883E-6</v>
      </c>
      <c r="L167" s="135">
        <f>E167/(Table1123457[[#This Row],[b (mm)]]*AE167)</f>
        <v>6.6305620608899296E-4</v>
      </c>
      <c r="M167" s="135">
        <f>Table1123457[[#This Row],[M (KN.mm)]]/(Table1123457[[#This Row],[b (mm)]]*Table1123457[[#This Row],[d (mm)]])</f>
        <v>0.53707552693208427</v>
      </c>
      <c r="N167" s="135">
        <f>Table1123457[[#This Row],[M (KN.mm)]]/(Table1123457[[#This Row],[b (mm)]]*Table1123457[[#This Row],[h (mm)]])</f>
        <v>0.48510047593865679</v>
      </c>
      <c r="O167" s="145">
        <f>Table1123457[[#This Row],[M (KN.mm)]]/(Table1123457[[#This Row],[b (mm)]]*Table1123457[[#This Row],[h (mm)]]*Table1123457[[#This Row],[L(mm)]])</f>
        <v>2.9944473823373879E-4</v>
      </c>
      <c r="P167" s="145">
        <f>Table1123457[[#This Row],[M (KN.mm)]]/(Table1123457[[#This Row],[b (mm)]]*Table1123457[[#This Row],[d (mm)]]*Table1123457[[#This Row],[L(mm)]])</f>
        <v>3.3152810304449648E-4</v>
      </c>
      <c r="Q167" s="145">
        <f>Table1123457[[#This Row],[M (KN.mm)]]/(Table1123457[[#This Row],[b (mm)]]*Table1123457[[#This Row],[h (mm)]]*Table1123457[[#This Row],[L(mm)]]*Table1123457[[#This Row],[fc (Mpa)]])</f>
        <v>6.8837870858330752E-6</v>
      </c>
      <c r="R167" s="145">
        <f>Table1123457[[#This Row],[M (KN.mm)]]/(Table1123457[[#This Row],[b (mm)]]*Table1123457[[#This Row],[h (mm)]]*Table1123457[[#This Row],[L(mm)]]/2)</f>
        <v>5.9888947646747758E-4</v>
      </c>
      <c r="S167" s="145">
        <f>Table1123457[[#This Row],[M (KN.mm)]]/(Table1123457[[#This Row],[a (mm)]]*Table1123457[[#This Row],[b (mm)]]*Table1123457[[#This Row],[h (mm)]]*Table1123457[[#This Row],[L(mm)]]/2)</f>
        <v>7.3936972403392286E-7</v>
      </c>
      <c r="T167" s="145">
        <f>Table1123457[[#This Row],[M (KN.mm)]]/(Table1123457[[#This Row],[a (mm)]]^2*Table1123457[[#This Row],[b (mm)]]*Table1123457[[#This Row],[h (mm)]])</f>
        <v>7.3936972403392286E-7</v>
      </c>
      <c r="U167" s="145">
        <f>Table1123457[[#This Row],[M (KN.mm)]]/(Table1123457[[#This Row],[b (mm)]]*Table1123457[[#This Row],[d (mm)]]*Table1123457[[#This Row],[pho (%)]])</f>
        <v>0.64707894811094502</v>
      </c>
      <c r="V167" s="145">
        <f>E167*224.8/(2*SQRT(Table1123457[[#This Row],[fc (Mpa)]]*145.037)*Table1123457[[#This Row],[b (mm)]]*Table1123457[[#This Row],[d (mm)]]*(1/25.4)^2)</f>
        <v>0.60534095321746417</v>
      </c>
      <c r="W167" s="145">
        <f>Table1123457[[#This Row],[M (KN.mm)]]/$G$171</f>
        <v>0.56203473945409432</v>
      </c>
      <c r="X167" s="145">
        <f>Table1123457[[#This Row],[V/(2*sqrt(fc) bd)]]</f>
        <v>0.60534095321746417</v>
      </c>
      <c r="Y167" s="111">
        <f>Table1123457[[#This Row],[a (mm)]]</f>
        <v>810</v>
      </c>
      <c r="Z167" s="111">
        <f>Table1123457[[#This Row],[width]]*Table1123457[[#This Row],[h]]^2</f>
        <v>11724200</v>
      </c>
      <c r="AA167" s="111">
        <f>Table1123457[[#This Row],[b (mm)]]</f>
        <v>122</v>
      </c>
      <c r="AB167" s="111">
        <f>Table1123457[[#This Row],[a (mm)]]/Table1123457[[#This Row],[h (mm)]]</f>
        <v>2.6129032258064515</v>
      </c>
      <c r="AC167" s="111">
        <f>Table1123457[[#This Row],[h (mm)]]</f>
        <v>310</v>
      </c>
      <c r="AD167" s="111">
        <v>810</v>
      </c>
      <c r="AE167" s="111">
        <v>280</v>
      </c>
      <c r="AF167" s="111">
        <v>310</v>
      </c>
      <c r="AG167" s="111">
        <v>122</v>
      </c>
      <c r="AH167" s="7">
        <v>43.5</v>
      </c>
      <c r="AI167" s="135">
        <f>Table1123457[[#This Row],[pho (%)]]/100*Table1123457[[#This Row],[b (mm)]]*Table1123457[[#This Row],[h (mm)]]</f>
        <v>313.90600000000001</v>
      </c>
      <c r="AJ167" s="135">
        <v>0.83</v>
      </c>
      <c r="AK167" s="160">
        <v>525</v>
      </c>
      <c r="AL167" s="135">
        <f>(1/3-0.21*(MIN(Table1123457[[#This Row],[b (mm)]],AF167)/MAX(Table1123457[[#This Row],[b (mm)]],AF167))*(MIN(Table1123457[[#This Row],[b (mm)]],AF167)^4/(12*MAX(Table1123457[[#This Row],[b (mm)]],AF167)^4)))*MAX(Table1123457[[#This Row],[b (mm)]],AF167)*MIN(Table1123457[[#This Row],[b (mm)]],AF167)^3</f>
        <v>187544629.45683298</v>
      </c>
      <c r="AM167" s="135">
        <f>Table1123457[[#This Row],[b (mm)]]*AF167^3/12</f>
        <v>302875166.66666669</v>
      </c>
      <c r="AN167" s="111">
        <v>1620</v>
      </c>
      <c r="AP167" s="107"/>
      <c r="AU167" s="386">
        <v>45.3</v>
      </c>
      <c r="AV167" s="2">
        <f t="shared" si="23"/>
        <v>22.65</v>
      </c>
    </row>
    <row r="168" spans="1:48" x14ac:dyDescent="0.3">
      <c r="A168" s="269" t="s">
        <v>167</v>
      </c>
      <c r="B168" s="269">
        <v>4</v>
      </c>
      <c r="C168" s="185">
        <v>167</v>
      </c>
      <c r="D168" s="185">
        <f>Table1123457[[#This Row],[a (mm)]]/Table1123457[[#This Row],[d (mm)]]</f>
        <v>2.8928571428571428</v>
      </c>
      <c r="E168" s="270">
        <v>27.65</v>
      </c>
      <c r="F168" s="137">
        <f>Table1123457[[#This Row],[d (mm)]]</f>
        <v>280</v>
      </c>
      <c r="G168" s="135">
        <f t="shared" si="24"/>
        <v>22396.5</v>
      </c>
      <c r="H168" s="135">
        <f t="shared" si="25"/>
        <v>2.8077200700559419E-6</v>
      </c>
      <c r="I168" s="111">
        <f>G168/(Table1123457[[#This Row],[b (mm)]]*Table1123457[[#This Row],[h]]^2)</f>
        <v>1.9102795926374508E-3</v>
      </c>
      <c r="J168" s="135">
        <f t="shared" si="26"/>
        <v>0.48535912934809416</v>
      </c>
      <c r="K168" s="135">
        <f t="shared" si="27"/>
        <v>4.6952730715774732E-6</v>
      </c>
      <c r="L168" s="135">
        <f>E168/(Table1123457[[#This Row],[b (mm)]]*AE168)</f>
        <v>8.0942622950819665E-4</v>
      </c>
      <c r="M168" s="135">
        <f>Table1123457[[#This Row],[M (KN.mm)]]/(Table1123457[[#This Row],[b (mm)]]*Table1123457[[#This Row],[d (mm)]])</f>
        <v>0.65563524590163935</v>
      </c>
      <c r="N168" s="135">
        <f>Table1123457[[#This Row],[M (KN.mm)]]/(Table1123457[[#This Row],[b (mm)]]*Table1123457[[#This Row],[h (mm)]])</f>
        <v>0.59218667371760969</v>
      </c>
      <c r="O168" s="145">
        <f>Table1123457[[#This Row],[M (KN.mm)]]/(Table1123457[[#This Row],[b (mm)]]*Table1123457[[#This Row],[h (mm)]]*Table1123457[[#This Row],[L(mm)]])</f>
        <v>3.6554732945531468E-4</v>
      </c>
      <c r="P168" s="145">
        <f>Table1123457[[#This Row],[M (KN.mm)]]/(Table1123457[[#This Row],[b (mm)]]*Table1123457[[#This Row],[d (mm)]]*Table1123457[[#This Row],[L(mm)]])</f>
        <v>4.0471311475409838E-4</v>
      </c>
      <c r="Q168" s="145">
        <f>Table1123457[[#This Row],[M (KN.mm)]]/(Table1123457[[#This Row],[b (mm)]]*Table1123457[[#This Row],[h (mm)]]*Table1123457[[#This Row],[L(mm)]]*Table1123457[[#This Row],[fc (Mpa)]])</f>
        <v>8.4033868840302214E-6</v>
      </c>
      <c r="R168" s="145">
        <f>Table1123457[[#This Row],[M (KN.mm)]]/(Table1123457[[#This Row],[b (mm)]]*Table1123457[[#This Row],[h (mm)]]*Table1123457[[#This Row],[L(mm)]]/2)</f>
        <v>7.3109465891062935E-4</v>
      </c>
      <c r="S168" s="145">
        <f>Table1123457[[#This Row],[M (KN.mm)]]/(Table1123457[[#This Row],[a (mm)]]*Table1123457[[#This Row],[b (mm)]]*Table1123457[[#This Row],[h (mm)]]*Table1123457[[#This Row],[L(mm)]]/2)</f>
        <v>9.025859986550979E-7</v>
      </c>
      <c r="T168" s="145">
        <f>Table1123457[[#This Row],[M (KN.mm)]]/(Table1123457[[#This Row],[a (mm)]]^2*Table1123457[[#This Row],[b (mm)]]*Table1123457[[#This Row],[h (mm)]])</f>
        <v>9.025859986550979E-7</v>
      </c>
      <c r="U168" s="145">
        <f>Table1123457[[#This Row],[M (KN.mm)]]/(Table1123457[[#This Row],[b (mm)]]*Table1123457[[#This Row],[d (mm)]]*Table1123457[[#This Row],[pho (%)]])</f>
        <v>0.78992198301402328</v>
      </c>
      <c r="V168" s="145">
        <f>E168*224.8/(2*SQRT(Table1123457[[#This Row],[fc (Mpa)]]*145.037)*Table1123457[[#This Row],[b (mm)]]*Table1123457[[#This Row],[d (mm)]]*(1/25.4)^2)</f>
        <v>0.7389703027135931</v>
      </c>
      <c r="W168" s="145">
        <f>Table1123457[[#This Row],[M (KN.mm)]]/$G$171</f>
        <v>0.68610421836228297</v>
      </c>
      <c r="X168" s="145">
        <f>Table1123457[[#This Row],[V/(2*sqrt(fc) bd)]]</f>
        <v>0.7389703027135931</v>
      </c>
      <c r="Y168" s="111">
        <f>Table1123457[[#This Row],[a (mm)]]</f>
        <v>810</v>
      </c>
      <c r="Z168" s="111">
        <f>Table1123457[[#This Row],[width]]*Table1123457[[#This Row],[h]]^2</f>
        <v>11724200</v>
      </c>
      <c r="AA168" s="111">
        <f>Table1123457[[#This Row],[b (mm)]]</f>
        <v>122</v>
      </c>
      <c r="AB168" s="111">
        <f>Table1123457[[#This Row],[a (mm)]]/Table1123457[[#This Row],[h (mm)]]</f>
        <v>2.6129032258064515</v>
      </c>
      <c r="AC168" s="111">
        <f>Table1123457[[#This Row],[h (mm)]]</f>
        <v>310</v>
      </c>
      <c r="AD168" s="111">
        <v>810</v>
      </c>
      <c r="AE168" s="111">
        <v>280</v>
      </c>
      <c r="AF168" s="111">
        <v>310</v>
      </c>
      <c r="AG168" s="111">
        <v>122</v>
      </c>
      <c r="AH168" s="7">
        <v>43.5</v>
      </c>
      <c r="AI168" s="135">
        <f>Table1123457[[#This Row],[pho (%)]]/100*Table1123457[[#This Row],[b (mm)]]*Table1123457[[#This Row],[h (mm)]]</f>
        <v>313.90600000000001</v>
      </c>
      <c r="AJ168" s="135">
        <v>0.83</v>
      </c>
      <c r="AK168" s="160">
        <v>525</v>
      </c>
      <c r="AL168" s="135">
        <f>(1/3-0.21*(MIN(Table1123457[[#This Row],[b (mm)]],AF168)/MAX(Table1123457[[#This Row],[b (mm)]],AF168))*(MIN(Table1123457[[#This Row],[b (mm)]],AF168)^4/(12*MAX(Table1123457[[#This Row],[b (mm)]],AF168)^4)))*MAX(Table1123457[[#This Row],[b (mm)]],AF168)*MIN(Table1123457[[#This Row],[b (mm)]],AF168)^3</f>
        <v>187544629.45683298</v>
      </c>
      <c r="AM168" s="135">
        <f>Table1123457[[#This Row],[b (mm)]]*AF168^3/12</f>
        <v>302875166.66666669</v>
      </c>
      <c r="AN168" s="111">
        <v>1620</v>
      </c>
      <c r="AP168" s="107"/>
      <c r="AU168" s="386">
        <v>55.3</v>
      </c>
      <c r="AV168" s="2">
        <f t="shared" si="23"/>
        <v>27.65</v>
      </c>
    </row>
    <row r="169" spans="1:48" x14ac:dyDescent="0.3">
      <c r="A169" s="269" t="s">
        <v>167</v>
      </c>
      <c r="B169" s="269">
        <v>5</v>
      </c>
      <c r="C169" s="185">
        <v>168</v>
      </c>
      <c r="D169" s="185">
        <f>Table1123457[[#This Row],[a (mm)]]/Table1123457[[#This Row],[d (mm)]]</f>
        <v>2.8928571428571428</v>
      </c>
      <c r="E169" s="270">
        <v>32.700000000000003</v>
      </c>
      <c r="F169" s="137">
        <f>Table1123457[[#This Row],[d (mm)]]</f>
        <v>280</v>
      </c>
      <c r="G169" s="135">
        <f t="shared" si="24"/>
        <v>26487.000000000004</v>
      </c>
      <c r="H169" s="135">
        <f t="shared" si="25"/>
        <v>3.3205224698310781E-6</v>
      </c>
      <c r="I169" s="111">
        <f>G169/(Table1123457[[#This Row],[b (mm)]]*Table1123457[[#This Row],[h]]^2)</f>
        <v>2.2591733337882333E-3</v>
      </c>
      <c r="J169" s="135">
        <f t="shared" si="26"/>
        <v>0.57400519094693248</v>
      </c>
      <c r="K169" s="135">
        <f t="shared" si="27"/>
        <v>5.552818424614228E-6</v>
      </c>
      <c r="L169" s="135">
        <f>E169/(Table1123457[[#This Row],[b (mm)]]*AE169)</f>
        <v>9.5725995316159264E-4</v>
      </c>
      <c r="M169" s="135">
        <f>Table1123457[[#This Row],[M (KN.mm)]]/(Table1123457[[#This Row],[b (mm)]]*Table1123457[[#This Row],[d (mm)]])</f>
        <v>0.77538056206089001</v>
      </c>
      <c r="N169" s="135">
        <f>Table1123457[[#This Row],[M (KN.mm)]]/(Table1123457[[#This Row],[b (mm)]]*Table1123457[[#This Row],[h (mm)]])</f>
        <v>0.7003437334743523</v>
      </c>
      <c r="O169" s="145">
        <f>Table1123457[[#This Row],[M (KN.mm)]]/(Table1123457[[#This Row],[b (mm)]]*Table1123457[[#This Row],[h (mm)]]*Table1123457[[#This Row],[L(mm)]])</f>
        <v>4.3231094658910635E-4</v>
      </c>
      <c r="P169" s="145">
        <f>Table1123457[[#This Row],[M (KN.mm)]]/(Table1123457[[#This Row],[b (mm)]]*Table1123457[[#This Row],[d (mm)]]*Table1123457[[#This Row],[L(mm)]])</f>
        <v>4.7862997658079632E-4</v>
      </c>
      <c r="Q169" s="145">
        <f>Table1123457[[#This Row],[M (KN.mm)]]/(Table1123457[[#This Row],[b (mm)]]*Table1123457[[#This Row],[h (mm)]]*Table1123457[[#This Row],[L(mm)]]*Table1123457[[#This Row],[fc (Mpa)]])</f>
        <v>9.9381826802093406E-6</v>
      </c>
      <c r="R169" s="145">
        <f>Table1123457[[#This Row],[M (KN.mm)]]/(Table1123457[[#This Row],[b (mm)]]*Table1123457[[#This Row],[h (mm)]]*Table1123457[[#This Row],[L(mm)]]/2)</f>
        <v>8.6462189317821269E-4</v>
      </c>
      <c r="S169" s="145">
        <f>Table1123457[[#This Row],[M (KN.mm)]]/(Table1123457[[#This Row],[a (mm)]]*Table1123457[[#This Row],[b (mm)]]*Table1123457[[#This Row],[h (mm)]]*Table1123457[[#This Row],[L(mm)]]/2)</f>
        <v>1.0674344360224848E-6</v>
      </c>
      <c r="T169" s="145">
        <f>Table1123457[[#This Row],[M (KN.mm)]]/(Table1123457[[#This Row],[a (mm)]]^2*Table1123457[[#This Row],[b (mm)]]*Table1123457[[#This Row],[h (mm)]])</f>
        <v>1.0674344360224848E-6</v>
      </c>
      <c r="U169" s="145">
        <f>Table1123457[[#This Row],[M (KN.mm)]]/(Table1123457[[#This Row],[b (mm)]]*Table1123457[[#This Row],[d (mm)]]*Table1123457[[#This Row],[pho (%)]])</f>
        <v>0.9341934482661326</v>
      </c>
      <c r="V169" s="145">
        <f>E169*224.8/(2*SQRT(Table1123457[[#This Row],[fc (Mpa)]]*145.037)*Table1123457[[#This Row],[b (mm)]]*Table1123457[[#This Row],[d (mm)]]*(1/25.4)^2)</f>
        <v>0.87393594570468347</v>
      </c>
      <c r="W169" s="145">
        <f>Table1123457[[#This Row],[M (KN.mm)]]/$G$171</f>
        <v>0.81141439205955357</v>
      </c>
      <c r="X169" s="145">
        <f>Table1123457[[#This Row],[V/(2*sqrt(fc) bd)]]</f>
        <v>0.87393594570468347</v>
      </c>
      <c r="Y169" s="111">
        <f>Table1123457[[#This Row],[a (mm)]]</f>
        <v>810</v>
      </c>
      <c r="Z169" s="111">
        <f>Table1123457[[#This Row],[width]]*Table1123457[[#This Row],[h]]^2</f>
        <v>11724200</v>
      </c>
      <c r="AA169" s="111">
        <f>Table1123457[[#This Row],[b (mm)]]</f>
        <v>122</v>
      </c>
      <c r="AB169" s="111">
        <f>Table1123457[[#This Row],[a (mm)]]/Table1123457[[#This Row],[h (mm)]]</f>
        <v>2.6129032258064515</v>
      </c>
      <c r="AC169" s="111">
        <f>Table1123457[[#This Row],[h (mm)]]</f>
        <v>310</v>
      </c>
      <c r="AD169" s="111">
        <v>810</v>
      </c>
      <c r="AE169" s="111">
        <v>280</v>
      </c>
      <c r="AF169" s="111">
        <v>310</v>
      </c>
      <c r="AG169" s="111">
        <v>122</v>
      </c>
      <c r="AH169" s="7">
        <v>43.5</v>
      </c>
      <c r="AI169" s="135">
        <f>Table1123457[[#This Row],[pho (%)]]/100*Table1123457[[#This Row],[b (mm)]]*Table1123457[[#This Row],[h (mm)]]</f>
        <v>313.90600000000001</v>
      </c>
      <c r="AJ169" s="135">
        <v>0.83</v>
      </c>
      <c r="AK169" s="160">
        <v>525</v>
      </c>
      <c r="AL169" s="135">
        <f>(1/3-0.21*(MIN(Table1123457[[#This Row],[b (mm)]],AF169)/MAX(Table1123457[[#This Row],[b (mm)]],AF169))*(MIN(Table1123457[[#This Row],[b (mm)]],AF169)^4/(12*MAX(Table1123457[[#This Row],[b (mm)]],AF169)^4)))*MAX(Table1123457[[#This Row],[b (mm)]],AF169)*MIN(Table1123457[[#This Row],[b (mm)]],AF169)^3</f>
        <v>187544629.45683298</v>
      </c>
      <c r="AM169" s="135">
        <f>Table1123457[[#This Row],[b (mm)]]*AF169^3/12</f>
        <v>302875166.66666669</v>
      </c>
      <c r="AN169" s="111">
        <v>1620</v>
      </c>
      <c r="AP169" s="107"/>
      <c r="AU169" s="386">
        <v>65.400000000000006</v>
      </c>
      <c r="AV169" s="2">
        <f t="shared" si="23"/>
        <v>32.700000000000003</v>
      </c>
    </row>
    <row r="170" spans="1:48" x14ac:dyDescent="0.3">
      <c r="A170" s="269" t="s">
        <v>167</v>
      </c>
      <c r="B170" s="269">
        <v>6</v>
      </c>
      <c r="C170" s="185">
        <v>169</v>
      </c>
      <c r="D170" s="185">
        <f>Table1123457[[#This Row],[a (mm)]]/Table1123457[[#This Row],[d (mm)]]</f>
        <v>2.8928571428571428</v>
      </c>
      <c r="E170" s="270">
        <v>37.5</v>
      </c>
      <c r="F170" s="137">
        <f>Table1123457[[#This Row],[d (mm)]]</f>
        <v>280</v>
      </c>
      <c r="G170" s="135">
        <f t="shared" si="24"/>
        <v>30375</v>
      </c>
      <c r="H170" s="135">
        <f t="shared" si="25"/>
        <v>3.807938612191603E-6</v>
      </c>
      <c r="I170" s="111">
        <f>G170/(Table1123457[[#This Row],[b (mm)]]*Table1123457[[#This Row],[h]]^2)</f>
        <v>2.5907951075553131E-3</v>
      </c>
      <c r="J170" s="135">
        <f t="shared" si="26"/>
        <v>0.65826283365473892</v>
      </c>
      <c r="K170" s="135">
        <f t="shared" si="27"/>
        <v>6.3679110374016365E-6</v>
      </c>
      <c r="L170" s="135">
        <f>E170/(Table1123457[[#This Row],[b (mm)]]*AE170)</f>
        <v>1.097775175644028E-3</v>
      </c>
      <c r="M170" s="135">
        <f>Table1123457[[#This Row],[M (KN.mm)]]/(Table1123457[[#This Row],[b (mm)]]*Table1123457[[#This Row],[d (mm)]])</f>
        <v>0.88919789227166279</v>
      </c>
      <c r="N170" s="135">
        <f>Table1123457[[#This Row],[M (KN.mm)]]/(Table1123457[[#This Row],[b (mm)]]*Table1123457[[#This Row],[h (mm)]])</f>
        <v>0.803146483342147</v>
      </c>
      <c r="O170" s="145">
        <f>Table1123457[[#This Row],[M (KN.mm)]]/(Table1123457[[#This Row],[b (mm)]]*Table1123457[[#This Row],[h (mm)]]*Table1123457[[#This Row],[L(mm)]])</f>
        <v>4.957694341618192E-4</v>
      </c>
      <c r="P170" s="145">
        <f>Table1123457[[#This Row],[M (KN.mm)]]/(Table1123457[[#This Row],[b (mm)]]*Table1123457[[#This Row],[d (mm)]]*Table1123457[[#This Row],[L(mm)]])</f>
        <v>5.4888758782201401E-4</v>
      </c>
      <c r="Q170" s="145">
        <f>Table1123457[[#This Row],[M (KN.mm)]]/(Table1123457[[#This Row],[b (mm)]]*Table1123457[[#This Row],[h (mm)]]*Table1123457[[#This Row],[L(mm)]]*Table1123457[[#This Row],[fc (Mpa)]])</f>
        <v>1.1396998486478602E-5</v>
      </c>
      <c r="R170" s="145">
        <f>Table1123457[[#This Row],[M (KN.mm)]]/(Table1123457[[#This Row],[b (mm)]]*Table1123457[[#This Row],[h (mm)]]*Table1123457[[#This Row],[L(mm)]]/2)</f>
        <v>9.9153886832363839E-4</v>
      </c>
      <c r="S170" s="145">
        <f>Table1123457[[#This Row],[M (KN.mm)]]/(Table1123457[[#This Row],[a (mm)]]*Table1123457[[#This Row],[b (mm)]]*Table1123457[[#This Row],[h (mm)]]*Table1123457[[#This Row],[L(mm)]]/2)</f>
        <v>1.2241220596588126E-6</v>
      </c>
      <c r="T170" s="145">
        <f>Table1123457[[#This Row],[M (KN.mm)]]/(Table1123457[[#This Row],[a (mm)]]^2*Table1123457[[#This Row],[b (mm)]]*Table1123457[[#This Row],[h (mm)]])</f>
        <v>1.2241220596588126E-6</v>
      </c>
      <c r="U170" s="145">
        <f>Table1123457[[#This Row],[M (KN.mm)]]/(Table1123457[[#This Row],[b (mm)]]*Table1123457[[#This Row],[d (mm)]]*Table1123457[[#This Row],[pho (%)]])</f>
        <v>1.0713227617730876</v>
      </c>
      <c r="V170" s="145">
        <f>E170*224.8/(2*SQRT(Table1123457[[#This Row],[fc (Mpa)]]*145.037)*Table1123457[[#This Row],[b (mm)]]*Table1123457[[#This Row],[d (mm)]]*(1/25.4)^2)</f>
        <v>1.0022201212209672</v>
      </c>
      <c r="W170" s="145">
        <f>Table1123457[[#This Row],[M (KN.mm)]]/$G$171</f>
        <v>0.93052109181141451</v>
      </c>
      <c r="X170" s="145">
        <f>Table1123457[[#This Row],[V/(2*sqrt(fc) bd)]]</f>
        <v>1.0022201212209672</v>
      </c>
      <c r="Y170" s="111">
        <f>Table1123457[[#This Row],[a (mm)]]</f>
        <v>810</v>
      </c>
      <c r="Z170" s="111">
        <f>Table1123457[[#This Row],[width]]*Table1123457[[#This Row],[h]]^2</f>
        <v>11724200</v>
      </c>
      <c r="AA170" s="111">
        <f>Table1123457[[#This Row],[b (mm)]]</f>
        <v>122</v>
      </c>
      <c r="AB170" s="111">
        <f>Table1123457[[#This Row],[a (mm)]]/Table1123457[[#This Row],[h (mm)]]</f>
        <v>2.6129032258064515</v>
      </c>
      <c r="AC170" s="111">
        <f>Table1123457[[#This Row],[h (mm)]]</f>
        <v>310</v>
      </c>
      <c r="AD170" s="111">
        <v>810</v>
      </c>
      <c r="AE170" s="111">
        <v>280</v>
      </c>
      <c r="AF170" s="111">
        <v>310</v>
      </c>
      <c r="AG170" s="111">
        <v>122</v>
      </c>
      <c r="AH170" s="7">
        <v>43.5</v>
      </c>
      <c r="AI170" s="135">
        <f>Table1123457[[#This Row],[pho (%)]]/100*Table1123457[[#This Row],[b (mm)]]*Table1123457[[#This Row],[h (mm)]]</f>
        <v>313.90600000000001</v>
      </c>
      <c r="AJ170" s="135">
        <v>0.83</v>
      </c>
      <c r="AK170" s="160">
        <v>525</v>
      </c>
      <c r="AL170" s="135">
        <f>(1/3-0.21*(MIN(Table1123457[[#This Row],[b (mm)]],AF170)/MAX(Table1123457[[#This Row],[b (mm)]],AF170))*(MIN(Table1123457[[#This Row],[b (mm)]],AF170)^4/(12*MAX(Table1123457[[#This Row],[b (mm)]],AF170)^4)))*MAX(Table1123457[[#This Row],[b (mm)]],AF170)*MIN(Table1123457[[#This Row],[b (mm)]],AF170)^3</f>
        <v>187544629.45683298</v>
      </c>
      <c r="AM170" s="135">
        <f>Table1123457[[#This Row],[b (mm)]]*AF170^3/12</f>
        <v>302875166.66666669</v>
      </c>
      <c r="AN170" s="111">
        <v>1620</v>
      </c>
      <c r="AP170" s="107"/>
      <c r="AU170" s="386">
        <v>75</v>
      </c>
      <c r="AV170" s="2">
        <f t="shared" si="23"/>
        <v>37.5</v>
      </c>
    </row>
    <row r="171" spans="1:48" ht="12" customHeight="1" x14ac:dyDescent="0.3">
      <c r="A171" s="269" t="s">
        <v>167</v>
      </c>
      <c r="B171" s="269" t="s">
        <v>142</v>
      </c>
      <c r="C171" s="185">
        <v>170</v>
      </c>
      <c r="D171" s="185">
        <f>Table1123457[[#This Row],[a (mm)]]/Table1123457[[#This Row],[d (mm)]]</f>
        <v>2.8928571428571428</v>
      </c>
      <c r="E171" s="270">
        <v>40.299999999999997</v>
      </c>
      <c r="F171" s="137">
        <f>Table1123457[[#This Row],[d (mm)]]</f>
        <v>280</v>
      </c>
      <c r="G171" s="135">
        <f t="shared" si="24"/>
        <v>32642.999999999996</v>
      </c>
      <c r="H171" s="135">
        <f t="shared" si="25"/>
        <v>4.0922646952352424E-6</v>
      </c>
      <c r="I171" s="111">
        <f>G171/(Table1123457[[#This Row],[b (mm)]]*Table1123457[[#This Row],[h]]^2)</f>
        <v>2.7842411422527762E-3</v>
      </c>
      <c r="J171" s="135">
        <f t="shared" si="26"/>
        <v>0.70741312523429267</v>
      </c>
      <c r="K171" s="135">
        <f t="shared" si="27"/>
        <v>6.8433817281942918E-6</v>
      </c>
      <c r="L171" s="135">
        <f>E171/(Table1123457[[#This Row],[b (mm)]]*AE171)</f>
        <v>1.179742388758782E-3</v>
      </c>
      <c r="M171" s="135">
        <f>Table1123457[[#This Row],[M (KN.mm)]]/(Table1123457[[#This Row],[b (mm)]]*Table1123457[[#This Row],[d (mm)]])</f>
        <v>0.95559133489461345</v>
      </c>
      <c r="N171" s="135">
        <f>Table1123457[[#This Row],[M (KN.mm)]]/(Table1123457[[#This Row],[b (mm)]]*Table1123457[[#This Row],[h (mm)]])</f>
        <v>0.86311475409836058</v>
      </c>
      <c r="O171" s="145">
        <f>Table1123457[[#This Row],[M (KN.mm)]]/(Table1123457[[#This Row],[b (mm)]]*Table1123457[[#This Row],[h (mm)]]*Table1123457[[#This Row],[L(mm)]])</f>
        <v>5.3278688524590158E-4</v>
      </c>
      <c r="P171" s="145">
        <f>Table1123457[[#This Row],[M (KN.mm)]]/(Table1123457[[#This Row],[b (mm)]]*Table1123457[[#This Row],[d (mm)]]*Table1123457[[#This Row],[L(mm)]])</f>
        <v>5.8987119437939101E-4</v>
      </c>
      <c r="Q171" s="145">
        <f>Table1123457[[#This Row],[M (KN.mm)]]/(Table1123457[[#This Row],[b (mm)]]*Table1123457[[#This Row],[h (mm)]]*Table1123457[[#This Row],[L(mm)]]*Table1123457[[#This Row],[fc (Mpa)]])</f>
        <v>1.2247974373469003E-5</v>
      </c>
      <c r="R171" s="145">
        <f>Table1123457[[#This Row],[M (KN.mm)]]/(Table1123457[[#This Row],[b (mm)]]*Table1123457[[#This Row],[h (mm)]]*Table1123457[[#This Row],[L(mm)]]/2)</f>
        <v>1.0655737704918032E-3</v>
      </c>
      <c r="S171" s="145">
        <f>Table1123457[[#This Row],[M (KN.mm)]]/(Table1123457[[#This Row],[a (mm)]]*Table1123457[[#This Row],[b (mm)]]*Table1123457[[#This Row],[h (mm)]]*Table1123457[[#This Row],[L(mm)]]/2)</f>
        <v>1.3155231734466706E-6</v>
      </c>
      <c r="T171" s="145">
        <f>Table1123457[[#This Row],[M (KN.mm)]]/(Table1123457[[#This Row],[a (mm)]]^2*Table1123457[[#This Row],[b (mm)]]*Table1123457[[#This Row],[h (mm)]])</f>
        <v>1.3155231734466706E-6</v>
      </c>
      <c r="U171" s="145">
        <f>Table1123457[[#This Row],[M (KN.mm)]]/(Table1123457[[#This Row],[b (mm)]]*Table1123457[[#This Row],[d (mm)]]*Table1123457[[#This Row],[pho (%)]])</f>
        <v>1.1513148613188116</v>
      </c>
      <c r="V171" s="145">
        <f>E171*224.8/(2*SQRT(Table1123457[[#This Row],[fc (Mpa)]]*145.037)*Table1123457[[#This Row],[b (mm)]]*Table1123457[[#This Row],[d (mm)]]*(1/25.4)^2)</f>
        <v>1.0770525569387994</v>
      </c>
      <c r="W171" s="145">
        <f>Table1123457[[#This Row],[M (KN.mm)]]/$G$171</f>
        <v>1</v>
      </c>
      <c r="X171" s="145">
        <f>Table1123457[[#This Row],[V/(2*sqrt(fc) bd)]]</f>
        <v>1.0770525569387994</v>
      </c>
      <c r="Y171" s="111">
        <f>Table1123457[[#This Row],[a (mm)]]</f>
        <v>810</v>
      </c>
      <c r="Z171" s="111">
        <f>Table1123457[[#This Row],[width]]*Table1123457[[#This Row],[h]]^2</f>
        <v>11724200</v>
      </c>
      <c r="AA171" s="111">
        <f>Table1123457[[#This Row],[b (mm)]]</f>
        <v>122</v>
      </c>
      <c r="AB171" s="111">
        <f>Table1123457[[#This Row],[a (mm)]]/Table1123457[[#This Row],[h (mm)]]</f>
        <v>2.6129032258064515</v>
      </c>
      <c r="AC171" s="111">
        <f>Table1123457[[#This Row],[h (mm)]]</f>
        <v>310</v>
      </c>
      <c r="AD171" s="111">
        <v>810</v>
      </c>
      <c r="AE171" s="111">
        <v>280</v>
      </c>
      <c r="AF171" s="111">
        <v>310</v>
      </c>
      <c r="AG171" s="111">
        <v>122</v>
      </c>
      <c r="AH171" s="7">
        <v>43.5</v>
      </c>
      <c r="AI171" s="135">
        <f>Table1123457[[#This Row],[pho (%)]]/100*Table1123457[[#This Row],[b (mm)]]*Table1123457[[#This Row],[h (mm)]]</f>
        <v>313.90600000000001</v>
      </c>
      <c r="AJ171" s="135">
        <v>0.83</v>
      </c>
      <c r="AK171" s="160">
        <v>525</v>
      </c>
      <c r="AL171" s="135">
        <f>(1/3-0.21*(MIN(Table1123457[[#This Row],[b (mm)]],AF171)/MAX(Table1123457[[#This Row],[b (mm)]],AF171))*(MIN(Table1123457[[#This Row],[b (mm)]],AF171)^4/(12*MAX(Table1123457[[#This Row],[b (mm)]],AF171)^4)))*MAX(Table1123457[[#This Row],[b (mm)]],AF171)*MIN(Table1123457[[#This Row],[b (mm)]],AF171)^3</f>
        <v>187544629.45683298</v>
      </c>
      <c r="AM171" s="135">
        <f>Table1123457[[#This Row],[b (mm)]]*AF171^3/12</f>
        <v>302875166.66666669</v>
      </c>
      <c r="AN171" s="111">
        <v>1620</v>
      </c>
      <c r="AP171" s="107"/>
      <c r="AU171" s="386">
        <v>80.599999999999994</v>
      </c>
      <c r="AV171" s="2">
        <f t="shared" si="23"/>
        <v>40.299999999999997</v>
      </c>
    </row>
    <row r="172" spans="1:48" x14ac:dyDescent="0.3">
      <c r="A172" s="271" t="s">
        <v>168</v>
      </c>
      <c r="B172" s="271">
        <v>3</v>
      </c>
      <c r="C172" s="185">
        <v>171</v>
      </c>
      <c r="D172" s="185">
        <f>Table1123457[[#This Row],[a (mm)]]/Table1123457[[#This Row],[d (mm)]]</f>
        <v>2.94</v>
      </c>
      <c r="E172" s="272">
        <v>15.45</v>
      </c>
      <c r="F172" s="137">
        <f>Table1123457[[#This Row],[d (mm)]]</f>
        <v>250</v>
      </c>
      <c r="G172" s="135">
        <f t="shared" si="24"/>
        <v>11355.75</v>
      </c>
      <c r="H172" s="135">
        <f t="shared" si="25"/>
        <v>1.7722428370666552E-6</v>
      </c>
      <c r="I172" s="111">
        <f>G172/(Table1123457[[#This Row],[b (mm)]]*Table1123457[[#This Row],[h]]^2)</f>
        <v>1.2057752341311134E-3</v>
      </c>
      <c r="J172" s="135">
        <f t="shared" si="26"/>
        <v>0.35159583546680312</v>
      </c>
      <c r="K172" s="135">
        <f t="shared" si="27"/>
        <v>5.0600191954318929E-6</v>
      </c>
      <c r="L172" s="135">
        <f>E172/(Table1123457[[#This Row],[b (mm)]]*AE172)</f>
        <v>6.3061224489795913E-4</v>
      </c>
      <c r="M172" s="135">
        <f>Table1123457[[#This Row],[M (KN.mm)]]/(Table1123457[[#This Row],[b (mm)]]*Table1123457[[#This Row],[d (mm)]])</f>
        <v>0.46350000000000002</v>
      </c>
      <c r="N172" s="135">
        <f>Table1123457[[#This Row],[M (KN.mm)]]/(Table1123457[[#This Row],[b (mm)]]*Table1123457[[#This Row],[h (mm)]])</f>
        <v>0.37379032258064515</v>
      </c>
      <c r="O172" s="145">
        <f>Table1123457[[#This Row],[M (KN.mm)]]/(Table1123457[[#This Row],[b (mm)]]*Table1123457[[#This Row],[h (mm)]]*Table1123457[[#This Row],[L(mm)]])</f>
        <v>2.5427913100724162E-4</v>
      </c>
      <c r="P172" s="145">
        <f>Table1123457[[#This Row],[M (KN.mm)]]/(Table1123457[[#This Row],[b (mm)]]*Table1123457[[#This Row],[d (mm)]]*Table1123457[[#This Row],[L(mm)]])</f>
        <v>3.1530612244897956E-4</v>
      </c>
      <c r="Q172" s="145">
        <f>Table1123457[[#This Row],[M (KN.mm)]]/(Table1123457[[#This Row],[b (mm)]]*Table1123457[[#This Row],[h (mm)]]*Table1123457[[#This Row],[L(mm)]]*Table1123457[[#This Row],[fc (Mpa)]])</f>
        <v>6.2630327834295965E-6</v>
      </c>
      <c r="R172" s="145">
        <f>Table1123457[[#This Row],[M (KN.mm)]]/(Table1123457[[#This Row],[b (mm)]]*Table1123457[[#This Row],[h (mm)]]*Table1123457[[#This Row],[L(mm)]]/2)</f>
        <v>5.0855826201448324E-4</v>
      </c>
      <c r="S172" s="145">
        <f>Table1123457[[#This Row],[M (KN.mm)]]/(Table1123457[[#This Row],[a (mm)]]*Table1123457[[#This Row],[b (mm)]]*Table1123457[[#This Row],[h (mm)]]*Table1123457[[#This Row],[L(mm)]]/2)</f>
        <v>6.9191600274079344E-7</v>
      </c>
      <c r="T172" s="145">
        <f>Table1123457[[#This Row],[M (KN.mm)]]/(Table1123457[[#This Row],[a (mm)]]^2*Table1123457[[#This Row],[b (mm)]]*Table1123457[[#This Row],[h (mm)]])</f>
        <v>6.9191600274079344E-7</v>
      </c>
      <c r="U172" s="145">
        <f>Table1123457[[#This Row],[M (KN.mm)]]/(Table1123457[[#This Row],[b (mm)]]*Table1123457[[#This Row],[d (mm)]]*Table1123457[[#This Row],[pho (%)]])</f>
        <v>0.57222222222222219</v>
      </c>
      <c r="V172" s="145">
        <f>E172*224.8/(2*SQRT(Table1123457[[#This Row],[fc (Mpa)]]*145.037)*Table1123457[[#This Row],[b (mm)]]*Table1123457[[#This Row],[d (mm)]]*(1/25.4)^2)</f>
        <v>0.59592790611597513</v>
      </c>
      <c r="W172" s="145">
        <f>Table1123457[[#This Row],[M (KN.mm)]]/$G$176</f>
        <v>0.62424242424242427</v>
      </c>
      <c r="X172" s="145">
        <f>Table1123457[[#This Row],[V/(2*sqrt(fc) bd)]]</f>
        <v>0.59592790611597513</v>
      </c>
      <c r="Y172" s="111">
        <f>Table1123457[[#This Row],[a (mm)]]</f>
        <v>735</v>
      </c>
      <c r="Z172" s="111">
        <f>Table1123457[[#This Row],[width]]*Table1123457[[#This Row],[h]]^2</f>
        <v>9417800</v>
      </c>
      <c r="AA172" s="111">
        <f>Table1123457[[#This Row],[b (mm)]]</f>
        <v>98</v>
      </c>
      <c r="AB172" s="111">
        <f>Table1123457[[#This Row],[a (mm)]]/Table1123457[[#This Row],[h (mm)]]</f>
        <v>2.370967741935484</v>
      </c>
      <c r="AC172" s="111">
        <f>Table1123457[[#This Row],[h (mm)]]</f>
        <v>310</v>
      </c>
      <c r="AD172" s="111">
        <f>2.94*Table1123457[[#This Row],[d (mm)]]</f>
        <v>735</v>
      </c>
      <c r="AE172" s="111">
        <v>250</v>
      </c>
      <c r="AF172" s="111">
        <v>310</v>
      </c>
      <c r="AG172" s="111">
        <v>98</v>
      </c>
      <c r="AH172" s="7">
        <v>40.6</v>
      </c>
      <c r="AI172" s="135">
        <f>Table1123457[[#This Row],[pho (%)]]/100*Table1123457[[#This Row],[b (mm)]]*Table1123457[[#This Row],[h (mm)]]</f>
        <v>246.07800000000006</v>
      </c>
      <c r="AJ172" s="135">
        <v>0.81</v>
      </c>
      <c r="AK172" s="160">
        <v>525</v>
      </c>
      <c r="AL172" s="135">
        <f>(1/3-0.21*(MIN(Table1123457[[#This Row],[b (mm)]],AF172)/MAX(Table1123457[[#This Row],[b (mm)]],AF172))*(MIN(Table1123457[[#This Row],[b (mm)]],AF172)^4/(12*MAX(Table1123457[[#This Row],[b (mm)]],AF172)^4)))*MAX(Table1123457[[#This Row],[b (mm)]],AF172)*MIN(Table1123457[[#This Row],[b (mm)]],AF172)^3</f>
        <v>97240385.37338239</v>
      </c>
      <c r="AM172" s="135">
        <f>Table1123457[[#This Row],[b (mm)]]*AF172^3/12</f>
        <v>243293166.66666666</v>
      </c>
      <c r="AN172" s="111">
        <v>1470</v>
      </c>
      <c r="AP172" s="107"/>
      <c r="AU172" s="387">
        <v>30.9</v>
      </c>
      <c r="AV172" s="2">
        <f t="shared" si="23"/>
        <v>15.45</v>
      </c>
    </row>
    <row r="173" spans="1:48" x14ac:dyDescent="0.3">
      <c r="A173" s="271" t="s">
        <v>168</v>
      </c>
      <c r="B173" s="271">
        <v>4</v>
      </c>
      <c r="C173" s="185">
        <v>172</v>
      </c>
      <c r="D173" s="185">
        <f>Table1123457[[#This Row],[a (mm)]]/Table1123457[[#This Row],[d (mm)]]</f>
        <v>2.94</v>
      </c>
      <c r="E173" s="272">
        <v>18.55</v>
      </c>
      <c r="F173" s="137">
        <f>Table1123457[[#This Row],[d (mm)]]</f>
        <v>250</v>
      </c>
      <c r="G173" s="135">
        <f t="shared" si="24"/>
        <v>13634.25</v>
      </c>
      <c r="H173" s="135">
        <f t="shared" si="25"/>
        <v>2.1278384872224242E-6</v>
      </c>
      <c r="I173" s="111">
        <f>G173/(Table1123457[[#This Row],[b (mm)]]*Table1123457[[#This Row],[h]]^2)</f>
        <v>1.4477107180020812E-3</v>
      </c>
      <c r="J173" s="135">
        <f t="shared" si="26"/>
        <v>0.422142572680207</v>
      </c>
      <c r="K173" s="135">
        <f t="shared" si="27"/>
        <v>6.0752981278486488E-6</v>
      </c>
      <c r="L173" s="135">
        <f>E173/(Table1123457[[#This Row],[b (mm)]]*AE173)</f>
        <v>7.5714285714285716E-4</v>
      </c>
      <c r="M173" s="135">
        <f>Table1123457[[#This Row],[M (KN.mm)]]/(Table1123457[[#This Row],[b (mm)]]*Table1123457[[#This Row],[d (mm)]])</f>
        <v>0.55649999999999999</v>
      </c>
      <c r="N173" s="135">
        <f>Table1123457[[#This Row],[M (KN.mm)]]/(Table1123457[[#This Row],[b (mm)]]*Table1123457[[#This Row],[h (mm)]])</f>
        <v>0.44879032258064516</v>
      </c>
      <c r="O173" s="145">
        <f>Table1123457[[#This Row],[M (KN.mm)]]/(Table1123457[[#This Row],[b (mm)]]*Table1123457[[#This Row],[h (mm)]]*Table1123457[[#This Row],[L(mm)]])</f>
        <v>3.0529953917050694E-4</v>
      </c>
      <c r="P173" s="145">
        <f>Table1123457[[#This Row],[M (KN.mm)]]/(Table1123457[[#This Row],[b (mm)]]*Table1123457[[#This Row],[d (mm)]]*Table1123457[[#This Row],[L(mm)]])</f>
        <v>3.7857142857142858E-4</v>
      </c>
      <c r="Q173" s="145">
        <f>Table1123457[[#This Row],[M (KN.mm)]]/(Table1123457[[#This Row],[b (mm)]]*Table1123457[[#This Row],[h (mm)]]*Table1123457[[#This Row],[L(mm)]]*Table1123457[[#This Row],[fc (Mpa)]])</f>
        <v>7.5196930830174114E-6</v>
      </c>
      <c r="R173" s="145">
        <f>Table1123457[[#This Row],[M (KN.mm)]]/(Table1123457[[#This Row],[b (mm)]]*Table1123457[[#This Row],[h (mm)]]*Table1123457[[#This Row],[L(mm)]]/2)</f>
        <v>6.1059907834101388E-4</v>
      </c>
      <c r="S173" s="145">
        <f>Table1123457[[#This Row],[M (KN.mm)]]/(Table1123457[[#This Row],[a (mm)]]*Table1123457[[#This Row],[b (mm)]]*Table1123457[[#This Row],[h (mm)]]*Table1123457[[#This Row],[L(mm)]]/2)</f>
        <v>8.3074704536192355E-7</v>
      </c>
      <c r="T173" s="145">
        <f>Table1123457[[#This Row],[M (KN.mm)]]/(Table1123457[[#This Row],[a (mm)]]^2*Table1123457[[#This Row],[b (mm)]]*Table1123457[[#This Row],[h (mm)]])</f>
        <v>8.3074704536192355E-7</v>
      </c>
      <c r="U173" s="145">
        <f>Table1123457[[#This Row],[M (KN.mm)]]/(Table1123457[[#This Row],[b (mm)]]*Table1123457[[#This Row],[d (mm)]]*Table1123457[[#This Row],[pho (%)]])</f>
        <v>0.687037037037037</v>
      </c>
      <c r="V173" s="145">
        <f>E173*224.8/(2*SQRT(Table1123457[[#This Row],[fc (Mpa)]]*145.037)*Table1123457[[#This Row],[b (mm)]]*Table1123457[[#This Row],[d (mm)]]*(1/25.4)^2)</f>
        <v>0.71549920119426147</v>
      </c>
      <c r="W173" s="145">
        <f>Table1123457[[#This Row],[M (KN.mm)]]/$G$176</f>
        <v>0.74949494949494955</v>
      </c>
      <c r="X173" s="145">
        <f>Table1123457[[#This Row],[V/(2*sqrt(fc) bd)]]</f>
        <v>0.71549920119426147</v>
      </c>
      <c r="Y173" s="111">
        <f>Table1123457[[#This Row],[a (mm)]]</f>
        <v>735</v>
      </c>
      <c r="Z173" s="111">
        <f>Table1123457[[#This Row],[width]]*Table1123457[[#This Row],[h]]^2</f>
        <v>9417800</v>
      </c>
      <c r="AA173" s="111">
        <f>Table1123457[[#This Row],[b (mm)]]</f>
        <v>98</v>
      </c>
      <c r="AB173" s="111">
        <f>Table1123457[[#This Row],[a (mm)]]/Table1123457[[#This Row],[h (mm)]]</f>
        <v>2.370967741935484</v>
      </c>
      <c r="AC173" s="111">
        <f>Table1123457[[#This Row],[h (mm)]]</f>
        <v>310</v>
      </c>
      <c r="AD173" s="111">
        <f>2.94*Table1123457[[#This Row],[d (mm)]]</f>
        <v>735</v>
      </c>
      <c r="AE173" s="111">
        <v>250</v>
      </c>
      <c r="AF173" s="111">
        <v>310</v>
      </c>
      <c r="AG173" s="111">
        <v>98</v>
      </c>
      <c r="AH173" s="7">
        <v>40.6</v>
      </c>
      <c r="AI173" s="135">
        <f>Table1123457[[#This Row],[pho (%)]]/100*Table1123457[[#This Row],[b (mm)]]*Table1123457[[#This Row],[h (mm)]]</f>
        <v>246.07800000000006</v>
      </c>
      <c r="AJ173" s="135">
        <v>0.81</v>
      </c>
      <c r="AK173" s="160">
        <v>525</v>
      </c>
      <c r="AL173" s="135">
        <f>(1/3-0.21*(MIN(Table1123457[[#This Row],[b (mm)]],AF173)/MAX(Table1123457[[#This Row],[b (mm)]],AF173))*(MIN(Table1123457[[#This Row],[b (mm)]],AF173)^4/(12*MAX(Table1123457[[#This Row],[b (mm)]],AF173)^4)))*MAX(Table1123457[[#This Row],[b (mm)]],AF173)*MIN(Table1123457[[#This Row],[b (mm)]],AF173)^3</f>
        <v>97240385.37338239</v>
      </c>
      <c r="AM173" s="135">
        <f>Table1123457[[#This Row],[b (mm)]]*AF173^3/12</f>
        <v>243293166.66666666</v>
      </c>
      <c r="AN173" s="111">
        <v>1470</v>
      </c>
      <c r="AP173" s="107"/>
      <c r="AU173" s="387">
        <v>37.1</v>
      </c>
      <c r="AV173" s="2">
        <f t="shared" si="23"/>
        <v>18.55</v>
      </c>
    </row>
    <row r="174" spans="1:48" x14ac:dyDescent="0.3">
      <c r="A174" s="271" t="s">
        <v>168</v>
      </c>
      <c r="B174" s="271">
        <v>5</v>
      </c>
      <c r="C174" s="185">
        <v>173</v>
      </c>
      <c r="D174" s="185">
        <f>Table1123457[[#This Row],[a (mm)]]/Table1123457[[#This Row],[d (mm)]]</f>
        <v>2.94</v>
      </c>
      <c r="E174" s="272">
        <v>21.45</v>
      </c>
      <c r="F174" s="137">
        <f>Table1123457[[#This Row],[d (mm)]]</f>
        <v>250</v>
      </c>
      <c r="G174" s="135">
        <f t="shared" si="24"/>
        <v>15765.75</v>
      </c>
      <c r="H174" s="135">
        <f t="shared" si="25"/>
        <v>2.4604924825294337E-6</v>
      </c>
      <c r="I174" s="111">
        <f>G174/(Table1123457[[#This Row],[b (mm)]]*Table1123457[[#This Row],[h]]^2)</f>
        <v>1.6740374609781478E-3</v>
      </c>
      <c r="J174" s="135">
        <f t="shared" si="26"/>
        <v>0.4881379074927461</v>
      </c>
      <c r="K174" s="135">
        <f t="shared" si="27"/>
        <v>7.025075193657871E-6</v>
      </c>
      <c r="L174" s="135">
        <f>E174/(Table1123457[[#This Row],[b (mm)]]*AE174)</f>
        <v>8.7551020408163259E-4</v>
      </c>
      <c r="M174" s="135">
        <f>Table1123457[[#This Row],[M (KN.mm)]]/(Table1123457[[#This Row],[b (mm)]]*Table1123457[[#This Row],[d (mm)]])</f>
        <v>0.64349999999999996</v>
      </c>
      <c r="N174" s="135">
        <f>Table1123457[[#This Row],[M (KN.mm)]]/(Table1123457[[#This Row],[b (mm)]]*Table1123457[[#This Row],[h (mm)]])</f>
        <v>0.51895161290322578</v>
      </c>
      <c r="O174" s="145">
        <f>Table1123457[[#This Row],[M (KN.mm)]]/(Table1123457[[#This Row],[b (mm)]]*Table1123457[[#This Row],[h (mm)]]*Table1123457[[#This Row],[L(mm)]])</f>
        <v>3.5302830809743252E-4</v>
      </c>
      <c r="P174" s="145">
        <f>Table1123457[[#This Row],[M (KN.mm)]]/(Table1123457[[#This Row],[b (mm)]]*Table1123457[[#This Row],[d (mm)]]*Table1123457[[#This Row],[L(mm)]])</f>
        <v>4.3775510204081635E-4</v>
      </c>
      <c r="Q174" s="145">
        <f>Table1123457[[#This Row],[M (KN.mm)]]/(Table1123457[[#This Row],[b (mm)]]*Table1123457[[#This Row],[h (mm)]]*Table1123457[[#This Row],[L(mm)]]*Table1123457[[#This Row],[fc (Mpa)]])</f>
        <v>8.6952785245673037E-6</v>
      </c>
      <c r="R174" s="145">
        <f>Table1123457[[#This Row],[M (KN.mm)]]/(Table1123457[[#This Row],[b (mm)]]*Table1123457[[#This Row],[h (mm)]]*Table1123457[[#This Row],[L(mm)]]/2)</f>
        <v>7.0605661619486503E-4</v>
      </c>
      <c r="S174" s="145">
        <f>Table1123457[[#This Row],[M (KN.mm)]]/(Table1123457[[#This Row],[a (mm)]]*Table1123457[[#This Row],[b (mm)]]*Table1123457[[#This Row],[h (mm)]]*Table1123457[[#This Row],[L(mm)]]/2)</f>
        <v>9.6062124652362598E-7</v>
      </c>
      <c r="T174" s="145">
        <f>Table1123457[[#This Row],[M (KN.mm)]]/(Table1123457[[#This Row],[a (mm)]]^2*Table1123457[[#This Row],[b (mm)]]*Table1123457[[#This Row],[h (mm)]])</f>
        <v>9.6062124652362598E-7</v>
      </c>
      <c r="U174" s="145">
        <f>Table1123457[[#This Row],[M (KN.mm)]]/(Table1123457[[#This Row],[b (mm)]]*Table1123457[[#This Row],[d (mm)]]*Table1123457[[#This Row],[pho (%)]])</f>
        <v>0.7944444444444444</v>
      </c>
      <c r="V174" s="145">
        <f>E174*224.8/(2*SQRT(Table1123457[[#This Row],[fc (Mpa)]]*145.037)*Table1123457[[#This Row],[b (mm)]]*Table1123457[[#This Row],[d (mm)]]*(1/25.4)^2)</f>
        <v>0.82735621917072277</v>
      </c>
      <c r="W174" s="145">
        <f>Table1123457[[#This Row],[M (KN.mm)]]/$G$176</f>
        <v>0.8666666666666667</v>
      </c>
      <c r="X174" s="145">
        <f>Table1123457[[#This Row],[V/(2*sqrt(fc) bd)]]</f>
        <v>0.82735621917072277</v>
      </c>
      <c r="Y174" s="111">
        <f>Table1123457[[#This Row],[a (mm)]]</f>
        <v>735</v>
      </c>
      <c r="Z174" s="111">
        <f>Table1123457[[#This Row],[width]]*Table1123457[[#This Row],[h]]^2</f>
        <v>9417800</v>
      </c>
      <c r="AA174" s="111">
        <f>Table1123457[[#This Row],[b (mm)]]</f>
        <v>98</v>
      </c>
      <c r="AB174" s="111">
        <f>Table1123457[[#This Row],[a (mm)]]/Table1123457[[#This Row],[h (mm)]]</f>
        <v>2.370967741935484</v>
      </c>
      <c r="AC174" s="111">
        <f>Table1123457[[#This Row],[h (mm)]]</f>
        <v>310</v>
      </c>
      <c r="AD174" s="111">
        <f>2.94*Table1123457[[#This Row],[d (mm)]]</f>
        <v>735</v>
      </c>
      <c r="AE174" s="111">
        <v>250</v>
      </c>
      <c r="AF174" s="111">
        <v>310</v>
      </c>
      <c r="AG174" s="111">
        <v>98</v>
      </c>
      <c r="AH174" s="7">
        <v>40.6</v>
      </c>
      <c r="AI174" s="135">
        <f>Table1123457[[#This Row],[pho (%)]]/100*Table1123457[[#This Row],[b (mm)]]*Table1123457[[#This Row],[h (mm)]]</f>
        <v>246.07800000000006</v>
      </c>
      <c r="AJ174" s="135">
        <v>0.81</v>
      </c>
      <c r="AK174" s="160">
        <v>525</v>
      </c>
      <c r="AL174" s="135">
        <f>(1/3-0.21*(MIN(Table1123457[[#This Row],[b (mm)]],AF174)/MAX(Table1123457[[#This Row],[b (mm)]],AF174))*(MIN(Table1123457[[#This Row],[b (mm)]],AF174)^4/(12*MAX(Table1123457[[#This Row],[b (mm)]],AF174)^4)))*MAX(Table1123457[[#This Row],[b (mm)]],AF174)*MIN(Table1123457[[#This Row],[b (mm)]],AF174)^3</f>
        <v>97240385.37338239</v>
      </c>
      <c r="AM174" s="135">
        <f>Table1123457[[#This Row],[b (mm)]]*AF174^3/12</f>
        <v>243293166.66666666</v>
      </c>
      <c r="AN174" s="111">
        <v>1470</v>
      </c>
      <c r="AP174" s="107"/>
      <c r="AU174" s="387">
        <v>42.9</v>
      </c>
      <c r="AV174" s="2">
        <f t="shared" si="23"/>
        <v>21.45</v>
      </c>
    </row>
    <row r="175" spans="1:48" x14ac:dyDescent="0.3">
      <c r="A175" s="271" t="s">
        <v>168</v>
      </c>
      <c r="B175" s="271">
        <v>6</v>
      </c>
      <c r="C175" s="185">
        <v>174</v>
      </c>
      <c r="D175" s="185">
        <f>Table1123457[[#This Row],[a (mm)]]/Table1123457[[#This Row],[d (mm)]]</f>
        <v>2.94</v>
      </c>
      <c r="E175" s="272">
        <v>23.8</v>
      </c>
      <c r="F175" s="137">
        <f>Table1123457[[#This Row],[d (mm)]]</f>
        <v>250</v>
      </c>
      <c r="G175" s="135">
        <f t="shared" si="24"/>
        <v>17493</v>
      </c>
      <c r="H175" s="135">
        <f t="shared" si="25"/>
        <v>2.7300569270023557E-6</v>
      </c>
      <c r="I175" s="111">
        <f>G175/(Table1123457[[#This Row],[b (mm)]]*Table1123457[[#This Row],[h]]^2)</f>
        <v>1.8574401664932362E-3</v>
      </c>
      <c r="J175" s="135">
        <f t="shared" si="26"/>
        <v>0.54161688570290711</v>
      </c>
      <c r="K175" s="135">
        <f t="shared" si="27"/>
        <v>7.7947221262963786E-6</v>
      </c>
      <c r="L175" s="135">
        <f>E175/(Table1123457[[#This Row],[b (mm)]]*AE175)</f>
        <v>9.7142857142857144E-4</v>
      </c>
      <c r="M175" s="135">
        <f>Table1123457[[#This Row],[M (KN.mm)]]/(Table1123457[[#This Row],[b (mm)]]*Table1123457[[#This Row],[d (mm)]])</f>
        <v>0.71399999999999997</v>
      </c>
      <c r="N175" s="135">
        <f>Table1123457[[#This Row],[M (KN.mm)]]/(Table1123457[[#This Row],[b (mm)]]*Table1123457[[#This Row],[h (mm)]])</f>
        <v>0.57580645161290323</v>
      </c>
      <c r="O175" s="145">
        <f>Table1123457[[#This Row],[M (KN.mm)]]/(Table1123457[[#This Row],[b (mm)]]*Table1123457[[#This Row],[h (mm)]]*Table1123457[[#This Row],[L(mm)]])</f>
        <v>3.9170506912442396E-4</v>
      </c>
      <c r="P175" s="145">
        <f>Table1123457[[#This Row],[M (KN.mm)]]/(Table1123457[[#This Row],[b (mm)]]*Table1123457[[#This Row],[d (mm)]]*Table1123457[[#This Row],[L(mm)]])</f>
        <v>4.8571428571428572E-4</v>
      </c>
      <c r="Q175" s="145">
        <f>Table1123457[[#This Row],[M (KN.mm)]]/(Table1123457[[#This Row],[b (mm)]]*Table1123457[[#This Row],[h (mm)]]*Table1123457[[#This Row],[L(mm)]]*Table1123457[[#This Row],[fc (Mpa)]])</f>
        <v>9.6479081065129055E-6</v>
      </c>
      <c r="R175" s="145">
        <f>Table1123457[[#This Row],[M (KN.mm)]]/(Table1123457[[#This Row],[b (mm)]]*Table1123457[[#This Row],[h (mm)]]*Table1123457[[#This Row],[L(mm)]]/2)</f>
        <v>7.8341013824884793E-4</v>
      </c>
      <c r="S175" s="145">
        <f>Table1123457[[#This Row],[M (KN.mm)]]/(Table1123457[[#This Row],[a (mm)]]*Table1123457[[#This Row],[b (mm)]]*Table1123457[[#This Row],[h (mm)]]*Table1123457[[#This Row],[L(mm)]]/2)</f>
        <v>1.065864133671902E-6</v>
      </c>
      <c r="T175" s="145">
        <f>Table1123457[[#This Row],[M (KN.mm)]]/(Table1123457[[#This Row],[a (mm)]]^2*Table1123457[[#This Row],[b (mm)]]*Table1123457[[#This Row],[h (mm)]])</f>
        <v>1.065864133671902E-6</v>
      </c>
      <c r="U175" s="145">
        <f>Table1123457[[#This Row],[M (KN.mm)]]/(Table1123457[[#This Row],[b (mm)]]*Table1123457[[#This Row],[d (mm)]]*Table1123457[[#This Row],[pho (%)]])</f>
        <v>0.88148148148148153</v>
      </c>
      <c r="V175" s="145">
        <f>E175*224.8/(2*SQRT(Table1123457[[#This Row],[fc (Mpa)]]*145.037)*Table1123457[[#This Row],[b (mm)]]*Table1123457[[#This Row],[d (mm)]]*(1/25.4)^2)</f>
        <v>0.91799897511716577</v>
      </c>
      <c r="W175" s="145">
        <f>Table1123457[[#This Row],[M (KN.mm)]]/$G$176</f>
        <v>0.96161616161616159</v>
      </c>
      <c r="X175" s="145">
        <f>Table1123457[[#This Row],[V/(2*sqrt(fc) bd)]]</f>
        <v>0.91799897511716577</v>
      </c>
      <c r="Y175" s="111">
        <f>Table1123457[[#This Row],[a (mm)]]</f>
        <v>735</v>
      </c>
      <c r="Z175" s="111">
        <f>Table1123457[[#This Row],[width]]*Table1123457[[#This Row],[h]]^2</f>
        <v>9417800</v>
      </c>
      <c r="AA175" s="111">
        <f>Table1123457[[#This Row],[b (mm)]]</f>
        <v>98</v>
      </c>
      <c r="AB175" s="111">
        <f>Table1123457[[#This Row],[a (mm)]]/Table1123457[[#This Row],[h (mm)]]</f>
        <v>2.370967741935484</v>
      </c>
      <c r="AC175" s="111">
        <f>Table1123457[[#This Row],[h (mm)]]</f>
        <v>310</v>
      </c>
      <c r="AD175" s="111">
        <f>2.94*Table1123457[[#This Row],[d (mm)]]</f>
        <v>735</v>
      </c>
      <c r="AE175" s="111">
        <v>250</v>
      </c>
      <c r="AF175" s="111">
        <v>310</v>
      </c>
      <c r="AG175" s="111">
        <v>98</v>
      </c>
      <c r="AH175" s="7">
        <v>40.6</v>
      </c>
      <c r="AI175" s="135">
        <f>Table1123457[[#This Row],[pho (%)]]/100*Table1123457[[#This Row],[b (mm)]]*Table1123457[[#This Row],[h (mm)]]</f>
        <v>246.07800000000006</v>
      </c>
      <c r="AJ175" s="135">
        <v>0.81</v>
      </c>
      <c r="AK175" s="160">
        <v>525</v>
      </c>
      <c r="AL175" s="135">
        <f>(1/3-0.21*(MIN(Table1123457[[#This Row],[b (mm)]],AF175)/MAX(Table1123457[[#This Row],[b (mm)]],AF175))*(MIN(Table1123457[[#This Row],[b (mm)]],AF175)^4/(12*MAX(Table1123457[[#This Row],[b (mm)]],AF175)^4)))*MAX(Table1123457[[#This Row],[b (mm)]],AF175)*MIN(Table1123457[[#This Row],[b (mm)]],AF175)^3</f>
        <v>97240385.37338239</v>
      </c>
      <c r="AM175" s="135">
        <f>Table1123457[[#This Row],[b (mm)]]*AF175^3/12</f>
        <v>243293166.66666666</v>
      </c>
      <c r="AN175" s="111">
        <v>1470</v>
      </c>
      <c r="AP175" s="107"/>
      <c r="AU175" s="387">
        <v>47.6</v>
      </c>
      <c r="AV175" s="2">
        <f t="shared" si="23"/>
        <v>23.8</v>
      </c>
    </row>
    <row r="176" spans="1:48" x14ac:dyDescent="0.3">
      <c r="A176" s="271" t="s">
        <v>168</v>
      </c>
      <c r="B176" s="271" t="s">
        <v>142</v>
      </c>
      <c r="C176" s="185">
        <v>175</v>
      </c>
      <c r="D176" s="185">
        <f>Table1123457[[#This Row],[a (mm)]]/Table1123457[[#This Row],[d (mm)]]</f>
        <v>2.94</v>
      </c>
      <c r="E176" s="272">
        <v>24.75</v>
      </c>
      <c r="F176" s="137">
        <f>Table1123457[[#This Row],[d (mm)]]</f>
        <v>250</v>
      </c>
      <c r="G176" s="135">
        <f t="shared" si="24"/>
        <v>18191.25</v>
      </c>
      <c r="H176" s="135">
        <f t="shared" si="25"/>
        <v>2.8390297875339624E-6</v>
      </c>
      <c r="I176" s="111">
        <f>G176/(Table1123457[[#This Row],[b (mm)]]*Table1123457[[#This Row],[h]]^2)</f>
        <v>1.9315816857440166E-3</v>
      </c>
      <c r="J176" s="135">
        <f t="shared" si="26"/>
        <v>0.56323604710701469</v>
      </c>
      <c r="K176" s="135">
        <f t="shared" si="27"/>
        <v>8.1058559926821582E-6</v>
      </c>
      <c r="L176" s="135">
        <f>E176/(Table1123457[[#This Row],[b (mm)]]*AE176)</f>
        <v>1.0102040816326531E-3</v>
      </c>
      <c r="M176" s="135">
        <f>Table1123457[[#This Row],[M (KN.mm)]]/(Table1123457[[#This Row],[b (mm)]]*Table1123457[[#This Row],[d (mm)]])</f>
        <v>0.74250000000000005</v>
      </c>
      <c r="N176" s="135">
        <f>Table1123457[[#This Row],[M (KN.mm)]]/(Table1123457[[#This Row],[b (mm)]]*Table1123457[[#This Row],[h (mm)]])</f>
        <v>0.59879032258064513</v>
      </c>
      <c r="O176" s="145">
        <f>Table1123457[[#This Row],[M (KN.mm)]]/(Table1123457[[#This Row],[b (mm)]]*Table1123457[[#This Row],[h (mm)]]*Table1123457[[#This Row],[L(mm)]])</f>
        <v>4.0734035549703753E-4</v>
      </c>
      <c r="P176" s="145">
        <f>Table1123457[[#This Row],[M (KN.mm)]]/(Table1123457[[#This Row],[b (mm)]]*Table1123457[[#This Row],[d (mm)]]*Table1123457[[#This Row],[L(mm)]])</f>
        <v>5.0510204081632656E-4</v>
      </c>
      <c r="Q176" s="145">
        <f>Table1123457[[#This Row],[M (KN.mm)]]/(Table1123457[[#This Row],[b (mm)]]*Table1123457[[#This Row],[h (mm)]]*Table1123457[[#This Row],[L(mm)]]*Table1123457[[#This Row],[fc (Mpa)]])</f>
        <v>1.0033013682193042E-5</v>
      </c>
      <c r="R176" s="145">
        <f>Table1123457[[#This Row],[M (KN.mm)]]/(Table1123457[[#This Row],[b (mm)]]*Table1123457[[#This Row],[h (mm)]]*Table1123457[[#This Row],[L(mm)]]/2)</f>
        <v>8.1468071099407506E-4</v>
      </c>
      <c r="S176" s="145">
        <f>Table1123457[[#This Row],[M (KN.mm)]]/(Table1123457[[#This Row],[a (mm)]]*Table1123457[[#This Row],[b (mm)]]*Table1123457[[#This Row],[h (mm)]]*Table1123457[[#This Row],[L(mm)]]/2)</f>
        <v>1.1084091306041837E-6</v>
      </c>
      <c r="T176" s="145">
        <f>Table1123457[[#This Row],[M (KN.mm)]]/(Table1123457[[#This Row],[a (mm)]]^2*Table1123457[[#This Row],[b (mm)]]*Table1123457[[#This Row],[h (mm)]])</f>
        <v>1.1084091306041837E-6</v>
      </c>
      <c r="U176" s="145">
        <f>Table1123457[[#This Row],[M (KN.mm)]]/(Table1123457[[#This Row],[b (mm)]]*Table1123457[[#This Row],[d (mm)]]*Table1123457[[#This Row],[pho (%)]])</f>
        <v>0.91666666666666663</v>
      </c>
      <c r="V176" s="145">
        <f>E176*224.8/(2*SQRT(Table1123457[[#This Row],[fc (Mpa)]]*145.037)*Table1123457[[#This Row],[b (mm)]]*Table1123457[[#This Row],[d (mm)]]*(1/25.4)^2)</f>
        <v>0.95464179135083405</v>
      </c>
      <c r="W176" s="145">
        <f>Table1123457[[#This Row],[M (KN.mm)]]/$G$176</f>
        <v>1</v>
      </c>
      <c r="X176" s="145">
        <f>Table1123457[[#This Row],[V/(2*sqrt(fc) bd)]]</f>
        <v>0.95464179135083405</v>
      </c>
      <c r="Y176" s="111">
        <f>Table1123457[[#This Row],[a (mm)]]</f>
        <v>735</v>
      </c>
      <c r="Z176" s="111">
        <f>Table1123457[[#This Row],[width]]*Table1123457[[#This Row],[h]]^2</f>
        <v>9417800</v>
      </c>
      <c r="AA176" s="111">
        <f>Table1123457[[#This Row],[b (mm)]]</f>
        <v>98</v>
      </c>
      <c r="AB176" s="111">
        <f>Table1123457[[#This Row],[a (mm)]]/Table1123457[[#This Row],[h (mm)]]</f>
        <v>2.370967741935484</v>
      </c>
      <c r="AC176" s="111">
        <f>Table1123457[[#This Row],[h (mm)]]</f>
        <v>310</v>
      </c>
      <c r="AD176" s="111">
        <f>2.94*Table1123457[[#This Row],[d (mm)]]</f>
        <v>735</v>
      </c>
      <c r="AE176" s="111">
        <v>250</v>
      </c>
      <c r="AF176" s="111">
        <v>310</v>
      </c>
      <c r="AG176" s="111">
        <v>98</v>
      </c>
      <c r="AH176" s="7">
        <v>40.6</v>
      </c>
      <c r="AI176" s="135">
        <f>Table1123457[[#This Row],[pho (%)]]/100*Table1123457[[#This Row],[b (mm)]]*Table1123457[[#This Row],[h (mm)]]</f>
        <v>246.07800000000006</v>
      </c>
      <c r="AJ176" s="135">
        <v>0.81</v>
      </c>
      <c r="AK176" s="160">
        <v>525</v>
      </c>
      <c r="AL176" s="135">
        <f>(1/3-0.21*(MIN(Table1123457[[#This Row],[b (mm)]],AF176)/MAX(Table1123457[[#This Row],[b (mm)]],AF176))*(MIN(Table1123457[[#This Row],[b (mm)]],AF176)^4/(12*MAX(Table1123457[[#This Row],[b (mm)]],AF176)^4)))*MAX(Table1123457[[#This Row],[b (mm)]],AF176)*MIN(Table1123457[[#This Row],[b (mm)]],AF176)^3</f>
        <v>97240385.37338239</v>
      </c>
      <c r="AM176" s="135">
        <f>Table1123457[[#This Row],[b (mm)]]*AF176^3/12</f>
        <v>243293166.66666666</v>
      </c>
      <c r="AN176" s="111">
        <v>1470</v>
      </c>
      <c r="AP176" s="107"/>
      <c r="AU176" s="387">
        <v>49.5</v>
      </c>
      <c r="AV176" s="2">
        <f t="shared" si="23"/>
        <v>24.75</v>
      </c>
    </row>
    <row r="177" spans="1:48" x14ac:dyDescent="0.3">
      <c r="A177" s="263" t="s">
        <v>169</v>
      </c>
      <c r="B177" s="263">
        <v>1</v>
      </c>
      <c r="C177" s="185">
        <v>176</v>
      </c>
      <c r="D177" s="185">
        <f>Table1123457[[#This Row],[a (mm)]]/Table1123457[[#This Row],[d (mm)]]</f>
        <v>2.8928571428571428</v>
      </c>
      <c r="E177" s="264">
        <v>10.050000000000001</v>
      </c>
      <c r="F177" s="137">
        <f>Table1123457[[#This Row],[d (mm)]]</f>
        <v>280</v>
      </c>
      <c r="G177" s="135">
        <f t="shared" si="24"/>
        <v>8140.5000000000009</v>
      </c>
      <c r="H177" s="135">
        <f t="shared" si="25"/>
        <v>1.0205275480673497E-6</v>
      </c>
      <c r="I177" s="111">
        <f>G177/(Table1123457[[#This Row],[b (mm)]]*Table1123457[[#This Row],[h]]^2)</f>
        <v>6.943330888248239E-4</v>
      </c>
      <c r="J177" s="135">
        <f t="shared" si="26"/>
        <v>0.17641443941947005</v>
      </c>
      <c r="K177" s="135">
        <f t="shared" si="27"/>
        <v>1.7066001580236388E-6</v>
      </c>
      <c r="L177" s="135">
        <f>E177/(Table1123457[[#This Row],[b (mm)]]*AE177)</f>
        <v>2.9420374707259957E-4</v>
      </c>
      <c r="M177" s="135">
        <f>Table1123457[[#This Row],[M (KN.mm)]]/(Table1123457[[#This Row],[b (mm)]]*Table1123457[[#This Row],[d (mm)]])</f>
        <v>0.23830503512880566</v>
      </c>
      <c r="N177" s="135">
        <f>Table1123457[[#This Row],[M (KN.mm)]]/(Table1123457[[#This Row],[b (mm)]]*Table1123457[[#This Row],[h (mm)]])</f>
        <v>0.21524325753569543</v>
      </c>
      <c r="O177" s="145">
        <f>Table1123457[[#This Row],[M (KN.mm)]]/(Table1123457[[#This Row],[b (mm)]]*Table1123457[[#This Row],[h (mm)]]*Table1123457[[#This Row],[L(mm)]])</f>
        <v>1.3286620835536756E-4</v>
      </c>
      <c r="P177" s="145">
        <f>Table1123457[[#This Row],[M (KN.mm)]]/(Table1123457[[#This Row],[b (mm)]]*Table1123457[[#This Row],[d (mm)]]*Table1123457[[#This Row],[L(mm)]])</f>
        <v>1.4710187353629979E-4</v>
      </c>
      <c r="Q177" s="145">
        <f>Table1123457[[#This Row],[M (KN.mm)]]/(Table1123457[[#This Row],[b (mm)]]*Table1123457[[#This Row],[h (mm)]]*Table1123457[[#This Row],[L(mm)]]*Table1123457[[#This Row],[fc (Mpa)]])</f>
        <v>1.7188384004575362E-6</v>
      </c>
      <c r="R177" s="145">
        <f>Table1123457[[#This Row],[M (KN.mm)]]/(Table1123457[[#This Row],[b (mm)]]*Table1123457[[#This Row],[h (mm)]]*Table1123457[[#This Row],[L(mm)]]/2)</f>
        <v>2.6573241671073511E-4</v>
      </c>
      <c r="S177" s="145">
        <f>Table1123457[[#This Row],[M (KN.mm)]]/(Table1123457[[#This Row],[a (mm)]]*Table1123457[[#This Row],[b (mm)]]*Table1123457[[#This Row],[h (mm)]]*Table1123457[[#This Row],[L(mm)]]/2)</f>
        <v>3.2806471198856186E-7</v>
      </c>
      <c r="T177" s="145">
        <f>Table1123457[[#This Row],[M (KN.mm)]]/(Table1123457[[#This Row],[a (mm)]]^2*Table1123457[[#This Row],[b (mm)]]*Table1123457[[#This Row],[h (mm)]])</f>
        <v>3.2806471198856186E-7</v>
      </c>
      <c r="U177" s="145">
        <f>Table1123457[[#This Row],[M (KN.mm)]]/(Table1123457[[#This Row],[b (mm)]]*Table1123457[[#This Row],[d (mm)]]*Table1123457[[#This Row],[pho (%)]])</f>
        <v>0.28711450015518752</v>
      </c>
      <c r="V177" s="145">
        <f>E177*224.8/(2*SQRT(Table1123457[[#This Row],[fc (Mpa)]]*145.037)*Table1123457[[#This Row],[b (mm)]]*Table1123457[[#This Row],[d (mm)]]*(1/25.4)^2)</f>
        <v>0.20148967354439598</v>
      </c>
      <c r="W177" s="145">
        <f>Table1123457[[#This Row],[M (KN.mm)]]/$G$185</f>
        <v>0.26835781041388518</v>
      </c>
      <c r="X177" s="145">
        <f>Table1123457[[#This Row],[V/(2*sqrt(fc) bd)]]</f>
        <v>0.20148967354439598</v>
      </c>
      <c r="Y177" s="111">
        <f>Table1123457[[#This Row],[a (mm)]]</f>
        <v>810</v>
      </c>
      <c r="Z177" s="111">
        <f>Table1123457[[#This Row],[width]]*Table1123457[[#This Row],[h]]^2</f>
        <v>11724200</v>
      </c>
      <c r="AA177" s="111">
        <f>Table1123457[[#This Row],[b (mm)]]</f>
        <v>122</v>
      </c>
      <c r="AB177" s="111">
        <f>Table1123457[[#This Row],[a (mm)]]/Table1123457[[#This Row],[h (mm)]]</f>
        <v>2.6129032258064515</v>
      </c>
      <c r="AC177" s="111">
        <f>Table1123457[[#This Row],[h (mm)]]</f>
        <v>310</v>
      </c>
      <c r="AD177" s="111">
        <v>810</v>
      </c>
      <c r="AE177" s="111">
        <v>280</v>
      </c>
      <c r="AF177" s="111">
        <v>310</v>
      </c>
      <c r="AG177" s="111">
        <v>122</v>
      </c>
      <c r="AH177" s="7">
        <v>77.3</v>
      </c>
      <c r="AI177" s="135">
        <f>Table1123457[[#This Row],[pho (%)]]/100*Table1123457[[#This Row],[b (mm)]]*Table1123457[[#This Row],[h (mm)]]</f>
        <v>313.90600000000001</v>
      </c>
      <c r="AJ177" s="135">
        <v>0.83</v>
      </c>
      <c r="AK177" s="160">
        <v>525</v>
      </c>
      <c r="AL177" s="135">
        <f>(1/3-0.21*(MIN(Table1123457[[#This Row],[b (mm)]],AF177)/MAX(Table1123457[[#This Row],[b (mm)]],AF177))*(MIN(Table1123457[[#This Row],[b (mm)]],AF177)^4/(12*MAX(Table1123457[[#This Row],[b (mm)]],AF177)^4)))*MAX(Table1123457[[#This Row],[b (mm)]],AF177)*MIN(Table1123457[[#This Row],[b (mm)]],AF177)^3</f>
        <v>187544629.45683298</v>
      </c>
      <c r="AM177" s="135">
        <f>Table1123457[[#This Row],[b (mm)]]*AF177^3/12</f>
        <v>302875166.66666669</v>
      </c>
      <c r="AN177" s="111">
        <v>1620</v>
      </c>
      <c r="AP177" s="107"/>
      <c r="AU177" s="383">
        <v>20.100000000000001</v>
      </c>
      <c r="AV177" s="2">
        <f t="shared" si="23"/>
        <v>10.050000000000001</v>
      </c>
    </row>
    <row r="178" spans="1:48" x14ac:dyDescent="0.3">
      <c r="A178" s="263" t="s">
        <v>169</v>
      </c>
      <c r="B178" s="263">
        <v>2</v>
      </c>
      <c r="C178" s="185">
        <v>177</v>
      </c>
      <c r="D178" s="185">
        <f>Table1123457[[#This Row],[a (mm)]]/Table1123457[[#This Row],[d (mm)]]</f>
        <v>2.8928571428571428</v>
      </c>
      <c r="E178" s="264">
        <v>15.1</v>
      </c>
      <c r="F178" s="137">
        <f>Table1123457[[#This Row],[d (mm)]]</f>
        <v>280</v>
      </c>
      <c r="G178" s="135">
        <f t="shared" si="24"/>
        <v>12231</v>
      </c>
      <c r="H178" s="135">
        <f t="shared" si="25"/>
        <v>1.5333299478424855E-6</v>
      </c>
      <c r="I178" s="111">
        <f>G178/(Table1123457[[#This Row],[b (mm)]]*Table1123457[[#This Row],[h]]^2)</f>
        <v>1.043226829975606E-3</v>
      </c>
      <c r="J178" s="135">
        <f t="shared" si="26"/>
        <v>0.26506050101830819</v>
      </c>
      <c r="K178" s="135">
        <f t="shared" si="27"/>
        <v>2.5641455110603924E-6</v>
      </c>
      <c r="L178" s="135">
        <f>E178/(Table1123457[[#This Row],[b (mm)]]*AE178)</f>
        <v>4.4203747072599529E-4</v>
      </c>
      <c r="M178" s="135">
        <f>Table1123457[[#This Row],[M (KN.mm)]]/(Table1123457[[#This Row],[b (mm)]]*Table1123457[[#This Row],[d (mm)]])</f>
        <v>0.35805035128805618</v>
      </c>
      <c r="N178" s="135">
        <f>Table1123457[[#This Row],[M (KN.mm)]]/(Table1123457[[#This Row],[b (mm)]]*Table1123457[[#This Row],[h (mm)]])</f>
        <v>0.32340031729243784</v>
      </c>
      <c r="O178" s="145">
        <f>Table1123457[[#This Row],[M (KN.mm)]]/(Table1123457[[#This Row],[b (mm)]]*Table1123457[[#This Row],[h (mm)]]*Table1123457[[#This Row],[L(mm)]])</f>
        <v>1.9962982548915917E-4</v>
      </c>
      <c r="P178" s="145">
        <f>Table1123457[[#This Row],[M (KN.mm)]]/(Table1123457[[#This Row],[b (mm)]]*Table1123457[[#This Row],[d (mm)]]*Table1123457[[#This Row],[L(mm)]])</f>
        <v>2.2101873536299767E-4</v>
      </c>
      <c r="Q178" s="145">
        <f>Table1123457[[#This Row],[M (KN.mm)]]/(Table1123457[[#This Row],[b (mm)]]*Table1123457[[#This Row],[h (mm)]]*Table1123457[[#This Row],[L(mm)]]*Table1123457[[#This Row],[fc (Mpa)]])</f>
        <v>2.5825333181003774E-6</v>
      </c>
      <c r="R178" s="145">
        <f>Table1123457[[#This Row],[M (KN.mm)]]/(Table1123457[[#This Row],[b (mm)]]*Table1123457[[#This Row],[h (mm)]]*Table1123457[[#This Row],[L(mm)]]/2)</f>
        <v>3.9925965097831835E-4</v>
      </c>
      <c r="S178" s="145">
        <f>Table1123457[[#This Row],[M (KN.mm)]]/(Table1123457[[#This Row],[a (mm)]]*Table1123457[[#This Row],[b (mm)]]*Table1123457[[#This Row],[h (mm)]]*Table1123457[[#This Row],[L(mm)]]/2)</f>
        <v>4.9291314935594858E-7</v>
      </c>
      <c r="T178" s="145">
        <f>Table1123457[[#This Row],[M (KN.mm)]]/(Table1123457[[#This Row],[a (mm)]]^2*Table1123457[[#This Row],[b (mm)]]*Table1123457[[#This Row],[h (mm)]])</f>
        <v>4.9291314935594858E-7</v>
      </c>
      <c r="U178" s="145">
        <f>Table1123457[[#This Row],[M (KN.mm)]]/(Table1123457[[#This Row],[b (mm)]]*Table1123457[[#This Row],[d (mm)]]*Table1123457[[#This Row],[pho (%)]])</f>
        <v>0.43138596540729662</v>
      </c>
      <c r="V178" s="145">
        <f>E178*224.8/(2*SQRT(Table1123457[[#This Row],[fc (Mpa)]]*145.037)*Table1123457[[#This Row],[b (mm)]]*Table1123457[[#This Row],[d (mm)]]*(1/25.4)^2)</f>
        <v>0.30273572840998797</v>
      </c>
      <c r="W178" s="145">
        <f>Table1123457[[#This Row],[M (KN.mm)]]/$G$185</f>
        <v>0.40320427236315082</v>
      </c>
      <c r="X178" s="145">
        <f>Table1123457[[#This Row],[V/(2*sqrt(fc) bd)]]</f>
        <v>0.30273572840998797</v>
      </c>
      <c r="Y178" s="111">
        <f>Table1123457[[#This Row],[a (mm)]]</f>
        <v>810</v>
      </c>
      <c r="Z178" s="111">
        <f>Table1123457[[#This Row],[width]]*Table1123457[[#This Row],[h]]^2</f>
        <v>11724200</v>
      </c>
      <c r="AA178" s="111">
        <f>Table1123457[[#This Row],[b (mm)]]</f>
        <v>122</v>
      </c>
      <c r="AB178" s="111">
        <f>Table1123457[[#This Row],[a (mm)]]/Table1123457[[#This Row],[h (mm)]]</f>
        <v>2.6129032258064515</v>
      </c>
      <c r="AC178" s="111">
        <f>Table1123457[[#This Row],[h (mm)]]</f>
        <v>310</v>
      </c>
      <c r="AD178" s="111">
        <v>810</v>
      </c>
      <c r="AE178" s="111">
        <v>280</v>
      </c>
      <c r="AF178" s="111">
        <v>310</v>
      </c>
      <c r="AG178" s="111">
        <v>122</v>
      </c>
      <c r="AH178" s="7">
        <v>77.3</v>
      </c>
      <c r="AI178" s="135">
        <f>Table1123457[[#This Row],[pho (%)]]/100*Table1123457[[#This Row],[b (mm)]]*Table1123457[[#This Row],[h (mm)]]</f>
        <v>313.90600000000001</v>
      </c>
      <c r="AJ178" s="135">
        <v>0.83</v>
      </c>
      <c r="AK178" s="160">
        <v>525</v>
      </c>
      <c r="AL178" s="135">
        <f>(1/3-0.21*(MIN(Table1123457[[#This Row],[b (mm)]],AF178)/MAX(Table1123457[[#This Row],[b (mm)]],AF178))*(MIN(Table1123457[[#This Row],[b (mm)]],AF178)^4/(12*MAX(Table1123457[[#This Row],[b (mm)]],AF178)^4)))*MAX(Table1123457[[#This Row],[b (mm)]],AF178)*MIN(Table1123457[[#This Row],[b (mm)]],AF178)^3</f>
        <v>187544629.45683298</v>
      </c>
      <c r="AM178" s="135">
        <f>Table1123457[[#This Row],[b (mm)]]*AF178^3/12</f>
        <v>302875166.66666669</v>
      </c>
      <c r="AN178" s="111">
        <v>1620</v>
      </c>
      <c r="AP178" s="107"/>
      <c r="AU178" s="383">
        <v>30.2</v>
      </c>
      <c r="AV178" s="2">
        <f t="shared" si="23"/>
        <v>15.1</v>
      </c>
    </row>
    <row r="179" spans="1:48" x14ac:dyDescent="0.3">
      <c r="A179" s="263" t="s">
        <v>169</v>
      </c>
      <c r="B179" s="263">
        <v>3</v>
      </c>
      <c r="C179" s="185">
        <v>178</v>
      </c>
      <c r="D179" s="185">
        <f>Table1123457[[#This Row],[a (mm)]]/Table1123457[[#This Row],[d (mm)]]</f>
        <v>2.8928571428571428</v>
      </c>
      <c r="E179" s="264">
        <v>17.3</v>
      </c>
      <c r="F179" s="137">
        <f>Table1123457[[#This Row],[d (mm)]]</f>
        <v>280</v>
      </c>
      <c r="G179" s="135">
        <f t="shared" si="24"/>
        <v>14013</v>
      </c>
      <c r="H179" s="135">
        <f t="shared" si="25"/>
        <v>1.7567290130910594E-6</v>
      </c>
      <c r="I179" s="111">
        <f>G179/(Table1123457[[#This Row],[b (mm)]]*Table1123457[[#This Row],[h]]^2)</f>
        <v>1.1952201429521845E-3</v>
      </c>
      <c r="J179" s="135">
        <f t="shared" si="26"/>
        <v>0.30367858725938623</v>
      </c>
      <c r="K179" s="135">
        <f t="shared" si="27"/>
        <v>2.937729625254622E-6</v>
      </c>
      <c r="L179" s="135">
        <f>E179/(Table1123457[[#This Row],[b (mm)]]*AE179)</f>
        <v>5.0644028103044494E-4</v>
      </c>
      <c r="M179" s="135">
        <f>Table1123457[[#This Row],[M (KN.mm)]]/(Table1123457[[#This Row],[b (mm)]]*Table1123457[[#This Row],[d (mm)]])</f>
        <v>0.41021662763466044</v>
      </c>
      <c r="N179" s="135">
        <f>Table1123457[[#This Row],[M (KN.mm)]]/(Table1123457[[#This Row],[b (mm)]]*Table1123457[[#This Row],[h (mm)]])</f>
        <v>0.37051824431517716</v>
      </c>
      <c r="O179" s="145">
        <f>Table1123457[[#This Row],[M (KN.mm)]]/(Table1123457[[#This Row],[b (mm)]]*Table1123457[[#This Row],[h (mm)]]*Table1123457[[#This Row],[L(mm)]])</f>
        <v>2.2871496562665256E-4</v>
      </c>
      <c r="P179" s="145">
        <f>Table1123457[[#This Row],[M (KN.mm)]]/(Table1123457[[#This Row],[b (mm)]]*Table1123457[[#This Row],[d (mm)]]*Table1123457[[#This Row],[L(mm)]])</f>
        <v>2.5322014051522247E-4</v>
      </c>
      <c r="Q179" s="145">
        <f>Table1123457[[#This Row],[M (KN.mm)]]/(Table1123457[[#This Row],[b (mm)]]*Table1123457[[#This Row],[h (mm)]]*Table1123457[[#This Row],[L(mm)]]*Table1123457[[#This Row],[fc (Mpa)]])</f>
        <v>2.958796450538843E-6</v>
      </c>
      <c r="R179" s="145">
        <f>Table1123457[[#This Row],[M (KN.mm)]]/(Table1123457[[#This Row],[b (mm)]]*Table1123457[[#This Row],[h (mm)]]*Table1123457[[#This Row],[L(mm)]]/2)</f>
        <v>4.5742993125330513E-4</v>
      </c>
      <c r="S179" s="145">
        <f>Table1123457[[#This Row],[M (KN.mm)]]/(Table1123457[[#This Row],[a (mm)]]*Table1123457[[#This Row],[b (mm)]]*Table1123457[[#This Row],[h (mm)]]*Table1123457[[#This Row],[L(mm)]]/2)</f>
        <v>5.6472831018926555E-7</v>
      </c>
      <c r="T179" s="145">
        <f>Table1123457[[#This Row],[M (KN.mm)]]/(Table1123457[[#This Row],[a (mm)]]^2*Table1123457[[#This Row],[b (mm)]]*Table1123457[[#This Row],[h (mm)]])</f>
        <v>5.6472831018926555E-7</v>
      </c>
      <c r="U179" s="145">
        <f>Table1123457[[#This Row],[M (KN.mm)]]/(Table1123457[[#This Row],[b (mm)]]*Table1123457[[#This Row],[d (mm)]]*Table1123457[[#This Row],[pho (%)]])</f>
        <v>0.4942369007646511</v>
      </c>
      <c r="V179" s="145">
        <f>E179*224.8/(2*SQRT(Table1123457[[#This Row],[fc (Mpa)]]*145.037)*Table1123457[[#This Row],[b (mm)]]*Table1123457[[#This Row],[d (mm)]]*(1/25.4)^2)</f>
        <v>0.34684292062866173</v>
      </c>
      <c r="W179" s="145">
        <f>Table1123457[[#This Row],[M (KN.mm)]]/$G$185</f>
        <v>0.46194926568758338</v>
      </c>
      <c r="X179" s="145">
        <f>Table1123457[[#This Row],[V/(2*sqrt(fc) bd)]]</f>
        <v>0.34684292062866173</v>
      </c>
      <c r="Y179" s="111">
        <f>Table1123457[[#This Row],[a (mm)]]</f>
        <v>810</v>
      </c>
      <c r="Z179" s="111">
        <f>Table1123457[[#This Row],[width]]*Table1123457[[#This Row],[h]]^2</f>
        <v>11724200</v>
      </c>
      <c r="AA179" s="111">
        <f>Table1123457[[#This Row],[b (mm)]]</f>
        <v>122</v>
      </c>
      <c r="AB179" s="111">
        <f>Table1123457[[#This Row],[a (mm)]]/Table1123457[[#This Row],[h (mm)]]</f>
        <v>2.6129032258064515</v>
      </c>
      <c r="AC179" s="111">
        <f>Table1123457[[#This Row],[h (mm)]]</f>
        <v>310</v>
      </c>
      <c r="AD179" s="111">
        <v>810</v>
      </c>
      <c r="AE179" s="111">
        <v>280</v>
      </c>
      <c r="AF179" s="111">
        <v>310</v>
      </c>
      <c r="AG179" s="111">
        <v>122</v>
      </c>
      <c r="AH179" s="7">
        <v>77.3</v>
      </c>
      <c r="AI179" s="135">
        <f>Table1123457[[#This Row],[pho (%)]]/100*Table1123457[[#This Row],[b (mm)]]*Table1123457[[#This Row],[h (mm)]]</f>
        <v>313.90600000000001</v>
      </c>
      <c r="AJ179" s="135">
        <v>0.83</v>
      </c>
      <c r="AK179" s="160">
        <v>525</v>
      </c>
      <c r="AL179" s="135">
        <f>(1/3-0.21*(MIN(Table1123457[[#This Row],[b (mm)]],AF179)/MAX(Table1123457[[#This Row],[b (mm)]],AF179))*(MIN(Table1123457[[#This Row],[b (mm)]],AF179)^4/(12*MAX(Table1123457[[#This Row],[b (mm)]],AF179)^4)))*MAX(Table1123457[[#This Row],[b (mm)]],AF179)*MIN(Table1123457[[#This Row],[b (mm)]],AF179)^3</f>
        <v>187544629.45683298</v>
      </c>
      <c r="AM179" s="135">
        <f>Table1123457[[#This Row],[b (mm)]]*AF179^3/12</f>
        <v>302875166.66666669</v>
      </c>
      <c r="AN179" s="111">
        <v>1620</v>
      </c>
      <c r="AP179" s="107"/>
      <c r="AU179" s="383">
        <v>34.6</v>
      </c>
      <c r="AV179" s="2">
        <f t="shared" si="23"/>
        <v>17.3</v>
      </c>
    </row>
    <row r="180" spans="1:48" x14ac:dyDescent="0.3">
      <c r="A180" s="263" t="s">
        <v>169</v>
      </c>
      <c r="B180" s="263">
        <v>4</v>
      </c>
      <c r="C180" s="185">
        <v>179</v>
      </c>
      <c r="D180" s="185">
        <f>Table1123457[[#This Row],[a (mm)]]/Table1123457[[#This Row],[d (mm)]]</f>
        <v>2.8928571428571428</v>
      </c>
      <c r="E180" s="264">
        <v>18.600000000000001</v>
      </c>
      <c r="F180" s="137">
        <f>Table1123457[[#This Row],[d (mm)]]</f>
        <v>280</v>
      </c>
      <c r="G180" s="135">
        <f t="shared" si="24"/>
        <v>15066.000000000002</v>
      </c>
      <c r="H180" s="135">
        <f t="shared" si="25"/>
        <v>1.8887375516470353E-6</v>
      </c>
      <c r="I180" s="111">
        <f>G180/(Table1123457[[#This Row],[b (mm)]]*Table1123457[[#This Row],[h]]^2)</f>
        <v>1.2850343733474354E-3</v>
      </c>
      <c r="J180" s="135">
        <f t="shared" si="26"/>
        <v>0.32649836549275058</v>
      </c>
      <c r="K180" s="135">
        <f t="shared" si="27"/>
        <v>3.1584838745512118E-6</v>
      </c>
      <c r="L180" s="135">
        <f>E180/(Table1123457[[#This Row],[b (mm)]]*AE180)</f>
        <v>5.4449648711943799E-4</v>
      </c>
      <c r="M180" s="135">
        <f>Table1123457[[#This Row],[M (KN.mm)]]/(Table1123457[[#This Row],[b (mm)]]*Table1123457[[#This Row],[d (mm)]])</f>
        <v>0.44104215456674478</v>
      </c>
      <c r="N180" s="135">
        <f>Table1123457[[#This Row],[M (KN.mm)]]/(Table1123457[[#This Row],[b (mm)]]*Table1123457[[#This Row],[h (mm)]])</f>
        <v>0.39836065573770496</v>
      </c>
      <c r="O180" s="145">
        <f>Table1123457[[#This Row],[M (KN.mm)]]/(Table1123457[[#This Row],[b (mm)]]*Table1123457[[#This Row],[h (mm)]]*Table1123457[[#This Row],[L(mm)]])</f>
        <v>2.4590163934426235E-4</v>
      </c>
      <c r="P180" s="145">
        <f>Table1123457[[#This Row],[M (KN.mm)]]/(Table1123457[[#This Row],[b (mm)]]*Table1123457[[#This Row],[d (mm)]]*Table1123457[[#This Row],[L(mm)]])</f>
        <v>2.72248243559719E-4</v>
      </c>
      <c r="Q180" s="145">
        <f>Table1123457[[#This Row],[M (KN.mm)]]/(Table1123457[[#This Row],[b (mm)]]*Table1123457[[#This Row],[h (mm)]]*Table1123457[[#This Row],[L(mm)]]*Table1123457[[#This Row],[fc (Mpa)]])</f>
        <v>3.1811337560706641E-6</v>
      </c>
      <c r="R180" s="145">
        <f>Table1123457[[#This Row],[M (KN.mm)]]/(Table1123457[[#This Row],[b (mm)]]*Table1123457[[#This Row],[h (mm)]]*Table1123457[[#This Row],[L(mm)]]/2)</f>
        <v>4.918032786885247E-4</v>
      </c>
      <c r="S180" s="145">
        <f>Table1123457[[#This Row],[M (KN.mm)]]/(Table1123457[[#This Row],[a (mm)]]*Table1123457[[#This Row],[b (mm)]]*Table1123457[[#This Row],[h (mm)]]*Table1123457[[#This Row],[L(mm)]]/2)</f>
        <v>6.0716454159077118E-7</v>
      </c>
      <c r="T180" s="145">
        <f>Table1123457[[#This Row],[M (KN.mm)]]/(Table1123457[[#This Row],[a (mm)]]^2*Table1123457[[#This Row],[b (mm)]]*Table1123457[[#This Row],[h (mm)]])</f>
        <v>6.0716454159077118E-7</v>
      </c>
      <c r="U180" s="145">
        <f>Table1123457[[#This Row],[M (KN.mm)]]/(Table1123457[[#This Row],[b (mm)]]*Table1123457[[#This Row],[d (mm)]]*Table1123457[[#This Row],[pho (%)]])</f>
        <v>0.53137608983945162</v>
      </c>
      <c r="V180" s="145">
        <f>E180*224.8/(2*SQRT(Table1123457[[#This Row],[fc (Mpa)]]*145.037)*Table1123457[[#This Row],[b (mm)]]*Table1123457[[#This Row],[d (mm)]]*(1/25.4)^2)</f>
        <v>0.37290626148515083</v>
      </c>
      <c r="W180" s="145">
        <f>Table1123457[[#This Row],[M (KN.mm)]]/$G$185</f>
        <v>0.49666221628838453</v>
      </c>
      <c r="X180" s="145">
        <f>Table1123457[[#This Row],[V/(2*sqrt(fc) bd)]]</f>
        <v>0.37290626148515083</v>
      </c>
      <c r="Y180" s="111">
        <f>Table1123457[[#This Row],[a (mm)]]</f>
        <v>810</v>
      </c>
      <c r="Z180" s="111">
        <f>Table1123457[[#This Row],[width]]*Table1123457[[#This Row],[h]]^2</f>
        <v>11724200</v>
      </c>
      <c r="AA180" s="111">
        <f>Table1123457[[#This Row],[b (mm)]]</f>
        <v>122</v>
      </c>
      <c r="AB180" s="111">
        <f>Table1123457[[#This Row],[a (mm)]]/Table1123457[[#This Row],[h (mm)]]</f>
        <v>2.6129032258064515</v>
      </c>
      <c r="AC180" s="111">
        <f>Table1123457[[#This Row],[h (mm)]]</f>
        <v>310</v>
      </c>
      <c r="AD180" s="111">
        <v>810</v>
      </c>
      <c r="AE180" s="111">
        <v>280</v>
      </c>
      <c r="AF180" s="111">
        <v>310</v>
      </c>
      <c r="AG180" s="111">
        <v>122</v>
      </c>
      <c r="AH180" s="7">
        <v>77.3</v>
      </c>
      <c r="AI180" s="135">
        <f>Table1123457[[#This Row],[pho (%)]]/100*Table1123457[[#This Row],[b (mm)]]*Table1123457[[#This Row],[h (mm)]]</f>
        <v>313.90600000000001</v>
      </c>
      <c r="AJ180" s="135">
        <v>0.83</v>
      </c>
      <c r="AK180" s="160">
        <v>525</v>
      </c>
      <c r="AL180" s="135">
        <f>(1/3-0.21*(MIN(Table1123457[[#This Row],[b (mm)]],AF180)/MAX(Table1123457[[#This Row],[b (mm)]],AF180))*(MIN(Table1123457[[#This Row],[b (mm)]],AF180)^4/(12*MAX(Table1123457[[#This Row],[b (mm)]],AF180)^4)))*MAX(Table1123457[[#This Row],[b (mm)]],AF180)*MIN(Table1123457[[#This Row],[b (mm)]],AF180)^3</f>
        <v>187544629.45683298</v>
      </c>
      <c r="AM180" s="135">
        <f>Table1123457[[#This Row],[b (mm)]]*AF180^3/12</f>
        <v>302875166.66666669</v>
      </c>
      <c r="AN180" s="111">
        <v>1620</v>
      </c>
      <c r="AP180" s="107"/>
      <c r="AU180" s="383">
        <v>37.200000000000003</v>
      </c>
      <c r="AV180" s="2">
        <f t="shared" si="23"/>
        <v>18.600000000000001</v>
      </c>
    </row>
    <row r="181" spans="1:48" x14ac:dyDescent="0.3">
      <c r="A181" s="263" t="s">
        <v>169</v>
      </c>
      <c r="B181" s="263">
        <v>5</v>
      </c>
      <c r="C181" s="185">
        <v>180</v>
      </c>
      <c r="D181" s="185">
        <f>Table1123457[[#This Row],[a (mm)]]/Table1123457[[#This Row],[d (mm)]]</f>
        <v>2.8928571428571428</v>
      </c>
      <c r="E181" s="264">
        <v>21.5</v>
      </c>
      <c r="F181" s="137">
        <f>Table1123457[[#This Row],[d (mm)]]</f>
        <v>280</v>
      </c>
      <c r="G181" s="135">
        <f t="shared" si="24"/>
        <v>17415</v>
      </c>
      <c r="H181" s="135">
        <f t="shared" si="25"/>
        <v>2.1832181376565189E-6</v>
      </c>
      <c r="I181" s="111">
        <f>G181/(Table1123457[[#This Row],[b (mm)]]*Table1123457[[#This Row],[h]]^2)</f>
        <v>1.4853891949983794E-3</v>
      </c>
      <c r="J181" s="135">
        <f t="shared" si="26"/>
        <v>0.37740402462871703</v>
      </c>
      <c r="K181" s="135">
        <f t="shared" si="27"/>
        <v>3.6509356614436048E-6</v>
      </c>
      <c r="L181" s="135">
        <f>E181/(Table1123457[[#This Row],[b (mm)]]*AE181)</f>
        <v>6.2939110070257614E-4</v>
      </c>
      <c r="M181" s="135">
        <f>Table1123457[[#This Row],[M (KN.mm)]]/(Table1123457[[#This Row],[b (mm)]]*Table1123457[[#This Row],[d (mm)]])</f>
        <v>0.5098067915690867</v>
      </c>
      <c r="N181" s="135">
        <f>Table1123457[[#This Row],[M (KN.mm)]]/(Table1123457[[#This Row],[b (mm)]]*Table1123457[[#This Row],[h (mm)]])</f>
        <v>0.46047065044949764</v>
      </c>
      <c r="O181" s="145">
        <f>Table1123457[[#This Row],[M (KN.mm)]]/(Table1123457[[#This Row],[b (mm)]]*Table1123457[[#This Row],[h (mm)]]*Table1123457[[#This Row],[L(mm)]])</f>
        <v>2.8424114225277631E-4</v>
      </c>
      <c r="P181" s="145">
        <f>Table1123457[[#This Row],[M (KN.mm)]]/(Table1123457[[#This Row],[b (mm)]]*Table1123457[[#This Row],[d (mm)]]*Table1123457[[#This Row],[L(mm)]])</f>
        <v>3.1469555035128807E-4</v>
      </c>
      <c r="Q181" s="145">
        <f>Table1123457[[#This Row],[M (KN.mm)]]/(Table1123457[[#This Row],[b (mm)]]*Table1123457[[#This Row],[h (mm)]]*Table1123457[[#This Row],[L(mm)]]*Table1123457[[#This Row],[fc (Mpa)]])</f>
        <v>3.6771169761031865E-6</v>
      </c>
      <c r="R181" s="145">
        <f>Table1123457[[#This Row],[M (KN.mm)]]/(Table1123457[[#This Row],[b (mm)]]*Table1123457[[#This Row],[h (mm)]]*Table1123457[[#This Row],[L(mm)]]/2)</f>
        <v>5.6848228450555262E-4</v>
      </c>
      <c r="S181" s="145">
        <f>Table1123457[[#This Row],[M (KN.mm)]]/(Table1123457[[#This Row],[a (mm)]]*Table1123457[[#This Row],[b (mm)]]*Table1123457[[#This Row],[h (mm)]]*Table1123457[[#This Row],[L(mm)]]/2)</f>
        <v>7.0182998087105259E-7</v>
      </c>
      <c r="T181" s="145">
        <f>Table1123457[[#This Row],[M (KN.mm)]]/(Table1123457[[#This Row],[a (mm)]]^2*Table1123457[[#This Row],[b (mm)]]*Table1123457[[#This Row],[h (mm)]])</f>
        <v>7.0182998087105259E-7</v>
      </c>
      <c r="U181" s="145">
        <f>Table1123457[[#This Row],[M (KN.mm)]]/(Table1123457[[#This Row],[b (mm)]]*Table1123457[[#This Row],[d (mm)]]*Table1123457[[#This Row],[pho (%)]])</f>
        <v>0.61422505008323691</v>
      </c>
      <c r="V181" s="145">
        <f>E181*224.8/(2*SQRT(Table1123457[[#This Row],[fc (Mpa)]]*145.037)*Table1123457[[#This Row],[b (mm)]]*Table1123457[[#This Row],[d (mm)]]*(1/25.4)^2)</f>
        <v>0.43104756031885705</v>
      </c>
      <c r="W181" s="145">
        <f>Table1123457[[#This Row],[M (KN.mm)]]/$G$185</f>
        <v>0.57409879839786371</v>
      </c>
      <c r="X181" s="145">
        <f>Table1123457[[#This Row],[V/(2*sqrt(fc) bd)]]</f>
        <v>0.43104756031885705</v>
      </c>
      <c r="Y181" s="111">
        <f>Table1123457[[#This Row],[a (mm)]]</f>
        <v>810</v>
      </c>
      <c r="Z181" s="111">
        <f>Table1123457[[#This Row],[width]]*Table1123457[[#This Row],[h]]^2</f>
        <v>11724200</v>
      </c>
      <c r="AA181" s="111">
        <f>Table1123457[[#This Row],[b (mm)]]</f>
        <v>122</v>
      </c>
      <c r="AB181" s="111">
        <f>Table1123457[[#This Row],[a (mm)]]/Table1123457[[#This Row],[h (mm)]]</f>
        <v>2.6129032258064515</v>
      </c>
      <c r="AC181" s="111">
        <f>Table1123457[[#This Row],[h (mm)]]</f>
        <v>310</v>
      </c>
      <c r="AD181" s="111">
        <v>810</v>
      </c>
      <c r="AE181" s="111">
        <v>280</v>
      </c>
      <c r="AF181" s="111">
        <v>310</v>
      </c>
      <c r="AG181" s="111">
        <v>122</v>
      </c>
      <c r="AH181" s="7">
        <v>77.3</v>
      </c>
      <c r="AI181" s="135">
        <f>Table1123457[[#This Row],[pho (%)]]/100*Table1123457[[#This Row],[b (mm)]]*Table1123457[[#This Row],[h (mm)]]</f>
        <v>313.90600000000001</v>
      </c>
      <c r="AJ181" s="135">
        <v>0.83</v>
      </c>
      <c r="AK181" s="160">
        <v>525</v>
      </c>
      <c r="AL181" s="135">
        <f>(1/3-0.21*(MIN(Table1123457[[#This Row],[b (mm)]],AF181)/MAX(Table1123457[[#This Row],[b (mm)]],AF181))*(MIN(Table1123457[[#This Row],[b (mm)]],AF181)^4/(12*MAX(Table1123457[[#This Row],[b (mm)]],AF181)^4)))*MAX(Table1123457[[#This Row],[b (mm)]],AF181)*MIN(Table1123457[[#This Row],[b (mm)]],AF181)^3</f>
        <v>187544629.45683298</v>
      </c>
      <c r="AM181" s="135">
        <f>Table1123457[[#This Row],[b (mm)]]*AF181^3/12</f>
        <v>302875166.66666669</v>
      </c>
      <c r="AN181" s="111">
        <v>1620</v>
      </c>
      <c r="AP181" s="107"/>
      <c r="AU181" s="383">
        <v>43</v>
      </c>
      <c r="AV181" s="2">
        <f t="shared" si="23"/>
        <v>21.5</v>
      </c>
    </row>
    <row r="182" spans="1:48" x14ac:dyDescent="0.3">
      <c r="A182" s="263" t="s">
        <v>169</v>
      </c>
      <c r="B182" s="263">
        <v>6</v>
      </c>
      <c r="C182" s="185">
        <v>181</v>
      </c>
      <c r="D182" s="185">
        <f>Table1123457[[#This Row],[a (mm)]]/Table1123457[[#This Row],[d (mm)]]</f>
        <v>2.8928571428571428</v>
      </c>
      <c r="E182" s="264">
        <v>26.5</v>
      </c>
      <c r="F182" s="137">
        <f>Table1123457[[#This Row],[d (mm)]]</f>
        <v>280</v>
      </c>
      <c r="G182" s="135">
        <f t="shared" si="24"/>
        <v>21465</v>
      </c>
      <c r="H182" s="135">
        <f t="shared" si="25"/>
        <v>2.6909432859487325E-6</v>
      </c>
      <c r="I182" s="111">
        <f>G182/(Table1123457[[#This Row],[b (mm)]]*Table1123457[[#This Row],[h]]^2)</f>
        <v>1.8308285426724212E-3</v>
      </c>
      <c r="J182" s="135">
        <f t="shared" si="26"/>
        <v>0.46517240244934888</v>
      </c>
      <c r="K182" s="135">
        <f t="shared" si="27"/>
        <v>4.4999904664304901E-6</v>
      </c>
      <c r="L182" s="135">
        <f>E182/(Table1123457[[#This Row],[b (mm)]]*AE182)</f>
        <v>7.7576112412177983E-4</v>
      </c>
      <c r="M182" s="135">
        <f>Table1123457[[#This Row],[M (KN.mm)]]/(Table1123457[[#This Row],[b (mm)]]*Table1123457[[#This Row],[d (mm)]])</f>
        <v>0.62836651053864168</v>
      </c>
      <c r="N182" s="135">
        <f>Table1123457[[#This Row],[M (KN.mm)]]/(Table1123457[[#This Row],[b (mm)]]*Table1123457[[#This Row],[h (mm)]])</f>
        <v>0.56755684822845054</v>
      </c>
      <c r="O182" s="145">
        <f>Table1123457[[#This Row],[M (KN.mm)]]/(Table1123457[[#This Row],[b (mm)]]*Table1123457[[#This Row],[h (mm)]]*Table1123457[[#This Row],[L(mm)]])</f>
        <v>3.5034373347435219E-4</v>
      </c>
      <c r="P182" s="145">
        <f>Table1123457[[#This Row],[M (KN.mm)]]/(Table1123457[[#This Row],[b (mm)]]*Table1123457[[#This Row],[d (mm)]]*Table1123457[[#This Row],[L(mm)]])</f>
        <v>3.8788056206088992E-4</v>
      </c>
      <c r="Q182" s="145">
        <f>Table1123457[[#This Row],[M (KN.mm)]]/(Table1123457[[#This Row],[b (mm)]]*Table1123457[[#This Row],[h (mm)]]*Table1123457[[#This Row],[L(mm)]]*Table1123457[[#This Row],[fc (Mpa)]])</f>
        <v>4.5322604589178806E-6</v>
      </c>
      <c r="R182" s="145">
        <f>Table1123457[[#This Row],[M (KN.mm)]]/(Table1123457[[#This Row],[b (mm)]]*Table1123457[[#This Row],[h (mm)]]*Table1123457[[#This Row],[L(mm)]]/2)</f>
        <v>7.0068746694870439E-4</v>
      </c>
      <c r="S182" s="145">
        <f>Table1123457[[#This Row],[M (KN.mm)]]/(Table1123457[[#This Row],[a (mm)]]*Table1123457[[#This Row],[b (mm)]]*Table1123457[[#This Row],[h (mm)]]*Table1123457[[#This Row],[L(mm)]]/2)</f>
        <v>8.6504625549222763E-7</v>
      </c>
      <c r="T182" s="145">
        <f>Table1123457[[#This Row],[M (KN.mm)]]/(Table1123457[[#This Row],[a (mm)]]^2*Table1123457[[#This Row],[b (mm)]]*Table1123457[[#This Row],[h (mm)]])</f>
        <v>8.6504625549222763E-7</v>
      </c>
      <c r="U182" s="145">
        <f>Table1123457[[#This Row],[M (KN.mm)]]/(Table1123457[[#This Row],[b (mm)]]*Table1123457[[#This Row],[d (mm)]]*Table1123457[[#This Row],[pho (%)]])</f>
        <v>0.75706808498631528</v>
      </c>
      <c r="V182" s="145">
        <f>E182*224.8/(2*SQRT(Table1123457[[#This Row],[fc (Mpa)]]*145.037)*Table1123457[[#This Row],[b (mm)]]*Table1123457[[#This Row],[d (mm)]]*(1/25.4)^2)</f>
        <v>0.5312911789976611</v>
      </c>
      <c r="W182" s="145">
        <f>Table1123457[[#This Row],[M (KN.mm)]]/$G$185</f>
        <v>0.70761014686248325</v>
      </c>
      <c r="X182" s="145">
        <f>Table1123457[[#This Row],[V/(2*sqrt(fc) bd)]]</f>
        <v>0.5312911789976611</v>
      </c>
      <c r="Y182" s="111">
        <f>Table1123457[[#This Row],[a (mm)]]</f>
        <v>810</v>
      </c>
      <c r="Z182" s="111">
        <f>Table1123457[[#This Row],[width]]*Table1123457[[#This Row],[h]]^2</f>
        <v>11724200</v>
      </c>
      <c r="AA182" s="111">
        <f>Table1123457[[#This Row],[b (mm)]]</f>
        <v>122</v>
      </c>
      <c r="AB182" s="111">
        <f>Table1123457[[#This Row],[a (mm)]]/Table1123457[[#This Row],[h (mm)]]</f>
        <v>2.6129032258064515</v>
      </c>
      <c r="AC182" s="111">
        <f>Table1123457[[#This Row],[h (mm)]]</f>
        <v>310</v>
      </c>
      <c r="AD182" s="111">
        <v>810</v>
      </c>
      <c r="AE182" s="111">
        <v>280</v>
      </c>
      <c r="AF182" s="111">
        <v>310</v>
      </c>
      <c r="AG182" s="111">
        <v>122</v>
      </c>
      <c r="AH182" s="7">
        <v>77.3</v>
      </c>
      <c r="AI182" s="135">
        <f>Table1123457[[#This Row],[pho (%)]]/100*Table1123457[[#This Row],[b (mm)]]*Table1123457[[#This Row],[h (mm)]]</f>
        <v>313.90600000000001</v>
      </c>
      <c r="AJ182" s="135">
        <v>0.83</v>
      </c>
      <c r="AK182" s="160">
        <v>525</v>
      </c>
      <c r="AL182" s="135">
        <f>(1/3-0.21*(MIN(Table1123457[[#This Row],[b (mm)]],AF182)/MAX(Table1123457[[#This Row],[b (mm)]],AF182))*(MIN(Table1123457[[#This Row],[b (mm)]],AF182)^4/(12*MAX(Table1123457[[#This Row],[b (mm)]],AF182)^4)))*MAX(Table1123457[[#This Row],[b (mm)]],AF182)*MIN(Table1123457[[#This Row],[b (mm)]],AF182)^3</f>
        <v>187544629.45683298</v>
      </c>
      <c r="AM182" s="135">
        <f>Table1123457[[#This Row],[b (mm)]]*AF182^3/12</f>
        <v>302875166.66666669</v>
      </c>
      <c r="AN182" s="111">
        <v>1620</v>
      </c>
      <c r="AP182" s="107"/>
      <c r="AU182" s="383">
        <v>53</v>
      </c>
      <c r="AV182" s="2">
        <f t="shared" si="23"/>
        <v>26.5</v>
      </c>
    </row>
    <row r="183" spans="1:48" x14ac:dyDescent="0.3">
      <c r="A183" s="263" t="s">
        <v>169</v>
      </c>
      <c r="B183" s="263">
        <v>7</v>
      </c>
      <c r="C183" s="185">
        <v>182</v>
      </c>
      <c r="D183" s="185">
        <f>Table1123457[[#This Row],[a (mm)]]/Table1123457[[#This Row],[d (mm)]]</f>
        <v>2.8928571428571428</v>
      </c>
      <c r="E183" s="264">
        <v>31.5</v>
      </c>
      <c r="F183" s="137">
        <f>Table1123457[[#This Row],[d (mm)]]</f>
        <v>280</v>
      </c>
      <c r="G183" s="135">
        <f t="shared" si="24"/>
        <v>25515</v>
      </c>
      <c r="H183" s="135">
        <f t="shared" si="25"/>
        <v>3.1986684342409466E-6</v>
      </c>
      <c r="I183" s="111">
        <f>G183/(Table1123457[[#This Row],[b (mm)]]*Table1123457[[#This Row],[h]]^2)</f>
        <v>2.1762678903464627E-3</v>
      </c>
      <c r="J183" s="135">
        <f t="shared" si="26"/>
        <v>0.55294078026998073</v>
      </c>
      <c r="K183" s="135">
        <f t="shared" si="27"/>
        <v>5.349045271417375E-6</v>
      </c>
      <c r="L183" s="135">
        <f>E183/(Table1123457[[#This Row],[b (mm)]]*AE183)</f>
        <v>9.2213114754098363E-4</v>
      </c>
      <c r="M183" s="135">
        <f>Table1123457[[#This Row],[M (KN.mm)]]/(Table1123457[[#This Row],[b (mm)]]*Table1123457[[#This Row],[d (mm)]])</f>
        <v>0.74692622950819676</v>
      </c>
      <c r="N183" s="135">
        <f>Table1123457[[#This Row],[M (KN.mm)]]/(Table1123457[[#This Row],[b (mm)]]*Table1123457[[#This Row],[h (mm)]])</f>
        <v>0.67464304600740344</v>
      </c>
      <c r="O183" s="145">
        <f>Table1123457[[#This Row],[M (KN.mm)]]/(Table1123457[[#This Row],[b (mm)]]*Table1123457[[#This Row],[h (mm)]]*Table1123457[[#This Row],[L(mm)]])</f>
        <v>4.1644632469592808E-4</v>
      </c>
      <c r="P183" s="145">
        <f>Table1123457[[#This Row],[M (KN.mm)]]/(Table1123457[[#This Row],[b (mm)]]*Table1123457[[#This Row],[d (mm)]]*Table1123457[[#This Row],[L(mm)]])</f>
        <v>4.6106557377049182E-4</v>
      </c>
      <c r="Q183" s="145">
        <f>Table1123457[[#This Row],[M (KN.mm)]]/(Table1123457[[#This Row],[b (mm)]]*Table1123457[[#This Row],[h (mm)]]*Table1123457[[#This Row],[L(mm)]]*Table1123457[[#This Row],[fc (Mpa)]])</f>
        <v>5.3874039417325752E-6</v>
      </c>
      <c r="R183" s="145">
        <f>Table1123457[[#This Row],[M (KN.mm)]]/(Table1123457[[#This Row],[b (mm)]]*Table1123457[[#This Row],[h (mm)]]*Table1123457[[#This Row],[L(mm)]]/2)</f>
        <v>8.3289264939185616E-4</v>
      </c>
      <c r="S183" s="145">
        <f>Table1123457[[#This Row],[M (KN.mm)]]/(Table1123457[[#This Row],[a (mm)]]*Table1123457[[#This Row],[b (mm)]]*Table1123457[[#This Row],[h (mm)]]*Table1123457[[#This Row],[L(mm)]]/2)</f>
        <v>1.0282625301134027E-6</v>
      </c>
      <c r="T183" s="145">
        <f>Table1123457[[#This Row],[M (KN.mm)]]/(Table1123457[[#This Row],[a (mm)]]^2*Table1123457[[#This Row],[b (mm)]]*Table1123457[[#This Row],[h (mm)]])</f>
        <v>1.0282625301134027E-6</v>
      </c>
      <c r="U183" s="145">
        <f>Table1123457[[#This Row],[M (KN.mm)]]/(Table1123457[[#This Row],[b (mm)]]*Table1123457[[#This Row],[d (mm)]]*Table1123457[[#This Row],[pho (%)]])</f>
        <v>0.89991111988939365</v>
      </c>
      <c r="V183" s="145">
        <f>E183*224.8/(2*SQRT(Table1123457[[#This Row],[fc (Mpa)]]*145.037)*Table1123457[[#This Row],[b (mm)]]*Table1123457[[#This Row],[d (mm)]]*(1/25.4)^2)</f>
        <v>0.63153479767646503</v>
      </c>
      <c r="W183" s="145">
        <f>Table1123457[[#This Row],[M (KN.mm)]]/$G$185</f>
        <v>0.84112149532710268</v>
      </c>
      <c r="X183" s="145">
        <f>Table1123457[[#This Row],[V/(2*sqrt(fc) bd)]]</f>
        <v>0.63153479767646503</v>
      </c>
      <c r="Y183" s="111">
        <f>Table1123457[[#This Row],[a (mm)]]</f>
        <v>810</v>
      </c>
      <c r="Z183" s="111">
        <f>Table1123457[[#This Row],[width]]*Table1123457[[#This Row],[h]]^2</f>
        <v>11724200</v>
      </c>
      <c r="AA183" s="111">
        <f>Table1123457[[#This Row],[b (mm)]]</f>
        <v>122</v>
      </c>
      <c r="AB183" s="111">
        <f>Table1123457[[#This Row],[a (mm)]]/Table1123457[[#This Row],[h (mm)]]</f>
        <v>2.6129032258064515</v>
      </c>
      <c r="AC183" s="111">
        <f>Table1123457[[#This Row],[h (mm)]]</f>
        <v>310</v>
      </c>
      <c r="AD183" s="111">
        <v>810</v>
      </c>
      <c r="AE183" s="111">
        <v>280</v>
      </c>
      <c r="AF183" s="111">
        <v>310</v>
      </c>
      <c r="AG183" s="111">
        <v>122</v>
      </c>
      <c r="AH183" s="7">
        <v>77.3</v>
      </c>
      <c r="AI183" s="135">
        <f>Table1123457[[#This Row],[pho (%)]]/100*Table1123457[[#This Row],[b (mm)]]*Table1123457[[#This Row],[h (mm)]]</f>
        <v>313.90600000000001</v>
      </c>
      <c r="AJ183" s="135">
        <v>0.83</v>
      </c>
      <c r="AK183" s="160">
        <v>525</v>
      </c>
      <c r="AL183" s="135">
        <f>(1/3-0.21*(MIN(Table1123457[[#This Row],[b (mm)]],AF183)/MAX(Table1123457[[#This Row],[b (mm)]],AF183))*(MIN(Table1123457[[#This Row],[b (mm)]],AF183)^4/(12*MAX(Table1123457[[#This Row],[b (mm)]],AF183)^4)))*MAX(Table1123457[[#This Row],[b (mm)]],AF183)*MIN(Table1123457[[#This Row],[b (mm)]],AF183)^3</f>
        <v>187544629.45683298</v>
      </c>
      <c r="AM183" s="135">
        <f>Table1123457[[#This Row],[b (mm)]]*AF183^3/12</f>
        <v>302875166.66666669</v>
      </c>
      <c r="AN183" s="111">
        <v>1620</v>
      </c>
      <c r="AP183" s="107"/>
      <c r="AU183" s="383">
        <v>63</v>
      </c>
      <c r="AV183" s="2">
        <f t="shared" si="23"/>
        <v>31.5</v>
      </c>
    </row>
    <row r="184" spans="1:48" x14ac:dyDescent="0.3">
      <c r="A184" s="263" t="s">
        <v>169</v>
      </c>
      <c r="B184" s="263">
        <v>8</v>
      </c>
      <c r="C184" s="185">
        <v>183</v>
      </c>
      <c r="D184" s="185">
        <f>Table1123457[[#This Row],[a (mm)]]/Table1123457[[#This Row],[d (mm)]]</f>
        <v>2.8928571428571428</v>
      </c>
      <c r="E184" s="264">
        <v>37.049999999999997</v>
      </c>
      <c r="F184" s="137">
        <f>Table1123457[[#This Row],[d (mm)]]</f>
        <v>280</v>
      </c>
      <c r="G184" s="135">
        <f t="shared" si="24"/>
        <v>30010.499999999996</v>
      </c>
      <c r="H184" s="135">
        <f t="shared" si="25"/>
        <v>3.7622433488453032E-6</v>
      </c>
      <c r="I184" s="111">
        <f>G184/(Table1123457[[#This Row],[b (mm)]]*Table1123457[[#This Row],[h]]^2)</f>
        <v>2.5597055662646487E-3</v>
      </c>
      <c r="J184" s="135">
        <f t="shared" si="26"/>
        <v>0.65036367965088204</v>
      </c>
      <c r="K184" s="135">
        <f t="shared" si="27"/>
        <v>6.2914961049528164E-6</v>
      </c>
      <c r="L184" s="135">
        <f>E184/(Table1123457[[#This Row],[b (mm)]]*AE184)</f>
        <v>1.0846018735362996E-3</v>
      </c>
      <c r="M184" s="135">
        <f>Table1123457[[#This Row],[M (KN.mm)]]/(Table1123457[[#This Row],[b (mm)]]*Table1123457[[#This Row],[d (mm)]])</f>
        <v>0.87852751756440273</v>
      </c>
      <c r="N184" s="135">
        <f>Table1123457[[#This Row],[M (KN.mm)]]/(Table1123457[[#This Row],[b (mm)]]*Table1123457[[#This Row],[h (mm)]])</f>
        <v>0.7935087255420411</v>
      </c>
      <c r="O184" s="145">
        <f>Table1123457[[#This Row],[M (KN.mm)]]/(Table1123457[[#This Row],[b (mm)]]*Table1123457[[#This Row],[h (mm)]]*Table1123457[[#This Row],[L(mm)]])</f>
        <v>4.8982020095187729E-4</v>
      </c>
      <c r="P184" s="145">
        <f>Table1123457[[#This Row],[M (KN.mm)]]/(Table1123457[[#This Row],[b (mm)]]*Table1123457[[#This Row],[d (mm)]]*Table1123457[[#This Row],[L(mm)]])</f>
        <v>5.4230093676814982E-4</v>
      </c>
      <c r="Q184" s="145">
        <f>Table1123457[[#This Row],[M (KN.mm)]]/(Table1123457[[#This Row],[b (mm)]]*Table1123457[[#This Row],[h (mm)]]*Table1123457[[#This Row],[L(mm)]]*Table1123457[[#This Row],[fc (Mpa)]])</f>
        <v>6.3366132076568857E-6</v>
      </c>
      <c r="R184" s="145">
        <f>Table1123457[[#This Row],[M (KN.mm)]]/(Table1123457[[#This Row],[b (mm)]]*Table1123457[[#This Row],[h (mm)]]*Table1123457[[#This Row],[L(mm)]]/2)</f>
        <v>9.7964040190375457E-4</v>
      </c>
      <c r="S184" s="145">
        <f>Table1123457[[#This Row],[M (KN.mm)]]/(Table1123457[[#This Row],[a (mm)]]*Table1123457[[#This Row],[b (mm)]]*Table1123457[[#This Row],[h (mm)]]*Table1123457[[#This Row],[L(mm)]]/2)</f>
        <v>1.2094325949429068E-6</v>
      </c>
      <c r="T184" s="145">
        <f>Table1123457[[#This Row],[M (KN.mm)]]/(Table1123457[[#This Row],[a (mm)]]^2*Table1123457[[#This Row],[b (mm)]]*Table1123457[[#This Row],[h (mm)]])</f>
        <v>1.2094325949429068E-6</v>
      </c>
      <c r="U184" s="145">
        <f>Table1123457[[#This Row],[M (KN.mm)]]/(Table1123457[[#This Row],[b (mm)]]*Table1123457[[#This Row],[d (mm)]]*Table1123457[[#This Row],[pho (%)]])</f>
        <v>1.0584668886318105</v>
      </c>
      <c r="V184" s="145">
        <f>E184*224.8/(2*SQRT(Table1123457[[#This Row],[fc (Mpa)]]*145.037)*Table1123457[[#This Row],[b (mm)]]*Table1123457[[#This Row],[d (mm)]]*(1/25.4)^2)</f>
        <v>0.74280521440993741</v>
      </c>
      <c r="W184" s="145">
        <f>Table1123457[[#This Row],[M (KN.mm)]]/$G$185</f>
        <v>0.9893190921228302</v>
      </c>
      <c r="X184" s="145">
        <f>Table1123457[[#This Row],[V/(2*sqrt(fc) bd)]]</f>
        <v>0.74280521440993741</v>
      </c>
      <c r="Y184" s="111">
        <f>Table1123457[[#This Row],[a (mm)]]</f>
        <v>810</v>
      </c>
      <c r="Z184" s="111">
        <f>Table1123457[[#This Row],[width]]*Table1123457[[#This Row],[h]]^2</f>
        <v>11724200</v>
      </c>
      <c r="AA184" s="111">
        <f>Table1123457[[#This Row],[b (mm)]]</f>
        <v>122</v>
      </c>
      <c r="AB184" s="111">
        <f>Table1123457[[#This Row],[a (mm)]]/Table1123457[[#This Row],[h (mm)]]</f>
        <v>2.6129032258064515</v>
      </c>
      <c r="AC184" s="111">
        <f>Table1123457[[#This Row],[h (mm)]]</f>
        <v>310</v>
      </c>
      <c r="AD184" s="111">
        <v>810</v>
      </c>
      <c r="AE184" s="111">
        <v>280</v>
      </c>
      <c r="AF184" s="111">
        <v>310</v>
      </c>
      <c r="AG184" s="111">
        <v>122</v>
      </c>
      <c r="AH184" s="7">
        <v>77.3</v>
      </c>
      <c r="AI184" s="135">
        <f>Table1123457[[#This Row],[pho (%)]]/100*Table1123457[[#This Row],[b (mm)]]*Table1123457[[#This Row],[h (mm)]]</f>
        <v>313.90600000000001</v>
      </c>
      <c r="AJ184" s="135">
        <v>0.83</v>
      </c>
      <c r="AK184" s="160">
        <v>525</v>
      </c>
      <c r="AL184" s="135">
        <f>(1/3-0.21*(MIN(Table1123457[[#This Row],[b (mm)]],AF184)/MAX(Table1123457[[#This Row],[b (mm)]],AF184))*(MIN(Table1123457[[#This Row],[b (mm)]],AF184)^4/(12*MAX(Table1123457[[#This Row],[b (mm)]],AF184)^4)))*MAX(Table1123457[[#This Row],[b (mm)]],AF184)*MIN(Table1123457[[#This Row],[b (mm)]],AF184)^3</f>
        <v>187544629.45683298</v>
      </c>
      <c r="AM184" s="135">
        <f>Table1123457[[#This Row],[b (mm)]]*AF184^3/12</f>
        <v>302875166.66666669</v>
      </c>
      <c r="AN184" s="111">
        <v>1620</v>
      </c>
      <c r="AP184" s="107"/>
      <c r="AU184" s="383">
        <v>74.099999999999994</v>
      </c>
      <c r="AV184" s="2">
        <f t="shared" si="23"/>
        <v>37.049999999999997</v>
      </c>
    </row>
    <row r="185" spans="1:48" x14ac:dyDescent="0.3">
      <c r="A185" s="263" t="s">
        <v>169</v>
      </c>
      <c r="B185" s="263" t="s">
        <v>142</v>
      </c>
      <c r="C185" s="185">
        <v>184</v>
      </c>
      <c r="D185" s="185">
        <f>Table1123457[[#This Row],[a (mm)]]/Table1123457[[#This Row],[d (mm)]]</f>
        <v>2.8928571428571428</v>
      </c>
      <c r="E185" s="264">
        <v>37.450000000000003</v>
      </c>
      <c r="F185" s="137">
        <f>Table1123457[[#This Row],[d (mm)]]</f>
        <v>280</v>
      </c>
      <c r="G185" s="135">
        <f t="shared" si="24"/>
        <v>30334.500000000004</v>
      </c>
      <c r="H185" s="135">
        <f t="shared" si="25"/>
        <v>3.8028613607086812E-6</v>
      </c>
      <c r="I185" s="111">
        <f>G185/(Table1123457[[#This Row],[b (mm)]]*Table1123457[[#This Row],[h]]^2)</f>
        <v>2.5873407140785728E-3</v>
      </c>
      <c r="J185" s="135">
        <f t="shared" si="26"/>
        <v>0.65738514987653274</v>
      </c>
      <c r="K185" s="135">
        <f t="shared" si="27"/>
        <v>6.3594204893517683E-6</v>
      </c>
      <c r="L185" s="135">
        <f>E185/(Table1123457[[#This Row],[b (mm)]]*AE185)</f>
        <v>1.0963114754098361E-3</v>
      </c>
      <c r="M185" s="135">
        <f>Table1123457[[#This Row],[M (KN.mm)]]/(Table1123457[[#This Row],[b (mm)]]*Table1123457[[#This Row],[d (mm)]])</f>
        <v>0.88801229508196733</v>
      </c>
      <c r="N185" s="135">
        <f>Table1123457[[#This Row],[M (KN.mm)]]/(Table1123457[[#This Row],[b (mm)]]*Table1123457[[#This Row],[h (mm)]])</f>
        <v>0.80207562136435762</v>
      </c>
      <c r="O185" s="145">
        <f>Table1123457[[#This Row],[M (KN.mm)]]/(Table1123457[[#This Row],[b (mm)]]*Table1123457[[#This Row],[h (mm)]]*Table1123457[[#This Row],[L(mm)]])</f>
        <v>4.9510840824960347E-4</v>
      </c>
      <c r="P185" s="145">
        <f>Table1123457[[#This Row],[M (KN.mm)]]/(Table1123457[[#This Row],[b (mm)]]*Table1123457[[#This Row],[d (mm)]]*Table1123457[[#This Row],[L(mm)]])</f>
        <v>5.4815573770491813E-4</v>
      </c>
      <c r="Q185" s="145">
        <f>Table1123457[[#This Row],[M (KN.mm)]]/(Table1123457[[#This Row],[b (mm)]]*Table1123457[[#This Row],[h (mm)]]*Table1123457[[#This Row],[L(mm)]]*Table1123457[[#This Row],[fc (Mpa)]])</f>
        <v>6.4050246862820625E-6</v>
      </c>
      <c r="R185" s="145">
        <f>Table1123457[[#This Row],[M (KN.mm)]]/(Table1123457[[#This Row],[b (mm)]]*Table1123457[[#This Row],[h (mm)]]*Table1123457[[#This Row],[L(mm)]]/2)</f>
        <v>9.9021681649920693E-4</v>
      </c>
      <c r="S185" s="145">
        <f>Table1123457[[#This Row],[M (KN.mm)]]/(Table1123457[[#This Row],[a (mm)]]*Table1123457[[#This Row],[b (mm)]]*Table1123457[[#This Row],[h (mm)]]*Table1123457[[#This Row],[L(mm)]]/2)</f>
        <v>1.2224898969126011E-6</v>
      </c>
      <c r="T185" s="145">
        <f>Table1123457[[#This Row],[M (KN.mm)]]/(Table1123457[[#This Row],[a (mm)]]^2*Table1123457[[#This Row],[b (mm)]]*Table1123457[[#This Row],[h (mm)]])</f>
        <v>1.2224898969126011E-6</v>
      </c>
      <c r="U185" s="145">
        <f>Table1123457[[#This Row],[M (KN.mm)]]/(Table1123457[[#This Row],[b (mm)]]*Table1123457[[#This Row],[d (mm)]]*Table1123457[[#This Row],[pho (%)]])</f>
        <v>1.069894331424057</v>
      </c>
      <c r="V185" s="145">
        <f>E185*224.8/(2*SQRT(Table1123457[[#This Row],[fc (Mpa)]]*145.037)*Table1123457[[#This Row],[b (mm)]]*Table1123457[[#This Row],[d (mm)]]*(1/25.4)^2)</f>
        <v>0.75082470390424172</v>
      </c>
      <c r="W185" s="145">
        <f>Table1123457[[#This Row],[M (KN.mm)]]/$G$185</f>
        <v>1</v>
      </c>
      <c r="X185" s="145">
        <f>Table1123457[[#This Row],[V/(2*sqrt(fc) bd)]]</f>
        <v>0.75082470390424172</v>
      </c>
      <c r="Y185" s="111">
        <f>Table1123457[[#This Row],[a (mm)]]</f>
        <v>810</v>
      </c>
      <c r="Z185" s="111">
        <f>Table1123457[[#This Row],[width]]*Table1123457[[#This Row],[h]]^2</f>
        <v>11724200</v>
      </c>
      <c r="AA185" s="111">
        <f>Table1123457[[#This Row],[b (mm)]]</f>
        <v>122</v>
      </c>
      <c r="AB185" s="111">
        <f>Table1123457[[#This Row],[a (mm)]]/Table1123457[[#This Row],[h (mm)]]</f>
        <v>2.6129032258064515</v>
      </c>
      <c r="AC185" s="111">
        <f>Table1123457[[#This Row],[h (mm)]]</f>
        <v>310</v>
      </c>
      <c r="AD185" s="111">
        <v>810</v>
      </c>
      <c r="AE185" s="111">
        <v>280</v>
      </c>
      <c r="AF185" s="111">
        <v>310</v>
      </c>
      <c r="AG185" s="111">
        <v>122</v>
      </c>
      <c r="AH185" s="7">
        <v>77.3</v>
      </c>
      <c r="AI185" s="135">
        <f>Table1123457[[#This Row],[pho (%)]]/100*Table1123457[[#This Row],[b (mm)]]*Table1123457[[#This Row],[h (mm)]]</f>
        <v>313.90600000000001</v>
      </c>
      <c r="AJ185" s="135">
        <v>0.83</v>
      </c>
      <c r="AK185" s="160">
        <v>525</v>
      </c>
      <c r="AL185" s="135">
        <f>(1/3-0.21*(MIN(Table1123457[[#This Row],[b (mm)]],AF185)/MAX(Table1123457[[#This Row],[b (mm)]],AF185))*(MIN(Table1123457[[#This Row],[b (mm)]],AF185)^4/(12*MAX(Table1123457[[#This Row],[b (mm)]],AF185)^4)))*MAX(Table1123457[[#This Row],[b (mm)]],AF185)*MIN(Table1123457[[#This Row],[b (mm)]],AF185)^3</f>
        <v>187544629.45683298</v>
      </c>
      <c r="AM185" s="135">
        <f>Table1123457[[#This Row],[b (mm)]]*AF185^3/12</f>
        <v>302875166.66666669</v>
      </c>
      <c r="AN185" s="111">
        <v>1620</v>
      </c>
      <c r="AP185" s="107"/>
      <c r="AU185" s="383">
        <v>74.900000000000006</v>
      </c>
      <c r="AV185" s="2">
        <f t="shared" si="23"/>
        <v>37.450000000000003</v>
      </c>
    </row>
    <row r="186" spans="1:48" x14ac:dyDescent="0.3">
      <c r="A186" s="265" t="s">
        <v>170</v>
      </c>
      <c r="B186" s="265">
        <v>1</v>
      </c>
      <c r="C186" s="185">
        <v>185</v>
      </c>
      <c r="D186" s="185">
        <f>Table1123457[[#This Row],[a (mm)]]/Table1123457[[#This Row],[d (mm)]]</f>
        <v>2.8928571428571428</v>
      </c>
      <c r="E186" s="266">
        <v>11.3</v>
      </c>
      <c r="F186" s="137">
        <f>Table1123457[[#This Row],[d (mm)]]</f>
        <v>280</v>
      </c>
      <c r="G186" s="135">
        <f t="shared" si="24"/>
        <v>9153</v>
      </c>
      <c r="H186" s="135">
        <f t="shared" si="25"/>
        <v>1.147458835140403E-6</v>
      </c>
      <c r="I186" s="111">
        <f>G186/(Table1123457[[#This Row],[b (mm)]]*Table1123457[[#This Row],[h]]^2)</f>
        <v>7.8069292574333435E-4</v>
      </c>
      <c r="J186" s="135">
        <f t="shared" si="26"/>
        <v>0.12286262919100094</v>
      </c>
      <c r="K186" s="135">
        <f t="shared" si="27"/>
        <v>1.91886385927036E-6</v>
      </c>
      <c r="L186" s="135">
        <f>E186/(Table1123457[[#This Row],[b (mm)]]*AE186)</f>
        <v>3.307962529274005E-4</v>
      </c>
      <c r="M186" s="135">
        <f>Table1123457[[#This Row],[M (KN.mm)]]/(Table1123457[[#This Row],[b (mm)]]*Table1123457[[#This Row],[d (mm)]])</f>
        <v>0.2679449648711944</v>
      </c>
      <c r="N186" s="135">
        <f>Table1123457[[#This Row],[M (KN.mm)]]/(Table1123457[[#This Row],[b (mm)]]*Table1123457[[#This Row],[h (mm)]])</f>
        <v>0.24201480698043362</v>
      </c>
      <c r="O186" s="145">
        <f>Table1123457[[#This Row],[M (KN.mm)]]/(Table1123457[[#This Row],[b (mm)]]*Table1123457[[#This Row],[h (mm)]]*Table1123457[[#This Row],[L(mm)]])</f>
        <v>1.493918561607615E-4</v>
      </c>
      <c r="P186" s="145">
        <f>Table1123457[[#This Row],[M (KN.mm)]]/(Table1123457[[#This Row],[b (mm)]]*Table1123457[[#This Row],[d (mm)]]*Table1123457[[#This Row],[L(mm)]])</f>
        <v>1.6539812646370025E-4</v>
      </c>
      <c r="Q186" s="145">
        <f>Table1123457[[#This Row],[M (KN.mm)]]/(Table1123457[[#This Row],[b (mm)]]*Table1123457[[#This Row],[h (mm)]]*Table1123457[[#This Row],[L(mm)]]*Table1123457[[#This Row],[fc (Mpa)]])</f>
        <v>1.9326242711612094E-6</v>
      </c>
      <c r="R186" s="145">
        <f>Table1123457[[#This Row],[M (KN.mm)]]/(Table1123457[[#This Row],[b (mm)]]*Table1123457[[#This Row],[h (mm)]]*Table1123457[[#This Row],[L(mm)]]/2)</f>
        <v>2.98783712321523E-4</v>
      </c>
      <c r="S186" s="145">
        <f>Table1123457[[#This Row],[M (KN.mm)]]/(Table1123457[[#This Row],[a (mm)]]*Table1123457[[#This Row],[b (mm)]]*Table1123457[[#This Row],[h (mm)]]*Table1123457[[#This Row],[L(mm)]]/2)</f>
        <v>3.6886878064385554E-7</v>
      </c>
      <c r="T186" s="145">
        <f>Table1123457[[#This Row],[M (KN.mm)]]/(Table1123457[[#This Row],[a (mm)]]^2*Table1123457[[#This Row],[b (mm)]]*Table1123457[[#This Row],[h (mm)]])</f>
        <v>3.6886878064385554E-7</v>
      </c>
      <c r="U186" s="145">
        <f>Table1123457[[#This Row],[M (KN.mm)]]/(Table1123457[[#This Row],[b (mm)]]*Table1123457[[#This Row],[d (mm)]]*Table1123457[[#This Row],[pho (%)]])</f>
        <v>0.19995892900835402</v>
      </c>
      <c r="V186" s="145">
        <f>E186*224.8/(2*SQRT(Table1123457[[#This Row],[fc (Mpa)]]*145.037)*Table1123457[[#This Row],[b (mm)]]*Table1123457[[#This Row],[d (mm)]]*(1/25.4)^2)</f>
        <v>0.22655057821409699</v>
      </c>
      <c r="W186" s="145">
        <f>Table1123457[[#This Row],[M (KN.mm)]]/$G$194</f>
        <v>0.1712121212121212</v>
      </c>
      <c r="X186" s="145">
        <f>Table1123457[[#This Row],[V/(2*sqrt(fc) bd)]]</f>
        <v>0.22655057821409699</v>
      </c>
      <c r="Y186" s="111">
        <f>Table1123457[[#This Row],[a (mm)]]</f>
        <v>810</v>
      </c>
      <c r="Z186" s="111">
        <f>Table1123457[[#This Row],[width]]*Table1123457[[#This Row],[h]]^2</f>
        <v>11724200</v>
      </c>
      <c r="AA186" s="111">
        <f>Table1123457[[#This Row],[b (mm)]]</f>
        <v>122</v>
      </c>
      <c r="AB186" s="111">
        <f>Table1123457[[#This Row],[a (mm)]]/Table1123457[[#This Row],[h (mm)]]</f>
        <v>2.6129032258064515</v>
      </c>
      <c r="AC186" s="111">
        <f>Table1123457[[#This Row],[h (mm)]]</f>
        <v>310</v>
      </c>
      <c r="AD186" s="111">
        <v>810</v>
      </c>
      <c r="AE186" s="111">
        <v>280</v>
      </c>
      <c r="AF186" s="111">
        <v>310</v>
      </c>
      <c r="AG186" s="111">
        <v>122</v>
      </c>
      <c r="AH186" s="7">
        <v>77.3</v>
      </c>
      <c r="AI186" s="135">
        <f>Table1123457[[#This Row],[pho (%)]]/100*Table1123457[[#This Row],[b (mm)]]*Table1123457[[#This Row],[h (mm)]]</f>
        <v>506.78800000000001</v>
      </c>
      <c r="AJ186" s="135">
        <v>1.34</v>
      </c>
      <c r="AK186" s="160">
        <v>525</v>
      </c>
      <c r="AL186" s="135">
        <f>(1/3-0.21*(MIN(Table1123457[[#This Row],[b (mm)]],AF186)/MAX(Table1123457[[#This Row],[b (mm)]],AF186))*(MIN(Table1123457[[#This Row],[b (mm)]],AF186)^4/(12*MAX(Table1123457[[#This Row],[b (mm)]],AF186)^4)))*MAX(Table1123457[[#This Row],[b (mm)]],AF186)*MIN(Table1123457[[#This Row],[b (mm)]],AF186)^3</f>
        <v>187544629.45683298</v>
      </c>
      <c r="AM186" s="135">
        <f>Table1123457[[#This Row],[b (mm)]]*AF186^3/12</f>
        <v>302875166.66666669</v>
      </c>
      <c r="AN186" s="111">
        <v>1620</v>
      </c>
      <c r="AP186" s="107"/>
      <c r="AU186" s="384">
        <v>22.6</v>
      </c>
      <c r="AV186" s="2">
        <f t="shared" si="23"/>
        <v>11.3</v>
      </c>
    </row>
    <row r="187" spans="1:48" x14ac:dyDescent="0.3">
      <c r="A187" s="265" t="s">
        <v>170</v>
      </c>
      <c r="B187" s="265">
        <v>2</v>
      </c>
      <c r="C187" s="185">
        <v>186</v>
      </c>
      <c r="D187" s="185">
        <f>Table1123457[[#This Row],[a (mm)]]/Table1123457[[#This Row],[d (mm)]]</f>
        <v>2.8928571428571428</v>
      </c>
      <c r="E187" s="266">
        <v>17.2</v>
      </c>
      <c r="F187" s="137">
        <f>Table1123457[[#This Row],[d (mm)]]</f>
        <v>280</v>
      </c>
      <c r="G187" s="135">
        <f t="shared" si="24"/>
        <v>13932</v>
      </c>
      <c r="H187" s="135">
        <f t="shared" si="25"/>
        <v>1.7465745101252152E-6</v>
      </c>
      <c r="I187" s="111">
        <f>G187/(Table1123457[[#This Row],[b (mm)]]*Table1123457[[#This Row],[h]]^2)</f>
        <v>1.1883113559987034E-3</v>
      </c>
      <c r="J187" s="135">
        <f t="shared" si="26"/>
        <v>0.18701214354736426</v>
      </c>
      <c r="K187" s="135">
        <f t="shared" si="27"/>
        <v>2.9207485291548838E-6</v>
      </c>
      <c r="L187" s="135">
        <f>E187/(Table1123457[[#This Row],[b (mm)]]*AE187)</f>
        <v>5.0351288056206089E-4</v>
      </c>
      <c r="M187" s="135">
        <f>Table1123457[[#This Row],[M (KN.mm)]]/(Table1123457[[#This Row],[b (mm)]]*Table1123457[[#This Row],[d (mm)]])</f>
        <v>0.40784543325526934</v>
      </c>
      <c r="N187" s="135">
        <f>Table1123457[[#This Row],[M (KN.mm)]]/(Table1123457[[#This Row],[b (mm)]]*Table1123457[[#This Row],[h (mm)]])</f>
        <v>0.36837652035959811</v>
      </c>
      <c r="O187" s="145">
        <f>Table1123457[[#This Row],[M (KN.mm)]]/(Table1123457[[#This Row],[b (mm)]]*Table1123457[[#This Row],[h (mm)]]*Table1123457[[#This Row],[L(mm)]])</f>
        <v>2.2739291380222105E-4</v>
      </c>
      <c r="P187" s="145">
        <f>Table1123457[[#This Row],[M (KN.mm)]]/(Table1123457[[#This Row],[b (mm)]]*Table1123457[[#This Row],[d (mm)]]*Table1123457[[#This Row],[L(mm)]])</f>
        <v>2.5175644028103044E-4</v>
      </c>
      <c r="Q187" s="145">
        <f>Table1123457[[#This Row],[M (KN.mm)]]/(Table1123457[[#This Row],[b (mm)]]*Table1123457[[#This Row],[h (mm)]]*Table1123457[[#This Row],[L(mm)]]*Table1123457[[#This Row],[fc (Mpa)]])</f>
        <v>2.9416935808825492E-6</v>
      </c>
      <c r="R187" s="145">
        <f>Table1123457[[#This Row],[M (KN.mm)]]/(Table1123457[[#This Row],[b (mm)]]*Table1123457[[#This Row],[h (mm)]]*Table1123457[[#This Row],[L(mm)]]/2)</f>
        <v>4.5478582760444209E-4</v>
      </c>
      <c r="S187" s="145">
        <f>Table1123457[[#This Row],[M (KN.mm)]]/(Table1123457[[#This Row],[a (mm)]]*Table1123457[[#This Row],[b (mm)]]*Table1123457[[#This Row],[h (mm)]]*Table1123457[[#This Row],[L(mm)]]/2)</f>
        <v>5.6146398469684209E-7</v>
      </c>
      <c r="T187" s="145">
        <f>Table1123457[[#This Row],[M (KN.mm)]]/(Table1123457[[#This Row],[a (mm)]]^2*Table1123457[[#This Row],[b (mm)]]*Table1123457[[#This Row],[h (mm)]])</f>
        <v>5.6146398469684209E-7</v>
      </c>
      <c r="U187" s="145">
        <f>Table1123457[[#This Row],[M (KN.mm)]]/(Table1123457[[#This Row],[b (mm)]]*Table1123457[[#This Row],[d (mm)]]*Table1123457[[#This Row],[pho (%)]])</f>
        <v>0.30436226362333529</v>
      </c>
      <c r="V187" s="145">
        <f>E187*224.8/(2*SQRT(Table1123457[[#This Row],[fc (Mpa)]]*145.037)*Table1123457[[#This Row],[b (mm)]]*Table1123457[[#This Row],[d (mm)]]*(1/25.4)^2)</f>
        <v>0.34483804825508563</v>
      </c>
      <c r="W187" s="145">
        <f>Table1123457[[#This Row],[M (KN.mm)]]/$G$194</f>
        <v>0.26060606060606062</v>
      </c>
      <c r="X187" s="145">
        <f>Table1123457[[#This Row],[V/(2*sqrt(fc) bd)]]</f>
        <v>0.34483804825508563</v>
      </c>
      <c r="Y187" s="111">
        <f>Table1123457[[#This Row],[a (mm)]]</f>
        <v>810</v>
      </c>
      <c r="Z187" s="111">
        <f>Table1123457[[#This Row],[width]]*Table1123457[[#This Row],[h]]^2</f>
        <v>11724200</v>
      </c>
      <c r="AA187" s="111">
        <f>Table1123457[[#This Row],[b (mm)]]</f>
        <v>122</v>
      </c>
      <c r="AB187" s="111">
        <f>Table1123457[[#This Row],[a (mm)]]/Table1123457[[#This Row],[h (mm)]]</f>
        <v>2.6129032258064515</v>
      </c>
      <c r="AC187" s="111">
        <f>Table1123457[[#This Row],[h (mm)]]</f>
        <v>310</v>
      </c>
      <c r="AD187" s="111">
        <v>810</v>
      </c>
      <c r="AE187" s="111">
        <v>280</v>
      </c>
      <c r="AF187" s="111">
        <v>310</v>
      </c>
      <c r="AG187" s="111">
        <v>122</v>
      </c>
      <c r="AH187" s="7">
        <v>77.3</v>
      </c>
      <c r="AI187" s="135">
        <f>Table1123457[[#This Row],[pho (%)]]/100*Table1123457[[#This Row],[b (mm)]]*Table1123457[[#This Row],[h (mm)]]</f>
        <v>506.78800000000001</v>
      </c>
      <c r="AJ187" s="135">
        <v>1.34</v>
      </c>
      <c r="AK187" s="160">
        <v>525</v>
      </c>
      <c r="AL187" s="135">
        <f>(1/3-0.21*(MIN(Table1123457[[#This Row],[b (mm)]],AF187)/MAX(Table1123457[[#This Row],[b (mm)]],AF187))*(MIN(Table1123457[[#This Row],[b (mm)]],AF187)^4/(12*MAX(Table1123457[[#This Row],[b (mm)]],AF187)^4)))*MAX(Table1123457[[#This Row],[b (mm)]],AF187)*MIN(Table1123457[[#This Row],[b (mm)]],AF187)^3</f>
        <v>187544629.45683298</v>
      </c>
      <c r="AM187" s="135">
        <f>Table1123457[[#This Row],[b (mm)]]*AF187^3/12</f>
        <v>302875166.66666669</v>
      </c>
      <c r="AN187" s="111">
        <v>1620</v>
      </c>
      <c r="AP187" s="107"/>
      <c r="AU187" s="384">
        <v>34.4</v>
      </c>
      <c r="AV187" s="2">
        <f t="shared" si="23"/>
        <v>17.2</v>
      </c>
    </row>
    <row r="188" spans="1:48" x14ac:dyDescent="0.3">
      <c r="A188" s="265" t="s">
        <v>170</v>
      </c>
      <c r="B188" s="265">
        <v>3</v>
      </c>
      <c r="C188" s="185">
        <v>187</v>
      </c>
      <c r="D188" s="185">
        <f>Table1123457[[#This Row],[a (mm)]]/Table1123457[[#This Row],[d (mm)]]</f>
        <v>2.8928571428571428</v>
      </c>
      <c r="E188" s="266">
        <v>27.2</v>
      </c>
      <c r="F188" s="137">
        <f>Table1123457[[#This Row],[d (mm)]]</f>
        <v>280</v>
      </c>
      <c r="G188" s="135">
        <f t="shared" si="24"/>
        <v>22032</v>
      </c>
      <c r="H188" s="135">
        <f t="shared" si="25"/>
        <v>2.7620248067096425E-6</v>
      </c>
      <c r="I188" s="111">
        <f>G188/(Table1123457[[#This Row],[b (mm)]]*Table1123457[[#This Row],[h]]^2)</f>
        <v>1.879190051346787E-3</v>
      </c>
      <c r="J188" s="135">
        <f t="shared" si="26"/>
        <v>0.29574013398187837</v>
      </c>
      <c r="K188" s="135">
        <f t="shared" si="27"/>
        <v>4.618858139128654E-6</v>
      </c>
      <c r="L188" s="135">
        <f>E188/(Table1123457[[#This Row],[b (mm)]]*AE188)</f>
        <v>7.9625292740046838E-4</v>
      </c>
      <c r="M188" s="135">
        <f>Table1123457[[#This Row],[M (KN.mm)]]/(Table1123457[[#This Row],[b (mm)]]*Table1123457[[#This Row],[d (mm)]])</f>
        <v>0.6449648711943794</v>
      </c>
      <c r="N188" s="135">
        <f>Table1123457[[#This Row],[M (KN.mm)]]/(Table1123457[[#This Row],[b (mm)]]*Table1123457[[#This Row],[h (mm)]])</f>
        <v>0.58254891591750402</v>
      </c>
      <c r="O188" s="145">
        <f>Table1123457[[#This Row],[M (KN.mm)]]/(Table1123457[[#This Row],[b (mm)]]*Table1123457[[#This Row],[h (mm)]]*Table1123457[[#This Row],[L(mm)]])</f>
        <v>3.5959809624537282E-4</v>
      </c>
      <c r="P188" s="145">
        <f>Table1123457[[#This Row],[M (KN.mm)]]/(Table1123457[[#This Row],[b (mm)]]*Table1123457[[#This Row],[d (mm)]]*Table1123457[[#This Row],[L(mm)]])</f>
        <v>3.9812646370023419E-4</v>
      </c>
      <c r="Q188" s="145">
        <f>Table1123457[[#This Row],[M (KN.mm)]]/(Table1123457[[#This Row],[b (mm)]]*Table1123457[[#This Row],[h (mm)]]*Table1123457[[#This Row],[L(mm)]]*Table1123457[[#This Row],[fc (Mpa)]])</f>
        <v>4.6519805465119383E-6</v>
      </c>
      <c r="R188" s="145">
        <f>Table1123457[[#This Row],[M (KN.mm)]]/(Table1123457[[#This Row],[b (mm)]]*Table1123457[[#This Row],[h (mm)]]*Table1123457[[#This Row],[L(mm)]]/2)</f>
        <v>7.1919619249074564E-4</v>
      </c>
      <c r="S188" s="145">
        <f>Table1123457[[#This Row],[M (KN.mm)]]/(Table1123457[[#This Row],[a (mm)]]*Table1123457[[#This Row],[b (mm)]]*Table1123457[[#This Row],[h (mm)]]*Table1123457[[#This Row],[L(mm)]]/2)</f>
        <v>8.8789653393919217E-7</v>
      </c>
      <c r="T188" s="145">
        <f>Table1123457[[#This Row],[M (KN.mm)]]/(Table1123457[[#This Row],[a (mm)]]^2*Table1123457[[#This Row],[b (mm)]]*Table1123457[[#This Row],[h (mm)]])</f>
        <v>8.8789653393919217E-7</v>
      </c>
      <c r="U188" s="145">
        <f>Table1123457[[#This Row],[M (KN.mm)]]/(Table1123457[[#This Row],[b (mm)]]*Table1123457[[#This Row],[d (mm)]]*Table1123457[[#This Row],[pho (%)]])</f>
        <v>0.481317068055507</v>
      </c>
      <c r="V188" s="145">
        <f>E188*224.8/(2*SQRT(Table1123457[[#This Row],[fc (Mpa)]]*145.037)*Table1123457[[#This Row],[b (mm)]]*Table1123457[[#This Row],[d (mm)]]*(1/25.4)^2)</f>
        <v>0.54532528561269356</v>
      </c>
      <c r="W188" s="145">
        <f>Table1123457[[#This Row],[M (KN.mm)]]/$G$194</f>
        <v>0.41212121212121211</v>
      </c>
      <c r="X188" s="145">
        <f>Table1123457[[#This Row],[V/(2*sqrt(fc) bd)]]</f>
        <v>0.54532528561269356</v>
      </c>
      <c r="Y188" s="111">
        <f>Table1123457[[#This Row],[a (mm)]]</f>
        <v>810</v>
      </c>
      <c r="Z188" s="111">
        <f>Table1123457[[#This Row],[width]]*Table1123457[[#This Row],[h]]^2</f>
        <v>11724200</v>
      </c>
      <c r="AA188" s="111">
        <f>Table1123457[[#This Row],[b (mm)]]</f>
        <v>122</v>
      </c>
      <c r="AB188" s="111">
        <f>Table1123457[[#This Row],[a (mm)]]/Table1123457[[#This Row],[h (mm)]]</f>
        <v>2.6129032258064515</v>
      </c>
      <c r="AC188" s="111">
        <f>Table1123457[[#This Row],[h (mm)]]</f>
        <v>310</v>
      </c>
      <c r="AD188" s="111">
        <v>810</v>
      </c>
      <c r="AE188" s="111">
        <v>280</v>
      </c>
      <c r="AF188" s="111">
        <v>310</v>
      </c>
      <c r="AG188" s="111">
        <v>122</v>
      </c>
      <c r="AH188" s="7">
        <v>77.3</v>
      </c>
      <c r="AI188" s="135">
        <f>Table1123457[[#This Row],[pho (%)]]/100*Table1123457[[#This Row],[b (mm)]]*Table1123457[[#This Row],[h (mm)]]</f>
        <v>506.78800000000001</v>
      </c>
      <c r="AJ188" s="135">
        <v>1.34</v>
      </c>
      <c r="AK188" s="160">
        <v>525</v>
      </c>
      <c r="AL188" s="135">
        <f>(1/3-0.21*(MIN(Table1123457[[#This Row],[b (mm)]],AF188)/MAX(Table1123457[[#This Row],[b (mm)]],AF188))*(MIN(Table1123457[[#This Row],[b (mm)]],AF188)^4/(12*MAX(Table1123457[[#This Row],[b (mm)]],AF188)^4)))*MAX(Table1123457[[#This Row],[b (mm)]],AF188)*MIN(Table1123457[[#This Row],[b (mm)]],AF188)^3</f>
        <v>187544629.45683298</v>
      </c>
      <c r="AM188" s="135">
        <f>Table1123457[[#This Row],[b (mm)]]*AF188^3/12</f>
        <v>302875166.66666669</v>
      </c>
      <c r="AN188" s="111">
        <v>1620</v>
      </c>
      <c r="AP188" s="107"/>
      <c r="AU188" s="384">
        <v>54.4</v>
      </c>
      <c r="AV188" s="2">
        <f t="shared" si="23"/>
        <v>27.2</v>
      </c>
    </row>
    <row r="189" spans="1:48" x14ac:dyDescent="0.3">
      <c r="A189" s="265" t="s">
        <v>170</v>
      </c>
      <c r="B189" s="265">
        <v>4</v>
      </c>
      <c r="C189" s="185">
        <v>188</v>
      </c>
      <c r="D189" s="185">
        <f>Table1123457[[#This Row],[a (mm)]]/Table1123457[[#This Row],[d (mm)]]</f>
        <v>2.8928571428571428</v>
      </c>
      <c r="E189" s="266">
        <v>37.200000000000003</v>
      </c>
      <c r="F189" s="137">
        <f>Table1123457[[#This Row],[d (mm)]]</f>
        <v>280</v>
      </c>
      <c r="G189" s="135">
        <f t="shared" si="24"/>
        <v>30132.000000000004</v>
      </c>
      <c r="H189" s="135">
        <f t="shared" si="25"/>
        <v>3.7774751032940706E-6</v>
      </c>
      <c r="I189" s="111">
        <f>G189/(Table1123457[[#This Row],[b (mm)]]*Table1123457[[#This Row],[h]]^2)</f>
        <v>2.5700687466948709E-3</v>
      </c>
      <c r="J189" s="135">
        <f t="shared" si="26"/>
        <v>0.40446812441639252</v>
      </c>
      <c r="K189" s="135">
        <f t="shared" si="27"/>
        <v>6.3169677491024237E-6</v>
      </c>
      <c r="L189" s="135">
        <f>E189/(Table1123457[[#This Row],[b (mm)]]*AE189)</f>
        <v>1.088992974238876E-3</v>
      </c>
      <c r="M189" s="135">
        <f>Table1123457[[#This Row],[M (KN.mm)]]/(Table1123457[[#This Row],[b (mm)]]*Table1123457[[#This Row],[d (mm)]])</f>
        <v>0.88208430913348956</v>
      </c>
      <c r="N189" s="135">
        <f>Table1123457[[#This Row],[M (KN.mm)]]/(Table1123457[[#This Row],[b (mm)]]*Table1123457[[#This Row],[h (mm)]])</f>
        <v>0.79672131147540992</v>
      </c>
      <c r="O189" s="145">
        <f>Table1123457[[#This Row],[M (KN.mm)]]/(Table1123457[[#This Row],[b (mm)]]*Table1123457[[#This Row],[h (mm)]]*Table1123457[[#This Row],[L(mm)]])</f>
        <v>4.918032786885247E-4</v>
      </c>
      <c r="P189" s="145">
        <f>Table1123457[[#This Row],[M (KN.mm)]]/(Table1123457[[#This Row],[b (mm)]]*Table1123457[[#This Row],[d (mm)]]*Table1123457[[#This Row],[L(mm)]])</f>
        <v>5.4449648711943799E-4</v>
      </c>
      <c r="Q189" s="145">
        <f>Table1123457[[#This Row],[M (KN.mm)]]/(Table1123457[[#This Row],[b (mm)]]*Table1123457[[#This Row],[h (mm)]]*Table1123457[[#This Row],[L(mm)]]*Table1123457[[#This Row],[fc (Mpa)]])</f>
        <v>6.3622675121413282E-6</v>
      </c>
      <c r="R189" s="145">
        <f>Table1123457[[#This Row],[M (KN.mm)]]/(Table1123457[[#This Row],[b (mm)]]*Table1123457[[#This Row],[h (mm)]]*Table1123457[[#This Row],[L(mm)]]/2)</f>
        <v>9.836065573770494E-4</v>
      </c>
      <c r="S189" s="145">
        <f>Table1123457[[#This Row],[M (KN.mm)]]/(Table1123457[[#This Row],[a (mm)]]*Table1123457[[#This Row],[b (mm)]]*Table1123457[[#This Row],[h (mm)]]*Table1123457[[#This Row],[L(mm)]]/2)</f>
        <v>1.2143290831815424E-6</v>
      </c>
      <c r="T189" s="145">
        <f>Table1123457[[#This Row],[M (KN.mm)]]/(Table1123457[[#This Row],[a (mm)]]^2*Table1123457[[#This Row],[b (mm)]]*Table1123457[[#This Row],[h (mm)]])</f>
        <v>1.2143290831815424E-6</v>
      </c>
      <c r="U189" s="145">
        <f>Table1123457[[#This Row],[M (KN.mm)]]/(Table1123457[[#This Row],[b (mm)]]*Table1123457[[#This Row],[d (mm)]]*Table1123457[[#This Row],[pho (%)]])</f>
        <v>0.65827187248767871</v>
      </c>
      <c r="V189" s="145">
        <f>E189*224.8/(2*SQRT(Table1123457[[#This Row],[fc (Mpa)]]*145.037)*Table1123457[[#This Row],[b (mm)]]*Table1123457[[#This Row],[d (mm)]]*(1/25.4)^2)</f>
        <v>0.74581252297030165</v>
      </c>
      <c r="W189" s="145">
        <f>Table1123457[[#This Row],[M (KN.mm)]]/$G$194</f>
        <v>0.56363636363636371</v>
      </c>
      <c r="X189" s="145">
        <f>Table1123457[[#This Row],[V/(2*sqrt(fc) bd)]]</f>
        <v>0.74581252297030165</v>
      </c>
      <c r="Y189" s="111">
        <f>Table1123457[[#This Row],[a (mm)]]</f>
        <v>810</v>
      </c>
      <c r="Z189" s="111">
        <f>Table1123457[[#This Row],[width]]*Table1123457[[#This Row],[h]]^2</f>
        <v>11724200</v>
      </c>
      <c r="AA189" s="111">
        <f>Table1123457[[#This Row],[b (mm)]]</f>
        <v>122</v>
      </c>
      <c r="AB189" s="111">
        <f>Table1123457[[#This Row],[a (mm)]]/Table1123457[[#This Row],[h (mm)]]</f>
        <v>2.6129032258064515</v>
      </c>
      <c r="AC189" s="111">
        <f>Table1123457[[#This Row],[h (mm)]]</f>
        <v>310</v>
      </c>
      <c r="AD189" s="111">
        <v>810</v>
      </c>
      <c r="AE189" s="111">
        <v>280</v>
      </c>
      <c r="AF189" s="111">
        <v>310</v>
      </c>
      <c r="AG189" s="111">
        <v>122</v>
      </c>
      <c r="AH189" s="7">
        <v>77.3</v>
      </c>
      <c r="AI189" s="135">
        <f>Table1123457[[#This Row],[pho (%)]]/100*Table1123457[[#This Row],[b (mm)]]*Table1123457[[#This Row],[h (mm)]]</f>
        <v>506.78800000000001</v>
      </c>
      <c r="AJ189" s="135">
        <v>1.34</v>
      </c>
      <c r="AK189" s="160">
        <v>525</v>
      </c>
      <c r="AL189" s="135">
        <f>(1/3-0.21*(MIN(Table1123457[[#This Row],[b (mm)]],AF189)/MAX(Table1123457[[#This Row],[b (mm)]],AF189))*(MIN(Table1123457[[#This Row],[b (mm)]],AF189)^4/(12*MAX(Table1123457[[#This Row],[b (mm)]],AF189)^4)))*MAX(Table1123457[[#This Row],[b (mm)]],AF189)*MIN(Table1123457[[#This Row],[b (mm)]],AF189)^3</f>
        <v>187544629.45683298</v>
      </c>
      <c r="AM189" s="135">
        <f>Table1123457[[#This Row],[b (mm)]]*AF189^3/12</f>
        <v>302875166.66666669</v>
      </c>
      <c r="AN189" s="111">
        <v>1620</v>
      </c>
      <c r="AP189" s="107"/>
      <c r="AU189" s="384">
        <v>74.400000000000006</v>
      </c>
      <c r="AV189" s="2">
        <f t="shared" si="23"/>
        <v>37.200000000000003</v>
      </c>
    </row>
    <row r="190" spans="1:48" x14ac:dyDescent="0.3">
      <c r="A190" s="265" t="s">
        <v>170</v>
      </c>
      <c r="B190" s="265">
        <v>5</v>
      </c>
      <c r="C190" s="185">
        <v>189</v>
      </c>
      <c r="D190" s="185">
        <f>Table1123457[[#This Row],[a (mm)]]/Table1123457[[#This Row],[d (mm)]]</f>
        <v>2.8928571428571428</v>
      </c>
      <c r="E190" s="266">
        <v>47.7</v>
      </c>
      <c r="F190" s="137">
        <f>Table1123457[[#This Row],[d (mm)]]</f>
        <v>280</v>
      </c>
      <c r="G190" s="135">
        <f t="shared" si="24"/>
        <v>38637</v>
      </c>
      <c r="H190" s="135">
        <f t="shared" si="25"/>
        <v>4.8436979147077186E-6</v>
      </c>
      <c r="I190" s="111">
        <f>G190/(Table1123457[[#This Row],[b (mm)]]*Table1123457[[#This Row],[h]]^2)</f>
        <v>3.2954913768103579E-3</v>
      </c>
      <c r="J190" s="135">
        <f t="shared" si="26"/>
        <v>0.51863251437263225</v>
      </c>
      <c r="K190" s="135">
        <f t="shared" si="27"/>
        <v>8.0999828395748826E-6</v>
      </c>
      <c r="L190" s="135">
        <f>E190/(Table1123457[[#This Row],[b (mm)]]*AE190)</f>
        <v>1.3963700234192039E-3</v>
      </c>
      <c r="M190" s="135">
        <f>Table1123457[[#This Row],[M (KN.mm)]]/(Table1123457[[#This Row],[b (mm)]]*Table1123457[[#This Row],[d (mm)]])</f>
        <v>1.131059718969555</v>
      </c>
      <c r="N190" s="135">
        <f>Table1123457[[#This Row],[M (KN.mm)]]/(Table1123457[[#This Row],[b (mm)]]*Table1123457[[#This Row],[h (mm)]])</f>
        <v>1.0216023268112111</v>
      </c>
      <c r="O190" s="145">
        <f>Table1123457[[#This Row],[M (KN.mm)]]/(Table1123457[[#This Row],[b (mm)]]*Table1123457[[#This Row],[h (mm)]]*Table1123457[[#This Row],[L(mm)]])</f>
        <v>6.30618720253834E-4</v>
      </c>
      <c r="P190" s="145">
        <f>Table1123457[[#This Row],[M (KN.mm)]]/(Table1123457[[#This Row],[b (mm)]]*Table1123457[[#This Row],[d (mm)]]*Table1123457[[#This Row],[L(mm)]])</f>
        <v>6.9818501170960186E-4</v>
      </c>
      <c r="Q190" s="145">
        <f>Table1123457[[#This Row],[M (KN.mm)]]/(Table1123457[[#This Row],[b (mm)]]*Table1123457[[#This Row],[h (mm)]]*Table1123457[[#This Row],[L(mm)]]*Table1123457[[#This Row],[fc (Mpa)]])</f>
        <v>8.1580688260521849E-6</v>
      </c>
      <c r="R190" s="145">
        <f>Table1123457[[#This Row],[M (KN.mm)]]/(Table1123457[[#This Row],[b (mm)]]*Table1123457[[#This Row],[h (mm)]]*Table1123457[[#This Row],[L(mm)]]/2)</f>
        <v>1.261237440507668E-3</v>
      </c>
      <c r="S190" s="145">
        <f>Table1123457[[#This Row],[M (KN.mm)]]/(Table1123457[[#This Row],[a (mm)]]*Table1123457[[#This Row],[b (mm)]]*Table1123457[[#This Row],[h (mm)]]*Table1123457[[#This Row],[L(mm)]]/2)</f>
        <v>1.5570832598860098E-6</v>
      </c>
      <c r="T190" s="145">
        <f>Table1123457[[#This Row],[M (KN.mm)]]/(Table1123457[[#This Row],[a (mm)]]^2*Table1123457[[#This Row],[b (mm)]]*Table1123457[[#This Row],[h (mm)]])</f>
        <v>1.5570832598860098E-6</v>
      </c>
      <c r="U190" s="145">
        <f>Table1123457[[#This Row],[M (KN.mm)]]/(Table1123457[[#This Row],[b (mm)]]*Table1123457[[#This Row],[d (mm)]]*Table1123457[[#This Row],[pho (%)]])</f>
        <v>0.84407441714145892</v>
      </c>
      <c r="V190" s="145">
        <f>E190*224.8/(2*SQRT(Table1123457[[#This Row],[fc (Mpa)]]*145.037)*Table1123457[[#This Row],[b (mm)]]*Table1123457[[#This Row],[d (mm)]]*(1/25.4)^2)</f>
        <v>0.95632412219578988</v>
      </c>
      <c r="W190" s="145">
        <f>Table1123457[[#This Row],[M (KN.mm)]]/$G$194</f>
        <v>0.72272727272727277</v>
      </c>
      <c r="X190" s="145">
        <f>Table1123457[[#This Row],[V/(2*sqrt(fc) bd)]]</f>
        <v>0.95632412219578988</v>
      </c>
      <c r="Y190" s="111">
        <f>Table1123457[[#This Row],[a (mm)]]</f>
        <v>810</v>
      </c>
      <c r="Z190" s="111">
        <f>Table1123457[[#This Row],[width]]*Table1123457[[#This Row],[h]]^2</f>
        <v>11724200</v>
      </c>
      <c r="AA190" s="111">
        <f>Table1123457[[#This Row],[b (mm)]]</f>
        <v>122</v>
      </c>
      <c r="AB190" s="111">
        <f>Table1123457[[#This Row],[a (mm)]]/Table1123457[[#This Row],[h (mm)]]</f>
        <v>2.6129032258064515</v>
      </c>
      <c r="AC190" s="111">
        <f>Table1123457[[#This Row],[h (mm)]]</f>
        <v>310</v>
      </c>
      <c r="AD190" s="111">
        <v>810</v>
      </c>
      <c r="AE190" s="111">
        <v>280</v>
      </c>
      <c r="AF190" s="111">
        <v>310</v>
      </c>
      <c r="AG190" s="111">
        <v>122</v>
      </c>
      <c r="AH190" s="7">
        <v>77.3</v>
      </c>
      <c r="AI190" s="135">
        <f>Table1123457[[#This Row],[pho (%)]]/100*Table1123457[[#This Row],[b (mm)]]*Table1123457[[#This Row],[h (mm)]]</f>
        <v>506.78800000000001</v>
      </c>
      <c r="AJ190" s="135">
        <v>1.34</v>
      </c>
      <c r="AK190" s="160">
        <v>525</v>
      </c>
      <c r="AL190" s="135">
        <f>(1/3-0.21*(MIN(Table1123457[[#This Row],[b (mm)]],AF190)/MAX(Table1123457[[#This Row],[b (mm)]],AF190))*(MIN(Table1123457[[#This Row],[b (mm)]],AF190)^4/(12*MAX(Table1123457[[#This Row],[b (mm)]],AF190)^4)))*MAX(Table1123457[[#This Row],[b (mm)]],AF190)*MIN(Table1123457[[#This Row],[b (mm)]],AF190)^3</f>
        <v>187544629.45683298</v>
      </c>
      <c r="AM190" s="135">
        <f>Table1123457[[#This Row],[b (mm)]]*AF190^3/12</f>
        <v>302875166.66666669</v>
      </c>
      <c r="AN190" s="111">
        <v>1620</v>
      </c>
      <c r="AP190" s="107"/>
      <c r="AU190" s="384">
        <v>95.4</v>
      </c>
      <c r="AV190" s="2">
        <f t="shared" si="23"/>
        <v>47.7</v>
      </c>
    </row>
    <row r="191" spans="1:48" x14ac:dyDescent="0.3">
      <c r="A191" s="265" t="s">
        <v>170</v>
      </c>
      <c r="B191" s="265">
        <v>6</v>
      </c>
      <c r="C191" s="185">
        <v>190</v>
      </c>
      <c r="D191" s="185">
        <f>Table1123457[[#This Row],[a (mm)]]/Table1123457[[#This Row],[d (mm)]]</f>
        <v>2.8928571428571428</v>
      </c>
      <c r="E191" s="266">
        <v>49.3</v>
      </c>
      <c r="F191" s="137">
        <f>Table1123457[[#This Row],[d (mm)]]</f>
        <v>280</v>
      </c>
      <c r="G191" s="135">
        <f t="shared" si="24"/>
        <v>39933</v>
      </c>
      <c r="H191" s="135">
        <f t="shared" si="25"/>
        <v>5.0061699621612273E-6</v>
      </c>
      <c r="I191" s="111">
        <f>G191/(Table1123457[[#This Row],[b (mm)]]*Table1123457[[#This Row],[h]]^2)</f>
        <v>3.4060319680660513E-3</v>
      </c>
      <c r="J191" s="135">
        <f t="shared" si="26"/>
        <v>0.53602899284215455</v>
      </c>
      <c r="K191" s="135">
        <f t="shared" si="27"/>
        <v>8.3716803771706849E-6</v>
      </c>
      <c r="L191" s="135">
        <f>E191/(Table1123457[[#This Row],[b (mm)]]*AE191)</f>
        <v>1.4432084309133489E-3</v>
      </c>
      <c r="M191" s="135">
        <f>Table1123457[[#This Row],[M (KN.mm)]]/(Table1123457[[#This Row],[b (mm)]]*Table1123457[[#This Row],[d (mm)]])</f>
        <v>1.1689988290398126</v>
      </c>
      <c r="N191" s="135">
        <f>Table1123457[[#This Row],[M (KN.mm)]]/(Table1123457[[#This Row],[b (mm)]]*Table1123457[[#This Row],[h (mm)]])</f>
        <v>1.055869910100476</v>
      </c>
      <c r="O191" s="145">
        <f>Table1123457[[#This Row],[M (KN.mm)]]/(Table1123457[[#This Row],[b (mm)]]*Table1123457[[#This Row],[h (mm)]]*Table1123457[[#This Row],[L(mm)]])</f>
        <v>6.5177154944473829E-4</v>
      </c>
      <c r="P191" s="145">
        <f>Table1123457[[#This Row],[M (KN.mm)]]/(Table1123457[[#This Row],[b (mm)]]*Table1123457[[#This Row],[d (mm)]]*Table1123457[[#This Row],[L(mm)]])</f>
        <v>7.2160421545667446E-4</v>
      </c>
      <c r="Q191" s="145">
        <f>Table1123457[[#This Row],[M (KN.mm)]]/(Table1123457[[#This Row],[b (mm)]]*Table1123457[[#This Row],[h (mm)]]*Table1123457[[#This Row],[L(mm)]]*Table1123457[[#This Row],[fc (Mpa)]])</f>
        <v>8.4317147405528887E-6</v>
      </c>
      <c r="R191" s="145">
        <f>Table1123457[[#This Row],[M (KN.mm)]]/(Table1123457[[#This Row],[b (mm)]]*Table1123457[[#This Row],[h (mm)]]*Table1123457[[#This Row],[L(mm)]]/2)</f>
        <v>1.3035430988894766E-3</v>
      </c>
      <c r="S191" s="145">
        <f>Table1123457[[#This Row],[M (KN.mm)]]/(Table1123457[[#This Row],[a (mm)]]*Table1123457[[#This Row],[b (mm)]]*Table1123457[[#This Row],[h (mm)]]*Table1123457[[#This Row],[L(mm)]]/2)</f>
        <v>1.6093124677647858E-6</v>
      </c>
      <c r="T191" s="145">
        <f>Table1123457[[#This Row],[M (KN.mm)]]/(Table1123457[[#This Row],[a (mm)]]^2*Table1123457[[#This Row],[b (mm)]]*Table1123457[[#This Row],[h (mm)]])</f>
        <v>1.6093124677647858E-6</v>
      </c>
      <c r="U191" s="145">
        <f>Table1123457[[#This Row],[M (KN.mm)]]/(Table1123457[[#This Row],[b (mm)]]*Table1123457[[#This Row],[d (mm)]]*Table1123457[[#This Row],[pho (%)]])</f>
        <v>0.87238718585060637</v>
      </c>
      <c r="V191" s="145">
        <f>E191*224.8/(2*SQRT(Table1123457[[#This Row],[fc (Mpa)]]*145.037)*Table1123457[[#This Row],[b (mm)]]*Table1123457[[#This Row],[d (mm)]]*(1/25.4)^2)</f>
        <v>0.98840208017300701</v>
      </c>
      <c r="W191" s="145">
        <f>Table1123457[[#This Row],[M (KN.mm)]]/$G$194</f>
        <v>0.74696969696969695</v>
      </c>
      <c r="X191" s="145">
        <f>Table1123457[[#This Row],[V/(2*sqrt(fc) bd)]]</f>
        <v>0.98840208017300701</v>
      </c>
      <c r="Y191" s="111">
        <f>Table1123457[[#This Row],[a (mm)]]</f>
        <v>810</v>
      </c>
      <c r="Z191" s="111">
        <f>Table1123457[[#This Row],[width]]*Table1123457[[#This Row],[h]]^2</f>
        <v>11724200</v>
      </c>
      <c r="AA191" s="111">
        <f>Table1123457[[#This Row],[b (mm)]]</f>
        <v>122</v>
      </c>
      <c r="AB191" s="111">
        <f>Table1123457[[#This Row],[a (mm)]]/Table1123457[[#This Row],[h (mm)]]</f>
        <v>2.6129032258064515</v>
      </c>
      <c r="AC191" s="111">
        <f>Table1123457[[#This Row],[h (mm)]]</f>
        <v>310</v>
      </c>
      <c r="AD191" s="111">
        <v>810</v>
      </c>
      <c r="AE191" s="111">
        <v>280</v>
      </c>
      <c r="AF191" s="111">
        <v>310</v>
      </c>
      <c r="AG191" s="111">
        <v>122</v>
      </c>
      <c r="AH191" s="7">
        <v>77.3</v>
      </c>
      <c r="AI191" s="135">
        <f>Table1123457[[#This Row],[pho (%)]]/100*Table1123457[[#This Row],[b (mm)]]*Table1123457[[#This Row],[h (mm)]]</f>
        <v>506.78800000000001</v>
      </c>
      <c r="AJ191" s="135">
        <v>1.34</v>
      </c>
      <c r="AK191" s="160">
        <v>525</v>
      </c>
      <c r="AL191" s="135">
        <f>(1/3-0.21*(MIN(Table1123457[[#This Row],[b (mm)]],AF191)/MAX(Table1123457[[#This Row],[b (mm)]],AF191))*(MIN(Table1123457[[#This Row],[b (mm)]],AF191)^4/(12*MAX(Table1123457[[#This Row],[b (mm)]],AF191)^4)))*MAX(Table1123457[[#This Row],[b (mm)]],AF191)*MIN(Table1123457[[#This Row],[b (mm)]],AF191)^3</f>
        <v>187544629.45683298</v>
      </c>
      <c r="AM191" s="135">
        <f>Table1123457[[#This Row],[b (mm)]]*AF191^3/12</f>
        <v>302875166.66666669</v>
      </c>
      <c r="AN191" s="111">
        <v>1620</v>
      </c>
      <c r="AP191" s="107"/>
      <c r="AU191" s="384">
        <v>98.6</v>
      </c>
      <c r="AV191" s="2">
        <f t="shared" si="23"/>
        <v>49.3</v>
      </c>
    </row>
    <row r="192" spans="1:48" x14ac:dyDescent="0.3">
      <c r="A192" s="265" t="s">
        <v>170</v>
      </c>
      <c r="B192" s="265">
        <v>7</v>
      </c>
      <c r="C192" s="185">
        <v>191</v>
      </c>
      <c r="D192" s="185">
        <f>Table1123457[[#This Row],[a (mm)]]/Table1123457[[#This Row],[d (mm)]]</f>
        <v>2.8928571428571428</v>
      </c>
      <c r="E192" s="266">
        <v>53</v>
      </c>
      <c r="F192" s="137">
        <f>Table1123457[[#This Row],[d (mm)]]</f>
        <v>280</v>
      </c>
      <c r="G192" s="135">
        <f t="shared" si="24"/>
        <v>42930</v>
      </c>
      <c r="H192" s="135">
        <f t="shared" si="25"/>
        <v>5.3818865718974651E-6</v>
      </c>
      <c r="I192" s="111">
        <f>G192/(Table1123457[[#This Row],[b (mm)]]*Table1123457[[#This Row],[h]]^2)</f>
        <v>3.6616570853448423E-3</v>
      </c>
      <c r="J192" s="135">
        <f t="shared" si="26"/>
        <v>0.57625834930292474</v>
      </c>
      <c r="K192" s="135">
        <f t="shared" si="27"/>
        <v>8.9999809328609803E-6</v>
      </c>
      <c r="L192" s="135">
        <f>E192/(Table1123457[[#This Row],[b (mm)]]*AE192)</f>
        <v>1.5515222482435597E-3</v>
      </c>
      <c r="M192" s="135">
        <f>Table1123457[[#This Row],[M (KN.mm)]]/(Table1123457[[#This Row],[b (mm)]]*Table1123457[[#This Row],[d (mm)]])</f>
        <v>1.2567330210772834</v>
      </c>
      <c r="N192" s="135">
        <f>Table1123457[[#This Row],[M (KN.mm)]]/(Table1123457[[#This Row],[b (mm)]]*Table1123457[[#This Row],[h (mm)]])</f>
        <v>1.1351136964569011</v>
      </c>
      <c r="O192" s="145">
        <f>Table1123457[[#This Row],[M (KN.mm)]]/(Table1123457[[#This Row],[b (mm)]]*Table1123457[[#This Row],[h (mm)]]*Table1123457[[#This Row],[L(mm)]])</f>
        <v>7.0068746694870439E-4</v>
      </c>
      <c r="P192" s="145">
        <f>Table1123457[[#This Row],[M (KN.mm)]]/(Table1123457[[#This Row],[b (mm)]]*Table1123457[[#This Row],[d (mm)]]*Table1123457[[#This Row],[L(mm)]])</f>
        <v>7.7576112412177983E-4</v>
      </c>
      <c r="Q192" s="145">
        <f>Table1123457[[#This Row],[M (KN.mm)]]/(Table1123457[[#This Row],[b (mm)]]*Table1123457[[#This Row],[h (mm)]]*Table1123457[[#This Row],[L(mm)]]*Table1123457[[#This Row],[fc (Mpa)]])</f>
        <v>9.0645209178357612E-6</v>
      </c>
      <c r="R192" s="145">
        <f>Table1123457[[#This Row],[M (KN.mm)]]/(Table1123457[[#This Row],[b (mm)]]*Table1123457[[#This Row],[h (mm)]]*Table1123457[[#This Row],[L(mm)]]/2)</f>
        <v>1.4013749338974088E-3</v>
      </c>
      <c r="S192" s="145">
        <f>Table1123457[[#This Row],[M (KN.mm)]]/(Table1123457[[#This Row],[a (mm)]]*Table1123457[[#This Row],[b (mm)]]*Table1123457[[#This Row],[h (mm)]]*Table1123457[[#This Row],[L(mm)]]/2)</f>
        <v>1.7300925109844553E-6</v>
      </c>
      <c r="T192" s="145">
        <f>Table1123457[[#This Row],[M (KN.mm)]]/(Table1123457[[#This Row],[a (mm)]]^2*Table1123457[[#This Row],[b (mm)]]*Table1123457[[#This Row],[h (mm)]])</f>
        <v>1.7300925109844553E-6</v>
      </c>
      <c r="U192" s="145">
        <f>Table1123457[[#This Row],[M (KN.mm)]]/(Table1123457[[#This Row],[b (mm)]]*Table1123457[[#This Row],[d (mm)]]*Table1123457[[#This Row],[pho (%)]])</f>
        <v>0.93786046349051</v>
      </c>
      <c r="V192" s="145">
        <f>E192*224.8/(2*SQRT(Table1123457[[#This Row],[fc (Mpa)]]*145.037)*Table1123457[[#This Row],[b (mm)]]*Table1123457[[#This Row],[d (mm)]]*(1/25.4)^2)</f>
        <v>1.0625823579953222</v>
      </c>
      <c r="W192" s="145">
        <f>Table1123457[[#This Row],[M (KN.mm)]]/$G$194</f>
        <v>0.80303030303030298</v>
      </c>
      <c r="X192" s="145">
        <f>Table1123457[[#This Row],[V/(2*sqrt(fc) bd)]]</f>
        <v>1.0625823579953222</v>
      </c>
      <c r="Y192" s="111">
        <f>Table1123457[[#This Row],[a (mm)]]</f>
        <v>810</v>
      </c>
      <c r="Z192" s="111">
        <f>Table1123457[[#This Row],[width]]*Table1123457[[#This Row],[h]]^2</f>
        <v>11724200</v>
      </c>
      <c r="AA192" s="111">
        <f>Table1123457[[#This Row],[b (mm)]]</f>
        <v>122</v>
      </c>
      <c r="AB192" s="111">
        <f>Table1123457[[#This Row],[a (mm)]]/Table1123457[[#This Row],[h (mm)]]</f>
        <v>2.6129032258064515</v>
      </c>
      <c r="AC192" s="111">
        <f>Table1123457[[#This Row],[h (mm)]]</f>
        <v>310</v>
      </c>
      <c r="AD192" s="111">
        <v>810</v>
      </c>
      <c r="AE192" s="111">
        <v>280</v>
      </c>
      <c r="AF192" s="111">
        <v>310</v>
      </c>
      <c r="AG192" s="111">
        <v>122</v>
      </c>
      <c r="AH192" s="7">
        <v>77.3</v>
      </c>
      <c r="AI192" s="135">
        <f>Table1123457[[#This Row],[pho (%)]]/100*Table1123457[[#This Row],[b (mm)]]*Table1123457[[#This Row],[h (mm)]]</f>
        <v>506.78800000000001</v>
      </c>
      <c r="AJ192" s="135">
        <v>1.34</v>
      </c>
      <c r="AK192" s="160">
        <v>525</v>
      </c>
      <c r="AL192" s="135">
        <f>(1/3-0.21*(MIN(Table1123457[[#This Row],[b (mm)]],AF192)/MAX(Table1123457[[#This Row],[b (mm)]],AF192))*(MIN(Table1123457[[#This Row],[b (mm)]],AF192)^4/(12*MAX(Table1123457[[#This Row],[b (mm)]],AF192)^4)))*MAX(Table1123457[[#This Row],[b (mm)]],AF192)*MIN(Table1123457[[#This Row],[b (mm)]],AF192)^3</f>
        <v>187544629.45683298</v>
      </c>
      <c r="AM192" s="135">
        <f>Table1123457[[#This Row],[b (mm)]]*AF192^3/12</f>
        <v>302875166.66666669</v>
      </c>
      <c r="AN192" s="111">
        <v>1620</v>
      </c>
      <c r="AP192" s="107"/>
      <c r="AU192" s="384">
        <v>106</v>
      </c>
      <c r="AV192" s="2">
        <f t="shared" si="23"/>
        <v>53</v>
      </c>
    </row>
    <row r="193" spans="1:48" x14ac:dyDescent="0.3">
      <c r="A193" s="265" t="s">
        <v>170</v>
      </c>
      <c r="B193" s="265">
        <v>8</v>
      </c>
      <c r="C193" s="185">
        <v>192</v>
      </c>
      <c r="D193" s="185">
        <f>Table1123457[[#This Row],[a (mm)]]/Table1123457[[#This Row],[d (mm)]]</f>
        <v>2.8928571428571428</v>
      </c>
      <c r="E193" s="266">
        <v>60</v>
      </c>
      <c r="F193" s="137">
        <f>Table1123457[[#This Row],[d (mm)]]</f>
        <v>280</v>
      </c>
      <c r="G193" s="135">
        <f t="shared" ref="G193:G198" si="28">E193*AD193</f>
        <v>48600</v>
      </c>
      <c r="H193" s="135">
        <f t="shared" ref="H193:H198" si="29">G193/($AQ$5*AM193*0.001)</f>
        <v>6.0927017795065646E-6</v>
      </c>
      <c r="I193" s="111">
        <f>G193/(Table1123457[[#This Row],[b (mm)]]*Table1123457[[#This Row],[h]]^2)</f>
        <v>4.1452721720885008E-3</v>
      </c>
      <c r="J193" s="135">
        <f t="shared" ref="J193:J198" si="30">G193/(AI193*AK193*AE193*0.001)</f>
        <v>0.65236794260708464</v>
      </c>
      <c r="K193" s="135">
        <f t="shared" ref="K193:K198" si="31">E193/($AQ$4*AL193*0.001)</f>
        <v>1.0188657659842618E-5</v>
      </c>
      <c r="L193" s="135">
        <f>E193/(Table1123457[[#This Row],[b (mm)]]*AE193)</f>
        <v>1.756440281030445E-3</v>
      </c>
      <c r="M193" s="135">
        <f>Table1123457[[#This Row],[M (KN.mm)]]/(Table1123457[[#This Row],[b (mm)]]*Table1123457[[#This Row],[d (mm)]])</f>
        <v>1.4227166276346603</v>
      </c>
      <c r="N193" s="135">
        <f>Table1123457[[#This Row],[M (KN.mm)]]/(Table1123457[[#This Row],[b (mm)]]*Table1123457[[#This Row],[h (mm)]])</f>
        <v>1.2850343733474352</v>
      </c>
      <c r="O193" s="145">
        <f>Table1123457[[#This Row],[M (KN.mm)]]/(Table1123457[[#This Row],[b (mm)]]*Table1123457[[#This Row],[h (mm)]]*Table1123457[[#This Row],[L(mm)]])</f>
        <v>7.9323109465891063E-4</v>
      </c>
      <c r="P193" s="145">
        <f>Table1123457[[#This Row],[M (KN.mm)]]/(Table1123457[[#This Row],[b (mm)]]*Table1123457[[#This Row],[d (mm)]]*Table1123457[[#This Row],[L(mm)]])</f>
        <v>8.7822014051522248E-4</v>
      </c>
      <c r="Q193" s="145">
        <f>Table1123457[[#This Row],[M (KN.mm)]]/(Table1123457[[#This Row],[b (mm)]]*Table1123457[[#This Row],[h (mm)]]*Table1123457[[#This Row],[L(mm)]]*Table1123457[[#This Row],[fc (Mpa)]])</f>
        <v>1.0261721793776335E-5</v>
      </c>
      <c r="R193" s="145">
        <f>Table1123457[[#This Row],[M (KN.mm)]]/(Table1123457[[#This Row],[b (mm)]]*Table1123457[[#This Row],[h (mm)]]*Table1123457[[#This Row],[L(mm)]]/2)</f>
        <v>1.5864621893178213E-3</v>
      </c>
      <c r="S193" s="145">
        <f>Table1123457[[#This Row],[M (KN.mm)]]/(Table1123457[[#This Row],[a (mm)]]*Table1123457[[#This Row],[b (mm)]]*Table1123457[[#This Row],[h (mm)]]*Table1123457[[#This Row],[L(mm)]]/2)</f>
        <v>1.9585952954541005E-6</v>
      </c>
      <c r="T193" s="145">
        <f>Table1123457[[#This Row],[M (KN.mm)]]/(Table1123457[[#This Row],[a (mm)]]^2*Table1123457[[#This Row],[b (mm)]]*Table1123457[[#This Row],[h (mm)]])</f>
        <v>1.9585952954541005E-6</v>
      </c>
      <c r="U193" s="145">
        <f>Table1123457[[#This Row],[M (KN.mm)]]/(Table1123457[[#This Row],[b (mm)]]*Table1123457[[#This Row],[d (mm)]]*Table1123457[[#This Row],[pho (%)]])</f>
        <v>1.06172882659303</v>
      </c>
      <c r="V193" s="145">
        <f>E193*224.8/(2*SQRT(Table1123457[[#This Row],[fc (Mpa)]]*145.037)*Table1123457[[#This Row],[b (mm)]]*Table1123457[[#This Row],[d (mm)]]*(1/25.4)^2)</f>
        <v>1.2029234241456475</v>
      </c>
      <c r="W193" s="145">
        <f>Table1123457[[#This Row],[M (KN.mm)]]/$G$194</f>
        <v>0.90909090909090906</v>
      </c>
      <c r="X193" s="145">
        <f>Table1123457[[#This Row],[V/(2*sqrt(fc) bd)]]</f>
        <v>1.2029234241456475</v>
      </c>
      <c r="Y193" s="111">
        <f>Table1123457[[#This Row],[a (mm)]]</f>
        <v>810</v>
      </c>
      <c r="Z193" s="111">
        <f>Table1123457[[#This Row],[width]]*Table1123457[[#This Row],[h]]^2</f>
        <v>11724200</v>
      </c>
      <c r="AA193" s="111">
        <f>Table1123457[[#This Row],[b (mm)]]</f>
        <v>122</v>
      </c>
      <c r="AB193" s="111">
        <f>Table1123457[[#This Row],[a (mm)]]/Table1123457[[#This Row],[h (mm)]]</f>
        <v>2.6129032258064515</v>
      </c>
      <c r="AC193" s="111">
        <f>Table1123457[[#This Row],[h (mm)]]</f>
        <v>310</v>
      </c>
      <c r="AD193" s="111">
        <v>810</v>
      </c>
      <c r="AE193" s="111">
        <v>280</v>
      </c>
      <c r="AF193" s="111">
        <v>310</v>
      </c>
      <c r="AG193" s="111">
        <v>122</v>
      </c>
      <c r="AH193" s="7">
        <v>77.3</v>
      </c>
      <c r="AI193" s="135">
        <f>Table1123457[[#This Row],[pho (%)]]/100*Table1123457[[#This Row],[b (mm)]]*Table1123457[[#This Row],[h (mm)]]</f>
        <v>506.78800000000001</v>
      </c>
      <c r="AJ193" s="135">
        <v>1.34</v>
      </c>
      <c r="AK193" s="160">
        <v>525</v>
      </c>
      <c r="AL193" s="135">
        <f>(1/3-0.21*(MIN(Table1123457[[#This Row],[b (mm)]],AF193)/MAX(Table1123457[[#This Row],[b (mm)]],AF193))*(MIN(Table1123457[[#This Row],[b (mm)]],AF193)^4/(12*MAX(Table1123457[[#This Row],[b (mm)]],AF193)^4)))*MAX(Table1123457[[#This Row],[b (mm)]],AF193)*MIN(Table1123457[[#This Row],[b (mm)]],AF193)^3</f>
        <v>187544629.45683298</v>
      </c>
      <c r="AM193" s="135">
        <f>Table1123457[[#This Row],[b (mm)]]*AF193^3/12</f>
        <v>302875166.66666669</v>
      </c>
      <c r="AN193" s="111">
        <v>1620</v>
      </c>
      <c r="AP193" s="107"/>
      <c r="AU193" s="384">
        <v>120</v>
      </c>
      <c r="AV193" s="2">
        <f t="shared" si="23"/>
        <v>60</v>
      </c>
    </row>
    <row r="194" spans="1:48" x14ac:dyDescent="0.3">
      <c r="A194" s="265" t="s">
        <v>170</v>
      </c>
      <c r="B194" s="265" t="s">
        <v>142</v>
      </c>
      <c r="C194" s="185">
        <v>193</v>
      </c>
      <c r="D194" s="185">
        <f>Table1123457[[#This Row],[a (mm)]]/Table1123457[[#This Row],[d (mm)]]</f>
        <v>2.8928571428571428</v>
      </c>
      <c r="E194" s="266">
        <v>66</v>
      </c>
      <c r="F194" s="137">
        <f>Table1123457[[#This Row],[d (mm)]]</f>
        <v>280</v>
      </c>
      <c r="G194" s="135">
        <f t="shared" si="28"/>
        <v>53460</v>
      </c>
      <c r="H194" s="135">
        <f t="shared" si="29"/>
        <v>6.701971957457221E-6</v>
      </c>
      <c r="I194" s="111">
        <f>G194/(Table1123457[[#This Row],[b (mm)]]*Table1123457[[#This Row],[h]]^2)</f>
        <v>4.5597993892973511E-3</v>
      </c>
      <c r="J194" s="135">
        <f t="shared" si="30"/>
        <v>0.71760473686779314</v>
      </c>
      <c r="K194" s="135">
        <f t="shared" si="31"/>
        <v>1.120752342582688E-5</v>
      </c>
      <c r="L194" s="135">
        <f>E194/(Table1123457[[#This Row],[b (mm)]]*AE194)</f>
        <v>1.9320843091334896E-3</v>
      </c>
      <c r="M194" s="135">
        <f>Table1123457[[#This Row],[M (KN.mm)]]/(Table1123457[[#This Row],[b (mm)]]*Table1123457[[#This Row],[d (mm)]])</f>
        <v>1.5649882903981265</v>
      </c>
      <c r="N194" s="135">
        <f>Table1123457[[#This Row],[M (KN.mm)]]/(Table1123457[[#This Row],[b (mm)]]*Table1123457[[#This Row],[h (mm)]])</f>
        <v>1.4135378106821788</v>
      </c>
      <c r="O194" s="145">
        <f>Table1123457[[#This Row],[M (KN.mm)]]/(Table1123457[[#This Row],[b (mm)]]*Table1123457[[#This Row],[h (mm)]]*Table1123457[[#This Row],[L(mm)]])</f>
        <v>8.7255420412480169E-4</v>
      </c>
      <c r="P194" s="145">
        <f>Table1123457[[#This Row],[M (KN.mm)]]/(Table1123457[[#This Row],[b (mm)]]*Table1123457[[#This Row],[d (mm)]]*Table1123457[[#This Row],[L(mm)]])</f>
        <v>9.6604215456674478E-4</v>
      </c>
      <c r="Q194" s="145">
        <f>Table1123457[[#This Row],[M (KN.mm)]]/(Table1123457[[#This Row],[b (mm)]]*Table1123457[[#This Row],[h (mm)]]*Table1123457[[#This Row],[L(mm)]]*Table1123457[[#This Row],[fc (Mpa)]])</f>
        <v>1.1287893973153968E-5</v>
      </c>
      <c r="R194" s="145">
        <f>Table1123457[[#This Row],[M (KN.mm)]]/(Table1123457[[#This Row],[b (mm)]]*Table1123457[[#This Row],[h (mm)]]*Table1123457[[#This Row],[L(mm)]]/2)</f>
        <v>1.7451084082496034E-3</v>
      </c>
      <c r="S194" s="145">
        <f>Table1123457[[#This Row],[M (KN.mm)]]/(Table1123457[[#This Row],[a (mm)]]*Table1123457[[#This Row],[b (mm)]]*Table1123457[[#This Row],[h (mm)]]*Table1123457[[#This Row],[L(mm)]]/2)</f>
        <v>2.1544548249995102E-6</v>
      </c>
      <c r="T194" s="145">
        <f>Table1123457[[#This Row],[M (KN.mm)]]/(Table1123457[[#This Row],[a (mm)]]^2*Table1123457[[#This Row],[b (mm)]]*Table1123457[[#This Row],[h (mm)]])</f>
        <v>2.1544548249995102E-6</v>
      </c>
      <c r="U194" s="145">
        <f>Table1123457[[#This Row],[M (KN.mm)]]/(Table1123457[[#This Row],[b (mm)]]*Table1123457[[#This Row],[d (mm)]]*Table1123457[[#This Row],[pho (%)]])</f>
        <v>1.1679017092523332</v>
      </c>
      <c r="V194" s="145">
        <f>E194*224.8/(2*SQRT(Table1123457[[#This Row],[fc (Mpa)]]*145.037)*Table1123457[[#This Row],[b (mm)]]*Table1123457[[#This Row],[d (mm)]]*(1/25.4)^2)</f>
        <v>1.3232157665602124</v>
      </c>
      <c r="W194" s="145">
        <f>Table1123457[[#This Row],[M (KN.mm)]]/$G$194</f>
        <v>1</v>
      </c>
      <c r="X194" s="145">
        <f>Table1123457[[#This Row],[V/(2*sqrt(fc) bd)]]</f>
        <v>1.3232157665602124</v>
      </c>
      <c r="Y194" s="111">
        <f>Table1123457[[#This Row],[a (mm)]]</f>
        <v>810</v>
      </c>
      <c r="Z194" s="111">
        <f>Table1123457[[#This Row],[width]]*Table1123457[[#This Row],[h]]^2</f>
        <v>11724200</v>
      </c>
      <c r="AA194" s="111">
        <f>Table1123457[[#This Row],[b (mm)]]</f>
        <v>122</v>
      </c>
      <c r="AB194" s="111">
        <f>Table1123457[[#This Row],[a (mm)]]/Table1123457[[#This Row],[h (mm)]]</f>
        <v>2.6129032258064515</v>
      </c>
      <c r="AC194" s="111">
        <f>Table1123457[[#This Row],[h (mm)]]</f>
        <v>310</v>
      </c>
      <c r="AD194" s="111">
        <v>810</v>
      </c>
      <c r="AE194" s="111">
        <v>280</v>
      </c>
      <c r="AF194" s="111">
        <v>310</v>
      </c>
      <c r="AG194" s="111">
        <v>122</v>
      </c>
      <c r="AH194" s="7">
        <v>77.3</v>
      </c>
      <c r="AI194" s="135">
        <f>Table1123457[[#This Row],[pho (%)]]/100*Table1123457[[#This Row],[b (mm)]]*Table1123457[[#This Row],[h (mm)]]</f>
        <v>506.78800000000001</v>
      </c>
      <c r="AJ194" s="135">
        <v>1.34</v>
      </c>
      <c r="AK194" s="160">
        <v>525</v>
      </c>
      <c r="AL194" s="135">
        <f>(1/3-0.21*(MIN(Table1123457[[#This Row],[b (mm)]],AF194)/MAX(Table1123457[[#This Row],[b (mm)]],AF194))*(MIN(Table1123457[[#This Row],[b (mm)]],AF194)^4/(12*MAX(Table1123457[[#This Row],[b (mm)]],AF194)^4)))*MAX(Table1123457[[#This Row],[b (mm)]],AF194)*MIN(Table1123457[[#This Row],[b (mm)]],AF194)^3</f>
        <v>187544629.45683298</v>
      </c>
      <c r="AM194" s="135">
        <f>Table1123457[[#This Row],[b (mm)]]*AF194^3/12</f>
        <v>302875166.66666669</v>
      </c>
      <c r="AN194" s="111">
        <v>1620</v>
      </c>
      <c r="AP194" s="107"/>
      <c r="AU194" s="384">
        <v>132</v>
      </c>
      <c r="AV194" s="2">
        <f t="shared" si="23"/>
        <v>66</v>
      </c>
    </row>
    <row r="195" spans="1:48" x14ac:dyDescent="0.3">
      <c r="A195" s="267" t="s">
        <v>171</v>
      </c>
      <c r="B195" s="267">
        <v>2</v>
      </c>
      <c r="C195" s="185">
        <v>194</v>
      </c>
      <c r="D195" s="185">
        <f>Table1123457[[#This Row],[a (mm)]]/Table1123457[[#This Row],[d (mm)]]</f>
        <v>2.79</v>
      </c>
      <c r="E195" s="268">
        <v>95</v>
      </c>
      <c r="F195" s="137">
        <f>Table1123457[[#This Row],[d (mm)]]</f>
        <v>1450</v>
      </c>
      <c r="G195" s="135">
        <f t="shared" si="28"/>
        <v>384322.5</v>
      </c>
      <c r="H195" s="135">
        <f t="shared" si="29"/>
        <v>1.7588086049261237E-7</v>
      </c>
      <c r="I195" s="111">
        <f>G195/(Table1123457[[#This Row],[b (mm)]]*Table1123457[[#This Row],[h]]^2)</f>
        <v>5.7901694915254238E-4</v>
      </c>
      <c r="J195" s="135">
        <f t="shared" si="30"/>
        <v>0.45636803874092008</v>
      </c>
      <c r="K195" s="135">
        <f t="shared" si="31"/>
        <v>2.3570273018684314E-7</v>
      </c>
      <c r="L195" s="135">
        <f>E195/(Table1123457[[#This Row],[b (mm)]]*AE195)</f>
        <v>2.2209234365867914E-4</v>
      </c>
      <c r="M195" s="135">
        <f>Table1123457[[#This Row],[M (KN.mm)]]/(Table1123457[[#This Row],[b (mm)]]*Table1123457[[#This Row],[d (mm)]])</f>
        <v>0.89847457627118643</v>
      </c>
      <c r="N195" s="135">
        <f>Table1123457[[#This Row],[M (KN.mm)]]/(Table1123457[[#This Row],[b (mm)]]*Table1123457[[#This Row],[h (mm)]])</f>
        <v>0.86852542372881358</v>
      </c>
      <c r="O195" s="145">
        <f>Table1123457[[#This Row],[M (KN.mm)]]/(Table1123457[[#This Row],[b (mm)]]*Table1123457[[#This Row],[h (mm)]]*Table1123457[[#This Row],[L(mm)]])</f>
        <v>1.0722536095417451E-4</v>
      </c>
      <c r="P195" s="145">
        <f>Table1123457[[#This Row],[M (KN.mm)]]/(Table1123457[[#This Row],[b (mm)]]*Table1123457[[#This Row],[d (mm)]]*Table1123457[[#This Row],[L(mm)]])</f>
        <v>1.1092278719397364E-4</v>
      </c>
      <c r="Q195" s="145">
        <f>Table1123457[[#This Row],[M (KN.mm)]]/(Table1123457[[#This Row],[b (mm)]]*Table1123457[[#This Row],[h (mm)]]*Table1123457[[#This Row],[L(mm)]]*Table1123457[[#This Row],[fc (Mpa)]])</f>
        <v>2.9620265456954283E-6</v>
      </c>
      <c r="R195" s="145">
        <f>Table1123457[[#This Row],[M (KN.mm)]]/(Table1123457[[#This Row],[b (mm)]]*Table1123457[[#This Row],[h (mm)]]*Table1123457[[#This Row],[L(mm)]]/2)</f>
        <v>2.1445072190834903E-4</v>
      </c>
      <c r="S195" s="145">
        <f>Table1123457[[#This Row],[M (KN.mm)]]/(Table1123457[[#This Row],[a (mm)]]*Table1123457[[#This Row],[b (mm)]]*Table1123457[[#This Row],[h (mm)]]*Table1123457[[#This Row],[L(mm)]]/2)</f>
        <v>5.3009695194252635E-8</v>
      </c>
      <c r="T195" s="145">
        <f>Table1123457[[#This Row],[M (KN.mm)]]/(Table1123457[[#This Row],[a (mm)]]^2*Table1123457[[#This Row],[b (mm)]]*Table1123457[[#This Row],[h (mm)]])</f>
        <v>5.3068660372444239E-8</v>
      </c>
      <c r="U195" s="145">
        <f>Table1123457[[#This Row],[M (KN.mm)]]/(Table1123457[[#This Row],[b (mm)]]*Table1123457[[#This Row],[d (mm)]]*Table1123457[[#This Row],[pho (%)]])</f>
        <v>3.5938983050847457</v>
      </c>
      <c r="V195" s="145">
        <f>E195*224.8/(2*SQRT(Table1123457[[#This Row],[fc (Mpa)]]*145.037)*Table1123457[[#This Row],[b (mm)]]*Table1123457[[#This Row],[d (mm)]]*(1/25.4)^2)</f>
        <v>0.22226631138939956</v>
      </c>
      <c r="W195" s="145">
        <f>Table1123457[[#This Row],[M (KN.mm)]]/$G$198</f>
        <v>0.55393586005830908</v>
      </c>
      <c r="X195" s="145">
        <f>Table1123457[[#This Row],[V/(2*sqrt(fc) bd)]]</f>
        <v>0.22226631138939956</v>
      </c>
      <c r="Y195" s="111">
        <f>Table1123457[[#This Row],[a (mm)]]</f>
        <v>4045.5</v>
      </c>
      <c r="Z195" s="111">
        <f>Table1123457[[#This Row],[width]]*Table1123457[[#This Row],[h]]^2</f>
        <v>663750000</v>
      </c>
      <c r="AA195" s="111">
        <f>Table1123457[[#This Row],[b (mm)]]</f>
        <v>295</v>
      </c>
      <c r="AB195" s="111">
        <f>Table1123457[[#This Row],[a (mm)]]/Table1123457[[#This Row],[h (mm)]]</f>
        <v>2.6970000000000001</v>
      </c>
      <c r="AC195" s="111">
        <f>Table1123457[[#This Row],[h (mm)]]</f>
        <v>1500</v>
      </c>
      <c r="AD195" s="111">
        <f>2.79*Table1123457[[#This Row],[d (mm)]]</f>
        <v>4045.5</v>
      </c>
      <c r="AE195" s="111">
        <v>1450</v>
      </c>
      <c r="AF195" s="111">
        <v>1500</v>
      </c>
      <c r="AG195" s="111">
        <v>295</v>
      </c>
      <c r="AH195" s="7">
        <v>36.200000000000003</v>
      </c>
      <c r="AI195" s="135">
        <f>Table1123457[[#This Row],[pho (%)]]/100*Table1123457[[#This Row],[b (mm)]]*Table1123457[[#This Row],[h (mm)]]</f>
        <v>1106.25</v>
      </c>
      <c r="AJ195" s="135">
        <v>0.25</v>
      </c>
      <c r="AK195" s="160">
        <v>525</v>
      </c>
      <c r="AL195" s="135">
        <f>(1/3-0.21*(MIN(Table1123457[[#This Row],[b (mm)]],AF195)/MAX(Table1123457[[#This Row],[b (mm)]],AF195))*(MIN(Table1123457[[#This Row],[b (mm)]],AF195)^4/(12*MAX(Table1123457[[#This Row],[b (mm)]],AF195)^4)))*MAX(Table1123457[[#This Row],[b (mm)]],AF195)*MIN(Table1123457[[#This Row],[b (mm)]],AF195)^3</f>
        <v>12835989233.591198</v>
      </c>
      <c r="AM195" s="135">
        <f>Table1123457[[#This Row],[b (mm)]]*AF195^3/12</f>
        <v>82968750000</v>
      </c>
      <c r="AN195" s="111">
        <v>8100</v>
      </c>
      <c r="AP195" s="107"/>
      <c r="AU195" s="385">
        <v>190</v>
      </c>
      <c r="AV195" s="2">
        <f t="shared" ref="AV195:AV198" si="32">AU195/2</f>
        <v>95</v>
      </c>
    </row>
    <row r="196" spans="1:48" x14ac:dyDescent="0.3">
      <c r="A196" s="267" t="s">
        <v>171</v>
      </c>
      <c r="B196" s="267">
        <v>3</v>
      </c>
      <c r="C196" s="185">
        <v>195</v>
      </c>
      <c r="D196" s="185">
        <f>Table1123457[[#This Row],[a (mm)]]/Table1123457[[#This Row],[d (mm)]]</f>
        <v>2.79</v>
      </c>
      <c r="E196" s="268">
        <v>112.5</v>
      </c>
      <c r="F196" s="137">
        <f>Table1123457[[#This Row],[d (mm)]]</f>
        <v>1450</v>
      </c>
      <c r="G196" s="135">
        <f t="shared" si="28"/>
        <v>455118.75</v>
      </c>
      <c r="H196" s="135">
        <f t="shared" si="29"/>
        <v>2.0827996637283044E-7</v>
      </c>
      <c r="I196" s="111">
        <f>G196/(Table1123457[[#This Row],[b (mm)]]*Table1123457[[#This Row],[h]]^2)</f>
        <v>6.8567796610169494E-4</v>
      </c>
      <c r="J196" s="135">
        <f t="shared" si="30"/>
        <v>0.54043583535108963</v>
      </c>
      <c r="K196" s="135">
        <f t="shared" si="31"/>
        <v>2.7912165416863001E-7</v>
      </c>
      <c r="L196" s="135">
        <f>E196/(Table1123457[[#This Row],[b (mm)]]*AE196)</f>
        <v>2.6300409117475162E-4</v>
      </c>
      <c r="M196" s="135">
        <f>Table1123457[[#This Row],[M (KN.mm)]]/(Table1123457[[#This Row],[b (mm)]]*Table1123457[[#This Row],[d (mm)]])</f>
        <v>1.0639830508474577</v>
      </c>
      <c r="N196" s="135">
        <f>Table1123457[[#This Row],[M (KN.mm)]]/(Table1123457[[#This Row],[b (mm)]]*Table1123457[[#This Row],[h (mm)]])</f>
        <v>1.0285169491525423</v>
      </c>
      <c r="O196" s="145">
        <f>Table1123457[[#This Row],[M (KN.mm)]]/(Table1123457[[#This Row],[b (mm)]]*Table1123457[[#This Row],[h (mm)]]*Table1123457[[#This Row],[L(mm)]])</f>
        <v>1.2697740112994351E-4</v>
      </c>
      <c r="P196" s="145">
        <f>Table1123457[[#This Row],[M (KN.mm)]]/(Table1123457[[#This Row],[b (mm)]]*Table1123457[[#This Row],[d (mm)]]*Table1123457[[#This Row],[L(mm)]])</f>
        <v>1.3135593220338983E-4</v>
      </c>
      <c r="Q196" s="145">
        <f>Table1123457[[#This Row],[M (KN.mm)]]/(Table1123457[[#This Row],[b (mm)]]*Table1123457[[#This Row],[h (mm)]]*Table1123457[[#This Row],[L(mm)]]*Table1123457[[#This Row],[fc (Mpa)]])</f>
        <v>3.5076630146393229E-6</v>
      </c>
      <c r="R196" s="145">
        <f>Table1123457[[#This Row],[M (KN.mm)]]/(Table1123457[[#This Row],[b (mm)]]*Table1123457[[#This Row],[h (mm)]]*Table1123457[[#This Row],[L(mm)]]/2)</f>
        <v>2.5395480225988702E-4</v>
      </c>
      <c r="S196" s="145">
        <f>Table1123457[[#This Row],[M (KN.mm)]]/(Table1123457[[#This Row],[a (mm)]]*Table1123457[[#This Row],[b (mm)]]*Table1123457[[#This Row],[h (mm)]]*Table1123457[[#This Row],[L(mm)]]/2)</f>
        <v>6.277463904582548E-8</v>
      </c>
      <c r="T196" s="145">
        <f>Table1123457[[#This Row],[M (KN.mm)]]/(Table1123457[[#This Row],[a (mm)]]^2*Table1123457[[#This Row],[b (mm)]]*Table1123457[[#This Row],[h (mm)]])</f>
        <v>6.2844466230526065E-8</v>
      </c>
      <c r="U196" s="145">
        <f>Table1123457[[#This Row],[M (KN.mm)]]/(Table1123457[[#This Row],[b (mm)]]*Table1123457[[#This Row],[d (mm)]]*Table1123457[[#This Row],[pho (%)]])</f>
        <v>4.2559322033898308</v>
      </c>
      <c r="V196" s="145">
        <f>E196*224.8/(2*SQRT(Table1123457[[#This Row],[fc (Mpa)]]*145.037)*Table1123457[[#This Row],[b (mm)]]*Table1123457[[#This Row],[d (mm)]]*(1/25.4)^2)</f>
        <v>0.26321010559271002</v>
      </c>
      <c r="W196" s="145">
        <f>Table1123457[[#This Row],[M (KN.mm)]]/$G$198</f>
        <v>0.6559766763848397</v>
      </c>
      <c r="X196" s="145">
        <f>Table1123457[[#This Row],[V/(2*sqrt(fc) bd)]]</f>
        <v>0.26321010559271002</v>
      </c>
      <c r="Y196" s="111">
        <f>Table1123457[[#This Row],[a (mm)]]</f>
        <v>4045.5</v>
      </c>
      <c r="Z196" s="111">
        <f>Table1123457[[#This Row],[width]]*Table1123457[[#This Row],[h]]^2</f>
        <v>663750000</v>
      </c>
      <c r="AA196" s="111">
        <f>Table1123457[[#This Row],[b (mm)]]</f>
        <v>295</v>
      </c>
      <c r="AB196" s="111">
        <f>Table1123457[[#This Row],[a (mm)]]/Table1123457[[#This Row],[h (mm)]]</f>
        <v>2.6970000000000001</v>
      </c>
      <c r="AC196" s="111">
        <f>Table1123457[[#This Row],[h (mm)]]</f>
        <v>1500</v>
      </c>
      <c r="AD196" s="111">
        <f>2.79*Table1123457[[#This Row],[d (mm)]]</f>
        <v>4045.5</v>
      </c>
      <c r="AE196" s="111">
        <v>1450</v>
      </c>
      <c r="AF196" s="111">
        <v>1500</v>
      </c>
      <c r="AG196" s="111">
        <v>295</v>
      </c>
      <c r="AH196" s="7">
        <v>36.200000000000003</v>
      </c>
      <c r="AI196" s="135">
        <f>Table1123457[[#This Row],[pho (%)]]/100*Table1123457[[#This Row],[b (mm)]]*Table1123457[[#This Row],[h (mm)]]</f>
        <v>1106.25</v>
      </c>
      <c r="AJ196" s="135">
        <v>0.25</v>
      </c>
      <c r="AK196" s="160">
        <v>525</v>
      </c>
      <c r="AL196" s="135">
        <f>(1/3-0.21*(MIN(Table1123457[[#This Row],[b (mm)]],AF196)/MAX(Table1123457[[#This Row],[b (mm)]],AF196))*(MIN(Table1123457[[#This Row],[b (mm)]],AF196)^4/(12*MAX(Table1123457[[#This Row],[b (mm)]],AF196)^4)))*MAX(Table1123457[[#This Row],[b (mm)]],AF196)*MIN(Table1123457[[#This Row],[b (mm)]],AF196)^3</f>
        <v>12835989233.591198</v>
      </c>
      <c r="AM196" s="135">
        <f>Table1123457[[#This Row],[b (mm)]]*AF196^3/12</f>
        <v>82968750000</v>
      </c>
      <c r="AN196" s="111">
        <v>8100</v>
      </c>
      <c r="AP196" s="107"/>
      <c r="AU196" s="385">
        <v>225</v>
      </c>
      <c r="AV196" s="2">
        <f t="shared" si="32"/>
        <v>112.5</v>
      </c>
    </row>
    <row r="197" spans="1:48" x14ac:dyDescent="0.3">
      <c r="A197" s="267" t="s">
        <v>171</v>
      </c>
      <c r="B197" s="267">
        <v>4</v>
      </c>
      <c r="C197" s="185">
        <v>196</v>
      </c>
      <c r="D197" s="185">
        <f>Table1123457[[#This Row],[a (mm)]]/Table1123457[[#This Row],[d (mm)]]</f>
        <v>2.79</v>
      </c>
      <c r="E197" s="268">
        <v>150</v>
      </c>
      <c r="F197" s="137">
        <f>Table1123457[[#This Row],[d (mm)]]</f>
        <v>1450</v>
      </c>
      <c r="G197" s="135">
        <f t="shared" si="28"/>
        <v>606825</v>
      </c>
      <c r="H197" s="135">
        <f t="shared" si="29"/>
        <v>2.7770662183044057E-7</v>
      </c>
      <c r="I197" s="111">
        <f>G197/(Table1123457[[#This Row],[b (mm)]]*Table1123457[[#This Row],[h]]^2)</f>
        <v>9.1423728813559322E-4</v>
      </c>
      <c r="J197" s="135">
        <f t="shared" si="30"/>
        <v>0.72058111380145273</v>
      </c>
      <c r="K197" s="135">
        <f t="shared" si="31"/>
        <v>3.7216220555817335E-7</v>
      </c>
      <c r="L197" s="135">
        <f>E197/(Table1123457[[#This Row],[b (mm)]]*AE197)</f>
        <v>3.5067212156633545E-4</v>
      </c>
      <c r="M197" s="135">
        <f>Table1123457[[#This Row],[M (KN.mm)]]/(Table1123457[[#This Row],[b (mm)]]*Table1123457[[#This Row],[d (mm)]])</f>
        <v>1.4186440677966101</v>
      </c>
      <c r="N197" s="135">
        <f>Table1123457[[#This Row],[M (KN.mm)]]/(Table1123457[[#This Row],[b (mm)]]*Table1123457[[#This Row],[h (mm)]])</f>
        <v>1.3713559322033899</v>
      </c>
      <c r="O197" s="145">
        <f>Table1123457[[#This Row],[M (KN.mm)]]/(Table1123457[[#This Row],[b (mm)]]*Table1123457[[#This Row],[h (mm)]]*Table1123457[[#This Row],[L(mm)]])</f>
        <v>1.6930320150659135E-4</v>
      </c>
      <c r="P197" s="145">
        <f>Table1123457[[#This Row],[M (KN.mm)]]/(Table1123457[[#This Row],[b (mm)]]*Table1123457[[#This Row],[d (mm)]]*Table1123457[[#This Row],[L(mm)]])</f>
        <v>1.751412429378531E-4</v>
      </c>
      <c r="Q197" s="145">
        <f>Table1123457[[#This Row],[M (KN.mm)]]/(Table1123457[[#This Row],[b (mm)]]*Table1123457[[#This Row],[h (mm)]]*Table1123457[[#This Row],[L(mm)]]*Table1123457[[#This Row],[fc (Mpa)]])</f>
        <v>4.6768840195190972E-6</v>
      </c>
      <c r="R197" s="145">
        <f>Table1123457[[#This Row],[M (KN.mm)]]/(Table1123457[[#This Row],[b (mm)]]*Table1123457[[#This Row],[h (mm)]]*Table1123457[[#This Row],[L(mm)]]/2)</f>
        <v>3.386064030131827E-4</v>
      </c>
      <c r="S197" s="145">
        <f>Table1123457[[#This Row],[M (KN.mm)]]/(Table1123457[[#This Row],[a (mm)]]*Table1123457[[#This Row],[b (mm)]]*Table1123457[[#This Row],[h (mm)]]*Table1123457[[#This Row],[L(mm)]]/2)</f>
        <v>8.369951872776732E-8</v>
      </c>
      <c r="T197" s="145">
        <f>Table1123457[[#This Row],[M (KN.mm)]]/(Table1123457[[#This Row],[a (mm)]]^2*Table1123457[[#This Row],[b (mm)]]*Table1123457[[#This Row],[h (mm)]])</f>
        <v>8.3792621640701428E-8</v>
      </c>
      <c r="U197" s="145">
        <f>Table1123457[[#This Row],[M (KN.mm)]]/(Table1123457[[#This Row],[b (mm)]]*Table1123457[[#This Row],[d (mm)]]*Table1123457[[#This Row],[pho (%)]])</f>
        <v>5.6745762711864405</v>
      </c>
      <c r="V197" s="145">
        <f>E197*224.8/(2*SQRT(Table1123457[[#This Row],[fc (Mpa)]]*145.037)*Table1123457[[#This Row],[b (mm)]]*Table1123457[[#This Row],[d (mm)]]*(1/25.4)^2)</f>
        <v>0.35094680745694667</v>
      </c>
      <c r="W197" s="145">
        <f>Table1123457[[#This Row],[M (KN.mm)]]/$G$198</f>
        <v>0.87463556851311952</v>
      </c>
      <c r="X197" s="145">
        <f>Table1123457[[#This Row],[V/(2*sqrt(fc) bd)]]</f>
        <v>0.35094680745694667</v>
      </c>
      <c r="Y197" s="111">
        <f>Table1123457[[#This Row],[a (mm)]]</f>
        <v>4045.5</v>
      </c>
      <c r="Z197" s="111">
        <f>Table1123457[[#This Row],[width]]*Table1123457[[#This Row],[h]]^2</f>
        <v>663750000</v>
      </c>
      <c r="AA197" s="111">
        <f>Table1123457[[#This Row],[b (mm)]]</f>
        <v>295</v>
      </c>
      <c r="AB197" s="111">
        <f>Table1123457[[#This Row],[a (mm)]]/Table1123457[[#This Row],[h (mm)]]</f>
        <v>2.6970000000000001</v>
      </c>
      <c r="AC197" s="111">
        <f>Table1123457[[#This Row],[h (mm)]]</f>
        <v>1500</v>
      </c>
      <c r="AD197" s="111">
        <f>2.79*Table1123457[[#This Row],[d (mm)]]</f>
        <v>4045.5</v>
      </c>
      <c r="AE197" s="111">
        <v>1450</v>
      </c>
      <c r="AF197" s="111">
        <v>1500</v>
      </c>
      <c r="AG197" s="111">
        <v>295</v>
      </c>
      <c r="AH197" s="7">
        <v>36.200000000000003</v>
      </c>
      <c r="AI197" s="135">
        <f>Table1123457[[#This Row],[pho (%)]]/100*Table1123457[[#This Row],[b (mm)]]*Table1123457[[#This Row],[h (mm)]]</f>
        <v>1106.25</v>
      </c>
      <c r="AJ197" s="135">
        <v>0.25</v>
      </c>
      <c r="AK197" s="160">
        <v>525</v>
      </c>
      <c r="AL197" s="135">
        <f>(1/3-0.21*(MIN(Table1123457[[#This Row],[b (mm)]],AF197)/MAX(Table1123457[[#This Row],[b (mm)]],AF197))*(MIN(Table1123457[[#This Row],[b (mm)]],AF197)^4/(12*MAX(Table1123457[[#This Row],[b (mm)]],AF197)^4)))*MAX(Table1123457[[#This Row],[b (mm)]],AF197)*MIN(Table1123457[[#This Row],[b (mm)]],AF197)^3</f>
        <v>12835989233.591198</v>
      </c>
      <c r="AM197" s="135">
        <f>Table1123457[[#This Row],[b (mm)]]*AF197^3/12</f>
        <v>82968750000</v>
      </c>
      <c r="AN197" s="111">
        <v>8100</v>
      </c>
      <c r="AP197" s="107"/>
      <c r="AU197" s="385">
        <v>300</v>
      </c>
      <c r="AV197" s="2">
        <f t="shared" si="32"/>
        <v>150</v>
      </c>
    </row>
    <row r="198" spans="1:48" x14ac:dyDescent="0.3">
      <c r="A198" s="267" t="s">
        <v>171</v>
      </c>
      <c r="B198" s="267" t="s">
        <v>142</v>
      </c>
      <c r="C198" s="185">
        <v>197</v>
      </c>
      <c r="D198" s="185">
        <f>Table1123457[[#This Row],[a (mm)]]/Table1123457[[#This Row],[d (mm)]]</f>
        <v>2.79</v>
      </c>
      <c r="E198" s="268">
        <v>171.5</v>
      </c>
      <c r="F198" s="137">
        <f>Table1123457[[#This Row],[d (mm)]]</f>
        <v>1450</v>
      </c>
      <c r="G198" s="135">
        <f t="shared" si="28"/>
        <v>693803.25</v>
      </c>
      <c r="H198" s="135">
        <f t="shared" si="29"/>
        <v>3.1751123762613705E-7</v>
      </c>
      <c r="I198" s="111">
        <f>G198/(Table1123457[[#This Row],[b (mm)]]*Table1123457[[#This Row],[h]]^2)</f>
        <v>1.045277966101695E-3</v>
      </c>
      <c r="J198" s="135">
        <f t="shared" si="30"/>
        <v>0.823864406779661</v>
      </c>
      <c r="K198" s="135">
        <f t="shared" si="31"/>
        <v>4.2550545502151155E-7</v>
      </c>
      <c r="L198" s="135">
        <f>E198/(Table1123457[[#This Row],[b (mm)]]*AE198)</f>
        <v>4.0093512565751022E-4</v>
      </c>
      <c r="M198" s="135">
        <f>Table1123457[[#This Row],[M (KN.mm)]]/(Table1123457[[#This Row],[b (mm)]]*Table1123457[[#This Row],[d (mm)]])</f>
        <v>1.6219830508474575</v>
      </c>
      <c r="N198" s="135">
        <f>Table1123457[[#This Row],[M (KN.mm)]]/(Table1123457[[#This Row],[b (mm)]]*Table1123457[[#This Row],[h (mm)]])</f>
        <v>1.5679169491525424</v>
      </c>
      <c r="O198" s="145">
        <f>Table1123457[[#This Row],[M (KN.mm)]]/(Table1123457[[#This Row],[b (mm)]]*Table1123457[[#This Row],[h (mm)]]*Table1123457[[#This Row],[L(mm)]])</f>
        <v>1.935699937225361E-4</v>
      </c>
      <c r="P198" s="145">
        <f>Table1123457[[#This Row],[M (KN.mm)]]/(Table1123457[[#This Row],[b (mm)]]*Table1123457[[#This Row],[d (mm)]]*Table1123457[[#This Row],[L(mm)]])</f>
        <v>2.0024482109227873E-4</v>
      </c>
      <c r="Q198" s="145">
        <f>Table1123457[[#This Row],[M (KN.mm)]]/(Table1123457[[#This Row],[b (mm)]]*Table1123457[[#This Row],[h (mm)]]*Table1123457[[#This Row],[L(mm)]]*Table1123457[[#This Row],[fc (Mpa)]])</f>
        <v>5.3472373956501677E-6</v>
      </c>
      <c r="R198" s="145">
        <f>Table1123457[[#This Row],[M (KN.mm)]]/(Table1123457[[#This Row],[b (mm)]]*Table1123457[[#This Row],[h (mm)]]*Table1123457[[#This Row],[L(mm)]]/2)</f>
        <v>3.8713998744507221E-4</v>
      </c>
      <c r="S198" s="145">
        <f>Table1123457[[#This Row],[M (KN.mm)]]/(Table1123457[[#This Row],[a (mm)]]*Table1123457[[#This Row],[b (mm)]]*Table1123457[[#This Row],[h (mm)]]*Table1123457[[#This Row],[L(mm)]]/2)</f>
        <v>9.5696449745413967E-8</v>
      </c>
      <c r="T198" s="145">
        <f>Table1123457[[#This Row],[M (KN.mm)]]/(Table1123457[[#This Row],[a (mm)]]^2*Table1123457[[#This Row],[b (mm)]]*Table1123457[[#This Row],[h (mm)]])</f>
        <v>9.5802897409201972E-8</v>
      </c>
      <c r="U198" s="145">
        <f>Table1123457[[#This Row],[M (KN.mm)]]/(Table1123457[[#This Row],[b (mm)]]*Table1123457[[#This Row],[d (mm)]]*Table1123457[[#This Row],[pho (%)]])</f>
        <v>6.4879322033898301</v>
      </c>
      <c r="V198" s="145">
        <f>E198*224.8/(2*SQRT(Table1123457[[#This Row],[fc (Mpa)]]*145.037)*Table1123457[[#This Row],[b (mm)]]*Table1123457[[#This Row],[d (mm)]]*(1/25.4)^2)</f>
        <v>0.40124918319244246</v>
      </c>
      <c r="W198" s="145">
        <f>Table1123457[[#This Row],[M (KN.mm)]]/$G$198</f>
        <v>1</v>
      </c>
      <c r="X198" s="145">
        <f>Table1123457[[#This Row],[V/(2*sqrt(fc) bd)]]</f>
        <v>0.40124918319244246</v>
      </c>
      <c r="Y198" s="111">
        <f>Table1123457[[#This Row],[a (mm)]]</f>
        <v>4045.5</v>
      </c>
      <c r="Z198" s="111">
        <f>Table1123457[[#This Row],[width]]*Table1123457[[#This Row],[h]]^2</f>
        <v>663750000</v>
      </c>
      <c r="AA198" s="111">
        <f>Table1123457[[#This Row],[b (mm)]]</f>
        <v>295</v>
      </c>
      <c r="AB198" s="111">
        <f>Table1123457[[#This Row],[a (mm)]]/Table1123457[[#This Row],[h (mm)]]</f>
        <v>2.6970000000000001</v>
      </c>
      <c r="AC198" s="111">
        <f>Table1123457[[#This Row],[h (mm)]]</f>
        <v>1500</v>
      </c>
      <c r="AD198" s="111">
        <f>2.79*Table1123457[[#This Row],[d (mm)]]</f>
        <v>4045.5</v>
      </c>
      <c r="AE198" s="111">
        <v>1450</v>
      </c>
      <c r="AF198" s="111">
        <v>1500</v>
      </c>
      <c r="AG198" s="111">
        <v>295</v>
      </c>
      <c r="AH198" s="7">
        <v>36.200000000000003</v>
      </c>
      <c r="AI198" s="135">
        <f>Table1123457[[#This Row],[pho (%)]]/100*Table1123457[[#This Row],[b (mm)]]*Table1123457[[#This Row],[h (mm)]]</f>
        <v>1106.25</v>
      </c>
      <c r="AJ198" s="135">
        <v>0.25</v>
      </c>
      <c r="AK198" s="160">
        <v>525</v>
      </c>
      <c r="AL198" s="135">
        <f>(1/3-0.21*(MIN(Table1123457[[#This Row],[b (mm)]],AF198)/MAX(Table1123457[[#This Row],[b (mm)]],AF198))*(MIN(Table1123457[[#This Row],[b (mm)]],AF198)^4/(12*MAX(Table1123457[[#This Row],[b (mm)]],AF198)^4)))*MAX(Table1123457[[#This Row],[b (mm)]],AF198)*MIN(Table1123457[[#This Row],[b (mm)]],AF198)^3</f>
        <v>12835989233.591198</v>
      </c>
      <c r="AM198" s="135">
        <f>Table1123457[[#This Row],[b (mm)]]*AF198^3/12</f>
        <v>82968750000</v>
      </c>
      <c r="AN198" s="111">
        <v>8100</v>
      </c>
      <c r="AP198" s="107"/>
      <c r="AU198" s="385">
        <v>343</v>
      </c>
      <c r="AV198" s="2">
        <f t="shared" si="32"/>
        <v>171.5</v>
      </c>
    </row>
    <row r="199" spans="1:48" x14ac:dyDescent="0.3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P199" s="107"/>
    </row>
    <row r="200" spans="1:48" x14ac:dyDescent="0.3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P200" s="107"/>
    </row>
    <row r="201" spans="1:48" x14ac:dyDescent="0.3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P201" s="107"/>
    </row>
    <row r="202" spans="1:48" x14ac:dyDescent="0.3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P202" s="107"/>
    </row>
    <row r="203" spans="1:48" x14ac:dyDescent="0.3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P203" s="107"/>
    </row>
    <row r="204" spans="1:48" x14ac:dyDescent="0.3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P204" s="107"/>
    </row>
    <row r="205" spans="1:48" x14ac:dyDescent="0.3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P205" s="107"/>
    </row>
    <row r="206" spans="1:48" x14ac:dyDescent="0.3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P206" s="107"/>
    </row>
    <row r="207" spans="1:48" x14ac:dyDescent="0.3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P207" s="107"/>
    </row>
    <row r="208" spans="1:48" x14ac:dyDescent="0.3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P208" s="107"/>
    </row>
    <row r="209" spans="1:42" x14ac:dyDescent="0.3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P209" s="107"/>
    </row>
    <row r="210" spans="1:42" x14ac:dyDescent="0.3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P210" s="107"/>
    </row>
    <row r="211" spans="1:42" x14ac:dyDescent="0.3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P211" s="107"/>
    </row>
    <row r="212" spans="1:42" x14ac:dyDescent="0.3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P212" s="107"/>
    </row>
    <row r="213" spans="1:42" x14ac:dyDescent="0.3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P213" s="107"/>
    </row>
    <row r="214" spans="1:42" x14ac:dyDescent="0.3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P214" s="107"/>
    </row>
    <row r="215" spans="1:42" x14ac:dyDescent="0.3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P215" s="107"/>
    </row>
    <row r="216" spans="1:42" x14ac:dyDescent="0.3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P216" s="107"/>
    </row>
    <row r="217" spans="1:42" x14ac:dyDescent="0.3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P217" s="107"/>
    </row>
    <row r="218" spans="1:42" x14ac:dyDescent="0.3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P218" s="107"/>
    </row>
    <row r="219" spans="1:42" x14ac:dyDescent="0.3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P219" s="107"/>
    </row>
    <row r="220" spans="1:42" x14ac:dyDescent="0.3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P220" s="107"/>
    </row>
    <row r="221" spans="1:42" x14ac:dyDescent="0.3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P221" s="107"/>
    </row>
    <row r="222" spans="1:42" x14ac:dyDescent="0.3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P222" s="107"/>
    </row>
    <row r="223" spans="1:42" x14ac:dyDescent="0.3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P223" s="107"/>
    </row>
    <row r="224" spans="1:42" x14ac:dyDescent="0.3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P224" s="107"/>
    </row>
    <row r="225" spans="1:42" x14ac:dyDescent="0.3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P225" s="107"/>
    </row>
    <row r="226" spans="1:42" x14ac:dyDescent="0.3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P226" s="107"/>
    </row>
    <row r="227" spans="1:42" x14ac:dyDescent="0.3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P227" s="107"/>
    </row>
    <row r="228" spans="1:42" x14ac:dyDescent="0.3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P228" s="107"/>
    </row>
    <row r="229" spans="1:42" x14ac:dyDescent="0.3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P229" s="107"/>
    </row>
    <row r="230" spans="1:42" x14ac:dyDescent="0.3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P230" s="107"/>
    </row>
    <row r="231" spans="1:42" x14ac:dyDescent="0.3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P231" s="107"/>
    </row>
    <row r="232" spans="1:42" x14ac:dyDescent="0.3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P232" s="107"/>
    </row>
    <row r="233" spans="1:42" x14ac:dyDescent="0.3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P233" s="107"/>
    </row>
    <row r="234" spans="1:42" x14ac:dyDescent="0.3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P234" s="107"/>
    </row>
    <row r="235" spans="1:42" x14ac:dyDescent="0.3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P235" s="107"/>
    </row>
    <row r="236" spans="1:42" x14ac:dyDescent="0.3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P236" s="107"/>
    </row>
    <row r="237" spans="1:42" x14ac:dyDescent="0.3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P237" s="107"/>
    </row>
    <row r="238" spans="1:42" x14ac:dyDescent="0.3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P238" s="107"/>
    </row>
    <row r="239" spans="1:42" x14ac:dyDescent="0.3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P239" s="107"/>
    </row>
    <row r="240" spans="1:42" x14ac:dyDescent="0.3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P240" s="107"/>
    </row>
    <row r="241" spans="1:42" x14ac:dyDescent="0.3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P241" s="107"/>
    </row>
    <row r="242" spans="1:42" x14ac:dyDescent="0.3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P242" s="107"/>
    </row>
    <row r="243" spans="1:42" x14ac:dyDescent="0.3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P243" s="107"/>
    </row>
    <row r="244" spans="1:42" x14ac:dyDescent="0.3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P244" s="107"/>
    </row>
    <row r="245" spans="1:42" x14ac:dyDescent="0.3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P245" s="107"/>
    </row>
    <row r="246" spans="1:42" x14ac:dyDescent="0.3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P246" s="107"/>
    </row>
    <row r="247" spans="1:42" x14ac:dyDescent="0.3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P247" s="107"/>
    </row>
    <row r="248" spans="1:42" x14ac:dyDescent="0.3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P248" s="107"/>
    </row>
    <row r="249" spans="1:42" x14ac:dyDescent="0.3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P249" s="107"/>
    </row>
    <row r="250" spans="1:42" x14ac:dyDescent="0.3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P250" s="107"/>
    </row>
    <row r="251" spans="1:42" x14ac:dyDescent="0.3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P251" s="107"/>
    </row>
    <row r="252" spans="1:42" x14ac:dyDescent="0.3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P252" s="107"/>
    </row>
    <row r="253" spans="1:42" x14ac:dyDescent="0.3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P253" s="107"/>
    </row>
    <row r="254" spans="1:42" x14ac:dyDescent="0.3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P254" s="107"/>
    </row>
    <row r="255" spans="1:42" x14ac:dyDescent="0.3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P255" s="107"/>
    </row>
    <row r="256" spans="1:42" x14ac:dyDescent="0.3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P256" s="107"/>
    </row>
    <row r="257" spans="1:42" x14ac:dyDescent="0.3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P257" s="107"/>
    </row>
    <row r="258" spans="1:42" x14ac:dyDescent="0.3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P258" s="107"/>
    </row>
    <row r="259" spans="1:42" x14ac:dyDescent="0.3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P259" s="107"/>
    </row>
    <row r="260" spans="1:42" x14ac:dyDescent="0.3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P260" s="107"/>
    </row>
    <row r="261" spans="1:42" x14ac:dyDescent="0.3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P261" s="107"/>
    </row>
    <row r="262" spans="1:42" x14ac:dyDescent="0.3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P262" s="107"/>
    </row>
    <row r="263" spans="1:42" x14ac:dyDescent="0.3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P263" s="107"/>
    </row>
    <row r="264" spans="1:42" x14ac:dyDescent="0.3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P264" s="107"/>
    </row>
    <row r="265" spans="1:42" x14ac:dyDescent="0.3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P265" s="107"/>
    </row>
    <row r="266" spans="1:42" x14ac:dyDescent="0.3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P266" s="107"/>
    </row>
    <row r="267" spans="1:42" x14ac:dyDescent="0.3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P267" s="107"/>
    </row>
    <row r="268" spans="1:42" x14ac:dyDescent="0.3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P268" s="107"/>
    </row>
    <row r="269" spans="1:42" x14ac:dyDescent="0.3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P269" s="107"/>
    </row>
    <row r="270" spans="1:42" x14ac:dyDescent="0.3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P270" s="107"/>
    </row>
    <row r="271" spans="1:42" x14ac:dyDescent="0.3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P271" s="107"/>
    </row>
    <row r="272" spans="1:42" x14ac:dyDescent="0.3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P272" s="107"/>
    </row>
    <row r="273" spans="1:42" x14ac:dyDescent="0.3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P273" s="107"/>
    </row>
    <row r="274" spans="1:42" x14ac:dyDescent="0.3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P274" s="107"/>
    </row>
    <row r="275" spans="1:42" x14ac:dyDescent="0.3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P275" s="107"/>
    </row>
    <row r="276" spans="1:42" x14ac:dyDescent="0.3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P276" s="107"/>
    </row>
    <row r="277" spans="1:42" x14ac:dyDescent="0.3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P277" s="107"/>
    </row>
    <row r="278" spans="1:42" x14ac:dyDescent="0.3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P278" s="107"/>
    </row>
    <row r="279" spans="1:42" x14ac:dyDescent="0.3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P279" s="107"/>
    </row>
    <row r="280" spans="1:42" x14ac:dyDescent="0.3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P280" s="107"/>
    </row>
    <row r="281" spans="1:42" x14ac:dyDescent="0.3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P281" s="107"/>
    </row>
    <row r="282" spans="1:42" x14ac:dyDescent="0.3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P282" s="107"/>
    </row>
    <row r="283" spans="1:42" x14ac:dyDescent="0.3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</row>
    <row r="284" spans="1:42" x14ac:dyDescent="0.3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</row>
    <row r="285" spans="1:42" x14ac:dyDescent="0.3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</row>
    <row r="286" spans="1:42" x14ac:dyDescent="0.3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</row>
    <row r="287" spans="1:42" x14ac:dyDescent="0.3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</row>
    <row r="288" spans="1:42" x14ac:dyDescent="0.3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</row>
    <row r="289" spans="1:40" x14ac:dyDescent="0.3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</row>
    <row r="290" spans="1:40" x14ac:dyDescent="0.3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</row>
    <row r="291" spans="1:40" x14ac:dyDescent="0.3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</row>
    <row r="292" spans="1:40" x14ac:dyDescent="0.3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</row>
    <row r="293" spans="1:40" x14ac:dyDescent="0.3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</row>
    <row r="294" spans="1:40" x14ac:dyDescent="0.3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</row>
    <row r="295" spans="1:40" x14ac:dyDescent="0.3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</row>
    <row r="296" spans="1:40" x14ac:dyDescent="0.3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</row>
    <row r="297" spans="1:40" x14ac:dyDescent="0.3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</row>
    <row r="298" spans="1:40" x14ac:dyDescent="0.3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</row>
    <row r="299" spans="1:40" x14ac:dyDescent="0.3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</row>
    <row r="300" spans="1:40" x14ac:dyDescent="0.3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</row>
    <row r="301" spans="1:40" x14ac:dyDescent="0.3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</row>
    <row r="302" spans="1:40" x14ac:dyDescent="0.3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</row>
    <row r="303" spans="1:40" x14ac:dyDescent="0.3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</row>
    <row r="304" spans="1:40" x14ac:dyDescent="0.3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</row>
    <row r="305" spans="1:40" x14ac:dyDescent="0.3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</row>
    <row r="306" spans="1:40" x14ac:dyDescent="0.3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</row>
    <row r="307" spans="1:40" x14ac:dyDescent="0.3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</row>
    <row r="308" spans="1:40" x14ac:dyDescent="0.3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</row>
    <row r="309" spans="1:40" x14ac:dyDescent="0.3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</row>
    <row r="310" spans="1:40" x14ac:dyDescent="0.3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</row>
    <row r="311" spans="1:40" x14ac:dyDescent="0.3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</row>
    <row r="312" spans="1:40" x14ac:dyDescent="0.3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</row>
    <row r="313" spans="1:40" x14ac:dyDescent="0.3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</row>
    <row r="314" spans="1:40" x14ac:dyDescent="0.3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</row>
    <row r="315" spans="1:40" x14ac:dyDescent="0.3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</row>
    <row r="316" spans="1:40" x14ac:dyDescent="0.3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</row>
    <row r="317" spans="1:40" x14ac:dyDescent="0.3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</row>
    <row r="318" spans="1:40" x14ac:dyDescent="0.3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</row>
    <row r="319" spans="1:40" x14ac:dyDescent="0.3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</row>
    <row r="320" spans="1:40" x14ac:dyDescent="0.3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</row>
    <row r="321" spans="1:40" x14ac:dyDescent="0.3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</row>
    <row r="322" spans="1:40" x14ac:dyDescent="0.3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</row>
    <row r="323" spans="1:40" x14ac:dyDescent="0.3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</row>
    <row r="324" spans="1:40" x14ac:dyDescent="0.3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</row>
    <row r="325" spans="1:40" x14ac:dyDescent="0.3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</row>
    <row r="326" spans="1:40" x14ac:dyDescent="0.3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</row>
    <row r="327" spans="1:40" x14ac:dyDescent="0.3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W331"/>
  <sheetViews>
    <sheetView zoomScaleNormal="100" workbookViewId="0">
      <selection activeCell="F19" sqref="F19"/>
    </sheetView>
  </sheetViews>
  <sheetFormatPr defaultColWidth="9.109375" defaultRowHeight="14.4" x14ac:dyDescent="0.3"/>
  <cols>
    <col min="1" max="1" width="15" style="140" customWidth="1"/>
    <col min="2" max="2" width="8.33203125" style="2" customWidth="1"/>
    <col min="3" max="3" width="7.44140625" style="2" customWidth="1"/>
    <col min="4" max="4" width="9.44140625" style="188" customWidth="1"/>
    <col min="5" max="5" width="10.88671875" style="188" customWidth="1"/>
    <col min="6" max="6" width="12.88671875" style="2" customWidth="1"/>
    <col min="7" max="7" width="12" style="2" customWidth="1"/>
    <col min="8" max="8" width="10.5546875" style="2" customWidth="1"/>
    <col min="9" max="9" width="10.88671875" style="2" customWidth="1"/>
    <col min="10" max="10" width="17.6640625" style="2" customWidth="1"/>
    <col min="11" max="11" width="8.88671875" style="2" customWidth="1"/>
    <col min="12" max="12" width="8.44140625" style="2" customWidth="1"/>
    <col min="13" max="17" width="10" style="2" customWidth="1"/>
    <col min="18" max="29" width="14.6640625" style="2" customWidth="1"/>
    <col min="30" max="30" width="9.44140625" style="2" customWidth="1"/>
    <col min="31" max="32" width="9.5546875" style="2" customWidth="1"/>
    <col min="33" max="33" width="10.6640625" style="2" customWidth="1"/>
    <col min="34" max="34" width="9.88671875" style="2" customWidth="1"/>
    <col min="35" max="35" width="12.5546875" style="2" customWidth="1"/>
    <col min="36" max="36" width="11.6640625" style="2" customWidth="1"/>
    <col min="37" max="37" width="11" style="2" customWidth="1"/>
    <col min="38" max="38" width="12.44140625" style="2" customWidth="1"/>
    <col min="39" max="40" width="14.33203125" style="2" customWidth="1"/>
    <col min="41" max="41" width="15.33203125" customWidth="1"/>
    <col min="42" max="42" width="13.5546875" style="2" customWidth="1"/>
    <col min="43" max="43" width="12.44140625" style="1" customWidth="1"/>
    <col min="44" max="44" width="9.109375" style="1"/>
    <col min="45" max="16384" width="9.109375" style="2"/>
  </cols>
  <sheetData>
    <row r="1" spans="1:49" ht="80.25" customHeight="1" x14ac:dyDescent="0.3">
      <c r="A1" s="151" t="s">
        <v>59</v>
      </c>
      <c r="B1" s="104" t="s">
        <v>57</v>
      </c>
      <c r="C1" s="104" t="s">
        <v>58</v>
      </c>
      <c r="D1" s="187" t="s">
        <v>194</v>
      </c>
      <c r="E1" s="189" t="s">
        <v>24</v>
      </c>
      <c r="F1" s="104" t="s">
        <v>63</v>
      </c>
      <c r="G1" s="17" t="s">
        <v>23</v>
      </c>
      <c r="H1" s="17" t="s">
        <v>3</v>
      </c>
      <c r="I1" s="17" t="s">
        <v>307</v>
      </c>
      <c r="J1" s="17" t="s">
        <v>14</v>
      </c>
      <c r="K1" s="17" t="s">
        <v>20</v>
      </c>
      <c r="L1" s="3" t="s">
        <v>19</v>
      </c>
      <c r="M1" s="3" t="s">
        <v>53</v>
      </c>
      <c r="N1" s="3" t="s">
        <v>54</v>
      </c>
      <c r="O1" s="3" t="s">
        <v>79</v>
      </c>
      <c r="P1" s="3" t="s">
        <v>81</v>
      </c>
      <c r="Q1" s="3" t="s">
        <v>82</v>
      </c>
      <c r="R1" s="3" t="s">
        <v>84</v>
      </c>
      <c r="S1" s="3" t="s">
        <v>85</v>
      </c>
      <c r="T1" s="3" t="s">
        <v>88</v>
      </c>
      <c r="U1" s="3" t="s">
        <v>91</v>
      </c>
      <c r="V1" s="3" t="s">
        <v>140</v>
      </c>
      <c r="W1" s="3" t="s">
        <v>103</v>
      </c>
      <c r="X1" s="3" t="s">
        <v>302</v>
      </c>
      <c r="Y1" s="191" t="s">
        <v>60</v>
      </c>
      <c r="Z1" s="191" t="s">
        <v>306</v>
      </c>
      <c r="AA1" s="73" t="s">
        <v>304</v>
      </c>
      <c r="AB1" s="73" t="s">
        <v>305</v>
      </c>
      <c r="AC1" s="73" t="s">
        <v>67</v>
      </c>
      <c r="AD1" s="3" t="s">
        <v>5</v>
      </c>
      <c r="AE1" s="3" t="s">
        <v>9</v>
      </c>
      <c r="AF1" s="3" t="s">
        <v>12</v>
      </c>
      <c r="AG1" s="3" t="s">
        <v>76</v>
      </c>
      <c r="AH1" s="3" t="s">
        <v>77</v>
      </c>
      <c r="AI1" s="3" t="s">
        <v>10</v>
      </c>
      <c r="AJ1" s="3" t="s">
        <v>11</v>
      </c>
      <c r="AK1" s="3" t="s">
        <v>18</v>
      </c>
      <c r="AL1" s="3" t="s">
        <v>15</v>
      </c>
      <c r="AM1" s="3" t="s">
        <v>17</v>
      </c>
      <c r="AN1" s="3" t="s">
        <v>78</v>
      </c>
      <c r="AO1" t="s">
        <v>50</v>
      </c>
      <c r="AP1" s="1" t="s">
        <v>75</v>
      </c>
      <c r="AQ1" s="1" t="s">
        <v>80</v>
      </c>
      <c r="AR1" s="1" t="s">
        <v>90</v>
      </c>
    </row>
    <row r="2" spans="1:49" x14ac:dyDescent="0.3">
      <c r="A2" s="178" t="s">
        <v>193</v>
      </c>
      <c r="B2" s="176">
        <v>1</v>
      </c>
      <c r="C2" s="176">
        <v>1</v>
      </c>
      <c r="D2" s="176">
        <f>Table112345791014[[#This Row],[a (mm)]]/Table112345791014[[#This Row],[d (mm)]]</f>
        <v>3.1</v>
      </c>
      <c r="E2" s="176">
        <f>251*12/19</f>
        <v>158.52631578947367</v>
      </c>
      <c r="F2" s="137">
        <f>Table112345791014[[#This Row],[d (mm)]]</f>
        <v>3840</v>
      </c>
      <c r="G2" s="111">
        <f>E2*AD2</f>
        <v>1887097.2631578946</v>
      </c>
      <c r="H2" s="111">
        <f t="shared" ref="H2:H11" si="0">G2/($AQ$5*AM2*0.001)</f>
        <v>5.3739406554167626E-8</v>
      </c>
      <c r="I2" s="111">
        <f>G2/(Table112345791014[[#This Row],[b (mm)]]*Table112345791014[[#This Row],[h]]^2)</f>
        <v>4.7177431578947367E-4</v>
      </c>
      <c r="J2" s="111">
        <f t="shared" ref="J2:J11" si="1">G2/(AI2*AK2*AE2*0.001)</f>
        <v>0.14182729551150602</v>
      </c>
      <c r="K2" s="111">
        <f t="shared" ref="K2:K11" si="2">E2/($AQ$4*AL2*0.001)</f>
        <v>2.4233323372212084E-7</v>
      </c>
      <c r="L2" s="111">
        <f>E2/(Table112345791014[[#This Row],[b (mm)]]*AE2)</f>
        <v>1.651315789473684E-4</v>
      </c>
      <c r="M2" s="111">
        <f>Table112345791014[[#This Row],[M (KN.mm)]]/(Table112345791014[[#This Row],[b (mm)]]*Table112345791014[[#This Row],[d (mm)]])</f>
        <v>1.9657263157894735</v>
      </c>
      <c r="N2" s="111">
        <f>Table112345791014[[#This Row],[M (KN.mm)]]/(Table112345791014[[#This Row],[b (mm)]]*Table112345791014[[#This Row],[h (mm)]])</f>
        <v>1.8870972631578946</v>
      </c>
      <c r="O2" s="111">
        <f>Table112345791014[[#This Row],[M (KN.mm)]]/(Table112345791014[[#This Row],[b (mm)]]*Table112345791014[[#This Row],[h (mm)]]*Table112345791014[[#This Row],[L(mm)]])</f>
        <v>7.9263157894736839E-5</v>
      </c>
      <c r="P2" s="111">
        <f>Table112345791014[[#This Row],[M (KN.mm)]]/(Table112345791014[[#This Row],[b (mm)]]*Table112345791014[[#This Row],[d (mm)]]*Table112345791014[[#This Row],[L(mm)]])</f>
        <v>8.25657894736842E-5</v>
      </c>
      <c r="Q2" s="111">
        <f>Table112345791014[[#This Row],[M (KN.mm)]]/(Table112345791014[[#This Row],[b (mm)]]*Table112345791014[[#This Row],[h (mm)]]*Table112345791014[[#This Row],[L(mm)]]*Table112345791014[[#This Row],[fc (Mpa)]])</f>
        <v>1.981578947368421E-6</v>
      </c>
      <c r="R2" s="111">
        <f>Table112345791014[[#This Row],[M (KN.mm)]]/(Table112345791014[[#This Row],[b (mm)]]*Table112345791014[[#This Row],[h (mm)]]*Table112345791014[[#This Row],[L(mm)]]/2)</f>
        <v>1.5852631578947368E-4</v>
      </c>
      <c r="S2" s="111">
        <f>Table112345791014[[#This Row],[M (KN.mm)]]/(Table112345791014[[#This Row],[a (mm)]]*Table112345791014[[#This Row],[b (mm)]]*Table112345791014[[#This Row],[h (mm)]]*Table112345791014[[#This Row],[L(mm)]]/2)</f>
        <v>1.3317062818336162E-8</v>
      </c>
      <c r="T2" s="111">
        <f>Table112345791014[[#This Row],[M (KN.mm)]]/(Table112345791014[[#This Row],[a (mm)]]^2*Table112345791014[[#This Row],[b (mm)]]*Table112345791014[[#This Row],[h (mm)]])</f>
        <v>1.3317062818336162E-8</v>
      </c>
      <c r="U2" s="111">
        <f>Table112345791014[[#This Row],[M (KN.mm)]]/(Table112345791014[[#This Row],[b (mm)]]*Table112345791014[[#This Row],[d (mm)]]*Table112345791014[[#This Row],[pho (%)]])</f>
        <v>2.9783732057416268</v>
      </c>
      <c r="V2" s="111">
        <f>E2*224.8/(2*SQRT(Table112345791014[[#This Row],[fc (Mpa)]]*145.037)*Table112345791014[[#This Row],[b (mm)]]*Table112345791014[[#This Row],[d (mm)]]*(1/25.4)^2)</f>
        <v>0.1572151803746186</v>
      </c>
      <c r="W2" s="111">
        <f>Table112345791014[[#This Row],[M (KN.mm)]]/$G$11</f>
        <v>0.11609620721554116</v>
      </c>
      <c r="X2" s="111">
        <f>Table112345791014[[#This Row],[V/(2*sqrt(fc) bd)]]</f>
        <v>0.1572151803746186</v>
      </c>
      <c r="Y2" s="111">
        <f>Table112345791014[[#This Row],[a (mm)]]</f>
        <v>11904</v>
      </c>
      <c r="Z2" s="111">
        <f>Table112345791014[[#This Row],[width]]*Table112345791014[[#This Row],[h (mm)]]^2</f>
        <v>4000000000</v>
      </c>
      <c r="AA2" s="111">
        <f>Table112345791014[[#This Row],[b (mm)]]</f>
        <v>250</v>
      </c>
      <c r="AB2" s="111">
        <f>Table112345791014[[#This Row],[a]]/Table112345791014[[#This Row],[h (mm)]]</f>
        <v>2.976</v>
      </c>
      <c r="AC2" s="111">
        <f>Table112345791014[[#This Row],[h (mm)]]</f>
        <v>4000</v>
      </c>
      <c r="AD2" s="111">
        <f>3.1*Table112345791014[[#This Row],[d (mm)]]</f>
        <v>11904</v>
      </c>
      <c r="AE2" s="111">
        <v>3840</v>
      </c>
      <c r="AF2" s="111">
        <v>4000</v>
      </c>
      <c r="AG2" s="111">
        <v>250</v>
      </c>
      <c r="AH2" s="7">
        <v>40</v>
      </c>
      <c r="AI2" s="111">
        <f>Table112345791014[[#This Row],[pho (%)]]*Table112345791014[[#This Row],[b (mm)]]*Table112345791014[[#This Row],[h (mm)]]/100</f>
        <v>6600</v>
      </c>
      <c r="AJ2" s="111">
        <v>0.66</v>
      </c>
      <c r="AK2" s="111">
        <v>525</v>
      </c>
      <c r="AL2" s="111">
        <f>(1/3-0.21*(MIN(Table112345791014[[#This Row],[b (mm)]],AF2)/MAX(Table112345791014[[#This Row],[b (mm)]],AF2))*(MIN(Table112345791014[[#This Row],[b (mm)]],AF2)^4/(12*MAX(Table112345791014[[#This Row],[b (mm)]],AF2)^4)))*MAX(Table112345791014[[#This Row],[b (mm)]],AF2)*MIN(Table112345791014[[#This Row],[b (mm)]],AF2)^3</f>
        <v>20833332290.252048</v>
      </c>
      <c r="AM2" s="111">
        <f>Table112345791014[[#This Row],[b (mm)]]*AF2^3/12</f>
        <v>1333333333333.3333</v>
      </c>
      <c r="AN2" s="111">
        <f>Table112345791014[[#This Row],[a (mm)]]*2</f>
        <v>23808</v>
      </c>
      <c r="AP2" s="1"/>
    </row>
    <row r="3" spans="1:49" x14ac:dyDescent="0.3">
      <c r="A3" s="178" t="s">
        <v>193</v>
      </c>
      <c r="B3" s="176">
        <v>2</v>
      </c>
      <c r="C3" s="176">
        <v>2</v>
      </c>
      <c r="D3" s="176">
        <f>Table112345791014[[#This Row],[a (mm)]]/Table112345791014[[#This Row],[d (mm)]]</f>
        <v>3.1</v>
      </c>
      <c r="E3" s="176">
        <v>377</v>
      </c>
      <c r="F3" s="137">
        <f>Table112345791014[[#This Row],[d (mm)]]</f>
        <v>3840</v>
      </c>
      <c r="G3" s="111">
        <f t="shared" ref="G3:G11" si="3">E3*AD3</f>
        <v>4487808</v>
      </c>
      <c r="H3" s="111">
        <f t="shared" si="0"/>
        <v>1.2780058736636875E-7</v>
      </c>
      <c r="I3" s="111">
        <f>G3/(Table112345791014[[#This Row],[b (mm)]]*Table112345791014[[#This Row],[h]]^2)</f>
        <v>1.1219520000000001E-3</v>
      </c>
      <c r="J3" s="111">
        <f t="shared" si="1"/>
        <v>0.3372871572871573</v>
      </c>
      <c r="K3" s="111">
        <f t="shared" si="2"/>
        <v>5.7630576133849663E-7</v>
      </c>
      <c r="L3" s="111">
        <f>E3/(Table112345791014[[#This Row],[b (mm)]]*AE3)</f>
        <v>3.9270833333333334E-4</v>
      </c>
      <c r="M3" s="111">
        <f>Table112345791014[[#This Row],[M (KN.mm)]]/(Table112345791014[[#This Row],[b (mm)]]*Table112345791014[[#This Row],[d (mm)]])</f>
        <v>4.6748000000000003</v>
      </c>
      <c r="N3" s="111">
        <f>Table112345791014[[#This Row],[M (KN.mm)]]/(Table112345791014[[#This Row],[b (mm)]]*Table112345791014[[#This Row],[h (mm)]])</f>
        <v>4.4878080000000002</v>
      </c>
      <c r="O3" s="111">
        <f>Table112345791014[[#This Row],[M (KN.mm)]]/(Table112345791014[[#This Row],[b (mm)]]*Table112345791014[[#This Row],[h (mm)]]*Table112345791014[[#This Row],[L(mm)]])</f>
        <v>1.885E-4</v>
      </c>
      <c r="P3" s="111">
        <f>Table112345791014[[#This Row],[M (KN.mm)]]/(Table112345791014[[#This Row],[b (mm)]]*Table112345791014[[#This Row],[d (mm)]]*Table112345791014[[#This Row],[L(mm)]])</f>
        <v>1.9635416666666667E-4</v>
      </c>
      <c r="Q3" s="111">
        <f>Table112345791014[[#This Row],[M (KN.mm)]]/(Table112345791014[[#This Row],[b (mm)]]*Table112345791014[[#This Row],[h (mm)]]*Table112345791014[[#This Row],[L(mm)]]*Table112345791014[[#This Row],[fc (Mpa)]])</f>
        <v>4.7125000000000002E-6</v>
      </c>
      <c r="R3" s="111">
        <f>Table112345791014[[#This Row],[M (KN.mm)]]/(Table112345791014[[#This Row],[b (mm)]]*Table112345791014[[#This Row],[h (mm)]]*Table112345791014[[#This Row],[L(mm)]]/2)</f>
        <v>3.77E-4</v>
      </c>
      <c r="S3" s="111">
        <f>Table112345791014[[#This Row],[M (KN.mm)]]/(Table112345791014[[#This Row],[a (mm)]]*Table112345791014[[#This Row],[b (mm)]]*Table112345791014[[#This Row],[h (mm)]]*Table112345791014[[#This Row],[L(mm)]]/2)</f>
        <v>3.1670026881720429E-8</v>
      </c>
      <c r="T3" s="111">
        <f>Table112345791014[[#This Row],[M (KN.mm)]]/(Table112345791014[[#This Row],[a (mm)]]^2*Table112345791014[[#This Row],[b (mm)]]*Table112345791014[[#This Row],[h (mm)]])</f>
        <v>3.1670026881720429E-8</v>
      </c>
      <c r="U3" s="111">
        <f>Table112345791014[[#This Row],[M (KN.mm)]]/(Table112345791014[[#This Row],[b (mm)]]*Table112345791014[[#This Row],[d (mm)]]*Table112345791014[[#This Row],[pho (%)]])</f>
        <v>7.083030303030303</v>
      </c>
      <c r="V3" s="111">
        <f>E3*224.8/(2*SQRT(Table112345791014[[#This Row],[fc (Mpa)]]*145.037)*Table112345791014[[#This Row],[b (mm)]]*Table112345791014[[#This Row],[d (mm)]]*(1/25.4)^2)</f>
        <v>0.37388191800245457</v>
      </c>
      <c r="W3" s="111">
        <f>Table112345791014[[#This Row],[M (KN.mm)]]/$G$11</f>
        <v>0.27609466543324085</v>
      </c>
      <c r="X3" s="111">
        <f>Table112345791014[[#This Row],[V/(2*sqrt(fc) bd)]]</f>
        <v>0.37388191800245457</v>
      </c>
      <c r="Y3" s="111">
        <f>Table112345791014[[#This Row],[a (mm)]]</f>
        <v>11904</v>
      </c>
      <c r="Z3" s="111">
        <f>Table112345791014[[#This Row],[width]]*Table112345791014[[#This Row],[h (mm)]]^2</f>
        <v>4000000000</v>
      </c>
      <c r="AA3" s="111">
        <f>Table112345791014[[#This Row],[b (mm)]]</f>
        <v>250</v>
      </c>
      <c r="AB3" s="111">
        <f>Table112345791014[[#This Row],[a]]/Table112345791014[[#This Row],[h (mm)]]</f>
        <v>2.976</v>
      </c>
      <c r="AC3" s="111">
        <f>Table112345791014[[#This Row],[h (mm)]]</f>
        <v>4000</v>
      </c>
      <c r="AD3" s="111">
        <f>3.1*Table112345791014[[#This Row],[d (mm)]]</f>
        <v>11904</v>
      </c>
      <c r="AE3" s="111">
        <v>3840</v>
      </c>
      <c r="AF3" s="111">
        <v>4000</v>
      </c>
      <c r="AG3" s="111">
        <v>250</v>
      </c>
      <c r="AH3" s="7">
        <v>40</v>
      </c>
      <c r="AI3" s="111">
        <f>Table112345791014[[#This Row],[pho (%)]]*Table112345791014[[#This Row],[b (mm)]]*Table112345791014[[#This Row],[h (mm)]]/100</f>
        <v>6600</v>
      </c>
      <c r="AJ3" s="111">
        <v>0.66</v>
      </c>
      <c r="AK3" s="111">
        <v>525</v>
      </c>
      <c r="AL3" s="111">
        <f>(1/3-0.21*(MIN(Table112345791014[[#This Row],[b (mm)]],AF3)/MAX(Table112345791014[[#This Row],[b (mm)]],AF3))*(MIN(Table112345791014[[#This Row],[b (mm)]],AF3)^4/(12*MAX(Table112345791014[[#This Row],[b (mm)]],AF3)^4)))*MAX(Table112345791014[[#This Row],[b (mm)]],AF3)*MIN(Table112345791014[[#This Row],[b (mm)]],AF3)^3</f>
        <v>20833332290.252048</v>
      </c>
      <c r="AM3" s="111">
        <f>Table112345791014[[#This Row],[b (mm)]]*AF3^3/12</f>
        <v>1333333333333.3333</v>
      </c>
      <c r="AN3" s="111">
        <f>Table112345791014[[#This Row],[a (mm)]]*2</f>
        <v>23808</v>
      </c>
      <c r="AP3" s="1"/>
    </row>
    <row r="4" spans="1:49" x14ac:dyDescent="0.3">
      <c r="A4" s="178" t="s">
        <v>193</v>
      </c>
      <c r="B4" s="176">
        <v>3</v>
      </c>
      <c r="C4" s="176">
        <v>3</v>
      </c>
      <c r="D4" s="176">
        <f>Table112345791014[[#This Row],[a (mm)]]/Table112345791014[[#This Row],[d (mm)]]</f>
        <v>3.1</v>
      </c>
      <c r="E4" s="176">
        <f>500*12/19</f>
        <v>315.78947368421052</v>
      </c>
      <c r="F4" s="137">
        <f>Table112345791014[[#This Row],[d (mm)]]</f>
        <v>3840</v>
      </c>
      <c r="G4" s="111">
        <f t="shared" si="3"/>
        <v>3759157.8947368423</v>
      </c>
      <c r="H4" s="111">
        <f t="shared" si="0"/>
        <v>1.0705061066567256E-7</v>
      </c>
      <c r="I4" s="111">
        <f>G4/(Table112345791014[[#This Row],[b (mm)]]*Table112345791014[[#This Row],[h]]^2)</f>
        <v>9.3978947368421057E-4</v>
      </c>
      <c r="J4" s="111">
        <f t="shared" si="1"/>
        <v>0.28252449305080884</v>
      </c>
      <c r="K4" s="111">
        <f t="shared" si="2"/>
        <v>4.8273552534287021E-7</v>
      </c>
      <c r="L4" s="111">
        <f>E4/(Table112345791014[[#This Row],[b (mm)]]*AE4)</f>
        <v>3.2894736842105262E-4</v>
      </c>
      <c r="M4" s="111">
        <f>Table112345791014[[#This Row],[M (KN.mm)]]/(Table112345791014[[#This Row],[b (mm)]]*Table112345791014[[#This Row],[d (mm)]])</f>
        <v>3.9157894736842107</v>
      </c>
      <c r="N4" s="111">
        <f>Table112345791014[[#This Row],[M (KN.mm)]]/(Table112345791014[[#This Row],[b (mm)]]*Table112345791014[[#This Row],[h (mm)]])</f>
        <v>3.759157894736842</v>
      </c>
      <c r="O4" s="111">
        <f>Table112345791014[[#This Row],[M (KN.mm)]]/(Table112345791014[[#This Row],[b (mm)]]*Table112345791014[[#This Row],[h (mm)]]*Table112345791014[[#This Row],[L(mm)]])</f>
        <v>1.5789473684210527E-4</v>
      </c>
      <c r="P4" s="111">
        <f>Table112345791014[[#This Row],[M (KN.mm)]]/(Table112345791014[[#This Row],[b (mm)]]*Table112345791014[[#This Row],[d (mm)]]*Table112345791014[[#This Row],[L(mm)]])</f>
        <v>1.6447368421052631E-4</v>
      </c>
      <c r="Q4" s="111">
        <f>Table112345791014[[#This Row],[M (KN.mm)]]/(Table112345791014[[#This Row],[b (mm)]]*Table112345791014[[#This Row],[h (mm)]]*Table112345791014[[#This Row],[L(mm)]]*Table112345791014[[#This Row],[fc (Mpa)]])</f>
        <v>3.9473684210526315E-6</v>
      </c>
      <c r="R4" s="111">
        <f>Table112345791014[[#This Row],[M (KN.mm)]]/(Table112345791014[[#This Row],[b (mm)]]*Table112345791014[[#This Row],[h (mm)]]*Table112345791014[[#This Row],[L(mm)]]/2)</f>
        <v>3.1578947368421053E-4</v>
      </c>
      <c r="S4" s="111">
        <f>Table112345791014[[#This Row],[M (KN.mm)]]/(Table112345791014[[#This Row],[a (mm)]]*Table112345791014[[#This Row],[b (mm)]]*Table112345791014[[#This Row],[h (mm)]]*Table112345791014[[#This Row],[L(mm)]]/2)</f>
        <v>2.6528013582342955E-8</v>
      </c>
      <c r="T4" s="111">
        <f>Table112345791014[[#This Row],[M (KN.mm)]]/(Table112345791014[[#This Row],[a (mm)]]^2*Table112345791014[[#This Row],[b (mm)]]*Table112345791014[[#This Row],[h (mm)]])</f>
        <v>2.6528013582342955E-8</v>
      </c>
      <c r="U4" s="111">
        <f>Table112345791014[[#This Row],[M (KN.mm)]]/(Table112345791014[[#This Row],[b (mm)]]*Table112345791014[[#This Row],[d (mm)]]*Table112345791014[[#This Row],[pho (%)]])</f>
        <v>5.9330143540669855</v>
      </c>
      <c r="V4" s="111">
        <f>E4*224.8/(2*SQRT(Table112345791014[[#This Row],[fc (Mpa)]]*145.037)*Table112345791014[[#This Row],[b (mm)]]*Table112345791014[[#This Row],[d (mm)]]*(1/25.4)^2)</f>
        <v>0.31317765014864268</v>
      </c>
      <c r="W4" s="111">
        <f>Table112345791014[[#This Row],[M (KN.mm)]]/$G$11</f>
        <v>0.23126734505087881</v>
      </c>
      <c r="X4" s="111">
        <f>Table112345791014[[#This Row],[V/(2*sqrt(fc) bd)]]</f>
        <v>0.31317765014864268</v>
      </c>
      <c r="Y4" s="111">
        <f>Table112345791014[[#This Row],[a (mm)]]</f>
        <v>11904</v>
      </c>
      <c r="Z4" s="111">
        <f>Table112345791014[[#This Row],[width]]*Table112345791014[[#This Row],[h (mm)]]^2</f>
        <v>4000000000</v>
      </c>
      <c r="AA4" s="111">
        <f>Table112345791014[[#This Row],[b (mm)]]</f>
        <v>250</v>
      </c>
      <c r="AB4" s="111">
        <f>Table112345791014[[#This Row],[a]]/Table112345791014[[#This Row],[h (mm)]]</f>
        <v>2.976</v>
      </c>
      <c r="AC4" s="111">
        <f>Table112345791014[[#This Row],[h (mm)]]</f>
        <v>4000</v>
      </c>
      <c r="AD4" s="111">
        <f>3.1*Table112345791014[[#This Row],[d (mm)]]</f>
        <v>11904</v>
      </c>
      <c r="AE4" s="111">
        <v>3840</v>
      </c>
      <c r="AF4" s="111">
        <v>4000</v>
      </c>
      <c r="AG4" s="111">
        <v>250</v>
      </c>
      <c r="AH4" s="7">
        <v>40</v>
      </c>
      <c r="AI4" s="111">
        <f>Table112345791014[[#This Row],[pho (%)]]*Table112345791014[[#This Row],[b (mm)]]*Table112345791014[[#This Row],[h (mm)]]/100</f>
        <v>6600</v>
      </c>
      <c r="AJ4" s="111">
        <v>0.66</v>
      </c>
      <c r="AK4" s="111">
        <v>525</v>
      </c>
      <c r="AL4" s="111">
        <f>(1/3-0.21*(MIN(Table112345791014[[#This Row],[b (mm)]],AF4)/MAX(Table112345791014[[#This Row],[b (mm)]],AF4))*(MIN(Table112345791014[[#This Row],[b (mm)]],AF4)^4/(12*MAX(Table112345791014[[#This Row],[b (mm)]],AF4)^4)))*MAX(Table112345791014[[#This Row],[b (mm)]],AF4)*MIN(Table112345791014[[#This Row],[b (mm)]],AF4)^3</f>
        <v>20833332290.252048</v>
      </c>
      <c r="AM4" s="111">
        <f>Table112345791014[[#This Row],[b (mm)]]*AF4^3/12</f>
        <v>1333333333333.3333</v>
      </c>
      <c r="AN4" s="111">
        <f>Table112345791014[[#This Row],[a (mm)]]*2</f>
        <v>23808</v>
      </c>
      <c r="AP4" s="126" t="s">
        <v>7</v>
      </c>
      <c r="AQ4" s="107">
        <v>31.4</v>
      </c>
    </row>
    <row r="5" spans="1:49" x14ac:dyDescent="0.3">
      <c r="A5" s="178" t="s">
        <v>193</v>
      </c>
      <c r="B5" s="176">
        <v>4</v>
      </c>
      <c r="C5" s="176">
        <v>4</v>
      </c>
      <c r="D5" s="176">
        <f>Table112345791014[[#This Row],[a (mm)]]/Table112345791014[[#This Row],[d (mm)]]</f>
        <v>3.1</v>
      </c>
      <c r="E5" s="176">
        <f>625*12/19</f>
        <v>394.73684210526318</v>
      </c>
      <c r="F5" s="137">
        <f>Table112345791014[[#This Row],[d (mm)]]</f>
        <v>3840</v>
      </c>
      <c r="G5" s="111">
        <f t="shared" si="3"/>
        <v>4698947.3684210526</v>
      </c>
      <c r="H5" s="111">
        <f t="shared" si="0"/>
        <v>1.3381326333209071E-7</v>
      </c>
      <c r="I5" s="111">
        <f>G5/(Table112345791014[[#This Row],[b (mm)]]*Table112345791014[[#This Row],[h]]^2)</f>
        <v>1.1747368421052631E-3</v>
      </c>
      <c r="J5" s="111">
        <f t="shared" si="1"/>
        <v>0.35315561631351106</v>
      </c>
      <c r="K5" s="111">
        <f t="shared" si="2"/>
        <v>6.0341940667858785E-7</v>
      </c>
      <c r="L5" s="111">
        <f>E5/(Table112345791014[[#This Row],[b (mm)]]*AE5)</f>
        <v>4.1118421052631582E-4</v>
      </c>
      <c r="M5" s="111">
        <f>Table112345791014[[#This Row],[M (KN.mm)]]/(Table112345791014[[#This Row],[b (mm)]]*Table112345791014[[#This Row],[d (mm)]])</f>
        <v>4.8947368421052628</v>
      </c>
      <c r="N5" s="111">
        <f>Table112345791014[[#This Row],[M (KN.mm)]]/(Table112345791014[[#This Row],[b (mm)]]*Table112345791014[[#This Row],[h (mm)]])</f>
        <v>4.6989473684210523</v>
      </c>
      <c r="O5" s="111">
        <f>Table112345791014[[#This Row],[M (KN.mm)]]/(Table112345791014[[#This Row],[b (mm)]]*Table112345791014[[#This Row],[h (mm)]]*Table112345791014[[#This Row],[L(mm)]])</f>
        <v>1.9736842105263157E-4</v>
      </c>
      <c r="P5" s="111">
        <f>Table112345791014[[#This Row],[M (KN.mm)]]/(Table112345791014[[#This Row],[b (mm)]]*Table112345791014[[#This Row],[d (mm)]]*Table112345791014[[#This Row],[L(mm)]])</f>
        <v>2.0559210526315788E-4</v>
      </c>
      <c r="Q5" s="111">
        <f>Table112345791014[[#This Row],[M (KN.mm)]]/(Table112345791014[[#This Row],[b (mm)]]*Table112345791014[[#This Row],[h (mm)]]*Table112345791014[[#This Row],[L(mm)]]*Table112345791014[[#This Row],[fc (Mpa)]])</f>
        <v>4.9342105263157895E-6</v>
      </c>
      <c r="R5" s="111">
        <f>Table112345791014[[#This Row],[M (KN.mm)]]/(Table112345791014[[#This Row],[b (mm)]]*Table112345791014[[#This Row],[h (mm)]]*Table112345791014[[#This Row],[L(mm)]]/2)</f>
        <v>3.9473684210526315E-4</v>
      </c>
      <c r="S5" s="111">
        <f>Table112345791014[[#This Row],[M (KN.mm)]]/(Table112345791014[[#This Row],[a (mm)]]*Table112345791014[[#This Row],[b (mm)]]*Table112345791014[[#This Row],[h (mm)]]*Table112345791014[[#This Row],[L(mm)]]/2)</f>
        <v>3.3160016977928693E-8</v>
      </c>
      <c r="T5" s="111">
        <f>Table112345791014[[#This Row],[M (KN.mm)]]/(Table112345791014[[#This Row],[a (mm)]]^2*Table112345791014[[#This Row],[b (mm)]]*Table112345791014[[#This Row],[h (mm)]])</f>
        <v>3.3160016977928693E-8</v>
      </c>
      <c r="U5" s="111">
        <f>Table112345791014[[#This Row],[M (KN.mm)]]/(Table112345791014[[#This Row],[b (mm)]]*Table112345791014[[#This Row],[d (mm)]]*Table112345791014[[#This Row],[pho (%)]])</f>
        <v>7.4162679425837323</v>
      </c>
      <c r="V5" s="111">
        <f>E5*224.8/(2*SQRT(Table112345791014[[#This Row],[fc (Mpa)]]*145.037)*Table112345791014[[#This Row],[b (mm)]]*Table112345791014[[#This Row],[d (mm)]]*(1/25.4)^2)</f>
        <v>0.39147206268580337</v>
      </c>
      <c r="W5" s="111">
        <f>Table112345791014[[#This Row],[M (KN.mm)]]/$G$11</f>
        <v>0.28908418131359853</v>
      </c>
      <c r="X5" s="111">
        <f>Table112345791014[[#This Row],[V/(2*sqrt(fc) bd)]]</f>
        <v>0.39147206268580337</v>
      </c>
      <c r="Y5" s="111">
        <f>Table112345791014[[#This Row],[a (mm)]]</f>
        <v>11904</v>
      </c>
      <c r="Z5" s="111">
        <f>Table112345791014[[#This Row],[width]]*Table112345791014[[#This Row],[h (mm)]]^2</f>
        <v>4000000000</v>
      </c>
      <c r="AA5" s="111">
        <f>Table112345791014[[#This Row],[b (mm)]]</f>
        <v>250</v>
      </c>
      <c r="AB5" s="111">
        <f>Table112345791014[[#This Row],[a]]/Table112345791014[[#This Row],[h (mm)]]</f>
        <v>2.976</v>
      </c>
      <c r="AC5" s="111">
        <f>Table112345791014[[#This Row],[h (mm)]]</f>
        <v>4000</v>
      </c>
      <c r="AD5" s="111">
        <f>3.1*Table112345791014[[#This Row],[d (mm)]]</f>
        <v>11904</v>
      </c>
      <c r="AE5" s="111">
        <v>3840</v>
      </c>
      <c r="AF5" s="111">
        <v>4000</v>
      </c>
      <c r="AG5" s="111">
        <v>250</v>
      </c>
      <c r="AH5" s="7">
        <v>40</v>
      </c>
      <c r="AI5" s="111">
        <f>Table112345791014[[#This Row],[pho (%)]]*Table112345791014[[#This Row],[b (mm)]]*Table112345791014[[#This Row],[h (mm)]]/100</f>
        <v>6600</v>
      </c>
      <c r="AJ5" s="111">
        <v>0.66</v>
      </c>
      <c r="AK5" s="111">
        <v>525</v>
      </c>
      <c r="AL5" s="111">
        <f>(1/3-0.21*(MIN(Table112345791014[[#This Row],[b (mm)]],AF5)/MAX(Table112345791014[[#This Row],[b (mm)]],AF5))*(MIN(Table112345791014[[#This Row],[b (mm)]],AF5)^4/(12*MAX(Table112345791014[[#This Row],[b (mm)]],AF5)^4)))*MAX(Table112345791014[[#This Row],[b (mm)]],AF5)*MIN(Table112345791014[[#This Row],[b (mm)]],AF5)^3</f>
        <v>20833332290.252048</v>
      </c>
      <c r="AM5" s="111">
        <f>Table112345791014[[#This Row],[b (mm)]]*AF5^3/12</f>
        <v>1333333333333.3333</v>
      </c>
      <c r="AN5" s="111">
        <f>Table112345791014[[#This Row],[a (mm)]]*2</f>
        <v>23808</v>
      </c>
      <c r="AP5" s="126" t="s">
        <v>8</v>
      </c>
      <c r="AQ5" s="107">
        <f>4700*SQRT(AQ4)</f>
        <v>26336.780365109171</v>
      </c>
    </row>
    <row r="6" spans="1:49" x14ac:dyDescent="0.3">
      <c r="A6" s="178" t="s">
        <v>193</v>
      </c>
      <c r="B6" s="176">
        <v>5</v>
      </c>
      <c r="C6" s="176">
        <v>5</v>
      </c>
      <c r="D6" s="176">
        <f>Table112345791014[[#This Row],[a (mm)]]/Table112345791014[[#This Row],[d (mm)]]</f>
        <v>3.1</v>
      </c>
      <c r="E6" s="176">
        <f>685*12/19</f>
        <v>432.63157894736844</v>
      </c>
      <c r="F6" s="137">
        <f>Table112345791014[[#This Row],[d (mm)]]</f>
        <v>3840</v>
      </c>
      <c r="G6" s="111">
        <f t="shared" si="3"/>
        <v>5150046.3157894742</v>
      </c>
      <c r="H6" s="111">
        <f t="shared" si="0"/>
        <v>1.4665933661197142E-7</v>
      </c>
      <c r="I6" s="111">
        <f>G6/(Table112345791014[[#This Row],[b (mm)]]*Table112345791014[[#This Row],[h]]^2)</f>
        <v>1.2875115789473686E-3</v>
      </c>
      <c r="J6" s="111">
        <f t="shared" si="1"/>
        <v>0.38705855547960816</v>
      </c>
      <c r="K6" s="111">
        <f t="shared" si="2"/>
        <v>6.613476697197323E-7</v>
      </c>
      <c r="L6" s="111">
        <f>E6/(Table112345791014[[#This Row],[b (mm)]]*AE6)</f>
        <v>4.506578947368421E-4</v>
      </c>
      <c r="M6" s="111">
        <f>Table112345791014[[#This Row],[M (KN.mm)]]/(Table112345791014[[#This Row],[b (mm)]]*Table112345791014[[#This Row],[d (mm)]])</f>
        <v>5.3646315789473693</v>
      </c>
      <c r="N6" s="111">
        <f>Table112345791014[[#This Row],[M (KN.mm)]]/(Table112345791014[[#This Row],[b (mm)]]*Table112345791014[[#This Row],[h (mm)]])</f>
        <v>5.1500463157894742</v>
      </c>
      <c r="O6" s="111">
        <f>Table112345791014[[#This Row],[M (KN.mm)]]/(Table112345791014[[#This Row],[b (mm)]]*Table112345791014[[#This Row],[h (mm)]]*Table112345791014[[#This Row],[L(mm)]])</f>
        <v>2.1631578947368423E-4</v>
      </c>
      <c r="P6" s="111">
        <f>Table112345791014[[#This Row],[M (KN.mm)]]/(Table112345791014[[#This Row],[b (mm)]]*Table112345791014[[#This Row],[d (mm)]]*Table112345791014[[#This Row],[L(mm)]])</f>
        <v>2.2532894736842108E-4</v>
      </c>
      <c r="Q6" s="111">
        <f>Table112345791014[[#This Row],[M (KN.mm)]]/(Table112345791014[[#This Row],[b (mm)]]*Table112345791014[[#This Row],[h (mm)]]*Table112345791014[[#This Row],[L(mm)]]*Table112345791014[[#This Row],[fc (Mpa)]])</f>
        <v>5.4078947368421056E-6</v>
      </c>
      <c r="R6" s="111">
        <f>Table112345791014[[#This Row],[M (KN.mm)]]/(Table112345791014[[#This Row],[b (mm)]]*Table112345791014[[#This Row],[h (mm)]]*Table112345791014[[#This Row],[L(mm)]]/2)</f>
        <v>4.3263157894736845E-4</v>
      </c>
      <c r="S6" s="111">
        <f>Table112345791014[[#This Row],[M (KN.mm)]]/(Table112345791014[[#This Row],[a (mm)]]*Table112345791014[[#This Row],[b (mm)]]*Table112345791014[[#This Row],[h (mm)]]*Table112345791014[[#This Row],[L(mm)]]/2)</f>
        <v>3.634337860780985E-8</v>
      </c>
      <c r="T6" s="111">
        <f>Table112345791014[[#This Row],[M (KN.mm)]]/(Table112345791014[[#This Row],[a (mm)]]^2*Table112345791014[[#This Row],[b (mm)]]*Table112345791014[[#This Row],[h (mm)]])</f>
        <v>3.634337860780985E-8</v>
      </c>
      <c r="U6" s="111">
        <f>Table112345791014[[#This Row],[M (KN.mm)]]/(Table112345791014[[#This Row],[b (mm)]]*Table112345791014[[#This Row],[d (mm)]]*Table112345791014[[#This Row],[pho (%)]])</f>
        <v>8.1282296650717711</v>
      </c>
      <c r="V6" s="111">
        <f>E6*224.8/(2*SQRT(Table112345791014[[#This Row],[fc (Mpa)]]*145.037)*Table112345791014[[#This Row],[b (mm)]]*Table112345791014[[#This Row],[d (mm)]]*(1/25.4)^2)</f>
        <v>0.42905338070364046</v>
      </c>
      <c r="W6" s="111">
        <f>Table112345791014[[#This Row],[M (KN.mm)]]/$G$11</f>
        <v>0.316836262719704</v>
      </c>
      <c r="X6" s="111">
        <f>Table112345791014[[#This Row],[V/(2*sqrt(fc) bd)]]</f>
        <v>0.42905338070364046</v>
      </c>
      <c r="Y6" s="111">
        <f>Table112345791014[[#This Row],[a (mm)]]</f>
        <v>11904</v>
      </c>
      <c r="Z6" s="111">
        <f>Table112345791014[[#This Row],[width]]*Table112345791014[[#This Row],[h (mm)]]^2</f>
        <v>4000000000</v>
      </c>
      <c r="AA6" s="111">
        <f>Table112345791014[[#This Row],[b (mm)]]</f>
        <v>250</v>
      </c>
      <c r="AB6" s="111">
        <f>Table112345791014[[#This Row],[a]]/Table112345791014[[#This Row],[h (mm)]]</f>
        <v>2.976</v>
      </c>
      <c r="AC6" s="111">
        <f>Table112345791014[[#This Row],[h (mm)]]</f>
        <v>4000</v>
      </c>
      <c r="AD6" s="111">
        <f>3.1*Table112345791014[[#This Row],[d (mm)]]</f>
        <v>11904</v>
      </c>
      <c r="AE6" s="111">
        <v>3840</v>
      </c>
      <c r="AF6" s="111">
        <v>4000</v>
      </c>
      <c r="AG6" s="111">
        <v>250</v>
      </c>
      <c r="AH6" s="7">
        <v>40</v>
      </c>
      <c r="AI6" s="111">
        <f>Table112345791014[[#This Row],[pho (%)]]*Table112345791014[[#This Row],[b (mm)]]*Table112345791014[[#This Row],[h (mm)]]/100</f>
        <v>6600</v>
      </c>
      <c r="AJ6" s="111">
        <v>0.66</v>
      </c>
      <c r="AK6" s="111">
        <v>525</v>
      </c>
      <c r="AL6" s="111">
        <f>(1/3-0.21*(MIN(Table112345791014[[#This Row],[b (mm)]],AF6)/MAX(Table112345791014[[#This Row],[b (mm)]],AF6))*(MIN(Table112345791014[[#This Row],[b (mm)]],AF6)^4/(12*MAX(Table112345791014[[#This Row],[b (mm)]],AF6)^4)))*MAX(Table112345791014[[#This Row],[b (mm)]],AF6)*MIN(Table112345791014[[#This Row],[b (mm)]],AF6)^3</f>
        <v>20833332290.252048</v>
      </c>
      <c r="AM6" s="111">
        <f>Table112345791014[[#This Row],[b (mm)]]*AF6^3/12</f>
        <v>1333333333333.3333</v>
      </c>
      <c r="AN6" s="111">
        <f>Table112345791014[[#This Row],[a (mm)]]*2</f>
        <v>23808</v>
      </c>
      <c r="AP6" s="126" t="s">
        <v>16</v>
      </c>
      <c r="AQ6" s="107">
        <f>AQ5/(2*(1+0.15))</f>
        <v>11450.774071786596</v>
      </c>
    </row>
    <row r="7" spans="1:49" x14ac:dyDescent="0.3">
      <c r="A7" s="178" t="s">
        <v>193</v>
      </c>
      <c r="B7" s="176">
        <v>6</v>
      </c>
      <c r="C7" s="176">
        <v>6</v>
      </c>
      <c r="D7" s="176">
        <f>Table112345791014[[#This Row],[a (mm)]]/Table112345791014[[#This Row],[d (mm)]]</f>
        <v>3.1</v>
      </c>
      <c r="E7" s="176">
        <f>1000*12/19</f>
        <v>631.57894736842104</v>
      </c>
      <c r="F7" s="137">
        <f>Table112345791014[[#This Row],[d (mm)]]</f>
        <v>3840</v>
      </c>
      <c r="G7" s="111">
        <f t="shared" si="3"/>
        <v>7518315.7894736845</v>
      </c>
      <c r="H7" s="111">
        <f t="shared" si="0"/>
        <v>2.1410122133134513E-7</v>
      </c>
      <c r="I7" s="111">
        <f>G7/(Table112345791014[[#This Row],[b (mm)]]*Table112345791014[[#This Row],[h]]^2)</f>
        <v>1.8795789473684211E-3</v>
      </c>
      <c r="J7" s="111">
        <f t="shared" si="1"/>
        <v>0.56504898610161769</v>
      </c>
      <c r="K7" s="111">
        <f t="shared" si="2"/>
        <v>9.6547105068574043E-7</v>
      </c>
      <c r="L7" s="111">
        <f>E7/(Table112345791014[[#This Row],[b (mm)]]*AE7)</f>
        <v>6.5789473684210525E-4</v>
      </c>
      <c r="M7" s="111">
        <f>Table112345791014[[#This Row],[M (KN.mm)]]/(Table112345791014[[#This Row],[b (mm)]]*Table112345791014[[#This Row],[d (mm)]])</f>
        <v>7.8315789473684214</v>
      </c>
      <c r="N7" s="111">
        <f>Table112345791014[[#This Row],[M (KN.mm)]]/(Table112345791014[[#This Row],[b (mm)]]*Table112345791014[[#This Row],[h (mm)]])</f>
        <v>7.5183157894736841</v>
      </c>
      <c r="O7" s="111">
        <f>Table112345791014[[#This Row],[M (KN.mm)]]/(Table112345791014[[#This Row],[b (mm)]]*Table112345791014[[#This Row],[h (mm)]]*Table112345791014[[#This Row],[L(mm)]])</f>
        <v>3.1578947368421053E-4</v>
      </c>
      <c r="P7" s="111">
        <f>Table112345791014[[#This Row],[M (KN.mm)]]/(Table112345791014[[#This Row],[b (mm)]]*Table112345791014[[#This Row],[d (mm)]]*Table112345791014[[#This Row],[L(mm)]])</f>
        <v>3.2894736842105262E-4</v>
      </c>
      <c r="Q7" s="111">
        <f>Table112345791014[[#This Row],[M (KN.mm)]]/(Table112345791014[[#This Row],[b (mm)]]*Table112345791014[[#This Row],[h (mm)]]*Table112345791014[[#This Row],[L(mm)]]*Table112345791014[[#This Row],[fc (Mpa)]])</f>
        <v>7.8947368421052629E-6</v>
      </c>
      <c r="R7" s="111">
        <f>Table112345791014[[#This Row],[M (KN.mm)]]/(Table112345791014[[#This Row],[b (mm)]]*Table112345791014[[#This Row],[h (mm)]]*Table112345791014[[#This Row],[L(mm)]]/2)</f>
        <v>6.3157894736842106E-4</v>
      </c>
      <c r="S7" s="111">
        <f>Table112345791014[[#This Row],[M (KN.mm)]]/(Table112345791014[[#This Row],[a (mm)]]*Table112345791014[[#This Row],[b (mm)]]*Table112345791014[[#This Row],[h (mm)]]*Table112345791014[[#This Row],[L(mm)]]/2)</f>
        <v>5.305602716468591E-8</v>
      </c>
      <c r="T7" s="111">
        <f>Table112345791014[[#This Row],[M (KN.mm)]]/(Table112345791014[[#This Row],[a (mm)]]^2*Table112345791014[[#This Row],[b (mm)]]*Table112345791014[[#This Row],[h (mm)]])</f>
        <v>5.305602716468591E-8</v>
      </c>
      <c r="U7" s="111">
        <f>Table112345791014[[#This Row],[M (KN.mm)]]/(Table112345791014[[#This Row],[b (mm)]]*Table112345791014[[#This Row],[d (mm)]]*Table112345791014[[#This Row],[pho (%)]])</f>
        <v>11.866028708133971</v>
      </c>
      <c r="V7" s="111">
        <f>E7*224.8/(2*SQRT(Table112345791014[[#This Row],[fc (Mpa)]]*145.037)*Table112345791014[[#This Row],[b (mm)]]*Table112345791014[[#This Row],[d (mm)]]*(1/25.4)^2)</f>
        <v>0.62635530029728537</v>
      </c>
      <c r="W7" s="111">
        <f>Table112345791014[[#This Row],[M (KN.mm)]]/$G$11</f>
        <v>0.46253469010175763</v>
      </c>
      <c r="X7" s="111">
        <f>Table112345791014[[#This Row],[V/(2*sqrt(fc) bd)]]</f>
        <v>0.62635530029728537</v>
      </c>
      <c r="Y7" s="111">
        <f>Table112345791014[[#This Row],[a (mm)]]</f>
        <v>11904</v>
      </c>
      <c r="Z7" s="111">
        <f>Table112345791014[[#This Row],[width]]*Table112345791014[[#This Row],[h (mm)]]^2</f>
        <v>4000000000</v>
      </c>
      <c r="AA7" s="111">
        <f>Table112345791014[[#This Row],[b (mm)]]</f>
        <v>250</v>
      </c>
      <c r="AB7" s="111">
        <f>Table112345791014[[#This Row],[a]]/Table112345791014[[#This Row],[h (mm)]]</f>
        <v>2.976</v>
      </c>
      <c r="AC7" s="111">
        <f>Table112345791014[[#This Row],[h (mm)]]</f>
        <v>4000</v>
      </c>
      <c r="AD7" s="111">
        <f>3.1*Table112345791014[[#This Row],[d (mm)]]</f>
        <v>11904</v>
      </c>
      <c r="AE7" s="111">
        <v>3840</v>
      </c>
      <c r="AF7" s="111">
        <v>4000</v>
      </c>
      <c r="AG7" s="111">
        <v>250</v>
      </c>
      <c r="AH7" s="7">
        <v>40</v>
      </c>
      <c r="AI7" s="111">
        <f>Table112345791014[[#This Row],[pho (%)]]*Table112345791014[[#This Row],[b (mm)]]*Table112345791014[[#This Row],[h (mm)]]/100</f>
        <v>6600</v>
      </c>
      <c r="AJ7" s="111">
        <v>0.66</v>
      </c>
      <c r="AK7" s="111">
        <v>525</v>
      </c>
      <c r="AL7" s="111">
        <f>(1/3-0.21*(MIN(Table112345791014[[#This Row],[b (mm)]],AF7)/MAX(Table112345791014[[#This Row],[b (mm)]],AF7))*(MIN(Table112345791014[[#This Row],[b (mm)]],AF7)^4/(12*MAX(Table112345791014[[#This Row],[b (mm)]],AF7)^4)))*MAX(Table112345791014[[#This Row],[b (mm)]],AF7)*MIN(Table112345791014[[#This Row],[b (mm)]],AF7)^3</f>
        <v>20833332290.252048</v>
      </c>
      <c r="AM7" s="111">
        <f>Table112345791014[[#This Row],[b (mm)]]*AF7^3/12</f>
        <v>1333333333333.3333</v>
      </c>
      <c r="AN7" s="111">
        <f>Table112345791014[[#This Row],[a (mm)]]*2</f>
        <v>23808</v>
      </c>
      <c r="AP7" s="107"/>
    </row>
    <row r="8" spans="1:49" x14ac:dyDescent="0.3">
      <c r="A8" s="178" t="s">
        <v>193</v>
      </c>
      <c r="B8" s="176">
        <v>7</v>
      </c>
      <c r="C8" s="176">
        <v>7</v>
      </c>
      <c r="D8" s="176">
        <f>Table112345791014[[#This Row],[a (mm)]]/Table112345791014[[#This Row],[d (mm)]]</f>
        <v>3.1</v>
      </c>
      <c r="E8" s="176">
        <f>1375*12/19</f>
        <v>868.42105263157896</v>
      </c>
      <c r="F8" s="137">
        <f>Table112345791014[[#This Row],[d (mm)]]</f>
        <v>3840</v>
      </c>
      <c r="G8" s="111">
        <f t="shared" si="3"/>
        <v>10337684.210526315</v>
      </c>
      <c r="H8" s="111">
        <f t="shared" si="0"/>
        <v>2.9438917933059952E-7</v>
      </c>
      <c r="I8" s="111">
        <f>G8/(Table112345791014[[#This Row],[b (mm)]]*Table112345791014[[#This Row],[h]]^2)</f>
        <v>2.5844210526315787E-3</v>
      </c>
      <c r="J8" s="111">
        <f t="shared" si="1"/>
        <v>0.77694235588972427</v>
      </c>
      <c r="K8" s="111">
        <f t="shared" si="2"/>
        <v>1.3275226946928932E-6</v>
      </c>
      <c r="L8" s="111">
        <f>E8/(Table112345791014[[#This Row],[b (mm)]]*AE8)</f>
        <v>9.0460526315789473E-4</v>
      </c>
      <c r="M8" s="111">
        <f>Table112345791014[[#This Row],[M (KN.mm)]]/(Table112345791014[[#This Row],[b (mm)]]*Table112345791014[[#This Row],[d (mm)]])</f>
        <v>10.768421052631579</v>
      </c>
      <c r="N8" s="111">
        <f>Table112345791014[[#This Row],[M (KN.mm)]]/(Table112345791014[[#This Row],[b (mm)]]*Table112345791014[[#This Row],[h (mm)]])</f>
        <v>10.337684210526316</v>
      </c>
      <c r="O8" s="111">
        <f>Table112345791014[[#This Row],[M (KN.mm)]]/(Table112345791014[[#This Row],[b (mm)]]*Table112345791014[[#This Row],[h (mm)]]*Table112345791014[[#This Row],[L(mm)]])</f>
        <v>4.3421052631578949E-4</v>
      </c>
      <c r="P8" s="111">
        <f>Table112345791014[[#This Row],[M (KN.mm)]]/(Table112345791014[[#This Row],[b (mm)]]*Table112345791014[[#This Row],[d (mm)]]*Table112345791014[[#This Row],[L(mm)]])</f>
        <v>4.5230263157894736E-4</v>
      </c>
      <c r="Q8" s="111">
        <f>Table112345791014[[#This Row],[M (KN.mm)]]/(Table112345791014[[#This Row],[b (mm)]]*Table112345791014[[#This Row],[h (mm)]]*Table112345791014[[#This Row],[L(mm)]]*Table112345791014[[#This Row],[fc (Mpa)]])</f>
        <v>1.0855263157894737E-5</v>
      </c>
      <c r="R8" s="111">
        <f>Table112345791014[[#This Row],[M (KN.mm)]]/(Table112345791014[[#This Row],[b (mm)]]*Table112345791014[[#This Row],[h (mm)]]*Table112345791014[[#This Row],[L(mm)]]/2)</f>
        <v>8.6842105263157897E-4</v>
      </c>
      <c r="S8" s="111">
        <f>Table112345791014[[#This Row],[M (KN.mm)]]/(Table112345791014[[#This Row],[a (mm)]]*Table112345791014[[#This Row],[b (mm)]]*Table112345791014[[#This Row],[h (mm)]]*Table112345791014[[#This Row],[L(mm)]]/2)</f>
        <v>7.2952037351443121E-8</v>
      </c>
      <c r="T8" s="111">
        <f>Table112345791014[[#This Row],[M (KN.mm)]]/(Table112345791014[[#This Row],[a (mm)]]^2*Table112345791014[[#This Row],[b (mm)]]*Table112345791014[[#This Row],[h (mm)]])</f>
        <v>7.2952037351443121E-8</v>
      </c>
      <c r="U8" s="111">
        <f>Table112345791014[[#This Row],[M (KN.mm)]]/(Table112345791014[[#This Row],[b (mm)]]*Table112345791014[[#This Row],[d (mm)]]*Table112345791014[[#This Row],[pho (%)]])</f>
        <v>16.315789473684209</v>
      </c>
      <c r="V8" s="111">
        <f>E8*224.8/(2*SQRT(Table112345791014[[#This Row],[fc (Mpa)]]*145.037)*Table112345791014[[#This Row],[b (mm)]]*Table112345791014[[#This Row],[d (mm)]]*(1/25.4)^2)</f>
        <v>0.86123853790876737</v>
      </c>
      <c r="W8" s="111">
        <f>Table112345791014[[#This Row],[M (KN.mm)]]/$G$11</f>
        <v>0.63598519888991678</v>
      </c>
      <c r="X8" s="111">
        <f>Table112345791014[[#This Row],[V/(2*sqrt(fc) bd)]]</f>
        <v>0.86123853790876737</v>
      </c>
      <c r="Y8" s="111">
        <f>Table112345791014[[#This Row],[a (mm)]]</f>
        <v>11904</v>
      </c>
      <c r="Z8" s="111">
        <f>Table112345791014[[#This Row],[width]]*Table112345791014[[#This Row],[h (mm)]]^2</f>
        <v>4000000000</v>
      </c>
      <c r="AA8" s="111">
        <f>Table112345791014[[#This Row],[b (mm)]]</f>
        <v>250</v>
      </c>
      <c r="AB8" s="111">
        <f>Table112345791014[[#This Row],[a]]/Table112345791014[[#This Row],[h (mm)]]</f>
        <v>2.976</v>
      </c>
      <c r="AC8" s="111">
        <f>Table112345791014[[#This Row],[h (mm)]]</f>
        <v>4000</v>
      </c>
      <c r="AD8" s="111">
        <f>3.1*Table112345791014[[#This Row],[d (mm)]]</f>
        <v>11904</v>
      </c>
      <c r="AE8" s="111">
        <v>3840</v>
      </c>
      <c r="AF8" s="111">
        <v>4000</v>
      </c>
      <c r="AG8" s="111">
        <v>250</v>
      </c>
      <c r="AH8" s="7">
        <v>40</v>
      </c>
      <c r="AI8" s="111">
        <f>Table112345791014[[#This Row],[pho (%)]]*Table112345791014[[#This Row],[b (mm)]]*Table112345791014[[#This Row],[h (mm)]]/100</f>
        <v>6600</v>
      </c>
      <c r="AJ8" s="111">
        <v>0.66</v>
      </c>
      <c r="AK8" s="111">
        <v>525</v>
      </c>
      <c r="AL8" s="111">
        <f>(1/3-0.21*(MIN(Table112345791014[[#This Row],[b (mm)]],AF8)/MAX(Table112345791014[[#This Row],[b (mm)]],AF8))*(MIN(Table112345791014[[#This Row],[b (mm)]],AF8)^4/(12*MAX(Table112345791014[[#This Row],[b (mm)]],AF8)^4)))*MAX(Table112345791014[[#This Row],[b (mm)]],AF8)*MIN(Table112345791014[[#This Row],[b (mm)]],AF8)^3</f>
        <v>20833332290.252048</v>
      </c>
      <c r="AM8" s="111">
        <f>Table112345791014[[#This Row],[b (mm)]]*AF8^3/12</f>
        <v>1333333333333.3333</v>
      </c>
      <c r="AN8" s="111">
        <f>Table112345791014[[#This Row],[a (mm)]]*2</f>
        <v>23808</v>
      </c>
      <c r="AP8"/>
      <c r="AQ8"/>
      <c r="AR8"/>
    </row>
    <row r="9" spans="1:49" x14ac:dyDescent="0.3">
      <c r="A9" s="178" t="s">
        <v>193</v>
      </c>
      <c r="B9" s="176">
        <v>8</v>
      </c>
      <c r="C9" s="176">
        <v>8</v>
      </c>
      <c r="D9" s="176">
        <f>Table112345791014[[#This Row],[a (mm)]]/Table112345791014[[#This Row],[d (mm)]]</f>
        <v>3.1</v>
      </c>
      <c r="E9" s="176">
        <f>1750*12/19</f>
        <v>1105.2631578947369</v>
      </c>
      <c r="F9" s="137">
        <f>Table112345791014[[#This Row],[d (mm)]]</f>
        <v>3840</v>
      </c>
      <c r="G9" s="111">
        <f t="shared" si="3"/>
        <v>13157052.631578948</v>
      </c>
      <c r="H9" s="111">
        <f t="shared" si="0"/>
        <v>3.7467713732985401E-7</v>
      </c>
      <c r="I9" s="111">
        <f>G9/(Table112345791014[[#This Row],[b (mm)]]*Table112345791014[[#This Row],[h]]^2)</f>
        <v>3.289263157894737E-3</v>
      </c>
      <c r="J9" s="111">
        <f t="shared" si="1"/>
        <v>0.98883572567783107</v>
      </c>
      <c r="K9" s="111">
        <f t="shared" si="2"/>
        <v>1.689574338700046E-6</v>
      </c>
      <c r="L9" s="111">
        <f>E9/(Table112345791014[[#This Row],[b (mm)]]*AE9)</f>
        <v>1.1513157894736843E-3</v>
      </c>
      <c r="M9" s="111">
        <f>Table112345791014[[#This Row],[M (KN.mm)]]/(Table112345791014[[#This Row],[b (mm)]]*Table112345791014[[#This Row],[d (mm)]])</f>
        <v>13.705263157894738</v>
      </c>
      <c r="N9" s="111">
        <f>Table112345791014[[#This Row],[M (KN.mm)]]/(Table112345791014[[#This Row],[b (mm)]]*Table112345791014[[#This Row],[h (mm)]])</f>
        <v>13.157052631578948</v>
      </c>
      <c r="O9" s="111">
        <f>Table112345791014[[#This Row],[M (KN.mm)]]/(Table112345791014[[#This Row],[b (mm)]]*Table112345791014[[#This Row],[h (mm)]]*Table112345791014[[#This Row],[L(mm)]])</f>
        <v>5.526315789473685E-4</v>
      </c>
      <c r="P9" s="111">
        <f>Table112345791014[[#This Row],[M (KN.mm)]]/(Table112345791014[[#This Row],[b (mm)]]*Table112345791014[[#This Row],[d (mm)]]*Table112345791014[[#This Row],[L(mm)]])</f>
        <v>5.7565789473684216E-4</v>
      </c>
      <c r="Q9" s="111">
        <f>Table112345791014[[#This Row],[M (KN.mm)]]/(Table112345791014[[#This Row],[b (mm)]]*Table112345791014[[#This Row],[h (mm)]]*Table112345791014[[#This Row],[L(mm)]]*Table112345791014[[#This Row],[fc (Mpa)]])</f>
        <v>1.3815789473684211E-5</v>
      </c>
      <c r="R9" s="111">
        <f>Table112345791014[[#This Row],[M (KN.mm)]]/(Table112345791014[[#This Row],[b (mm)]]*Table112345791014[[#This Row],[h (mm)]]*Table112345791014[[#This Row],[L(mm)]]/2)</f>
        <v>1.105263157894737E-3</v>
      </c>
      <c r="S9" s="111">
        <f>Table112345791014[[#This Row],[M (KN.mm)]]/(Table112345791014[[#This Row],[a (mm)]]*Table112345791014[[#This Row],[b (mm)]]*Table112345791014[[#This Row],[h (mm)]]*Table112345791014[[#This Row],[L(mm)]]/2)</f>
        <v>9.2848047538200351E-8</v>
      </c>
      <c r="T9" s="111">
        <f>Table112345791014[[#This Row],[M (KN.mm)]]/(Table112345791014[[#This Row],[a (mm)]]^2*Table112345791014[[#This Row],[b (mm)]]*Table112345791014[[#This Row],[h (mm)]])</f>
        <v>9.2848047538200351E-8</v>
      </c>
      <c r="U9" s="111">
        <f>Table112345791014[[#This Row],[M (KN.mm)]]/(Table112345791014[[#This Row],[b (mm)]]*Table112345791014[[#This Row],[d (mm)]]*Table112345791014[[#This Row],[pho (%)]])</f>
        <v>20.76555023923445</v>
      </c>
      <c r="V9" s="111">
        <f>E9*224.8/(2*SQRT(Table112345791014[[#This Row],[fc (Mpa)]]*145.037)*Table112345791014[[#This Row],[b (mm)]]*Table112345791014[[#This Row],[d (mm)]]*(1/25.4)^2)</f>
        <v>1.0961217755202495</v>
      </c>
      <c r="W9" s="111">
        <f>Table112345791014[[#This Row],[M (KN.mm)]]/$G$11</f>
        <v>0.80943570767807593</v>
      </c>
      <c r="X9" s="111">
        <f>Table112345791014[[#This Row],[V/(2*sqrt(fc) bd)]]</f>
        <v>1.0961217755202495</v>
      </c>
      <c r="Y9" s="111">
        <f>Table112345791014[[#This Row],[a (mm)]]</f>
        <v>11904</v>
      </c>
      <c r="Z9" s="111">
        <f>Table112345791014[[#This Row],[width]]*Table112345791014[[#This Row],[h (mm)]]^2</f>
        <v>4000000000</v>
      </c>
      <c r="AA9" s="111">
        <f>Table112345791014[[#This Row],[b (mm)]]</f>
        <v>250</v>
      </c>
      <c r="AB9" s="111">
        <f>Table112345791014[[#This Row],[a]]/Table112345791014[[#This Row],[h (mm)]]</f>
        <v>2.976</v>
      </c>
      <c r="AC9" s="111">
        <f>Table112345791014[[#This Row],[h (mm)]]</f>
        <v>4000</v>
      </c>
      <c r="AD9" s="111">
        <f>3.1*Table112345791014[[#This Row],[d (mm)]]</f>
        <v>11904</v>
      </c>
      <c r="AE9" s="111">
        <v>3840</v>
      </c>
      <c r="AF9" s="111">
        <v>4000</v>
      </c>
      <c r="AG9" s="111">
        <v>250</v>
      </c>
      <c r="AH9" s="7">
        <v>40</v>
      </c>
      <c r="AI9" s="111">
        <f>Table112345791014[[#This Row],[pho (%)]]*Table112345791014[[#This Row],[b (mm)]]*Table112345791014[[#This Row],[h (mm)]]/100</f>
        <v>6600</v>
      </c>
      <c r="AJ9" s="111">
        <v>0.66</v>
      </c>
      <c r="AK9" s="111">
        <v>525</v>
      </c>
      <c r="AL9" s="111">
        <f>(1/3-0.21*(MIN(Table112345791014[[#This Row],[b (mm)]],AF9)/MAX(Table112345791014[[#This Row],[b (mm)]],AF9))*(MIN(Table112345791014[[#This Row],[b (mm)]],AF9)^4/(12*MAX(Table112345791014[[#This Row],[b (mm)]],AF9)^4)))*MAX(Table112345791014[[#This Row],[b (mm)]],AF9)*MIN(Table112345791014[[#This Row],[b (mm)]],AF9)^3</f>
        <v>20833332290.252048</v>
      </c>
      <c r="AM9" s="111">
        <f>Table112345791014[[#This Row],[b (mm)]]*AF9^3/12</f>
        <v>1333333333333.3333</v>
      </c>
      <c r="AN9" s="111">
        <f>Table112345791014[[#This Row],[a (mm)]]*2</f>
        <v>23808</v>
      </c>
      <c r="AP9"/>
      <c r="AQ9"/>
      <c r="AR9"/>
    </row>
    <row r="10" spans="1:49" ht="12.75" customHeight="1" x14ac:dyDescent="0.3">
      <c r="A10" s="178" t="s">
        <v>193</v>
      </c>
      <c r="B10" s="176">
        <v>9</v>
      </c>
      <c r="C10" s="176">
        <v>9</v>
      </c>
      <c r="D10" s="176">
        <f>Table112345791014[[#This Row],[a (mm)]]/Table112345791014[[#This Row],[d (mm)]]</f>
        <v>3.1</v>
      </c>
      <c r="E10" s="176">
        <f>2019*12/19</f>
        <v>1275.1578947368421</v>
      </c>
      <c r="F10" s="137">
        <f>Table112345791014[[#This Row],[d (mm)]]</f>
        <v>3840</v>
      </c>
      <c r="G10" s="111">
        <f t="shared" si="3"/>
        <v>15179479.578947369</v>
      </c>
      <c r="H10" s="111">
        <f t="shared" si="0"/>
        <v>4.3227036586798584E-7</v>
      </c>
      <c r="I10" s="111">
        <f>G10/(Table112345791014[[#This Row],[b (mm)]]*Table112345791014[[#This Row],[h]]^2)</f>
        <v>3.7948698947368421E-3</v>
      </c>
      <c r="J10" s="111">
        <f t="shared" si="1"/>
        <v>1.1408339029391661</v>
      </c>
      <c r="K10" s="111">
        <f t="shared" si="2"/>
        <v>1.9492860513345103E-6</v>
      </c>
      <c r="L10" s="111">
        <f>E10/(Table112345791014[[#This Row],[b (mm)]]*AE10)</f>
        <v>1.3282894736842104E-3</v>
      </c>
      <c r="M10" s="111">
        <f>Table112345791014[[#This Row],[M (KN.mm)]]/(Table112345791014[[#This Row],[b (mm)]]*Table112345791014[[#This Row],[d (mm)]])</f>
        <v>15.811957894736842</v>
      </c>
      <c r="N10" s="111">
        <f>Table112345791014[[#This Row],[M (KN.mm)]]/(Table112345791014[[#This Row],[b (mm)]]*Table112345791014[[#This Row],[h (mm)]])</f>
        <v>15.179479578947369</v>
      </c>
      <c r="O10" s="111">
        <f>Table112345791014[[#This Row],[M (KN.mm)]]/(Table112345791014[[#This Row],[b (mm)]]*Table112345791014[[#This Row],[h (mm)]]*Table112345791014[[#This Row],[L(mm)]])</f>
        <v>6.375789473684211E-4</v>
      </c>
      <c r="P10" s="111">
        <f>Table112345791014[[#This Row],[M (KN.mm)]]/(Table112345791014[[#This Row],[b (mm)]]*Table112345791014[[#This Row],[d (mm)]]*Table112345791014[[#This Row],[L(mm)]])</f>
        <v>6.6414473684210532E-4</v>
      </c>
      <c r="Q10" s="111">
        <f>Table112345791014[[#This Row],[M (KN.mm)]]/(Table112345791014[[#This Row],[b (mm)]]*Table112345791014[[#This Row],[h (mm)]]*Table112345791014[[#This Row],[L(mm)]]*Table112345791014[[#This Row],[fc (Mpa)]])</f>
        <v>1.5939473684210526E-5</v>
      </c>
      <c r="R10" s="111">
        <f>Table112345791014[[#This Row],[M (KN.mm)]]/(Table112345791014[[#This Row],[b (mm)]]*Table112345791014[[#This Row],[h (mm)]]*Table112345791014[[#This Row],[L(mm)]]/2)</f>
        <v>1.2751578947368422E-3</v>
      </c>
      <c r="S10" s="111">
        <f>Table112345791014[[#This Row],[M (KN.mm)]]/(Table112345791014[[#This Row],[a (mm)]]*Table112345791014[[#This Row],[b (mm)]]*Table112345791014[[#This Row],[h (mm)]]*Table112345791014[[#This Row],[L(mm)]]/2)</f>
        <v>1.0712011884550085E-7</v>
      </c>
      <c r="T10" s="111">
        <f>Table112345791014[[#This Row],[M (KN.mm)]]/(Table112345791014[[#This Row],[a (mm)]]^2*Table112345791014[[#This Row],[b (mm)]]*Table112345791014[[#This Row],[h (mm)]])</f>
        <v>1.0712011884550085E-7</v>
      </c>
      <c r="U10" s="111">
        <f>Table112345791014[[#This Row],[M (KN.mm)]]/(Table112345791014[[#This Row],[b (mm)]]*Table112345791014[[#This Row],[d (mm)]]*Table112345791014[[#This Row],[pho (%)]])</f>
        <v>23.957511961722489</v>
      </c>
      <c r="V10" s="111">
        <f>E10*224.8/(2*SQRT(Table112345791014[[#This Row],[fc (Mpa)]]*145.037)*Table112345791014[[#This Row],[b (mm)]]*Table112345791014[[#This Row],[d (mm)]]*(1/25.4)^2)</f>
        <v>1.2646113513002191</v>
      </c>
      <c r="W10" s="111">
        <f>Table112345791014[[#This Row],[M (KN.mm)]]/$G$11</f>
        <v>0.93385753931544868</v>
      </c>
      <c r="X10" s="111">
        <f>Table112345791014[[#This Row],[V/(2*sqrt(fc) bd)]]</f>
        <v>1.2646113513002191</v>
      </c>
      <c r="Y10" s="111">
        <f>Table112345791014[[#This Row],[a (mm)]]</f>
        <v>11904</v>
      </c>
      <c r="Z10" s="111">
        <f>Table112345791014[[#This Row],[width]]*Table112345791014[[#This Row],[h (mm)]]^2</f>
        <v>4000000000</v>
      </c>
      <c r="AA10" s="111">
        <f>Table112345791014[[#This Row],[b (mm)]]</f>
        <v>250</v>
      </c>
      <c r="AB10" s="111">
        <f>Table112345791014[[#This Row],[a]]/Table112345791014[[#This Row],[h (mm)]]</f>
        <v>2.976</v>
      </c>
      <c r="AC10" s="111">
        <f>Table112345791014[[#This Row],[h (mm)]]</f>
        <v>4000</v>
      </c>
      <c r="AD10" s="111">
        <f>3.1*Table112345791014[[#This Row],[d (mm)]]</f>
        <v>11904</v>
      </c>
      <c r="AE10" s="111">
        <v>3840</v>
      </c>
      <c r="AF10" s="111">
        <v>4000</v>
      </c>
      <c r="AG10" s="111">
        <v>250</v>
      </c>
      <c r="AH10" s="7">
        <v>40</v>
      </c>
      <c r="AI10" s="111">
        <f>Table112345791014[[#This Row],[pho (%)]]*Table112345791014[[#This Row],[b (mm)]]*Table112345791014[[#This Row],[h (mm)]]/100</f>
        <v>6600</v>
      </c>
      <c r="AJ10" s="111">
        <v>0.66</v>
      </c>
      <c r="AK10" s="111">
        <v>525</v>
      </c>
      <c r="AL10" s="111">
        <f>(1/3-0.21*(MIN(Table112345791014[[#This Row],[b (mm)]],AF10)/MAX(Table112345791014[[#This Row],[b (mm)]],AF10))*(MIN(Table112345791014[[#This Row],[b (mm)]],AF10)^4/(12*MAX(Table112345791014[[#This Row],[b (mm)]],AF10)^4)))*MAX(Table112345791014[[#This Row],[b (mm)]],AF10)*MIN(Table112345791014[[#This Row],[b (mm)]],AF10)^3</f>
        <v>20833332290.252048</v>
      </c>
      <c r="AM10" s="111">
        <f>Table112345791014[[#This Row],[b (mm)]]*AF10^3/12</f>
        <v>1333333333333.3333</v>
      </c>
      <c r="AN10" s="111">
        <f>Table112345791014[[#This Row],[a (mm)]]*2</f>
        <v>23808</v>
      </c>
      <c r="AP10"/>
      <c r="AQ10"/>
      <c r="AR10"/>
    </row>
    <row r="11" spans="1:49" x14ac:dyDescent="0.3">
      <c r="A11" s="178" t="s">
        <v>193</v>
      </c>
      <c r="B11" s="176">
        <v>10</v>
      </c>
      <c r="C11" s="176">
        <v>10</v>
      </c>
      <c r="D11" s="176">
        <f>Table112345791014[[#This Row],[a (mm)]]/Table112345791014[[#This Row],[d (mm)]]</f>
        <v>3.1</v>
      </c>
      <c r="E11" s="176">
        <f>2162*12/19</f>
        <v>1365.4736842105262</v>
      </c>
      <c r="F11" s="137">
        <f>Table112345791014[[#This Row],[d (mm)]]</f>
        <v>3840</v>
      </c>
      <c r="G11" s="111">
        <f t="shared" si="3"/>
        <v>16254598.736842105</v>
      </c>
      <c r="H11" s="111">
        <f t="shared" si="0"/>
        <v>4.6288684051836819E-7</v>
      </c>
      <c r="I11" s="111">
        <f>G11/(Table112345791014[[#This Row],[b (mm)]]*Table112345791014[[#This Row],[h]]^2)</f>
        <v>4.0636496842105267E-3</v>
      </c>
      <c r="J11" s="111">
        <f t="shared" si="1"/>
        <v>1.2216359079516974</v>
      </c>
      <c r="K11" s="111">
        <f t="shared" si="2"/>
        <v>2.0873484115825709E-6</v>
      </c>
      <c r="L11" s="111">
        <f>E11/(Table112345791014[[#This Row],[b (mm)]]*AE11)</f>
        <v>1.4223684210526316E-3</v>
      </c>
      <c r="M11" s="111">
        <f>Table112345791014[[#This Row],[M (KN.mm)]]/(Table112345791014[[#This Row],[b (mm)]]*Table112345791014[[#This Row],[d (mm)]])</f>
        <v>16.931873684210526</v>
      </c>
      <c r="N11" s="111">
        <f>Table112345791014[[#This Row],[M (KN.mm)]]/(Table112345791014[[#This Row],[b (mm)]]*Table112345791014[[#This Row],[h (mm)]])</f>
        <v>16.254598736842105</v>
      </c>
      <c r="O11" s="111">
        <f>Table112345791014[[#This Row],[M (KN.mm)]]/(Table112345791014[[#This Row],[b (mm)]]*Table112345791014[[#This Row],[h (mm)]]*Table112345791014[[#This Row],[L(mm)]])</f>
        <v>6.827368421052631E-4</v>
      </c>
      <c r="P11" s="111">
        <f>Table112345791014[[#This Row],[M (KN.mm)]]/(Table112345791014[[#This Row],[b (mm)]]*Table112345791014[[#This Row],[d (mm)]]*Table112345791014[[#This Row],[L(mm)]])</f>
        <v>7.1118421052631579E-4</v>
      </c>
      <c r="Q11" s="111">
        <f>Table112345791014[[#This Row],[M (KN.mm)]]/(Table112345791014[[#This Row],[b (mm)]]*Table112345791014[[#This Row],[h (mm)]]*Table112345791014[[#This Row],[L(mm)]]*Table112345791014[[#This Row],[fc (Mpa)]])</f>
        <v>1.706842105263158E-5</v>
      </c>
      <c r="R11" s="111">
        <f>Table112345791014[[#This Row],[M (KN.mm)]]/(Table112345791014[[#This Row],[b (mm)]]*Table112345791014[[#This Row],[h (mm)]]*Table112345791014[[#This Row],[L(mm)]]/2)</f>
        <v>1.3654736842105262E-3</v>
      </c>
      <c r="S11" s="111">
        <f>Table112345791014[[#This Row],[M (KN.mm)]]/(Table112345791014[[#This Row],[a (mm)]]*Table112345791014[[#This Row],[b (mm)]]*Table112345791014[[#This Row],[h (mm)]]*Table112345791014[[#This Row],[L(mm)]]/2)</f>
        <v>1.1470713073005094E-7</v>
      </c>
      <c r="T11" s="111">
        <f>Table112345791014[[#This Row],[M (KN.mm)]]/(Table112345791014[[#This Row],[a (mm)]]^2*Table112345791014[[#This Row],[b (mm)]]*Table112345791014[[#This Row],[h (mm)]])</f>
        <v>1.1470713073005094E-7</v>
      </c>
      <c r="U11" s="111">
        <f>Table112345791014[[#This Row],[M (KN.mm)]]/(Table112345791014[[#This Row],[b (mm)]]*Table112345791014[[#This Row],[d (mm)]]*Table112345791014[[#This Row],[pho (%)]])</f>
        <v>25.654354066985647</v>
      </c>
      <c r="V11" s="111">
        <f>E11*224.8/(2*SQRT(Table112345791014[[#This Row],[fc (Mpa)]]*145.037)*Table112345791014[[#This Row],[b (mm)]]*Table112345791014[[#This Row],[d (mm)]]*(1/25.4)^2)</f>
        <v>1.3541801592427309</v>
      </c>
      <c r="W11" s="111">
        <f>Table112345791014[[#This Row],[M (KN.mm)]]/$G$11</f>
        <v>1</v>
      </c>
      <c r="X11" s="111">
        <f>Table112345791014[[#This Row],[V/(2*sqrt(fc) bd)]]</f>
        <v>1.3541801592427309</v>
      </c>
      <c r="Y11" s="111">
        <f>Table112345791014[[#This Row],[a (mm)]]</f>
        <v>11904</v>
      </c>
      <c r="Z11" s="111">
        <f>Table112345791014[[#This Row],[width]]*Table112345791014[[#This Row],[h (mm)]]^2</f>
        <v>4000000000</v>
      </c>
      <c r="AA11" s="111">
        <f>Table112345791014[[#This Row],[b (mm)]]</f>
        <v>250</v>
      </c>
      <c r="AB11" s="111">
        <f>Table112345791014[[#This Row],[a]]/Table112345791014[[#This Row],[h (mm)]]</f>
        <v>2.976</v>
      </c>
      <c r="AC11" s="111">
        <f>Table112345791014[[#This Row],[h (mm)]]</f>
        <v>4000</v>
      </c>
      <c r="AD11" s="111">
        <f>3.1*Table112345791014[[#This Row],[d (mm)]]</f>
        <v>11904</v>
      </c>
      <c r="AE11" s="111">
        <v>3840</v>
      </c>
      <c r="AF11" s="111">
        <v>4000</v>
      </c>
      <c r="AG11" s="111">
        <v>250</v>
      </c>
      <c r="AH11" s="7">
        <v>40</v>
      </c>
      <c r="AI11" s="111">
        <f>Table112345791014[[#This Row],[pho (%)]]*Table112345791014[[#This Row],[b (mm)]]*Table112345791014[[#This Row],[h (mm)]]/100</f>
        <v>6600</v>
      </c>
      <c r="AJ11" s="111">
        <v>0.66</v>
      </c>
      <c r="AK11" s="111">
        <v>525</v>
      </c>
      <c r="AL11" s="111">
        <f>(1/3-0.21*(MIN(Table112345791014[[#This Row],[b (mm)]],AF11)/MAX(Table112345791014[[#This Row],[b (mm)]],AF11))*(MIN(Table112345791014[[#This Row],[b (mm)]],AF11)^4/(12*MAX(Table112345791014[[#This Row],[b (mm)]],AF11)^4)))*MAX(Table112345791014[[#This Row],[b (mm)]],AF11)*MIN(Table112345791014[[#This Row],[b (mm)]],AF11)^3</f>
        <v>20833332290.252048</v>
      </c>
      <c r="AM11" s="111">
        <f>Table112345791014[[#This Row],[b (mm)]]*AF11^3/12</f>
        <v>1333333333333.3333</v>
      </c>
      <c r="AN11" s="111">
        <f>Table112345791014[[#This Row],[a (mm)]]*2</f>
        <v>23808</v>
      </c>
      <c r="AP11"/>
      <c r="AQ11"/>
      <c r="AR11"/>
    </row>
    <row r="12" spans="1:49" ht="17.25" customHeight="1" x14ac:dyDescent="0.3">
      <c r="A12" s="325" t="s">
        <v>237</v>
      </c>
      <c r="B12" s="326">
        <v>11</v>
      </c>
      <c r="C12" s="325">
        <v>1</v>
      </c>
      <c r="D12" s="325">
        <v>2.86</v>
      </c>
      <c r="E12" s="325">
        <v>98</v>
      </c>
      <c r="F12" s="137">
        <f>Table112345791014[[#This Row],[d (mm)]]</f>
        <v>1890</v>
      </c>
      <c r="G12" s="111">
        <f t="shared" ref="G12:G21" si="4">E12*AD12</f>
        <v>529729.19999999995</v>
      </c>
      <c r="H12" s="111">
        <f t="shared" ref="H12:H21" si="5">G12/($AQ$5*AM12*0.001)</f>
        <v>1.0056832928253114E-7</v>
      </c>
      <c r="I12" s="111">
        <f>G12/(Table112345791014[[#This Row],[b (mm)]]*Table112345791014[[#This Row],[h]]^2)</f>
        <v>4.4144099999999994E-4</v>
      </c>
      <c r="J12" s="111">
        <f t="shared" ref="J12:J21" si="6">G12/(AI12*AK12*AE12*0.001)</f>
        <v>0.12001164662761621</v>
      </c>
      <c r="K12" s="111">
        <f t="shared" ref="K12:K21" si="7">E12/($AQ$4*AL12*0.001)</f>
        <v>1.7339064171973656E-7</v>
      </c>
      <c r="L12" s="111">
        <f>E12/(Table112345791014[[#This Row],[b (mm)]]*AE12)</f>
        <v>1.728395061728395E-4</v>
      </c>
      <c r="M12" s="111">
        <f>Table112345791014[[#This Row],[M (KN.mm)]]/(Table112345791014[[#This Row],[b (mm)]]*Table112345791014[[#This Row],[d (mm)]])</f>
        <v>0.93426666666666658</v>
      </c>
      <c r="N12" s="111">
        <f>Table112345791014[[#This Row],[M (KN.mm)]]/(Table112345791014[[#This Row],[b (mm)]]*Table112345791014[[#This Row],[h (mm)]])</f>
        <v>0.88288199999999994</v>
      </c>
      <c r="O12" s="111">
        <f>Table112345791014[[#This Row],[M (KN.mm)]]/(Table112345791014[[#This Row],[b (mm)]]*Table112345791014[[#This Row],[h (mm)]]*Table112345791014[[#This Row],[L(mm)]])</f>
        <v>8.1666666666666655E-5</v>
      </c>
      <c r="P12" s="111">
        <f>Table112345791014[[#This Row],[M (KN.mm)]]/(Table112345791014[[#This Row],[b (mm)]]*Table112345791014[[#This Row],[d (mm)]]*Table112345791014[[#This Row],[L(mm)]])</f>
        <v>8.641975308641975E-5</v>
      </c>
      <c r="Q12" s="111">
        <f>Table112345791014[[#This Row],[M (KN.mm)]]/(Table112345791014[[#This Row],[b (mm)]]*Table112345791014[[#This Row],[h (mm)]]*Table112345791014[[#This Row],[L(mm)]]*Table112345791014[[#This Row],[fc (Mpa)]])</f>
        <v>2.5681341719077567E-6</v>
      </c>
      <c r="R12" s="111">
        <f>Table112345791014[[#This Row],[M (KN.mm)]]/(Table112345791014[[#This Row],[b (mm)]]*Table112345791014[[#This Row],[h (mm)]]*Table112345791014[[#This Row],[L(mm)]]/2)</f>
        <v>1.6333333333333331E-4</v>
      </c>
      <c r="S12" s="111">
        <f>Table112345791014[[#This Row],[M (KN.mm)]]/(Table112345791014[[#This Row],[a (mm)]]*Table112345791014[[#This Row],[b (mm)]]*Table112345791014[[#This Row],[h (mm)]]*Table112345791014[[#This Row],[L(mm)]]/2)</f>
        <v>3.0216696883363548E-8</v>
      </c>
      <c r="T12" s="111">
        <f>Table112345791014[[#This Row],[M (KN.mm)]]/(Table112345791014[[#This Row],[a (mm)]]^2*Table112345791014[[#This Row],[b (mm)]]*Table112345791014[[#This Row],[h (mm)]])</f>
        <v>3.0216696883363554E-8</v>
      </c>
      <c r="U12" s="111">
        <f>Table112345791014[[#This Row],[M (KN.mm)]]/(Table112345791014[[#This Row],[b (mm)]]*Table112345791014[[#This Row],[d (mm)]]*Table112345791014[[#This Row],[pho (%)]])</f>
        <v>1.2625225225225225</v>
      </c>
      <c r="V12" s="111">
        <f>E12*224.8/(2*SQRT(Table112345791014[[#This Row],[fc (Mpa)]]*145.037)*Table112345791014[[#This Row],[b (mm)]]*Table112345791014[[#This Row],[d (mm)]]*(1/25.4)^2)</f>
        <v>0.18455414226027525</v>
      </c>
      <c r="W12" s="111">
        <f>Table112345791014[[#This Row],[M (KN.mm)]]/$G$15</f>
        <v>0.42608695652173911</v>
      </c>
      <c r="X12" s="111">
        <f>Table112345791014[[#This Row],[V/(2*sqrt(fc) bd)]]</f>
        <v>0.18455414226027525</v>
      </c>
      <c r="Y12" s="111">
        <f>Table112345791014[[#This Row],[a (mm)]]</f>
        <v>5405.4</v>
      </c>
      <c r="Z12" s="111">
        <f>Table112345791014[[#This Row],[width]]*Table112345791014[[#This Row],[h (mm)]]^2</f>
        <v>1200000000</v>
      </c>
      <c r="AA12" s="111">
        <f>Table112345791014[[#This Row],[b (mm)]]</f>
        <v>300</v>
      </c>
      <c r="AB12" s="111">
        <f>Table112345791014[[#This Row],[a]]/Table112345791014[[#This Row],[h (mm)]]</f>
        <v>2.7026999999999997</v>
      </c>
      <c r="AC12" s="111">
        <f>Table112345791014[[#This Row],[h (mm)]]</f>
        <v>2000</v>
      </c>
      <c r="AD12" s="135">
        <f>2.86*Table112345791014[[#This Row],[d (mm)]]</f>
        <v>5405.4</v>
      </c>
      <c r="AE12" s="135">
        <v>1890</v>
      </c>
      <c r="AF12" s="135">
        <v>2000</v>
      </c>
      <c r="AG12" s="134">
        <v>300</v>
      </c>
      <c r="AH12" s="7">
        <v>31.8</v>
      </c>
      <c r="AI12" s="111">
        <f>Table112345791014[[#This Row],[pho (%)]]*Table112345791014[[#This Row],[b (mm)]]*Table112345791014[[#This Row],[h (mm)]]/100</f>
        <v>4440</v>
      </c>
      <c r="AJ12" s="135">
        <v>0.74</v>
      </c>
      <c r="AK12" s="111">
        <v>526</v>
      </c>
      <c r="AL12" s="111">
        <f>(1/3-0.21*(MIN(Table112345791014[[#This Row],[b (mm)]],AF12)/MAX(Table112345791014[[#This Row],[b (mm)]],AF12))*(MIN(Table112345791014[[#This Row],[b (mm)]],AF12)^4/(12*MAX(Table112345791014[[#This Row],[b (mm)]],AF12)^4)))*MAX(Table112345791014[[#This Row],[b (mm)]],AF12)*MIN(Table112345791014[[#This Row],[b (mm)]],AF12)^3</f>
        <v>17999928239.0625</v>
      </c>
      <c r="AM12" s="111">
        <f>Table112345791014[[#This Row],[b (mm)]]*AF12^3/12</f>
        <v>200000000000</v>
      </c>
      <c r="AN12" s="111">
        <f>Table112345791014[[#This Row],[a (mm)]]*2</f>
        <v>10810.8</v>
      </c>
      <c r="AP12"/>
      <c r="AQ12"/>
      <c r="AR12"/>
      <c r="AS12"/>
      <c r="AT12"/>
      <c r="AU12"/>
      <c r="AV12"/>
      <c r="AW12"/>
    </row>
    <row r="13" spans="1:49" x14ac:dyDescent="0.3">
      <c r="A13" s="325" t="s">
        <v>237</v>
      </c>
      <c r="B13" s="326">
        <v>12</v>
      </c>
      <c r="C13" s="325">
        <v>2</v>
      </c>
      <c r="D13" s="325">
        <v>2.86</v>
      </c>
      <c r="E13" s="325">
        <v>117</v>
      </c>
      <c r="F13" s="137">
        <f>Table112345791014[[#This Row],[d (mm)]]</f>
        <v>1890</v>
      </c>
      <c r="G13" s="111">
        <f t="shared" si="4"/>
        <v>632431.79999999993</v>
      </c>
      <c r="H13" s="111">
        <f t="shared" si="5"/>
        <v>1.2006627067404228E-7</v>
      </c>
      <c r="I13" s="111">
        <f>G13/(Table112345791014[[#This Row],[b (mm)]]*Table112345791014[[#This Row],[h]]^2)</f>
        <v>5.2702649999999995E-4</v>
      </c>
      <c r="J13" s="111">
        <f t="shared" si="6"/>
        <v>0.14300733370942098</v>
      </c>
      <c r="K13" s="111">
        <f t="shared" si="7"/>
        <v>2.0700719470621611E-7</v>
      </c>
      <c r="L13" s="111">
        <f>E13/(Table112345791014[[#This Row],[b (mm)]]*AE13)</f>
        <v>2.0634920634920634E-4</v>
      </c>
      <c r="M13" s="111">
        <f>Table112345791014[[#This Row],[M (KN.mm)]]/(Table112345791014[[#This Row],[b (mm)]]*Table112345791014[[#This Row],[d (mm)]])</f>
        <v>1.1153999999999999</v>
      </c>
      <c r="N13" s="111">
        <f>Table112345791014[[#This Row],[M (KN.mm)]]/(Table112345791014[[#This Row],[b (mm)]]*Table112345791014[[#This Row],[h (mm)]])</f>
        <v>1.0540529999999999</v>
      </c>
      <c r="O13" s="111">
        <f>Table112345791014[[#This Row],[M (KN.mm)]]/(Table112345791014[[#This Row],[b (mm)]]*Table112345791014[[#This Row],[h (mm)]]*Table112345791014[[#This Row],[L(mm)]])</f>
        <v>9.7499999999999985E-5</v>
      </c>
      <c r="P13" s="111">
        <f>Table112345791014[[#This Row],[M (KN.mm)]]/(Table112345791014[[#This Row],[b (mm)]]*Table112345791014[[#This Row],[d (mm)]]*Table112345791014[[#This Row],[L(mm)]])</f>
        <v>1.0317460317460316E-4</v>
      </c>
      <c r="Q13" s="111">
        <f>Table112345791014[[#This Row],[M (KN.mm)]]/(Table112345791014[[#This Row],[b (mm)]]*Table112345791014[[#This Row],[h (mm)]]*Table112345791014[[#This Row],[L(mm)]]*Table112345791014[[#This Row],[fc (Mpa)]])</f>
        <v>3.0660377358490562E-6</v>
      </c>
      <c r="R13" s="111">
        <f>Table112345791014[[#This Row],[M (KN.mm)]]/(Table112345791014[[#This Row],[b (mm)]]*Table112345791014[[#This Row],[h (mm)]]*Table112345791014[[#This Row],[L(mm)]]/2)</f>
        <v>1.9499999999999997E-4</v>
      </c>
      <c r="S13" s="111">
        <f>Table112345791014[[#This Row],[M (KN.mm)]]/(Table112345791014[[#This Row],[a (mm)]]*Table112345791014[[#This Row],[b (mm)]]*Table112345791014[[#This Row],[h (mm)]]*Table112345791014[[#This Row],[L(mm)]]/2)</f>
        <v>3.6075036075036077E-8</v>
      </c>
      <c r="T13" s="111">
        <f>Table112345791014[[#This Row],[M (KN.mm)]]/(Table112345791014[[#This Row],[a (mm)]]^2*Table112345791014[[#This Row],[b (mm)]]*Table112345791014[[#This Row],[h (mm)]])</f>
        <v>3.6075036075036077E-8</v>
      </c>
      <c r="U13" s="111">
        <f>Table112345791014[[#This Row],[M (KN.mm)]]/(Table112345791014[[#This Row],[b (mm)]]*Table112345791014[[#This Row],[d (mm)]]*Table112345791014[[#This Row],[pho (%)]])</f>
        <v>1.5072972972972971</v>
      </c>
      <c r="V13" s="111">
        <f>E13*224.8/(2*SQRT(Table112345791014[[#This Row],[fc (Mpa)]]*145.037)*Table112345791014[[#This Row],[b (mm)]]*Table112345791014[[#This Row],[d (mm)]]*(1/25.4)^2)</f>
        <v>0.22033504739236945</v>
      </c>
      <c r="W13" s="111">
        <f>Table112345791014[[#This Row],[M (KN.mm)]]/$G$15</f>
        <v>0.50869565217391299</v>
      </c>
      <c r="X13" s="111">
        <f>Table112345791014[[#This Row],[V/(2*sqrt(fc) bd)]]</f>
        <v>0.22033504739236945</v>
      </c>
      <c r="Y13" s="111">
        <f>Table112345791014[[#This Row],[a (mm)]]</f>
        <v>5405.4</v>
      </c>
      <c r="Z13" s="111">
        <f>Table112345791014[[#This Row],[width]]*Table112345791014[[#This Row],[h (mm)]]^2</f>
        <v>1200000000</v>
      </c>
      <c r="AA13" s="111">
        <f>Table112345791014[[#This Row],[b (mm)]]</f>
        <v>300</v>
      </c>
      <c r="AB13" s="111">
        <f>Table112345791014[[#This Row],[a]]/Table112345791014[[#This Row],[h (mm)]]</f>
        <v>2.7026999999999997</v>
      </c>
      <c r="AC13" s="111">
        <f>Table112345791014[[#This Row],[h (mm)]]</f>
        <v>2000</v>
      </c>
      <c r="AD13" s="135">
        <f>2.86*Table112345791014[[#This Row],[d (mm)]]</f>
        <v>5405.4</v>
      </c>
      <c r="AE13" s="135">
        <v>1890</v>
      </c>
      <c r="AF13" s="135">
        <v>2000</v>
      </c>
      <c r="AG13" s="134">
        <v>300</v>
      </c>
      <c r="AH13" s="7">
        <v>31.8</v>
      </c>
      <c r="AI13" s="111">
        <f>Table112345791014[[#This Row],[pho (%)]]*Table112345791014[[#This Row],[b (mm)]]*Table112345791014[[#This Row],[h (mm)]]/100</f>
        <v>4440</v>
      </c>
      <c r="AJ13" s="135">
        <v>0.74</v>
      </c>
      <c r="AK13" s="111">
        <v>527</v>
      </c>
      <c r="AL13" s="111">
        <f>(1/3-0.21*(MIN(Table112345791014[[#This Row],[b (mm)]],AF13)/MAX(Table112345791014[[#This Row],[b (mm)]],AF13))*(MIN(Table112345791014[[#This Row],[b (mm)]],AF13)^4/(12*MAX(Table112345791014[[#This Row],[b (mm)]],AF13)^4)))*MAX(Table112345791014[[#This Row],[b (mm)]],AF13)*MIN(Table112345791014[[#This Row],[b (mm)]],AF13)^3</f>
        <v>17999928239.0625</v>
      </c>
      <c r="AM13" s="111">
        <f>Table112345791014[[#This Row],[b (mm)]]*AF13^3/12</f>
        <v>200000000000</v>
      </c>
      <c r="AN13" s="111">
        <f>Table112345791014[[#This Row],[a (mm)]]*2</f>
        <v>10810.8</v>
      </c>
      <c r="AP13"/>
      <c r="AQ13"/>
      <c r="AR13"/>
      <c r="AS13"/>
      <c r="AT13"/>
      <c r="AU13"/>
      <c r="AV13"/>
      <c r="AW13"/>
    </row>
    <row r="14" spans="1:49" x14ac:dyDescent="0.3">
      <c r="A14" s="325" t="s">
        <v>237</v>
      </c>
      <c r="B14" s="326">
        <v>13</v>
      </c>
      <c r="C14" s="325">
        <v>3</v>
      </c>
      <c r="D14" s="325">
        <v>2.86</v>
      </c>
      <c r="E14" s="325">
        <v>175</v>
      </c>
      <c r="F14" s="137">
        <f>Table112345791014[[#This Row],[d (mm)]]</f>
        <v>1890</v>
      </c>
      <c r="G14" s="111">
        <f t="shared" si="4"/>
        <v>945944.99999999988</v>
      </c>
      <c r="H14" s="111">
        <f t="shared" si="5"/>
        <v>1.7958630229023419E-7</v>
      </c>
      <c r="I14" s="111">
        <f>G14/(Table112345791014[[#This Row],[b (mm)]]*Table112345791014[[#This Row],[h]]^2)</f>
        <v>7.8828749999999988E-4</v>
      </c>
      <c r="J14" s="111">
        <f t="shared" si="6"/>
        <v>0.21349474474474472</v>
      </c>
      <c r="K14" s="111">
        <f t="shared" si="7"/>
        <v>3.0962614592810103E-7</v>
      </c>
      <c r="L14" s="111">
        <f>E14/(Table112345791014[[#This Row],[b (mm)]]*AE14)</f>
        <v>3.0864197530864197E-4</v>
      </c>
      <c r="M14" s="111">
        <f>Table112345791014[[#This Row],[M (KN.mm)]]/(Table112345791014[[#This Row],[b (mm)]]*Table112345791014[[#This Row],[d (mm)]])</f>
        <v>1.6683333333333332</v>
      </c>
      <c r="N14" s="111">
        <f>Table112345791014[[#This Row],[M (KN.mm)]]/(Table112345791014[[#This Row],[b (mm)]]*Table112345791014[[#This Row],[h (mm)]])</f>
        <v>1.5765749999999998</v>
      </c>
      <c r="O14" s="111">
        <f>Table112345791014[[#This Row],[M (KN.mm)]]/(Table112345791014[[#This Row],[b (mm)]]*Table112345791014[[#This Row],[h (mm)]]*Table112345791014[[#This Row],[L(mm)]])</f>
        <v>1.4583333333333332E-4</v>
      </c>
      <c r="P14" s="111">
        <f>Table112345791014[[#This Row],[M (KN.mm)]]/(Table112345791014[[#This Row],[b (mm)]]*Table112345791014[[#This Row],[d (mm)]]*Table112345791014[[#This Row],[L(mm)]])</f>
        <v>1.5432098765432096E-4</v>
      </c>
      <c r="Q14" s="111">
        <f>Table112345791014[[#This Row],[M (KN.mm)]]/(Table112345791014[[#This Row],[b (mm)]]*Table112345791014[[#This Row],[h (mm)]]*Table112345791014[[#This Row],[L(mm)]]*Table112345791014[[#This Row],[fc (Mpa)]])</f>
        <v>4.5859538784067084E-6</v>
      </c>
      <c r="R14" s="111">
        <f>Table112345791014[[#This Row],[M (KN.mm)]]/(Table112345791014[[#This Row],[b (mm)]]*Table112345791014[[#This Row],[h (mm)]]*Table112345791014[[#This Row],[L(mm)]]/2)</f>
        <v>2.9166666666666664E-4</v>
      </c>
      <c r="S14" s="111">
        <f>Table112345791014[[#This Row],[M (KN.mm)]]/(Table112345791014[[#This Row],[a (mm)]]*Table112345791014[[#This Row],[b (mm)]]*Table112345791014[[#This Row],[h (mm)]]*Table112345791014[[#This Row],[L(mm)]]/2)</f>
        <v>5.3958387291720622E-8</v>
      </c>
      <c r="T14" s="111">
        <f>Table112345791014[[#This Row],[M (KN.mm)]]/(Table112345791014[[#This Row],[a (mm)]]^2*Table112345791014[[#This Row],[b (mm)]]*Table112345791014[[#This Row],[h (mm)]])</f>
        <v>5.3958387291720629E-8</v>
      </c>
      <c r="U14" s="111">
        <f>Table112345791014[[#This Row],[M (KN.mm)]]/(Table112345791014[[#This Row],[b (mm)]]*Table112345791014[[#This Row],[d (mm)]]*Table112345791014[[#This Row],[pho (%)]])</f>
        <v>2.2545045045045042</v>
      </c>
      <c r="V14" s="111">
        <f>E14*224.8/(2*SQRT(Table112345791014[[#This Row],[fc (Mpa)]]*145.037)*Table112345791014[[#This Row],[b (mm)]]*Table112345791014[[#This Row],[d (mm)]]*(1/25.4)^2)</f>
        <v>0.32956096832192006</v>
      </c>
      <c r="W14" s="111">
        <f>Table112345791014[[#This Row],[M (KN.mm)]]/$G$15</f>
        <v>0.76086956521739124</v>
      </c>
      <c r="X14" s="111">
        <f>Table112345791014[[#This Row],[V/(2*sqrt(fc) bd)]]</f>
        <v>0.32956096832192006</v>
      </c>
      <c r="Y14" s="111">
        <f>Table112345791014[[#This Row],[a (mm)]]</f>
        <v>5405.4</v>
      </c>
      <c r="Z14" s="111">
        <f>Table112345791014[[#This Row],[width]]*Table112345791014[[#This Row],[h (mm)]]^2</f>
        <v>1200000000</v>
      </c>
      <c r="AA14" s="111">
        <f>Table112345791014[[#This Row],[b (mm)]]</f>
        <v>300</v>
      </c>
      <c r="AB14" s="111">
        <f>Table112345791014[[#This Row],[a]]/Table112345791014[[#This Row],[h (mm)]]</f>
        <v>2.7026999999999997</v>
      </c>
      <c r="AC14" s="111">
        <f>Table112345791014[[#This Row],[h (mm)]]</f>
        <v>2000</v>
      </c>
      <c r="AD14" s="135">
        <f>2.86*Table112345791014[[#This Row],[d (mm)]]</f>
        <v>5405.4</v>
      </c>
      <c r="AE14" s="135">
        <v>1890</v>
      </c>
      <c r="AF14" s="135">
        <v>2000</v>
      </c>
      <c r="AG14" s="134">
        <v>300</v>
      </c>
      <c r="AH14" s="7">
        <v>31.8</v>
      </c>
      <c r="AI14" s="111">
        <f>Table112345791014[[#This Row],[pho (%)]]*Table112345791014[[#This Row],[b (mm)]]*Table112345791014[[#This Row],[h (mm)]]/100</f>
        <v>4440</v>
      </c>
      <c r="AJ14" s="135">
        <v>0.74</v>
      </c>
      <c r="AK14" s="111">
        <v>528</v>
      </c>
      <c r="AL14" s="111">
        <f>(1/3-0.21*(MIN(Table112345791014[[#This Row],[b (mm)]],AF14)/MAX(Table112345791014[[#This Row],[b (mm)]],AF14))*(MIN(Table112345791014[[#This Row],[b (mm)]],AF14)^4/(12*MAX(Table112345791014[[#This Row],[b (mm)]],AF14)^4)))*MAX(Table112345791014[[#This Row],[b (mm)]],AF14)*MIN(Table112345791014[[#This Row],[b (mm)]],AF14)^3</f>
        <v>17999928239.0625</v>
      </c>
      <c r="AM14" s="111">
        <f>Table112345791014[[#This Row],[b (mm)]]*AF14^3/12</f>
        <v>200000000000</v>
      </c>
      <c r="AN14" s="111">
        <f>Table112345791014[[#This Row],[a (mm)]]*2</f>
        <v>10810.8</v>
      </c>
      <c r="AP14"/>
      <c r="AQ14"/>
      <c r="AR14"/>
      <c r="AS14"/>
      <c r="AT14"/>
      <c r="AU14"/>
      <c r="AV14"/>
      <c r="AW14"/>
    </row>
    <row r="15" spans="1:49" x14ac:dyDescent="0.3">
      <c r="A15" s="325" t="s">
        <v>237</v>
      </c>
      <c r="B15" s="326">
        <v>14</v>
      </c>
      <c r="C15" s="325">
        <v>4</v>
      </c>
      <c r="D15" s="325">
        <v>2.86</v>
      </c>
      <c r="E15" s="325">
        <v>230</v>
      </c>
      <c r="F15" s="137">
        <f>Table112345791014[[#This Row],[d (mm)]]</f>
        <v>1890</v>
      </c>
      <c r="G15" s="111">
        <f t="shared" si="4"/>
        <v>1243242</v>
      </c>
      <c r="H15" s="111">
        <f t="shared" si="5"/>
        <v>2.3602771158145065E-7</v>
      </c>
      <c r="I15" s="111">
        <f>G15/(Table112345791014[[#This Row],[b (mm)]]*Table112345791014[[#This Row],[h]]^2)</f>
        <v>1.036035E-3</v>
      </c>
      <c r="J15" s="111">
        <f t="shared" si="6"/>
        <v>0.28006267136701918</v>
      </c>
      <c r="K15" s="111">
        <f t="shared" si="7"/>
        <v>4.0693722036264704E-7</v>
      </c>
      <c r="L15" s="111">
        <f>E15/(Table112345791014[[#This Row],[b (mm)]]*AE15)</f>
        <v>4.0564373897707232E-4</v>
      </c>
      <c r="M15" s="111">
        <f>Table112345791014[[#This Row],[M (KN.mm)]]/(Table112345791014[[#This Row],[b (mm)]]*Table112345791014[[#This Row],[d (mm)]])</f>
        <v>2.1926666666666668</v>
      </c>
      <c r="N15" s="111">
        <f>Table112345791014[[#This Row],[M (KN.mm)]]/(Table112345791014[[#This Row],[b (mm)]]*Table112345791014[[#This Row],[h (mm)]])</f>
        <v>2.0720700000000001</v>
      </c>
      <c r="O15" s="111">
        <f>Table112345791014[[#This Row],[M (KN.mm)]]/(Table112345791014[[#This Row],[b (mm)]]*Table112345791014[[#This Row],[h (mm)]]*Table112345791014[[#This Row],[L(mm)]])</f>
        <v>1.9166666666666667E-4</v>
      </c>
      <c r="P15" s="111">
        <f>Table112345791014[[#This Row],[M (KN.mm)]]/(Table112345791014[[#This Row],[b (mm)]]*Table112345791014[[#This Row],[d (mm)]]*Table112345791014[[#This Row],[L(mm)]])</f>
        <v>2.0282186948853616E-4</v>
      </c>
      <c r="Q15" s="111">
        <f>Table112345791014[[#This Row],[M (KN.mm)]]/(Table112345791014[[#This Row],[b (mm)]]*Table112345791014[[#This Row],[h (mm)]]*Table112345791014[[#This Row],[L(mm)]]*Table112345791014[[#This Row],[fc (Mpa)]])</f>
        <v>6.0272536687631029E-6</v>
      </c>
      <c r="R15" s="111">
        <f>Table112345791014[[#This Row],[M (KN.mm)]]/(Table112345791014[[#This Row],[b (mm)]]*Table112345791014[[#This Row],[h (mm)]]*Table112345791014[[#This Row],[L(mm)]]/2)</f>
        <v>3.8333333333333334E-4</v>
      </c>
      <c r="S15" s="111">
        <f>Table112345791014[[#This Row],[M (KN.mm)]]/(Table112345791014[[#This Row],[a (mm)]]*Table112345791014[[#This Row],[b (mm)]]*Table112345791014[[#This Row],[h (mm)]]*Table112345791014[[#This Row],[L(mm)]]/2)</f>
        <v>7.0916737583404264E-8</v>
      </c>
      <c r="T15" s="111">
        <f>Table112345791014[[#This Row],[M (KN.mm)]]/(Table112345791014[[#This Row],[a (mm)]]^2*Table112345791014[[#This Row],[b (mm)]]*Table112345791014[[#This Row],[h (mm)]])</f>
        <v>7.0916737583404264E-8</v>
      </c>
      <c r="U15" s="111">
        <f>Table112345791014[[#This Row],[M (KN.mm)]]/(Table112345791014[[#This Row],[b (mm)]]*Table112345791014[[#This Row],[d (mm)]]*Table112345791014[[#This Row],[pho (%)]])</f>
        <v>2.9630630630630632</v>
      </c>
      <c r="V15" s="111">
        <f>E15*224.8/(2*SQRT(Table112345791014[[#This Row],[fc (Mpa)]]*145.037)*Table112345791014[[#This Row],[b (mm)]]*Table112345791014[[#This Row],[d (mm)]]*(1/25.4)^2)</f>
        <v>0.43313727265166641</v>
      </c>
      <c r="W15" s="111">
        <f>Table112345791014[[#This Row],[M (KN.mm)]]/$G$15</f>
        <v>1</v>
      </c>
      <c r="X15" s="111">
        <f>Table112345791014[[#This Row],[V/(2*sqrt(fc) bd)]]</f>
        <v>0.43313727265166641</v>
      </c>
      <c r="Y15" s="111">
        <f>Table112345791014[[#This Row],[a (mm)]]</f>
        <v>5405.4</v>
      </c>
      <c r="Z15" s="111">
        <f>Table112345791014[[#This Row],[width]]*Table112345791014[[#This Row],[h (mm)]]^2</f>
        <v>1200000000</v>
      </c>
      <c r="AA15" s="111">
        <f>Table112345791014[[#This Row],[b (mm)]]</f>
        <v>300</v>
      </c>
      <c r="AB15" s="111">
        <f>Table112345791014[[#This Row],[a]]/Table112345791014[[#This Row],[h (mm)]]</f>
        <v>2.7026999999999997</v>
      </c>
      <c r="AC15" s="111">
        <f>Table112345791014[[#This Row],[h (mm)]]</f>
        <v>2000</v>
      </c>
      <c r="AD15" s="135">
        <f>2.86*Table112345791014[[#This Row],[d (mm)]]</f>
        <v>5405.4</v>
      </c>
      <c r="AE15" s="135">
        <v>1890</v>
      </c>
      <c r="AF15" s="135">
        <v>2000</v>
      </c>
      <c r="AG15" s="134">
        <v>300</v>
      </c>
      <c r="AH15" s="7">
        <v>31.8</v>
      </c>
      <c r="AI15" s="111">
        <f>Table112345791014[[#This Row],[pho (%)]]*Table112345791014[[#This Row],[b (mm)]]*Table112345791014[[#This Row],[h (mm)]]/100</f>
        <v>4440</v>
      </c>
      <c r="AJ15" s="135">
        <v>0.74</v>
      </c>
      <c r="AK15" s="111">
        <v>529</v>
      </c>
      <c r="AL15" s="111">
        <f>(1/3-0.21*(MIN(Table112345791014[[#This Row],[b (mm)]],AF15)/MAX(Table112345791014[[#This Row],[b (mm)]],AF15))*(MIN(Table112345791014[[#This Row],[b (mm)]],AF15)^4/(12*MAX(Table112345791014[[#This Row],[b (mm)]],AF15)^4)))*MAX(Table112345791014[[#This Row],[b (mm)]],AF15)*MIN(Table112345791014[[#This Row],[b (mm)]],AF15)^3</f>
        <v>17999928239.0625</v>
      </c>
      <c r="AM15" s="111">
        <f>Table112345791014[[#This Row],[b (mm)]]*AF15^3/12</f>
        <v>200000000000</v>
      </c>
      <c r="AN15" s="111">
        <f>Table112345791014[[#This Row],[a (mm)]]*2</f>
        <v>10810.8</v>
      </c>
      <c r="AP15"/>
      <c r="AQ15"/>
      <c r="AR15"/>
      <c r="AS15"/>
      <c r="AT15"/>
      <c r="AU15"/>
      <c r="AV15"/>
      <c r="AW15"/>
    </row>
    <row r="16" spans="1:49" x14ac:dyDescent="0.3">
      <c r="A16" s="323" t="s">
        <v>238</v>
      </c>
      <c r="B16" s="324">
        <v>15</v>
      </c>
      <c r="C16" s="323">
        <v>2</v>
      </c>
      <c r="D16" s="323">
        <v>2.81</v>
      </c>
      <c r="E16" s="323">
        <v>66</v>
      </c>
      <c r="F16" s="137">
        <f>Table112345791014[[#This Row],[d (mm)]]</f>
        <v>1921.7081850533807</v>
      </c>
      <c r="G16" s="111">
        <f t="shared" si="4"/>
        <v>356400</v>
      </c>
      <c r="H16" s="111">
        <f t="shared" si="5"/>
        <v>6.7662029120339413E-8</v>
      </c>
      <c r="I16" s="111">
        <f>G16/(Table112345791014[[#This Row],[b (mm)]]*Table112345791014[[#This Row],[h]]^2)</f>
        <v>2.9700000000000001E-4</v>
      </c>
      <c r="J16" s="111">
        <f t="shared" si="6"/>
        <v>0.1620020964360587</v>
      </c>
      <c r="K16" s="111">
        <f t="shared" si="7"/>
        <v>1.1677328932145524E-7</v>
      </c>
      <c r="L16" s="111">
        <f>E16/(Table112345791014[[#This Row],[b (mm)]]*AE16)</f>
        <v>1.1448148148148148E-4</v>
      </c>
      <c r="M16" s="111">
        <f>Table112345791014[[#This Row],[M (KN.mm)]]/(Table112345791014[[#This Row],[b (mm)]]*Table112345791014[[#This Row],[d (mm)]])</f>
        <v>0.61819999999999997</v>
      </c>
      <c r="N16" s="111">
        <f>Table112345791014[[#This Row],[M (KN.mm)]]/(Table112345791014[[#This Row],[b (mm)]]*Table112345791014[[#This Row],[h (mm)]])</f>
        <v>0.59399999999999997</v>
      </c>
      <c r="O16" s="111">
        <f>Table112345791014[[#This Row],[M (KN.mm)]]/(Table112345791014[[#This Row],[b (mm)]]*Table112345791014[[#This Row],[h (mm)]]*Table112345791014[[#This Row],[L(mm)]])</f>
        <v>5.5000000000000002E-5</v>
      </c>
      <c r="P16" s="111">
        <f>Table112345791014[[#This Row],[M (KN.mm)]]/(Table112345791014[[#This Row],[b (mm)]]*Table112345791014[[#This Row],[d (mm)]]*Table112345791014[[#This Row],[L(mm)]])</f>
        <v>5.7240740740740739E-5</v>
      </c>
      <c r="Q16" s="111">
        <f>Table112345791014[[#This Row],[M (KN.mm)]]/(Table112345791014[[#This Row],[b (mm)]]*Table112345791014[[#This Row],[h (mm)]]*Table112345791014[[#This Row],[L(mm)]]*Table112345791014[[#This Row],[fc (Mpa)]])</f>
        <v>1.9434628975265018E-6</v>
      </c>
      <c r="R16" s="111">
        <f>Table112345791014[[#This Row],[M (KN.mm)]]/(Table112345791014[[#This Row],[b (mm)]]*Table112345791014[[#This Row],[h (mm)]]*Table112345791014[[#This Row],[L(mm)]]/2)</f>
        <v>1.1E-4</v>
      </c>
      <c r="S16" s="111">
        <f>Table112345791014[[#This Row],[M (KN.mm)]]/(Table112345791014[[#This Row],[a (mm)]]*Table112345791014[[#This Row],[b (mm)]]*Table112345791014[[#This Row],[h (mm)]]*Table112345791014[[#This Row],[L(mm)]]/2)</f>
        <v>2.0370370370370369E-8</v>
      </c>
      <c r="T16" s="111">
        <f>Table112345791014[[#This Row],[M (KN.mm)]]/(Table112345791014[[#This Row],[a (mm)]]^2*Table112345791014[[#This Row],[b (mm)]]*Table112345791014[[#This Row],[h (mm)]])</f>
        <v>2.0370370370370369E-8</v>
      </c>
      <c r="U16" s="111">
        <f>Table112345791014[[#This Row],[M (KN.mm)]]/(Table112345791014[[#This Row],[b (mm)]]*Table112345791014[[#This Row],[d (mm)]]*Table112345791014[[#This Row],[pho (%)]])</f>
        <v>1.7172222222222224</v>
      </c>
      <c r="V16" s="111">
        <f>E16*224.8/(2*SQRT(Table112345791014[[#This Row],[fc (Mpa)]]*145.037)*Table112345791014[[#This Row],[b (mm)]]*Table112345791014[[#This Row],[d (mm)]]*(1/25.4)^2)</f>
        <v>0.12957951902145631</v>
      </c>
      <c r="W16" s="111">
        <f>Table112345791014[[#This Row],[M (KN.mm)]]/$G$21</f>
        <v>0.33</v>
      </c>
      <c r="X16" s="111">
        <f>Table112345791014[[#This Row],[V/(2*sqrt(fc) bd)]]</f>
        <v>0.12957951902145631</v>
      </c>
      <c r="Y16" s="111">
        <f>Table112345791014[[#This Row],[a (mm)]]</f>
        <v>5400</v>
      </c>
      <c r="Z16" s="111">
        <f>Table112345791014[[#This Row],[width]]*Table112345791014[[#This Row],[h (mm)]]^2</f>
        <v>1200000000</v>
      </c>
      <c r="AA16" s="111">
        <f>Table112345791014[[#This Row],[b (mm)]]</f>
        <v>300</v>
      </c>
      <c r="AB16" s="111">
        <f>Table112345791014[[#This Row],[a]]/Table112345791014[[#This Row],[h (mm)]]</f>
        <v>2.7</v>
      </c>
      <c r="AC16" s="111">
        <f>Table112345791014[[#This Row],[h (mm)]]</f>
        <v>2000</v>
      </c>
      <c r="AD16" s="135">
        <v>5400</v>
      </c>
      <c r="AE16" s="135">
        <f>Table112345791014[[#This Row],[a (mm)]]/2.81</f>
        <v>1921.7081850533807</v>
      </c>
      <c r="AF16" s="135">
        <v>2000</v>
      </c>
      <c r="AG16" s="134">
        <v>300</v>
      </c>
      <c r="AH16" s="7">
        <v>28.3</v>
      </c>
      <c r="AI16" s="111">
        <f>Table112345791014[[#This Row],[pho (%)]]*Table112345791014[[#This Row],[b (mm)]]*Table112345791014[[#This Row],[h (mm)]]/100</f>
        <v>2160</v>
      </c>
      <c r="AJ16" s="135">
        <v>0.36</v>
      </c>
      <c r="AK16" s="111">
        <v>530</v>
      </c>
      <c r="AL16" s="111">
        <f>(1/3-0.21*(MIN(Table112345791014[[#This Row],[b (mm)]],AF16)/MAX(Table112345791014[[#This Row],[b (mm)]],AF16))*(MIN(Table112345791014[[#This Row],[b (mm)]],AF16)^4/(12*MAX(Table112345791014[[#This Row],[b (mm)]],AF16)^4)))*MAX(Table112345791014[[#This Row],[b (mm)]],AF16)*MIN(Table112345791014[[#This Row],[b (mm)]],AF16)^3</f>
        <v>17999928239.0625</v>
      </c>
      <c r="AM16" s="111">
        <f>Table112345791014[[#This Row],[b (mm)]]*AF16^3/12</f>
        <v>200000000000</v>
      </c>
      <c r="AN16" s="111">
        <f>Table112345791014[[#This Row],[a (mm)]]*2</f>
        <v>10800</v>
      </c>
      <c r="AP16"/>
      <c r="AQ16"/>
      <c r="AR16"/>
      <c r="AS16"/>
      <c r="AT16"/>
      <c r="AU16"/>
      <c r="AV16"/>
      <c r="AW16"/>
    </row>
    <row r="17" spans="1:49" x14ac:dyDescent="0.3">
      <c r="A17" s="323" t="s">
        <v>238</v>
      </c>
      <c r="B17" s="324">
        <v>16</v>
      </c>
      <c r="C17" s="323">
        <v>3</v>
      </c>
      <c r="D17" s="323">
        <v>2.81</v>
      </c>
      <c r="E17" s="323">
        <v>110</v>
      </c>
      <c r="F17" s="137">
        <f>Table112345791014[[#This Row],[d (mm)]]</f>
        <v>1921.7081850533807</v>
      </c>
      <c r="G17" s="111">
        <f t="shared" si="4"/>
        <v>594000</v>
      </c>
      <c r="H17" s="111">
        <f t="shared" si="5"/>
        <v>1.1277004853389903E-7</v>
      </c>
      <c r="I17" s="111">
        <f>G17/(Table112345791014[[#This Row],[b (mm)]]*Table112345791014[[#This Row],[h]]^2)</f>
        <v>4.95E-4</v>
      </c>
      <c r="J17" s="111">
        <f t="shared" si="6"/>
        <v>0.26949501290367583</v>
      </c>
      <c r="K17" s="111">
        <f t="shared" si="7"/>
        <v>1.9462214886909206E-7</v>
      </c>
      <c r="L17" s="111">
        <f>E17/(Table112345791014[[#This Row],[b (mm)]]*AE17)</f>
        <v>1.9080246913580245E-4</v>
      </c>
      <c r="M17" s="111">
        <f>Table112345791014[[#This Row],[M (KN.mm)]]/(Table112345791014[[#This Row],[b (mm)]]*Table112345791014[[#This Row],[d (mm)]])</f>
        <v>1.0303333333333333</v>
      </c>
      <c r="N17" s="111">
        <f>Table112345791014[[#This Row],[M (KN.mm)]]/(Table112345791014[[#This Row],[b (mm)]]*Table112345791014[[#This Row],[h (mm)]])</f>
        <v>0.99</v>
      </c>
      <c r="O17" s="111">
        <f>Table112345791014[[#This Row],[M (KN.mm)]]/(Table112345791014[[#This Row],[b (mm)]]*Table112345791014[[#This Row],[h (mm)]]*Table112345791014[[#This Row],[L(mm)]])</f>
        <v>9.1666666666666668E-5</v>
      </c>
      <c r="P17" s="111">
        <f>Table112345791014[[#This Row],[M (KN.mm)]]/(Table112345791014[[#This Row],[b (mm)]]*Table112345791014[[#This Row],[d (mm)]]*Table112345791014[[#This Row],[L(mm)]])</f>
        <v>9.5401234567901226E-5</v>
      </c>
      <c r="Q17" s="111">
        <f>Table112345791014[[#This Row],[M (KN.mm)]]/(Table112345791014[[#This Row],[b (mm)]]*Table112345791014[[#This Row],[h (mm)]]*Table112345791014[[#This Row],[L(mm)]]*Table112345791014[[#This Row],[fc (Mpa)]])</f>
        <v>3.2391048292108363E-6</v>
      </c>
      <c r="R17" s="111">
        <f>Table112345791014[[#This Row],[M (KN.mm)]]/(Table112345791014[[#This Row],[b (mm)]]*Table112345791014[[#This Row],[h (mm)]]*Table112345791014[[#This Row],[L(mm)]]/2)</f>
        <v>1.8333333333333334E-4</v>
      </c>
      <c r="S17" s="111">
        <f>Table112345791014[[#This Row],[M (KN.mm)]]/(Table112345791014[[#This Row],[a (mm)]]*Table112345791014[[#This Row],[b (mm)]]*Table112345791014[[#This Row],[h (mm)]]*Table112345791014[[#This Row],[L(mm)]]/2)</f>
        <v>3.3950617283950614E-8</v>
      </c>
      <c r="T17" s="111">
        <f>Table112345791014[[#This Row],[M (KN.mm)]]/(Table112345791014[[#This Row],[a (mm)]]^2*Table112345791014[[#This Row],[b (mm)]]*Table112345791014[[#This Row],[h (mm)]])</f>
        <v>3.3950617283950614E-8</v>
      </c>
      <c r="U17" s="111">
        <f>Table112345791014[[#This Row],[M (KN.mm)]]/(Table112345791014[[#This Row],[b (mm)]]*Table112345791014[[#This Row],[d (mm)]]*Table112345791014[[#This Row],[pho (%)]])</f>
        <v>2.8620370370370374</v>
      </c>
      <c r="V17" s="111">
        <f>E17*224.8/(2*SQRT(Table112345791014[[#This Row],[fc (Mpa)]]*145.037)*Table112345791014[[#This Row],[b (mm)]]*Table112345791014[[#This Row],[d (mm)]]*(1/25.4)^2)</f>
        <v>0.21596586503576051</v>
      </c>
      <c r="W17" s="111">
        <f>Table112345791014[[#This Row],[M (KN.mm)]]/$G$21</f>
        <v>0.55000000000000004</v>
      </c>
      <c r="X17" s="111">
        <f>Table112345791014[[#This Row],[V/(2*sqrt(fc) bd)]]</f>
        <v>0.21596586503576051</v>
      </c>
      <c r="Y17" s="111">
        <f>Table112345791014[[#This Row],[a (mm)]]</f>
        <v>5400</v>
      </c>
      <c r="Z17" s="111">
        <f>Table112345791014[[#This Row],[width]]*Table112345791014[[#This Row],[h (mm)]]^2</f>
        <v>1200000000</v>
      </c>
      <c r="AA17" s="111">
        <f>Table112345791014[[#This Row],[b (mm)]]</f>
        <v>300</v>
      </c>
      <c r="AB17" s="111">
        <f>Table112345791014[[#This Row],[a]]/Table112345791014[[#This Row],[h (mm)]]</f>
        <v>2.7</v>
      </c>
      <c r="AC17" s="111">
        <f>Table112345791014[[#This Row],[h (mm)]]</f>
        <v>2000</v>
      </c>
      <c r="AD17" s="135">
        <v>5400</v>
      </c>
      <c r="AE17" s="135">
        <f>Table112345791014[[#This Row],[a (mm)]]/2.81</f>
        <v>1921.7081850533807</v>
      </c>
      <c r="AF17" s="135">
        <v>2000</v>
      </c>
      <c r="AG17" s="134">
        <v>300</v>
      </c>
      <c r="AH17" s="7">
        <v>28.3</v>
      </c>
      <c r="AI17" s="111">
        <f>Table112345791014[[#This Row],[pho (%)]]*Table112345791014[[#This Row],[b (mm)]]*Table112345791014[[#This Row],[h (mm)]]/100</f>
        <v>2160</v>
      </c>
      <c r="AJ17" s="135">
        <v>0.36</v>
      </c>
      <c r="AK17" s="111">
        <v>531</v>
      </c>
      <c r="AL17" s="111">
        <f>(1/3-0.21*(MIN(Table112345791014[[#This Row],[b (mm)]],AF17)/MAX(Table112345791014[[#This Row],[b (mm)]],AF17))*(MIN(Table112345791014[[#This Row],[b (mm)]],AF17)^4/(12*MAX(Table112345791014[[#This Row],[b (mm)]],AF17)^4)))*MAX(Table112345791014[[#This Row],[b (mm)]],AF17)*MIN(Table112345791014[[#This Row],[b (mm)]],AF17)^3</f>
        <v>17999928239.0625</v>
      </c>
      <c r="AM17" s="111">
        <f>Table112345791014[[#This Row],[b (mm)]]*AF17^3/12</f>
        <v>200000000000</v>
      </c>
      <c r="AN17" s="111">
        <f>Table112345791014[[#This Row],[a (mm)]]*2</f>
        <v>10800</v>
      </c>
      <c r="AP17"/>
      <c r="AQ17"/>
      <c r="AR17"/>
      <c r="AS17"/>
      <c r="AT17"/>
      <c r="AU17"/>
      <c r="AV17"/>
      <c r="AW17"/>
    </row>
    <row r="18" spans="1:49" s="129" customFormat="1" x14ac:dyDescent="0.3">
      <c r="A18" s="323" t="s">
        <v>238</v>
      </c>
      <c r="B18" s="324">
        <v>17</v>
      </c>
      <c r="C18" s="323">
        <v>4</v>
      </c>
      <c r="D18" s="323">
        <v>2.81</v>
      </c>
      <c r="E18" s="323">
        <v>140</v>
      </c>
      <c r="F18" s="137">
        <f>Table112345791014[[#This Row],[d (mm)]]</f>
        <v>1921.7081850533807</v>
      </c>
      <c r="G18" s="111">
        <f t="shared" si="4"/>
        <v>756000</v>
      </c>
      <c r="H18" s="111">
        <f t="shared" si="5"/>
        <v>1.4352551631587148E-7</v>
      </c>
      <c r="I18" s="111">
        <f>G18/(Table112345791014[[#This Row],[b (mm)]]*Table112345791014[[#This Row],[h]]^2)</f>
        <v>6.3000000000000003E-4</v>
      </c>
      <c r="J18" s="111">
        <f t="shared" si="6"/>
        <v>0.34234892787524368</v>
      </c>
      <c r="K18" s="111">
        <f t="shared" si="7"/>
        <v>2.4770091674248083E-7</v>
      </c>
      <c r="L18" s="111">
        <f>E18/(Table112345791014[[#This Row],[b (mm)]]*AE18)</f>
        <v>2.4283950617283949E-4</v>
      </c>
      <c r="M18" s="111">
        <f>Table112345791014[[#This Row],[M (KN.mm)]]/(Table112345791014[[#This Row],[b (mm)]]*Table112345791014[[#This Row],[d (mm)]])</f>
        <v>1.3113333333333332</v>
      </c>
      <c r="N18" s="111">
        <f>Table112345791014[[#This Row],[M (KN.mm)]]/(Table112345791014[[#This Row],[b (mm)]]*Table112345791014[[#This Row],[h (mm)]])</f>
        <v>1.26</v>
      </c>
      <c r="O18" s="111">
        <f>Table112345791014[[#This Row],[M (KN.mm)]]/(Table112345791014[[#This Row],[b (mm)]]*Table112345791014[[#This Row],[h (mm)]]*Table112345791014[[#This Row],[L(mm)]])</f>
        <v>1.1666666666666667E-4</v>
      </c>
      <c r="P18" s="111">
        <f>Table112345791014[[#This Row],[M (KN.mm)]]/(Table112345791014[[#This Row],[b (mm)]]*Table112345791014[[#This Row],[d (mm)]]*Table112345791014[[#This Row],[L(mm)]])</f>
        <v>1.2141975308641975E-4</v>
      </c>
      <c r="Q18" s="111">
        <f>Table112345791014[[#This Row],[M (KN.mm)]]/(Table112345791014[[#This Row],[b (mm)]]*Table112345791014[[#This Row],[h (mm)]]*Table112345791014[[#This Row],[L(mm)]]*Table112345791014[[#This Row],[fc (Mpa)]])</f>
        <v>4.1224970553592461E-6</v>
      </c>
      <c r="R18" s="111">
        <f>Table112345791014[[#This Row],[M (KN.mm)]]/(Table112345791014[[#This Row],[b (mm)]]*Table112345791014[[#This Row],[h (mm)]]*Table112345791014[[#This Row],[L(mm)]]/2)</f>
        <v>2.3333333333333333E-4</v>
      </c>
      <c r="S18" s="111">
        <f>Table112345791014[[#This Row],[M (KN.mm)]]/(Table112345791014[[#This Row],[a (mm)]]*Table112345791014[[#This Row],[b (mm)]]*Table112345791014[[#This Row],[h (mm)]]*Table112345791014[[#This Row],[L(mm)]]/2)</f>
        <v>4.3209876543209874E-8</v>
      </c>
      <c r="T18" s="111">
        <f>Table112345791014[[#This Row],[M (KN.mm)]]/(Table112345791014[[#This Row],[a (mm)]]^2*Table112345791014[[#This Row],[b (mm)]]*Table112345791014[[#This Row],[h (mm)]])</f>
        <v>4.3209876543209874E-8</v>
      </c>
      <c r="U18" s="111">
        <f>Table112345791014[[#This Row],[M (KN.mm)]]/(Table112345791014[[#This Row],[b (mm)]]*Table112345791014[[#This Row],[d (mm)]]*Table112345791014[[#This Row],[pho (%)]])</f>
        <v>3.6425925925925928</v>
      </c>
      <c r="V18" s="111">
        <f>E18*224.8/(2*SQRT(Table112345791014[[#This Row],[fc (Mpa)]]*145.037)*Table112345791014[[#This Row],[b (mm)]]*Table112345791014[[#This Row],[d (mm)]]*(1/25.4)^2)</f>
        <v>0.27486564640914973</v>
      </c>
      <c r="W18" s="111">
        <f>Table112345791014[[#This Row],[M (KN.mm)]]/$G$21</f>
        <v>0.7</v>
      </c>
      <c r="X18" s="111">
        <f>Table112345791014[[#This Row],[V/(2*sqrt(fc) bd)]]</f>
        <v>0.27486564640914973</v>
      </c>
      <c r="Y18" s="111">
        <f>Table112345791014[[#This Row],[a (mm)]]</f>
        <v>5400</v>
      </c>
      <c r="Z18" s="111">
        <f>Table112345791014[[#This Row],[width]]*Table112345791014[[#This Row],[h (mm)]]^2</f>
        <v>1200000000</v>
      </c>
      <c r="AA18" s="111">
        <f>Table112345791014[[#This Row],[b (mm)]]</f>
        <v>300</v>
      </c>
      <c r="AB18" s="111">
        <f>Table112345791014[[#This Row],[a]]/Table112345791014[[#This Row],[h (mm)]]</f>
        <v>2.7</v>
      </c>
      <c r="AC18" s="111">
        <f>Table112345791014[[#This Row],[h (mm)]]</f>
        <v>2000</v>
      </c>
      <c r="AD18" s="135">
        <v>5400</v>
      </c>
      <c r="AE18" s="135">
        <f>Table112345791014[[#This Row],[a (mm)]]/2.81</f>
        <v>1921.7081850533807</v>
      </c>
      <c r="AF18" s="135">
        <v>2000</v>
      </c>
      <c r="AG18" s="134">
        <v>300</v>
      </c>
      <c r="AH18" s="7">
        <v>28.3</v>
      </c>
      <c r="AI18" s="111">
        <f>Table112345791014[[#This Row],[pho (%)]]*Table112345791014[[#This Row],[b (mm)]]*Table112345791014[[#This Row],[h (mm)]]/100</f>
        <v>2160</v>
      </c>
      <c r="AJ18" s="135">
        <v>0.36</v>
      </c>
      <c r="AK18" s="111">
        <v>532</v>
      </c>
      <c r="AL18" s="111">
        <f>(1/3-0.21*(MIN(Table112345791014[[#This Row],[b (mm)]],AF18)/MAX(Table112345791014[[#This Row],[b (mm)]],AF18))*(MIN(Table112345791014[[#This Row],[b (mm)]],AF18)^4/(12*MAX(Table112345791014[[#This Row],[b (mm)]],AF18)^4)))*MAX(Table112345791014[[#This Row],[b (mm)]],AF18)*MIN(Table112345791014[[#This Row],[b (mm)]],AF18)^3</f>
        <v>17999928239.0625</v>
      </c>
      <c r="AM18" s="111">
        <f>Table112345791014[[#This Row],[b (mm)]]*AF18^3/12</f>
        <v>200000000000</v>
      </c>
      <c r="AN18" s="111">
        <f>Table112345791014[[#This Row],[a (mm)]]*2</f>
        <v>10800</v>
      </c>
      <c r="AO18"/>
      <c r="AP18"/>
      <c r="AQ18"/>
      <c r="AR18"/>
      <c r="AS18"/>
      <c r="AT18"/>
      <c r="AU18"/>
      <c r="AV18"/>
      <c r="AW18"/>
    </row>
    <row r="19" spans="1:49" s="129" customFormat="1" x14ac:dyDescent="0.3">
      <c r="A19" s="323" t="s">
        <v>238</v>
      </c>
      <c r="B19" s="324">
        <v>18</v>
      </c>
      <c r="C19" s="323">
        <v>4</v>
      </c>
      <c r="D19" s="323">
        <v>2.81</v>
      </c>
      <c r="E19" s="323">
        <v>163</v>
      </c>
      <c r="F19" s="137">
        <f>Table112345791014[[#This Row],[d (mm)]]</f>
        <v>1921.7081850533807</v>
      </c>
      <c r="G19" s="111">
        <f t="shared" si="4"/>
        <v>880200</v>
      </c>
      <c r="H19" s="111">
        <f t="shared" si="5"/>
        <v>1.6710470828205036E-7</v>
      </c>
      <c r="I19" s="111">
        <f>G19/(Table112345791014[[#This Row],[b (mm)]]*Table112345791014[[#This Row],[h]]^2)</f>
        <v>7.3349999999999999E-4</v>
      </c>
      <c r="J19" s="111">
        <f t="shared" si="6"/>
        <v>0.39784413869779728</v>
      </c>
      <c r="K19" s="111">
        <f t="shared" si="7"/>
        <v>2.8839463877874551E-7</v>
      </c>
      <c r="L19" s="111">
        <f>E19/(Table112345791014[[#This Row],[b (mm)]]*AE19)</f>
        <v>2.8273456790123454E-4</v>
      </c>
      <c r="M19" s="111">
        <f>Table112345791014[[#This Row],[M (KN.mm)]]/(Table112345791014[[#This Row],[b (mm)]]*Table112345791014[[#This Row],[d (mm)]])</f>
        <v>1.5267666666666666</v>
      </c>
      <c r="N19" s="111">
        <f>Table112345791014[[#This Row],[M (KN.mm)]]/(Table112345791014[[#This Row],[b (mm)]]*Table112345791014[[#This Row],[h (mm)]])</f>
        <v>1.4670000000000001</v>
      </c>
      <c r="O19" s="111">
        <f>Table112345791014[[#This Row],[M (KN.mm)]]/(Table112345791014[[#This Row],[b (mm)]]*Table112345791014[[#This Row],[h (mm)]]*Table112345791014[[#This Row],[L(mm)]])</f>
        <v>1.3583333333333335E-4</v>
      </c>
      <c r="P19" s="111">
        <f>Table112345791014[[#This Row],[M (KN.mm)]]/(Table112345791014[[#This Row],[b (mm)]]*Table112345791014[[#This Row],[d (mm)]]*Table112345791014[[#This Row],[L(mm)]])</f>
        <v>1.4136728395061727E-4</v>
      </c>
      <c r="Q19" s="111">
        <f>Table112345791014[[#This Row],[M (KN.mm)]]/(Table112345791014[[#This Row],[b (mm)]]*Table112345791014[[#This Row],[h (mm)]]*Table112345791014[[#This Row],[L(mm)]]*Table112345791014[[#This Row],[fc (Mpa)]])</f>
        <v>4.7997644287396939E-6</v>
      </c>
      <c r="R19" s="111">
        <f>Table112345791014[[#This Row],[M (KN.mm)]]/(Table112345791014[[#This Row],[b (mm)]]*Table112345791014[[#This Row],[h (mm)]]*Table112345791014[[#This Row],[L(mm)]]/2)</f>
        <v>2.7166666666666669E-4</v>
      </c>
      <c r="S19" s="111">
        <f>Table112345791014[[#This Row],[M (KN.mm)]]/(Table112345791014[[#This Row],[a (mm)]]*Table112345791014[[#This Row],[b (mm)]]*Table112345791014[[#This Row],[h (mm)]]*Table112345791014[[#This Row],[L(mm)]]/2)</f>
        <v>5.0308641975308641E-8</v>
      </c>
      <c r="T19" s="111">
        <f>Table112345791014[[#This Row],[M (KN.mm)]]/(Table112345791014[[#This Row],[a (mm)]]^2*Table112345791014[[#This Row],[b (mm)]]*Table112345791014[[#This Row],[h (mm)]])</f>
        <v>5.0308641975308641E-8</v>
      </c>
      <c r="U19" s="111">
        <f>Table112345791014[[#This Row],[M (KN.mm)]]/(Table112345791014[[#This Row],[b (mm)]]*Table112345791014[[#This Row],[d (mm)]]*Table112345791014[[#This Row],[pho (%)]])</f>
        <v>4.2410185185185192</v>
      </c>
      <c r="V19" s="111">
        <f>E19*224.8/(2*SQRT(Table112345791014[[#This Row],[fc (Mpa)]]*145.037)*Table112345791014[[#This Row],[b (mm)]]*Table112345791014[[#This Row],[d (mm)]]*(1/25.4)^2)</f>
        <v>0.32002214546208152</v>
      </c>
      <c r="W19" s="111">
        <f>Table112345791014[[#This Row],[M (KN.mm)]]/$G$21</f>
        <v>0.81499999999999995</v>
      </c>
      <c r="X19" s="111">
        <f>Table112345791014[[#This Row],[V/(2*sqrt(fc) bd)]]</f>
        <v>0.32002214546208152</v>
      </c>
      <c r="Y19" s="111">
        <f>Table112345791014[[#This Row],[a (mm)]]</f>
        <v>5400</v>
      </c>
      <c r="Z19" s="111">
        <f>Table112345791014[[#This Row],[width]]*Table112345791014[[#This Row],[h (mm)]]^2</f>
        <v>1200000000</v>
      </c>
      <c r="AA19" s="111">
        <f>Table112345791014[[#This Row],[b (mm)]]</f>
        <v>300</v>
      </c>
      <c r="AB19" s="111">
        <f>Table112345791014[[#This Row],[a]]/Table112345791014[[#This Row],[h (mm)]]</f>
        <v>2.7</v>
      </c>
      <c r="AC19" s="111">
        <f>Table112345791014[[#This Row],[h (mm)]]</f>
        <v>2000</v>
      </c>
      <c r="AD19" s="135">
        <v>5400</v>
      </c>
      <c r="AE19" s="135">
        <f>Table112345791014[[#This Row],[a (mm)]]/2.81</f>
        <v>1921.7081850533807</v>
      </c>
      <c r="AF19" s="135">
        <v>2000</v>
      </c>
      <c r="AG19" s="134">
        <v>300</v>
      </c>
      <c r="AH19" s="7">
        <v>28.3</v>
      </c>
      <c r="AI19" s="111">
        <f>Table112345791014[[#This Row],[pho (%)]]*Table112345791014[[#This Row],[b (mm)]]*Table112345791014[[#This Row],[h (mm)]]/100</f>
        <v>2160</v>
      </c>
      <c r="AJ19" s="135">
        <v>0.36</v>
      </c>
      <c r="AK19" s="111">
        <v>533</v>
      </c>
      <c r="AL19" s="111">
        <f>(1/3-0.21*(MIN(Table112345791014[[#This Row],[b (mm)]],AF19)/MAX(Table112345791014[[#This Row],[b (mm)]],AF19))*(MIN(Table112345791014[[#This Row],[b (mm)]],AF19)^4/(12*MAX(Table112345791014[[#This Row],[b (mm)]],AF19)^4)))*MAX(Table112345791014[[#This Row],[b (mm)]],AF19)*MIN(Table112345791014[[#This Row],[b (mm)]],AF19)^3</f>
        <v>17999928239.0625</v>
      </c>
      <c r="AM19" s="111">
        <f>Table112345791014[[#This Row],[b (mm)]]*AF19^3/12</f>
        <v>200000000000</v>
      </c>
      <c r="AN19" s="111">
        <f>Table112345791014[[#This Row],[a (mm)]]*2</f>
        <v>10800</v>
      </c>
      <c r="AO19"/>
      <c r="AP19"/>
      <c r="AQ19"/>
      <c r="AR19"/>
      <c r="AS19"/>
      <c r="AT19"/>
      <c r="AU19"/>
      <c r="AV19"/>
      <c r="AW19"/>
    </row>
    <row r="20" spans="1:49" s="129" customFormat="1" x14ac:dyDescent="0.3">
      <c r="A20" s="323" t="s">
        <v>238</v>
      </c>
      <c r="B20" s="324">
        <v>19</v>
      </c>
      <c r="C20" s="323">
        <v>5</v>
      </c>
      <c r="D20" s="323">
        <v>2.81</v>
      </c>
      <c r="E20" s="323">
        <v>188</v>
      </c>
      <c r="F20" s="137">
        <f>Table112345791014[[#This Row],[d (mm)]]</f>
        <v>1921.7081850533807</v>
      </c>
      <c r="G20" s="111">
        <f t="shared" si="4"/>
        <v>1015200</v>
      </c>
      <c r="H20" s="111">
        <f t="shared" si="5"/>
        <v>1.9273426476702742E-7</v>
      </c>
      <c r="I20" s="111">
        <f>G20/(Table112345791014[[#This Row],[b (mm)]]*Table112345791014[[#This Row],[h]]^2)</f>
        <v>8.4599999999999996E-4</v>
      </c>
      <c r="J20" s="111">
        <f t="shared" si="6"/>
        <v>0.45800388403384656</v>
      </c>
      <c r="K20" s="111">
        <f t="shared" si="7"/>
        <v>3.326269453399028E-7</v>
      </c>
      <c r="L20" s="111">
        <f>E20/(Table112345791014[[#This Row],[b (mm)]]*AE20)</f>
        <v>3.2609876543209876E-4</v>
      </c>
      <c r="M20" s="111">
        <f>Table112345791014[[#This Row],[M (KN.mm)]]/(Table112345791014[[#This Row],[b (mm)]]*Table112345791014[[#This Row],[d (mm)]])</f>
        <v>1.7609333333333332</v>
      </c>
      <c r="N20" s="111">
        <f>Table112345791014[[#This Row],[M (KN.mm)]]/(Table112345791014[[#This Row],[b (mm)]]*Table112345791014[[#This Row],[h (mm)]])</f>
        <v>1.6919999999999999</v>
      </c>
      <c r="O20" s="111">
        <f>Table112345791014[[#This Row],[M (KN.mm)]]/(Table112345791014[[#This Row],[b (mm)]]*Table112345791014[[#This Row],[h (mm)]]*Table112345791014[[#This Row],[L(mm)]])</f>
        <v>1.5666666666666666E-4</v>
      </c>
      <c r="P20" s="111">
        <f>Table112345791014[[#This Row],[M (KN.mm)]]/(Table112345791014[[#This Row],[b (mm)]]*Table112345791014[[#This Row],[d (mm)]]*Table112345791014[[#This Row],[L(mm)]])</f>
        <v>1.6304938271604938E-4</v>
      </c>
      <c r="Q20" s="111">
        <f>Table112345791014[[#This Row],[M (KN.mm)]]/(Table112345791014[[#This Row],[b (mm)]]*Table112345791014[[#This Row],[h (mm)]]*Table112345791014[[#This Row],[L(mm)]]*Table112345791014[[#This Row],[fc (Mpa)]])</f>
        <v>5.5359246171967019E-6</v>
      </c>
      <c r="R20" s="111">
        <f>Table112345791014[[#This Row],[M (KN.mm)]]/(Table112345791014[[#This Row],[b (mm)]]*Table112345791014[[#This Row],[h (mm)]]*Table112345791014[[#This Row],[L(mm)]]/2)</f>
        <v>3.1333333333333332E-4</v>
      </c>
      <c r="S20" s="111">
        <f>Table112345791014[[#This Row],[M (KN.mm)]]/(Table112345791014[[#This Row],[a (mm)]]*Table112345791014[[#This Row],[b (mm)]]*Table112345791014[[#This Row],[h (mm)]]*Table112345791014[[#This Row],[L(mm)]]/2)</f>
        <v>5.8024691358024689E-8</v>
      </c>
      <c r="T20" s="111">
        <f>Table112345791014[[#This Row],[M (KN.mm)]]/(Table112345791014[[#This Row],[a (mm)]]^2*Table112345791014[[#This Row],[b (mm)]]*Table112345791014[[#This Row],[h (mm)]])</f>
        <v>5.8024691358024689E-8</v>
      </c>
      <c r="U20" s="111">
        <f>Table112345791014[[#This Row],[M (KN.mm)]]/(Table112345791014[[#This Row],[b (mm)]]*Table112345791014[[#This Row],[d (mm)]]*Table112345791014[[#This Row],[pho (%)]])</f>
        <v>4.891481481481482</v>
      </c>
      <c r="V20" s="111">
        <f>E20*224.8/(2*SQRT(Table112345791014[[#This Row],[fc (Mpa)]]*145.037)*Table112345791014[[#This Row],[b (mm)]]*Table112345791014[[#This Row],[d (mm)]]*(1/25.4)^2)</f>
        <v>0.36910529660657254</v>
      </c>
      <c r="W20" s="111">
        <f>Table112345791014[[#This Row],[M (KN.mm)]]/$G$21</f>
        <v>0.94</v>
      </c>
      <c r="X20" s="111">
        <f>Table112345791014[[#This Row],[V/(2*sqrt(fc) bd)]]</f>
        <v>0.36910529660657254</v>
      </c>
      <c r="Y20" s="111">
        <f>Table112345791014[[#This Row],[a (mm)]]</f>
        <v>5400</v>
      </c>
      <c r="Z20" s="111">
        <f>Table112345791014[[#This Row],[width]]*Table112345791014[[#This Row],[h (mm)]]^2</f>
        <v>1200000000</v>
      </c>
      <c r="AA20" s="111">
        <f>Table112345791014[[#This Row],[b (mm)]]</f>
        <v>300</v>
      </c>
      <c r="AB20" s="148">
        <f>Table112345791014[[#This Row],[a]]/Table112345791014[[#This Row],[h (mm)]]</f>
        <v>2.7</v>
      </c>
      <c r="AC20" s="148">
        <f>Table112345791014[[#This Row],[h (mm)]]</f>
        <v>2000</v>
      </c>
      <c r="AD20">
        <v>5400</v>
      </c>
      <c r="AE20">
        <f>Table112345791014[[#This Row],[a (mm)]]/2.81</f>
        <v>1921.7081850533807</v>
      </c>
      <c r="AF20">
        <v>2000</v>
      </c>
      <c r="AG20">
        <v>300</v>
      </c>
      <c r="AH20" s="7">
        <v>28.3</v>
      </c>
      <c r="AI20" s="111">
        <f>Table112345791014[[#This Row],[pho (%)]]*Table112345791014[[#This Row],[b (mm)]]*Table112345791014[[#This Row],[h (mm)]]/100</f>
        <v>2160</v>
      </c>
      <c r="AJ20" s="135">
        <v>0.36</v>
      </c>
      <c r="AK20" s="111">
        <v>534</v>
      </c>
      <c r="AL20" s="111">
        <f>(1/3-0.21*(MIN(Table112345791014[[#This Row],[b (mm)]],AF20)/MAX(Table112345791014[[#This Row],[b (mm)]],AF20))*(MIN(Table112345791014[[#This Row],[b (mm)]],AF20)^4/(12*MAX(Table112345791014[[#This Row],[b (mm)]],AF20)^4)))*MAX(Table112345791014[[#This Row],[b (mm)]],AF20)*MIN(Table112345791014[[#This Row],[b (mm)]],AF20)^3</f>
        <v>17999928239.0625</v>
      </c>
      <c r="AM20" s="111">
        <f>Table112345791014[[#This Row],[b (mm)]]*AF20^3/12</f>
        <v>200000000000</v>
      </c>
      <c r="AN20" s="111">
        <f>Table112345791014[[#This Row],[a (mm)]]*2</f>
        <v>10800</v>
      </c>
      <c r="AO20"/>
      <c r="AP20"/>
      <c r="AQ20"/>
      <c r="AR20"/>
      <c r="AS20"/>
      <c r="AT20"/>
      <c r="AU20"/>
      <c r="AV20"/>
      <c r="AW20"/>
    </row>
    <row r="21" spans="1:49" s="129" customFormat="1" x14ac:dyDescent="0.3">
      <c r="A21" s="323" t="s">
        <v>238</v>
      </c>
      <c r="B21" s="324">
        <v>20</v>
      </c>
      <c r="C21" s="323">
        <v>6</v>
      </c>
      <c r="D21" s="323">
        <v>2.81</v>
      </c>
      <c r="E21" s="323">
        <v>200</v>
      </c>
      <c r="F21" s="137">
        <f>Table112345791014[[#This Row],[d (mm)]]</f>
        <v>1921.7081850533807</v>
      </c>
      <c r="G21" s="111">
        <f t="shared" si="4"/>
        <v>1080000</v>
      </c>
      <c r="H21" s="111">
        <f t="shared" si="5"/>
        <v>2.0503645187981641E-7</v>
      </c>
      <c r="I21" s="111">
        <f>G21/(Table112345791014[[#This Row],[b (mm)]]*Table112345791014[[#This Row],[h]]^2)</f>
        <v>8.9999999999999998E-4</v>
      </c>
      <c r="J21" s="111">
        <f t="shared" si="6"/>
        <v>0.48632744894427132</v>
      </c>
      <c r="K21" s="111">
        <f t="shared" si="7"/>
        <v>3.5385845248925832E-7</v>
      </c>
      <c r="L21" s="111">
        <f>E21/(Table112345791014[[#This Row],[b (mm)]]*AE21)</f>
        <v>3.4691358024691358E-4</v>
      </c>
      <c r="M21" s="111">
        <f>Table112345791014[[#This Row],[M (KN.mm)]]/(Table112345791014[[#This Row],[b (mm)]]*Table112345791014[[#This Row],[d (mm)]])</f>
        <v>1.8733333333333333</v>
      </c>
      <c r="N21" s="111">
        <f>Table112345791014[[#This Row],[M (KN.mm)]]/(Table112345791014[[#This Row],[b (mm)]]*Table112345791014[[#This Row],[h (mm)]])</f>
        <v>1.8</v>
      </c>
      <c r="O21" s="111">
        <f>Table112345791014[[#This Row],[M (KN.mm)]]/(Table112345791014[[#This Row],[b (mm)]]*Table112345791014[[#This Row],[h (mm)]]*Table112345791014[[#This Row],[L(mm)]])</f>
        <v>1.6666666666666666E-4</v>
      </c>
      <c r="P21" s="111">
        <f>Table112345791014[[#This Row],[M (KN.mm)]]/(Table112345791014[[#This Row],[b (mm)]]*Table112345791014[[#This Row],[d (mm)]]*Table112345791014[[#This Row],[L(mm)]])</f>
        <v>1.7345679012345679E-4</v>
      </c>
      <c r="Q21" s="111">
        <f>Table112345791014[[#This Row],[M (KN.mm)]]/(Table112345791014[[#This Row],[b (mm)]]*Table112345791014[[#This Row],[h (mm)]]*Table112345791014[[#This Row],[L(mm)]]*Table112345791014[[#This Row],[fc (Mpa)]])</f>
        <v>5.8892815076560656E-6</v>
      </c>
      <c r="R21" s="111">
        <f>Table112345791014[[#This Row],[M (KN.mm)]]/(Table112345791014[[#This Row],[b (mm)]]*Table112345791014[[#This Row],[h (mm)]]*Table112345791014[[#This Row],[L(mm)]]/2)</f>
        <v>3.3333333333333332E-4</v>
      </c>
      <c r="S21" s="111">
        <f>Table112345791014[[#This Row],[M (KN.mm)]]/(Table112345791014[[#This Row],[a (mm)]]*Table112345791014[[#This Row],[b (mm)]]*Table112345791014[[#This Row],[h (mm)]]*Table112345791014[[#This Row],[L(mm)]]/2)</f>
        <v>6.1728395061728398E-8</v>
      </c>
      <c r="T21" s="111">
        <f>Table112345791014[[#This Row],[M (KN.mm)]]/(Table112345791014[[#This Row],[a (mm)]]^2*Table112345791014[[#This Row],[b (mm)]]*Table112345791014[[#This Row],[h (mm)]])</f>
        <v>6.1728395061728398E-8</v>
      </c>
      <c r="U21" s="111">
        <f>Table112345791014[[#This Row],[M (KN.mm)]]/(Table112345791014[[#This Row],[b (mm)]]*Table112345791014[[#This Row],[d (mm)]]*Table112345791014[[#This Row],[pho (%)]])</f>
        <v>5.2037037037037042</v>
      </c>
      <c r="V21" s="111">
        <f>E21*224.8/(2*SQRT(Table112345791014[[#This Row],[fc (Mpa)]]*145.037)*Table112345791014[[#This Row],[b (mm)]]*Table112345791014[[#This Row],[d (mm)]]*(1/25.4)^2)</f>
        <v>0.39266520915592823</v>
      </c>
      <c r="W21" s="111">
        <f>Table112345791014[[#This Row],[M (KN.mm)]]/$G$21</f>
        <v>1</v>
      </c>
      <c r="X21" s="111">
        <f>Table112345791014[[#This Row],[V/(2*sqrt(fc) bd)]]</f>
        <v>0.39266520915592823</v>
      </c>
      <c r="Y21" s="111">
        <f>Table112345791014[[#This Row],[a (mm)]]</f>
        <v>5400</v>
      </c>
      <c r="Z21" s="111">
        <f>Table112345791014[[#This Row],[width]]*Table112345791014[[#This Row],[h (mm)]]^2</f>
        <v>1200000000</v>
      </c>
      <c r="AA21" s="111">
        <f>Table112345791014[[#This Row],[b (mm)]]</f>
        <v>300</v>
      </c>
      <c r="AB21" s="148">
        <f>Table112345791014[[#This Row],[a]]/Table112345791014[[#This Row],[h (mm)]]</f>
        <v>2.7</v>
      </c>
      <c r="AC21" s="148">
        <f>Table112345791014[[#This Row],[h (mm)]]</f>
        <v>2000</v>
      </c>
      <c r="AD21">
        <v>5400</v>
      </c>
      <c r="AE21">
        <f>Table112345791014[[#This Row],[a (mm)]]/2.81</f>
        <v>1921.7081850533807</v>
      </c>
      <c r="AF21">
        <v>2000</v>
      </c>
      <c r="AG21">
        <v>300</v>
      </c>
      <c r="AH21" s="7">
        <v>28.3</v>
      </c>
      <c r="AI21" s="111">
        <f>Table112345791014[[#This Row],[pho (%)]]*Table112345791014[[#This Row],[b (mm)]]*Table112345791014[[#This Row],[h (mm)]]/100</f>
        <v>2160</v>
      </c>
      <c r="AJ21" s="135">
        <v>0.36</v>
      </c>
      <c r="AK21" s="111">
        <v>535</v>
      </c>
      <c r="AL21" s="111">
        <f>(1/3-0.21*(MIN(Table112345791014[[#This Row],[b (mm)]],AF21)/MAX(Table112345791014[[#This Row],[b (mm)]],AF21))*(MIN(Table112345791014[[#This Row],[b (mm)]],AF21)^4/(12*MAX(Table112345791014[[#This Row],[b (mm)]],AF21)^4)))*MAX(Table112345791014[[#This Row],[b (mm)]],AF21)*MIN(Table112345791014[[#This Row],[b (mm)]],AF21)^3</f>
        <v>17999928239.0625</v>
      </c>
      <c r="AM21" s="111">
        <f>Table112345791014[[#This Row],[b (mm)]]*AF21^3/12</f>
        <v>200000000000</v>
      </c>
      <c r="AN21" s="111">
        <f>Table112345791014[[#This Row],[a (mm)]]*2</f>
        <v>10800</v>
      </c>
      <c r="AO21"/>
      <c r="AP21"/>
      <c r="AQ21"/>
      <c r="AR21"/>
      <c r="AS21"/>
      <c r="AT21"/>
      <c r="AU21"/>
      <c r="AV21"/>
      <c r="AW21"/>
    </row>
    <row r="22" spans="1:49" s="129" customFormat="1" ht="16.5" customHeight="1" x14ac:dyDescent="0.3">
      <c r="A22" s="327" t="s">
        <v>239</v>
      </c>
      <c r="B22" s="328">
        <v>21</v>
      </c>
      <c r="C22" s="327">
        <v>1</v>
      </c>
      <c r="D22" s="327">
        <v>2.92</v>
      </c>
      <c r="E22" s="327">
        <v>150</v>
      </c>
      <c r="F22" s="137">
        <f>Table112345791014[[#This Row],[d (mm)]]</f>
        <v>1921.7081850533807</v>
      </c>
      <c r="G22" s="111">
        <f t="shared" ref="G22:G27" si="8">E22*AD22</f>
        <v>810000</v>
      </c>
      <c r="H22" s="111">
        <f t="shared" ref="H22:H27" si="9">G22/($AQ$5*AM22*0.001)</f>
        <v>1.537773389098623E-7</v>
      </c>
      <c r="I22" s="111">
        <f>G22/(Table112345791014[[#This Row],[b (mm)]]*Table112345791014[[#This Row],[h]]^2)</f>
        <v>6.7500000000000004E-4</v>
      </c>
      <c r="J22" s="111">
        <f t="shared" ref="J22:J27" si="10">G22/(AI22*AK22*AE22*0.001)</f>
        <v>8.6387112641416616E-2</v>
      </c>
      <c r="K22" s="111">
        <f t="shared" ref="K22:K27" si="11">E22/($AQ$4*AL22*0.001)</f>
        <v>2.6539383936694375E-7</v>
      </c>
      <c r="L22" s="111">
        <f>E22/(Table112345791014[[#This Row],[b (mm)]]*AE22)</f>
        <v>2.6018518518518518E-4</v>
      </c>
      <c r="M22" s="111">
        <f>Table112345791014[[#This Row],[M (KN.mm)]]/(Table112345791014[[#This Row],[b (mm)]]*Table112345791014[[#This Row],[d (mm)]])</f>
        <v>1.405</v>
      </c>
      <c r="N22" s="111">
        <f>Table112345791014[[#This Row],[M (KN.mm)]]/(Table112345791014[[#This Row],[b (mm)]]*Table112345791014[[#This Row],[h (mm)]])</f>
        <v>1.35</v>
      </c>
      <c r="O22" s="111">
        <f>Table112345791014[[#This Row],[M (KN.mm)]]/(Table112345791014[[#This Row],[b (mm)]]*Table112345791014[[#This Row],[h (mm)]]*Table112345791014[[#This Row],[L(mm)]])</f>
        <v>1.25E-4</v>
      </c>
      <c r="P22" s="111">
        <f>Table112345791014[[#This Row],[M (KN.mm)]]/(Table112345791014[[#This Row],[b (mm)]]*Table112345791014[[#This Row],[d (mm)]]*Table112345791014[[#This Row],[L(mm)]])</f>
        <v>1.3009259259259259E-4</v>
      </c>
      <c r="Q22" s="111">
        <f>Table112345791014[[#This Row],[M (KN.mm)]]/(Table112345791014[[#This Row],[b (mm)]]*Table112345791014[[#This Row],[h (mm)]]*Table112345791014[[#This Row],[L(mm)]]*Table112345791014[[#This Row],[fc (Mpa)]])</f>
        <v>4.7709923664122139E-6</v>
      </c>
      <c r="R22" s="111">
        <f>Table112345791014[[#This Row],[M (KN.mm)]]/(Table112345791014[[#This Row],[b (mm)]]*Table112345791014[[#This Row],[h (mm)]]*Table112345791014[[#This Row],[L(mm)]]/2)</f>
        <v>2.5000000000000001E-4</v>
      </c>
      <c r="S22" s="111">
        <f>Table112345791014[[#This Row],[M (KN.mm)]]/(Table112345791014[[#This Row],[a (mm)]]*Table112345791014[[#This Row],[b (mm)]]*Table112345791014[[#This Row],[h (mm)]]*Table112345791014[[#This Row],[L(mm)]]/2)</f>
        <v>4.6296296296296295E-8</v>
      </c>
      <c r="T22" s="111">
        <f>Table112345791014[[#This Row],[M (KN.mm)]]/(Table112345791014[[#This Row],[a (mm)]]^2*Table112345791014[[#This Row],[b (mm)]]*Table112345791014[[#This Row],[h (mm)]])</f>
        <v>4.6296296296296295E-8</v>
      </c>
      <c r="U22" s="111">
        <f>Table112345791014[[#This Row],[M (KN.mm)]]/(Table112345791014[[#This Row],[b (mm)]]*Table112345791014[[#This Row],[d (mm)]]*Table112345791014[[#This Row],[pho (%)]])</f>
        <v>0.92434210526315785</v>
      </c>
      <c r="V22" s="111">
        <f>E22*224.8/(2*SQRT(Table112345791014[[#This Row],[fc (Mpa)]]*145.037)*Table112345791014[[#This Row],[b (mm)]]*Table112345791014[[#This Row],[d (mm)]]*(1/25.4)^2)</f>
        <v>0.30607387310702622</v>
      </c>
      <c r="W22" s="111">
        <f>Table112345791014[[#This Row],[M (KN.mm)]]/$G$27</f>
        <v>0.39473684210526316</v>
      </c>
      <c r="X22" s="111">
        <f>Table112345791014[[#This Row],[V/(2*sqrt(fc) bd)]]</f>
        <v>0.30607387310702622</v>
      </c>
      <c r="Y22" s="111">
        <f>Table112345791014[[#This Row],[a (mm)]]</f>
        <v>5400</v>
      </c>
      <c r="Z22" s="111">
        <f>Table112345791014[[#This Row],[width]]*Table112345791014[[#This Row],[h (mm)]]^2</f>
        <v>1200000000</v>
      </c>
      <c r="AA22" s="111">
        <f>Table112345791014[[#This Row],[b (mm)]]</f>
        <v>300</v>
      </c>
      <c r="AB22" s="148">
        <f>Table112345791014[[#This Row],[a]]/Table112345791014[[#This Row],[h (mm)]]</f>
        <v>2.7</v>
      </c>
      <c r="AC22" s="148">
        <f>Table112345791014[[#This Row],[h (mm)]]</f>
        <v>2000</v>
      </c>
      <c r="AD22">
        <v>5400</v>
      </c>
      <c r="AE22">
        <f>Table112345791014[[#This Row],[a (mm)]]/2.81</f>
        <v>1921.7081850533807</v>
      </c>
      <c r="AF22">
        <v>2000</v>
      </c>
      <c r="AG22">
        <v>300</v>
      </c>
      <c r="AH22">
        <v>26.2</v>
      </c>
      <c r="AI22" s="111">
        <f>Table112345791014[[#This Row],[pho (%)]]*Table112345791014[[#This Row],[b (mm)]]*Table112345791014[[#This Row],[h (mm)]]/100</f>
        <v>9120</v>
      </c>
      <c r="AJ22">
        <v>1.52</v>
      </c>
      <c r="AK22" s="111">
        <v>535</v>
      </c>
      <c r="AL22" s="111">
        <f>(1/3-0.21*(MIN(Table112345791014[[#This Row],[b (mm)]],AF22)/MAX(Table112345791014[[#This Row],[b (mm)]],AF22))*(MIN(Table112345791014[[#This Row],[b (mm)]],AF22)^4/(12*MAX(Table112345791014[[#This Row],[b (mm)]],AF22)^4)))*MAX(Table112345791014[[#This Row],[b (mm)]],AF22)*MIN(Table112345791014[[#This Row],[b (mm)]],AF22)^3</f>
        <v>17999928239.0625</v>
      </c>
      <c r="AM22" s="111">
        <f>Table112345791014[[#This Row],[b (mm)]]*AF22^3/12</f>
        <v>200000000000</v>
      </c>
      <c r="AN22" s="111">
        <f>Table112345791014[[#This Row],[a (mm)]]*2</f>
        <v>10800</v>
      </c>
      <c r="AO22"/>
      <c r="AP22"/>
      <c r="AQ22"/>
      <c r="AR22"/>
      <c r="AS22"/>
      <c r="AT22"/>
      <c r="AU22"/>
      <c r="AV22"/>
      <c r="AW22"/>
    </row>
    <row r="23" spans="1:49" s="129" customFormat="1" x14ac:dyDescent="0.3">
      <c r="A23" s="327" t="s">
        <v>239</v>
      </c>
      <c r="B23" s="328">
        <v>22</v>
      </c>
      <c r="C23" s="327">
        <v>2</v>
      </c>
      <c r="D23" s="327">
        <v>2.92</v>
      </c>
      <c r="E23" s="327">
        <v>225</v>
      </c>
      <c r="F23" s="137">
        <f>Table112345791014[[#This Row],[d (mm)]]</f>
        <v>1921.7081850533807</v>
      </c>
      <c r="G23" s="111">
        <f t="shared" si="8"/>
        <v>1215000</v>
      </c>
      <c r="H23" s="111">
        <f t="shared" si="9"/>
        <v>2.3066600836479346E-7</v>
      </c>
      <c r="I23" s="111">
        <f>G23/(Table112345791014[[#This Row],[b (mm)]]*Table112345791014[[#This Row],[h]]^2)</f>
        <v>1.0124999999999999E-3</v>
      </c>
      <c r="J23" s="111">
        <f t="shared" si="10"/>
        <v>0.12958066896212495</v>
      </c>
      <c r="K23" s="111">
        <f t="shared" si="11"/>
        <v>3.980907590504156E-7</v>
      </c>
      <c r="L23" s="111">
        <f>E23/(Table112345791014[[#This Row],[b (mm)]]*AE23)</f>
        <v>3.9027777777777775E-4</v>
      </c>
      <c r="M23" s="111">
        <f>Table112345791014[[#This Row],[M (KN.mm)]]/(Table112345791014[[#This Row],[b (mm)]]*Table112345791014[[#This Row],[d (mm)]])</f>
        <v>2.1074999999999999</v>
      </c>
      <c r="N23" s="111">
        <f>Table112345791014[[#This Row],[M (KN.mm)]]/(Table112345791014[[#This Row],[b (mm)]]*Table112345791014[[#This Row],[h (mm)]])</f>
        <v>2.0249999999999999</v>
      </c>
      <c r="O23" s="111">
        <f>Table112345791014[[#This Row],[M (KN.mm)]]/(Table112345791014[[#This Row],[b (mm)]]*Table112345791014[[#This Row],[h (mm)]]*Table112345791014[[#This Row],[L(mm)]])</f>
        <v>1.875E-4</v>
      </c>
      <c r="P23" s="111">
        <f>Table112345791014[[#This Row],[M (KN.mm)]]/(Table112345791014[[#This Row],[b (mm)]]*Table112345791014[[#This Row],[d (mm)]]*Table112345791014[[#This Row],[L(mm)]])</f>
        <v>1.9513888888888887E-4</v>
      </c>
      <c r="Q23" s="111">
        <f>Table112345791014[[#This Row],[M (KN.mm)]]/(Table112345791014[[#This Row],[b (mm)]]*Table112345791014[[#This Row],[h (mm)]]*Table112345791014[[#This Row],[L(mm)]]*Table112345791014[[#This Row],[fc (Mpa)]])</f>
        <v>7.1564885496183204E-6</v>
      </c>
      <c r="R23" s="111">
        <f>Table112345791014[[#This Row],[M (KN.mm)]]/(Table112345791014[[#This Row],[b (mm)]]*Table112345791014[[#This Row],[h (mm)]]*Table112345791014[[#This Row],[L(mm)]]/2)</f>
        <v>3.7500000000000001E-4</v>
      </c>
      <c r="S23" s="111">
        <f>Table112345791014[[#This Row],[M (KN.mm)]]/(Table112345791014[[#This Row],[a (mm)]]*Table112345791014[[#This Row],[b (mm)]]*Table112345791014[[#This Row],[h (mm)]]*Table112345791014[[#This Row],[L(mm)]]/2)</f>
        <v>6.944444444444444E-8</v>
      </c>
      <c r="T23" s="111">
        <f>Table112345791014[[#This Row],[M (KN.mm)]]/(Table112345791014[[#This Row],[a (mm)]]^2*Table112345791014[[#This Row],[b (mm)]]*Table112345791014[[#This Row],[h (mm)]])</f>
        <v>6.944444444444444E-8</v>
      </c>
      <c r="U23" s="111">
        <f>Table112345791014[[#This Row],[M (KN.mm)]]/(Table112345791014[[#This Row],[b (mm)]]*Table112345791014[[#This Row],[d (mm)]]*Table112345791014[[#This Row],[pho (%)]])</f>
        <v>1.3865131578947367</v>
      </c>
      <c r="V23" s="111">
        <f>E23*224.8/(2*SQRT(Table112345791014[[#This Row],[fc (Mpa)]]*145.037)*Table112345791014[[#This Row],[b (mm)]]*Table112345791014[[#This Row],[d (mm)]]*(1/25.4)^2)</f>
        <v>0.4591108096605393</v>
      </c>
      <c r="W23" s="111">
        <f>Table112345791014[[#This Row],[M (KN.mm)]]/$G$27</f>
        <v>0.59210526315789469</v>
      </c>
      <c r="X23" s="111">
        <f>Table112345791014[[#This Row],[V/(2*sqrt(fc) bd)]]</f>
        <v>0.4591108096605393</v>
      </c>
      <c r="Y23" s="111">
        <f>Table112345791014[[#This Row],[a (mm)]]</f>
        <v>5400</v>
      </c>
      <c r="Z23" s="111">
        <f>Table112345791014[[#This Row],[width]]*Table112345791014[[#This Row],[h (mm)]]^2</f>
        <v>1200000000</v>
      </c>
      <c r="AA23" s="111">
        <f>Table112345791014[[#This Row],[b (mm)]]</f>
        <v>300</v>
      </c>
      <c r="AB23" s="148">
        <f>Table112345791014[[#This Row],[a]]/Table112345791014[[#This Row],[h (mm)]]</f>
        <v>2.7</v>
      </c>
      <c r="AC23" s="148">
        <f>Table112345791014[[#This Row],[h (mm)]]</f>
        <v>2000</v>
      </c>
      <c r="AD23">
        <v>5400</v>
      </c>
      <c r="AE23">
        <f>Table112345791014[[#This Row],[a (mm)]]/2.81</f>
        <v>1921.7081850533807</v>
      </c>
      <c r="AF23">
        <v>2000</v>
      </c>
      <c r="AG23">
        <v>300</v>
      </c>
      <c r="AH23">
        <v>26.2</v>
      </c>
      <c r="AI23" s="111">
        <f>Table112345791014[[#This Row],[pho (%)]]*Table112345791014[[#This Row],[b (mm)]]*Table112345791014[[#This Row],[h (mm)]]/100</f>
        <v>9120</v>
      </c>
      <c r="AJ23">
        <v>1.52</v>
      </c>
      <c r="AK23" s="111">
        <v>535</v>
      </c>
      <c r="AL23" s="111">
        <f>(1/3-0.21*(MIN(Table112345791014[[#This Row],[b (mm)]],AF23)/MAX(Table112345791014[[#This Row],[b (mm)]],AF23))*(MIN(Table112345791014[[#This Row],[b (mm)]],AF23)^4/(12*MAX(Table112345791014[[#This Row],[b (mm)]],AF23)^4)))*MAX(Table112345791014[[#This Row],[b (mm)]],AF23)*MIN(Table112345791014[[#This Row],[b (mm)]],AF23)^3</f>
        <v>17999928239.0625</v>
      </c>
      <c r="AM23" s="111">
        <f>Table112345791014[[#This Row],[b (mm)]]*AF23^3/12</f>
        <v>200000000000</v>
      </c>
      <c r="AN23" s="111">
        <f>Table112345791014[[#This Row],[a (mm)]]*2</f>
        <v>10800</v>
      </c>
      <c r="AO23"/>
      <c r="AP23"/>
      <c r="AQ23"/>
      <c r="AR23"/>
      <c r="AS23"/>
      <c r="AT23"/>
      <c r="AU23"/>
      <c r="AV23"/>
      <c r="AW23"/>
    </row>
    <row r="24" spans="1:49" s="129" customFormat="1" x14ac:dyDescent="0.3">
      <c r="A24" s="327" t="s">
        <v>239</v>
      </c>
      <c r="B24" s="328">
        <v>23</v>
      </c>
      <c r="C24" s="327">
        <v>3</v>
      </c>
      <c r="D24" s="327">
        <v>2.92</v>
      </c>
      <c r="E24" s="327">
        <v>260</v>
      </c>
      <c r="F24" s="137">
        <f>Table112345791014[[#This Row],[d (mm)]]</f>
        <v>1921.7081850533807</v>
      </c>
      <c r="G24" s="111">
        <f t="shared" si="8"/>
        <v>1404000</v>
      </c>
      <c r="H24" s="111">
        <f t="shared" si="9"/>
        <v>2.6654738744376131E-7</v>
      </c>
      <c r="I24" s="111">
        <f>G24/(Table112345791014[[#This Row],[b (mm)]]*Table112345791014[[#This Row],[h]]^2)</f>
        <v>1.17E-3</v>
      </c>
      <c r="J24" s="111">
        <f t="shared" si="10"/>
        <v>0.14973766191178881</v>
      </c>
      <c r="K24" s="111">
        <f t="shared" si="11"/>
        <v>4.6001598823603581E-7</v>
      </c>
      <c r="L24" s="111">
        <f>E24/(Table112345791014[[#This Row],[b (mm)]]*AE24)</f>
        <v>4.5098765432098766E-4</v>
      </c>
      <c r="M24" s="111">
        <f>Table112345791014[[#This Row],[M (KN.mm)]]/(Table112345791014[[#This Row],[b (mm)]]*Table112345791014[[#This Row],[d (mm)]])</f>
        <v>2.4353333333333333</v>
      </c>
      <c r="N24" s="111">
        <f>Table112345791014[[#This Row],[M (KN.mm)]]/(Table112345791014[[#This Row],[b (mm)]]*Table112345791014[[#This Row],[h (mm)]])</f>
        <v>2.34</v>
      </c>
      <c r="O24" s="111">
        <f>Table112345791014[[#This Row],[M (KN.mm)]]/(Table112345791014[[#This Row],[b (mm)]]*Table112345791014[[#This Row],[h (mm)]]*Table112345791014[[#This Row],[L(mm)]])</f>
        <v>2.1666666666666666E-4</v>
      </c>
      <c r="P24" s="111">
        <f>Table112345791014[[#This Row],[M (KN.mm)]]/(Table112345791014[[#This Row],[b (mm)]]*Table112345791014[[#This Row],[d (mm)]]*Table112345791014[[#This Row],[L(mm)]])</f>
        <v>2.254938271604938E-4</v>
      </c>
      <c r="Q24" s="111">
        <f>Table112345791014[[#This Row],[M (KN.mm)]]/(Table112345791014[[#This Row],[b (mm)]]*Table112345791014[[#This Row],[h (mm)]]*Table112345791014[[#This Row],[L(mm)]]*Table112345791014[[#This Row],[fc (Mpa)]])</f>
        <v>8.2697201017811708E-6</v>
      </c>
      <c r="R24" s="111">
        <f>Table112345791014[[#This Row],[M (KN.mm)]]/(Table112345791014[[#This Row],[b (mm)]]*Table112345791014[[#This Row],[h (mm)]]*Table112345791014[[#This Row],[L(mm)]]/2)</f>
        <v>4.3333333333333331E-4</v>
      </c>
      <c r="S24" s="111">
        <f>Table112345791014[[#This Row],[M (KN.mm)]]/(Table112345791014[[#This Row],[a (mm)]]*Table112345791014[[#This Row],[b (mm)]]*Table112345791014[[#This Row],[h (mm)]]*Table112345791014[[#This Row],[L(mm)]]/2)</f>
        <v>8.0246913580246916E-8</v>
      </c>
      <c r="T24" s="111">
        <f>Table112345791014[[#This Row],[M (KN.mm)]]/(Table112345791014[[#This Row],[a (mm)]]^2*Table112345791014[[#This Row],[b (mm)]]*Table112345791014[[#This Row],[h (mm)]])</f>
        <v>8.0246913580246916E-8</v>
      </c>
      <c r="U24" s="111">
        <f>Table112345791014[[#This Row],[M (KN.mm)]]/(Table112345791014[[#This Row],[b (mm)]]*Table112345791014[[#This Row],[d (mm)]]*Table112345791014[[#This Row],[pho (%)]])</f>
        <v>1.6021929824561403</v>
      </c>
      <c r="V24" s="111">
        <f>E24*224.8/(2*SQRT(Table112345791014[[#This Row],[fc (Mpa)]]*145.037)*Table112345791014[[#This Row],[b (mm)]]*Table112345791014[[#This Row],[d (mm)]]*(1/25.4)^2)</f>
        <v>0.53052804671884546</v>
      </c>
      <c r="W24" s="111">
        <f>Table112345791014[[#This Row],[M (KN.mm)]]/$G$27</f>
        <v>0.68421052631578949</v>
      </c>
      <c r="X24" s="111">
        <f>Table112345791014[[#This Row],[V/(2*sqrt(fc) bd)]]</f>
        <v>0.53052804671884546</v>
      </c>
      <c r="Y24" s="111">
        <f>Table112345791014[[#This Row],[a (mm)]]</f>
        <v>5400</v>
      </c>
      <c r="Z24" s="111">
        <f>Table112345791014[[#This Row],[width]]*Table112345791014[[#This Row],[h (mm)]]^2</f>
        <v>1200000000</v>
      </c>
      <c r="AA24" s="111">
        <f>Table112345791014[[#This Row],[b (mm)]]</f>
        <v>300</v>
      </c>
      <c r="AB24" s="148">
        <f>Table112345791014[[#This Row],[a]]/Table112345791014[[#This Row],[h (mm)]]</f>
        <v>2.7</v>
      </c>
      <c r="AC24" s="148">
        <f>Table112345791014[[#This Row],[h (mm)]]</f>
        <v>2000</v>
      </c>
      <c r="AD24">
        <v>5400</v>
      </c>
      <c r="AE24">
        <f>Table112345791014[[#This Row],[a (mm)]]/2.81</f>
        <v>1921.7081850533807</v>
      </c>
      <c r="AF24">
        <v>2000</v>
      </c>
      <c r="AG24">
        <v>300</v>
      </c>
      <c r="AH24">
        <v>26.2</v>
      </c>
      <c r="AI24" s="111">
        <f>Table112345791014[[#This Row],[pho (%)]]*Table112345791014[[#This Row],[b (mm)]]*Table112345791014[[#This Row],[h (mm)]]/100</f>
        <v>9120</v>
      </c>
      <c r="AJ24">
        <v>1.52</v>
      </c>
      <c r="AK24" s="111">
        <v>535</v>
      </c>
      <c r="AL24" s="111">
        <f>(1/3-0.21*(MIN(Table112345791014[[#This Row],[b (mm)]],AF24)/MAX(Table112345791014[[#This Row],[b (mm)]],AF24))*(MIN(Table112345791014[[#This Row],[b (mm)]],AF24)^4/(12*MAX(Table112345791014[[#This Row],[b (mm)]],AF24)^4)))*MAX(Table112345791014[[#This Row],[b (mm)]],AF24)*MIN(Table112345791014[[#This Row],[b (mm)]],AF24)^3</f>
        <v>17999928239.0625</v>
      </c>
      <c r="AM24" s="111">
        <f>Table112345791014[[#This Row],[b (mm)]]*AF24^3/12</f>
        <v>200000000000</v>
      </c>
      <c r="AN24" s="111">
        <f>Table112345791014[[#This Row],[a (mm)]]*2</f>
        <v>10800</v>
      </c>
      <c r="AO24"/>
      <c r="AP24"/>
      <c r="AQ24"/>
      <c r="AR24"/>
      <c r="AS24"/>
      <c r="AT24"/>
      <c r="AU24"/>
      <c r="AV24"/>
      <c r="AW24"/>
    </row>
    <row r="25" spans="1:49" s="129" customFormat="1" x14ac:dyDescent="0.3">
      <c r="A25" s="327" t="s">
        <v>239</v>
      </c>
      <c r="B25" s="328">
        <v>24</v>
      </c>
      <c r="C25" s="327">
        <v>4</v>
      </c>
      <c r="D25" s="327">
        <v>2.92</v>
      </c>
      <c r="E25" s="327">
        <v>310</v>
      </c>
      <c r="F25" s="137">
        <f>Table112345791014[[#This Row],[d (mm)]]</f>
        <v>1921.7081850533807</v>
      </c>
      <c r="G25" s="111">
        <f t="shared" si="8"/>
        <v>1674000</v>
      </c>
      <c r="H25" s="111">
        <f t="shared" si="9"/>
        <v>3.1780650041371542E-7</v>
      </c>
      <c r="I25" s="111">
        <f>G25/(Table112345791014[[#This Row],[b (mm)]]*Table112345791014[[#This Row],[h]]^2)</f>
        <v>1.395E-3</v>
      </c>
      <c r="J25" s="111">
        <f t="shared" si="10"/>
        <v>0.17853336612559434</v>
      </c>
      <c r="K25" s="111">
        <f t="shared" si="11"/>
        <v>5.4848060135835037E-7</v>
      </c>
      <c r="L25" s="111">
        <f>E25/(Table112345791014[[#This Row],[b (mm)]]*AE25)</f>
        <v>5.3771604938271606E-4</v>
      </c>
      <c r="M25" s="111">
        <f>Table112345791014[[#This Row],[M (KN.mm)]]/(Table112345791014[[#This Row],[b (mm)]]*Table112345791014[[#This Row],[d (mm)]])</f>
        <v>2.9036666666666666</v>
      </c>
      <c r="N25" s="111">
        <f>Table112345791014[[#This Row],[M (KN.mm)]]/(Table112345791014[[#This Row],[b (mm)]]*Table112345791014[[#This Row],[h (mm)]])</f>
        <v>2.79</v>
      </c>
      <c r="O25" s="111">
        <f>Table112345791014[[#This Row],[M (KN.mm)]]/(Table112345791014[[#This Row],[b (mm)]]*Table112345791014[[#This Row],[h (mm)]]*Table112345791014[[#This Row],[L(mm)]])</f>
        <v>2.5833333333333334E-4</v>
      </c>
      <c r="P25" s="111">
        <f>Table112345791014[[#This Row],[M (KN.mm)]]/(Table112345791014[[#This Row],[b (mm)]]*Table112345791014[[#This Row],[d (mm)]]*Table112345791014[[#This Row],[L(mm)]])</f>
        <v>2.6885802469135803E-4</v>
      </c>
      <c r="Q25" s="111">
        <f>Table112345791014[[#This Row],[M (KN.mm)]]/(Table112345791014[[#This Row],[b (mm)]]*Table112345791014[[#This Row],[h (mm)]]*Table112345791014[[#This Row],[L(mm)]]*Table112345791014[[#This Row],[fc (Mpa)]])</f>
        <v>9.8600508905852424E-6</v>
      </c>
      <c r="R25" s="111">
        <f>Table112345791014[[#This Row],[M (KN.mm)]]/(Table112345791014[[#This Row],[b (mm)]]*Table112345791014[[#This Row],[h (mm)]]*Table112345791014[[#This Row],[L(mm)]]/2)</f>
        <v>5.1666666666666668E-4</v>
      </c>
      <c r="S25" s="111">
        <f>Table112345791014[[#This Row],[M (KN.mm)]]/(Table112345791014[[#This Row],[a (mm)]]*Table112345791014[[#This Row],[b (mm)]]*Table112345791014[[#This Row],[h (mm)]]*Table112345791014[[#This Row],[L(mm)]]/2)</f>
        <v>9.5679012345679013E-8</v>
      </c>
      <c r="T25" s="111">
        <f>Table112345791014[[#This Row],[M (KN.mm)]]/(Table112345791014[[#This Row],[a (mm)]]^2*Table112345791014[[#This Row],[b (mm)]]*Table112345791014[[#This Row],[h (mm)]])</f>
        <v>9.5679012345679013E-8</v>
      </c>
      <c r="U25" s="111">
        <f>Table112345791014[[#This Row],[M (KN.mm)]]/(Table112345791014[[#This Row],[b (mm)]]*Table112345791014[[#This Row],[d (mm)]]*Table112345791014[[#This Row],[pho (%)]])</f>
        <v>1.9103070175438595</v>
      </c>
      <c r="V25" s="111">
        <f>E25*224.8/(2*SQRT(Table112345791014[[#This Row],[fc (Mpa)]]*145.037)*Table112345791014[[#This Row],[b (mm)]]*Table112345791014[[#This Row],[d (mm)]]*(1/25.4)^2)</f>
        <v>0.63255267108785418</v>
      </c>
      <c r="W25" s="111">
        <f>Table112345791014[[#This Row],[M (KN.mm)]]/$G$27</f>
        <v>0.81578947368421051</v>
      </c>
      <c r="X25" s="111">
        <f>Table112345791014[[#This Row],[V/(2*sqrt(fc) bd)]]</f>
        <v>0.63255267108785418</v>
      </c>
      <c r="Y25" s="111">
        <f>Table112345791014[[#This Row],[a (mm)]]</f>
        <v>5400</v>
      </c>
      <c r="Z25" s="111">
        <f>Table112345791014[[#This Row],[width]]*Table112345791014[[#This Row],[h (mm)]]^2</f>
        <v>1200000000</v>
      </c>
      <c r="AA25" s="111">
        <f>Table112345791014[[#This Row],[b (mm)]]</f>
        <v>300</v>
      </c>
      <c r="AB25" s="148">
        <f>Table112345791014[[#This Row],[a]]/Table112345791014[[#This Row],[h (mm)]]</f>
        <v>2.7</v>
      </c>
      <c r="AC25" s="148">
        <f>Table112345791014[[#This Row],[h (mm)]]</f>
        <v>2000</v>
      </c>
      <c r="AD25">
        <v>5400</v>
      </c>
      <c r="AE25">
        <f>Table112345791014[[#This Row],[a (mm)]]/2.81</f>
        <v>1921.7081850533807</v>
      </c>
      <c r="AF25">
        <v>2000</v>
      </c>
      <c r="AG25">
        <v>300</v>
      </c>
      <c r="AH25">
        <v>26.2</v>
      </c>
      <c r="AI25" s="111">
        <f>Table112345791014[[#This Row],[pho (%)]]*Table112345791014[[#This Row],[b (mm)]]*Table112345791014[[#This Row],[h (mm)]]/100</f>
        <v>9120</v>
      </c>
      <c r="AJ25">
        <v>1.52</v>
      </c>
      <c r="AK25" s="111">
        <v>535</v>
      </c>
      <c r="AL25" s="111">
        <f>(1/3-0.21*(MIN(Table112345791014[[#This Row],[b (mm)]],AF25)/MAX(Table112345791014[[#This Row],[b (mm)]],AF25))*(MIN(Table112345791014[[#This Row],[b (mm)]],AF25)^4/(12*MAX(Table112345791014[[#This Row],[b (mm)]],AF25)^4)))*MAX(Table112345791014[[#This Row],[b (mm)]],AF25)*MIN(Table112345791014[[#This Row],[b (mm)]],AF25)^3</f>
        <v>17999928239.0625</v>
      </c>
      <c r="AM25" s="111">
        <f>Table112345791014[[#This Row],[b (mm)]]*AF25^3/12</f>
        <v>200000000000</v>
      </c>
      <c r="AN25" s="111">
        <f>Table112345791014[[#This Row],[a (mm)]]*2</f>
        <v>10800</v>
      </c>
      <c r="AO25"/>
      <c r="AP25"/>
      <c r="AQ25"/>
      <c r="AR25"/>
      <c r="AS25"/>
      <c r="AT25"/>
      <c r="AU25"/>
      <c r="AV25"/>
      <c r="AW25"/>
    </row>
    <row r="26" spans="1:49" s="129" customFormat="1" x14ac:dyDescent="0.3">
      <c r="A26" s="327" t="s">
        <v>239</v>
      </c>
      <c r="B26" s="328">
        <v>25</v>
      </c>
      <c r="C26" s="327">
        <v>5</v>
      </c>
      <c r="D26" s="327">
        <v>2.92</v>
      </c>
      <c r="E26" s="327">
        <v>360</v>
      </c>
      <c r="F26" s="137">
        <f>Table112345791014[[#This Row],[d (mm)]]</f>
        <v>1921.7081850533807</v>
      </c>
      <c r="G26" s="111">
        <f t="shared" si="8"/>
        <v>1944000</v>
      </c>
      <c r="H26" s="111">
        <f t="shared" si="9"/>
        <v>3.6906561338366953E-7</v>
      </c>
      <c r="I26" s="111">
        <f>G26/(Table112345791014[[#This Row],[b (mm)]]*Table112345791014[[#This Row],[h]]^2)</f>
        <v>1.6199999999999999E-3</v>
      </c>
      <c r="J26" s="111">
        <f t="shared" si="10"/>
        <v>0.2073290703393999</v>
      </c>
      <c r="K26" s="111">
        <f t="shared" si="11"/>
        <v>6.3694521448066494E-7</v>
      </c>
      <c r="L26" s="111">
        <f>E26/(Table112345791014[[#This Row],[b (mm)]]*AE26)</f>
        <v>6.244444444444444E-4</v>
      </c>
      <c r="M26" s="111">
        <f>Table112345791014[[#This Row],[M (KN.mm)]]/(Table112345791014[[#This Row],[b (mm)]]*Table112345791014[[#This Row],[d (mm)]])</f>
        <v>3.3719999999999999</v>
      </c>
      <c r="N26" s="111">
        <f>Table112345791014[[#This Row],[M (KN.mm)]]/(Table112345791014[[#This Row],[b (mm)]]*Table112345791014[[#This Row],[h (mm)]])</f>
        <v>3.24</v>
      </c>
      <c r="O26" s="111">
        <f>Table112345791014[[#This Row],[M (KN.mm)]]/(Table112345791014[[#This Row],[b (mm)]]*Table112345791014[[#This Row],[h (mm)]]*Table112345791014[[#This Row],[L(mm)]])</f>
        <v>2.9999999999999997E-4</v>
      </c>
      <c r="P26" s="111">
        <f>Table112345791014[[#This Row],[M (KN.mm)]]/(Table112345791014[[#This Row],[b (mm)]]*Table112345791014[[#This Row],[d (mm)]]*Table112345791014[[#This Row],[L(mm)]])</f>
        <v>3.122222222222222E-4</v>
      </c>
      <c r="Q26" s="111">
        <f>Table112345791014[[#This Row],[M (KN.mm)]]/(Table112345791014[[#This Row],[b (mm)]]*Table112345791014[[#This Row],[h (mm)]]*Table112345791014[[#This Row],[L(mm)]]*Table112345791014[[#This Row],[fc (Mpa)]])</f>
        <v>1.1450381679389312E-5</v>
      </c>
      <c r="R26" s="111">
        <f>Table112345791014[[#This Row],[M (KN.mm)]]/(Table112345791014[[#This Row],[b (mm)]]*Table112345791014[[#This Row],[h (mm)]]*Table112345791014[[#This Row],[L(mm)]]/2)</f>
        <v>5.9999999999999995E-4</v>
      </c>
      <c r="S26" s="111">
        <f>Table112345791014[[#This Row],[M (KN.mm)]]/(Table112345791014[[#This Row],[a (mm)]]*Table112345791014[[#This Row],[b (mm)]]*Table112345791014[[#This Row],[h (mm)]]*Table112345791014[[#This Row],[L(mm)]]/2)</f>
        <v>1.1111111111111111E-7</v>
      </c>
      <c r="T26" s="111">
        <f>Table112345791014[[#This Row],[M (KN.mm)]]/(Table112345791014[[#This Row],[a (mm)]]^2*Table112345791014[[#This Row],[b (mm)]]*Table112345791014[[#This Row],[h (mm)]])</f>
        <v>1.1111111111111111E-7</v>
      </c>
      <c r="U26" s="111">
        <f>Table112345791014[[#This Row],[M (KN.mm)]]/(Table112345791014[[#This Row],[b (mm)]]*Table112345791014[[#This Row],[d (mm)]]*Table112345791014[[#This Row],[pho (%)]])</f>
        <v>2.2184210526315788</v>
      </c>
      <c r="V26" s="111">
        <f>E26*224.8/(2*SQRT(Table112345791014[[#This Row],[fc (Mpa)]]*145.037)*Table112345791014[[#This Row],[b (mm)]]*Table112345791014[[#This Row],[d (mm)]]*(1/25.4)^2)</f>
        <v>0.7345772954568629</v>
      </c>
      <c r="W26" s="111">
        <f>Table112345791014[[#This Row],[M (KN.mm)]]/$G$27</f>
        <v>0.94736842105263153</v>
      </c>
      <c r="X26" s="111">
        <f>Table112345791014[[#This Row],[V/(2*sqrt(fc) bd)]]</f>
        <v>0.7345772954568629</v>
      </c>
      <c r="Y26" s="111">
        <f>Table112345791014[[#This Row],[a (mm)]]</f>
        <v>5400</v>
      </c>
      <c r="Z26" s="111">
        <f>Table112345791014[[#This Row],[width]]*Table112345791014[[#This Row],[h (mm)]]^2</f>
        <v>1200000000</v>
      </c>
      <c r="AA26" s="111">
        <f>Table112345791014[[#This Row],[b (mm)]]</f>
        <v>300</v>
      </c>
      <c r="AB26" s="148">
        <f>Table112345791014[[#This Row],[a]]/Table112345791014[[#This Row],[h (mm)]]</f>
        <v>2.7</v>
      </c>
      <c r="AC26" s="148">
        <f>Table112345791014[[#This Row],[h (mm)]]</f>
        <v>2000</v>
      </c>
      <c r="AD26">
        <v>5400</v>
      </c>
      <c r="AE26">
        <f>Table112345791014[[#This Row],[a (mm)]]/2.81</f>
        <v>1921.7081850533807</v>
      </c>
      <c r="AF26">
        <v>2000</v>
      </c>
      <c r="AG26">
        <v>300</v>
      </c>
      <c r="AH26">
        <v>26.2</v>
      </c>
      <c r="AI26" s="111">
        <f>Table112345791014[[#This Row],[pho (%)]]*Table112345791014[[#This Row],[b (mm)]]*Table112345791014[[#This Row],[h (mm)]]/100</f>
        <v>9120</v>
      </c>
      <c r="AJ26">
        <v>1.52</v>
      </c>
      <c r="AK26" s="111">
        <v>535</v>
      </c>
      <c r="AL26" s="111">
        <f>(1/3-0.21*(MIN(Table112345791014[[#This Row],[b (mm)]],AF26)/MAX(Table112345791014[[#This Row],[b (mm)]],AF26))*(MIN(Table112345791014[[#This Row],[b (mm)]],AF26)^4/(12*MAX(Table112345791014[[#This Row],[b (mm)]],AF26)^4)))*MAX(Table112345791014[[#This Row],[b (mm)]],AF26)*MIN(Table112345791014[[#This Row],[b (mm)]],AF26)^3</f>
        <v>17999928239.0625</v>
      </c>
      <c r="AM26" s="111">
        <f>Table112345791014[[#This Row],[b (mm)]]*AF26^3/12</f>
        <v>200000000000</v>
      </c>
      <c r="AN26" s="111">
        <f>Table112345791014[[#This Row],[a (mm)]]*2</f>
        <v>10800</v>
      </c>
      <c r="AO26"/>
      <c r="AP26"/>
      <c r="AQ26"/>
      <c r="AR26"/>
      <c r="AS26"/>
      <c r="AT26"/>
      <c r="AU26"/>
      <c r="AV26"/>
      <c r="AW26"/>
    </row>
    <row r="27" spans="1:49" s="129" customFormat="1" x14ac:dyDescent="0.3">
      <c r="A27" s="327" t="s">
        <v>239</v>
      </c>
      <c r="B27" s="328">
        <v>26</v>
      </c>
      <c r="C27" s="327">
        <v>6</v>
      </c>
      <c r="D27" s="327">
        <v>2.92</v>
      </c>
      <c r="E27" s="327">
        <v>380</v>
      </c>
      <c r="F27" s="137">
        <f>Table112345791014[[#This Row],[d (mm)]]</f>
        <v>1921.7081850533807</v>
      </c>
      <c r="G27" s="111">
        <f t="shared" si="8"/>
        <v>2052000</v>
      </c>
      <c r="H27" s="111">
        <f t="shared" si="9"/>
        <v>3.8956925857165118E-7</v>
      </c>
      <c r="I27" s="111">
        <f>G27/(Table112345791014[[#This Row],[b (mm)]]*Table112345791014[[#This Row],[h]]^2)</f>
        <v>1.7099999999999999E-3</v>
      </c>
      <c r="J27" s="111">
        <f t="shared" si="10"/>
        <v>0.21884735202492211</v>
      </c>
      <c r="K27" s="111">
        <f t="shared" si="11"/>
        <v>6.7233105972959079E-7</v>
      </c>
      <c r="L27" s="111">
        <f>E27/(Table112345791014[[#This Row],[b (mm)]]*AE27)</f>
        <v>6.5913580246913578E-4</v>
      </c>
      <c r="M27" s="111">
        <f>Table112345791014[[#This Row],[M (KN.mm)]]/(Table112345791014[[#This Row],[b (mm)]]*Table112345791014[[#This Row],[d (mm)]])</f>
        <v>3.5593333333333335</v>
      </c>
      <c r="N27" s="111">
        <f>Table112345791014[[#This Row],[M (KN.mm)]]/(Table112345791014[[#This Row],[b (mm)]]*Table112345791014[[#This Row],[h (mm)]])</f>
        <v>3.42</v>
      </c>
      <c r="O27" s="111">
        <f>Table112345791014[[#This Row],[M (KN.mm)]]/(Table112345791014[[#This Row],[b (mm)]]*Table112345791014[[#This Row],[h (mm)]]*Table112345791014[[#This Row],[L(mm)]])</f>
        <v>3.1666666666666665E-4</v>
      </c>
      <c r="P27" s="111">
        <f>Table112345791014[[#This Row],[M (KN.mm)]]/(Table112345791014[[#This Row],[b (mm)]]*Table112345791014[[#This Row],[d (mm)]]*Table112345791014[[#This Row],[L(mm)]])</f>
        <v>3.2956790123456789E-4</v>
      </c>
      <c r="Q27" s="111">
        <f>Table112345791014[[#This Row],[M (KN.mm)]]/(Table112345791014[[#This Row],[b (mm)]]*Table112345791014[[#This Row],[h (mm)]]*Table112345791014[[#This Row],[L(mm)]]*Table112345791014[[#This Row],[fc (Mpa)]])</f>
        <v>1.2086513994910942E-5</v>
      </c>
      <c r="R27" s="111">
        <f>Table112345791014[[#This Row],[M (KN.mm)]]/(Table112345791014[[#This Row],[b (mm)]]*Table112345791014[[#This Row],[h (mm)]]*Table112345791014[[#This Row],[L(mm)]]/2)</f>
        <v>6.333333333333333E-4</v>
      </c>
      <c r="S27" s="111">
        <f>Table112345791014[[#This Row],[M (KN.mm)]]/(Table112345791014[[#This Row],[a (mm)]]*Table112345791014[[#This Row],[b (mm)]]*Table112345791014[[#This Row],[h (mm)]]*Table112345791014[[#This Row],[L(mm)]]/2)</f>
        <v>1.1728395061728395E-7</v>
      </c>
      <c r="T27" s="111">
        <f>Table112345791014[[#This Row],[M (KN.mm)]]/(Table112345791014[[#This Row],[a (mm)]]^2*Table112345791014[[#This Row],[b (mm)]]*Table112345791014[[#This Row],[h (mm)]])</f>
        <v>1.1728395061728395E-7</v>
      </c>
      <c r="U27" s="111">
        <f>Table112345791014[[#This Row],[M (KN.mm)]]/(Table112345791014[[#This Row],[b (mm)]]*Table112345791014[[#This Row],[d (mm)]]*Table112345791014[[#This Row],[pho (%)]])</f>
        <v>2.3416666666666663</v>
      </c>
      <c r="V27" s="111">
        <f>E27*224.8/(2*SQRT(Table112345791014[[#This Row],[fc (Mpa)]]*145.037)*Table112345791014[[#This Row],[b (mm)]]*Table112345791014[[#This Row],[d (mm)]]*(1/25.4)^2)</f>
        <v>0.77538714520446639</v>
      </c>
      <c r="W27" s="111">
        <f>Table112345791014[[#This Row],[M (KN.mm)]]/$G$27</f>
        <v>1</v>
      </c>
      <c r="X27" s="111">
        <f>Table112345791014[[#This Row],[V/(2*sqrt(fc) bd)]]</f>
        <v>0.77538714520446639</v>
      </c>
      <c r="Y27" s="111">
        <f>Table112345791014[[#This Row],[a (mm)]]</f>
        <v>5400</v>
      </c>
      <c r="Z27" s="111">
        <f>Table112345791014[[#This Row],[width]]*Table112345791014[[#This Row],[h (mm)]]^2</f>
        <v>1200000000</v>
      </c>
      <c r="AA27" s="111">
        <f>Table112345791014[[#This Row],[b (mm)]]</f>
        <v>300</v>
      </c>
      <c r="AB27" s="148">
        <f>Table112345791014[[#This Row],[a]]/Table112345791014[[#This Row],[h (mm)]]</f>
        <v>2.7</v>
      </c>
      <c r="AC27" s="148">
        <f>Table112345791014[[#This Row],[h (mm)]]</f>
        <v>2000</v>
      </c>
      <c r="AD27">
        <v>5400</v>
      </c>
      <c r="AE27">
        <f>Table112345791014[[#This Row],[a (mm)]]/2.81</f>
        <v>1921.7081850533807</v>
      </c>
      <c r="AF27">
        <v>2000</v>
      </c>
      <c r="AG27">
        <v>300</v>
      </c>
      <c r="AH27">
        <v>26.2</v>
      </c>
      <c r="AI27" s="111">
        <f>Table112345791014[[#This Row],[pho (%)]]*Table112345791014[[#This Row],[b (mm)]]*Table112345791014[[#This Row],[h (mm)]]/100</f>
        <v>9120</v>
      </c>
      <c r="AJ27">
        <v>1.52</v>
      </c>
      <c r="AK27" s="111">
        <v>535</v>
      </c>
      <c r="AL27" s="111">
        <f>(1/3-0.21*(MIN(Table112345791014[[#This Row],[b (mm)]],AF27)/MAX(Table112345791014[[#This Row],[b (mm)]],AF27))*(MIN(Table112345791014[[#This Row],[b (mm)]],AF27)^4/(12*MAX(Table112345791014[[#This Row],[b (mm)]],AF27)^4)))*MAX(Table112345791014[[#This Row],[b (mm)]],AF27)*MIN(Table112345791014[[#This Row],[b (mm)]],AF27)^3</f>
        <v>17999928239.0625</v>
      </c>
      <c r="AM27" s="111">
        <f>Table112345791014[[#This Row],[b (mm)]]*AF27^3/12</f>
        <v>200000000000</v>
      </c>
      <c r="AN27" s="111">
        <f>Table112345791014[[#This Row],[a (mm)]]*2</f>
        <v>10800</v>
      </c>
      <c r="AO27"/>
      <c r="AP27"/>
      <c r="AQ27"/>
      <c r="AR27"/>
      <c r="AS27"/>
      <c r="AT27"/>
      <c r="AU27"/>
      <c r="AV27"/>
      <c r="AW27"/>
    </row>
    <row r="28" spans="1:49" s="129" customFormat="1" x14ac:dyDescent="0.3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</row>
    <row r="29" spans="1:49" s="129" customFormat="1" x14ac:dyDescent="0.3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</row>
    <row r="30" spans="1:49" s="129" customFormat="1" x14ac:dyDescent="0.3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</row>
    <row r="31" spans="1:49" x14ac:dyDescent="0.3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P31"/>
      <c r="AQ31"/>
      <c r="AR31"/>
      <c r="AS31"/>
      <c r="AT31"/>
      <c r="AU31"/>
      <c r="AV31"/>
      <c r="AW31"/>
    </row>
    <row r="32" spans="1:49" x14ac:dyDescent="0.3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P32"/>
      <c r="AQ32"/>
      <c r="AR32"/>
      <c r="AS32"/>
      <c r="AT32"/>
      <c r="AU32"/>
      <c r="AV32"/>
      <c r="AW32"/>
    </row>
    <row r="33" spans="1:49" x14ac:dyDescent="0.3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P33"/>
      <c r="AQ33"/>
      <c r="AR33"/>
      <c r="AS33"/>
      <c r="AT33"/>
      <c r="AU33"/>
      <c r="AV33"/>
      <c r="AW33"/>
    </row>
    <row r="34" spans="1:49" x14ac:dyDescent="0.3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P34"/>
      <c r="AQ34"/>
      <c r="AR34"/>
      <c r="AS34"/>
      <c r="AT34"/>
      <c r="AU34"/>
      <c r="AV34"/>
      <c r="AW34"/>
    </row>
    <row r="35" spans="1:49" x14ac:dyDescent="0.3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P35"/>
      <c r="AQ35"/>
      <c r="AR35"/>
      <c r="AS35"/>
      <c r="AT35"/>
      <c r="AU35"/>
      <c r="AV35"/>
      <c r="AW35"/>
    </row>
    <row r="36" spans="1:49" x14ac:dyDescent="0.3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P36"/>
      <c r="AQ36"/>
      <c r="AR36"/>
      <c r="AS36"/>
      <c r="AT36"/>
      <c r="AU36"/>
      <c r="AV36"/>
      <c r="AW36"/>
    </row>
    <row r="37" spans="1:49" x14ac:dyDescent="0.3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P37"/>
      <c r="AQ37"/>
      <c r="AR37"/>
      <c r="AS37"/>
      <c r="AT37"/>
      <c r="AU37"/>
      <c r="AV37"/>
      <c r="AW37"/>
    </row>
    <row r="38" spans="1:49" x14ac:dyDescent="0.3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P38"/>
      <c r="AQ38"/>
      <c r="AR38"/>
      <c r="AS38"/>
      <c r="AT38"/>
      <c r="AU38"/>
      <c r="AV38"/>
      <c r="AW38"/>
    </row>
    <row r="39" spans="1:49" x14ac:dyDescent="0.3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P39"/>
      <c r="AQ39"/>
      <c r="AR39"/>
      <c r="AS39"/>
      <c r="AT39"/>
      <c r="AU39"/>
      <c r="AV39"/>
      <c r="AW39"/>
    </row>
    <row r="40" spans="1:49" x14ac:dyDescent="0.3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P40"/>
      <c r="AQ40"/>
      <c r="AR40"/>
      <c r="AS40"/>
      <c r="AT40"/>
      <c r="AU40"/>
      <c r="AV40"/>
      <c r="AW40"/>
    </row>
    <row r="41" spans="1:49" x14ac:dyDescent="0.3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P41"/>
      <c r="AQ41"/>
      <c r="AR41"/>
      <c r="AS41"/>
      <c r="AT41"/>
      <c r="AU41"/>
      <c r="AV41"/>
      <c r="AW41"/>
    </row>
    <row r="42" spans="1:49" x14ac:dyDescent="0.3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P42"/>
      <c r="AQ42"/>
      <c r="AR42"/>
      <c r="AS42"/>
      <c r="AT42"/>
      <c r="AU42"/>
      <c r="AV42"/>
      <c r="AW42"/>
    </row>
    <row r="43" spans="1:49" x14ac:dyDescent="0.3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P43"/>
      <c r="AQ43"/>
      <c r="AR43"/>
      <c r="AS43"/>
      <c r="AT43"/>
      <c r="AU43"/>
      <c r="AV43"/>
      <c r="AW43"/>
    </row>
    <row r="44" spans="1:49" customFormat="1" x14ac:dyDescent="0.3"/>
    <row r="45" spans="1:49" x14ac:dyDescent="0.3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P45"/>
      <c r="AQ45"/>
      <c r="AR45"/>
      <c r="AS45"/>
      <c r="AT45"/>
      <c r="AU45"/>
      <c r="AV45"/>
      <c r="AW45"/>
    </row>
    <row r="46" spans="1:49" x14ac:dyDescent="0.3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P46"/>
      <c r="AQ46"/>
      <c r="AR46"/>
      <c r="AS46"/>
      <c r="AT46"/>
      <c r="AU46"/>
      <c r="AV46"/>
      <c r="AW46"/>
    </row>
    <row r="47" spans="1:49" x14ac:dyDescent="0.3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P47"/>
      <c r="AQ47"/>
      <c r="AR47"/>
      <c r="AS47"/>
      <c r="AT47"/>
      <c r="AU47"/>
      <c r="AV47"/>
      <c r="AW47"/>
    </row>
    <row r="48" spans="1:49" x14ac:dyDescent="0.3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P48"/>
      <c r="AQ48"/>
      <c r="AR48"/>
      <c r="AS48"/>
      <c r="AT48"/>
      <c r="AU48"/>
      <c r="AV48"/>
      <c r="AW48"/>
    </row>
    <row r="49" spans="1:49" x14ac:dyDescent="0.3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P49"/>
      <c r="AQ49"/>
      <c r="AR49"/>
      <c r="AS49"/>
      <c r="AT49"/>
      <c r="AU49"/>
      <c r="AV49"/>
      <c r="AW49"/>
    </row>
    <row r="50" spans="1:49" x14ac:dyDescent="0.3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P50"/>
      <c r="AQ50"/>
      <c r="AR50"/>
      <c r="AS50"/>
      <c r="AT50"/>
      <c r="AU50"/>
      <c r="AV50"/>
      <c r="AW50"/>
    </row>
    <row r="51" spans="1:49" x14ac:dyDescent="0.3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P51"/>
      <c r="AQ51"/>
      <c r="AR51"/>
      <c r="AS51"/>
      <c r="AT51"/>
      <c r="AU51"/>
      <c r="AV51"/>
      <c r="AW51"/>
    </row>
    <row r="52" spans="1:49" x14ac:dyDescent="0.3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P52"/>
      <c r="AQ52"/>
      <c r="AR52"/>
      <c r="AS52"/>
      <c r="AT52"/>
      <c r="AU52"/>
      <c r="AV52"/>
      <c r="AW52"/>
    </row>
    <row r="53" spans="1:49" x14ac:dyDescent="0.3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P53"/>
      <c r="AQ53"/>
      <c r="AR53"/>
      <c r="AS53"/>
      <c r="AT53"/>
      <c r="AU53"/>
      <c r="AV53"/>
      <c r="AW53"/>
    </row>
    <row r="54" spans="1:49" x14ac:dyDescent="0.3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P54"/>
      <c r="AQ54"/>
      <c r="AR54"/>
      <c r="AS54"/>
      <c r="AT54"/>
      <c r="AU54"/>
      <c r="AV54"/>
      <c r="AW54"/>
    </row>
    <row r="55" spans="1:49" x14ac:dyDescent="0.3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P55"/>
      <c r="AQ55"/>
      <c r="AR55"/>
      <c r="AS55"/>
      <c r="AT55"/>
      <c r="AU55"/>
      <c r="AV55"/>
      <c r="AW55"/>
    </row>
    <row r="56" spans="1:49" x14ac:dyDescent="0.3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P56"/>
      <c r="AQ56"/>
      <c r="AR56"/>
      <c r="AS56"/>
      <c r="AT56"/>
      <c r="AU56"/>
      <c r="AV56"/>
      <c r="AW56"/>
    </row>
    <row r="57" spans="1:49" x14ac:dyDescent="0.3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P57"/>
      <c r="AQ57"/>
      <c r="AR57"/>
      <c r="AS57"/>
      <c r="AT57"/>
      <c r="AU57"/>
      <c r="AV57"/>
      <c r="AW57"/>
    </row>
    <row r="58" spans="1:49" x14ac:dyDescent="0.3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P58"/>
      <c r="AQ58"/>
      <c r="AR58"/>
      <c r="AS58"/>
      <c r="AT58"/>
      <c r="AU58"/>
      <c r="AV58"/>
      <c r="AW58"/>
    </row>
    <row r="59" spans="1:49" x14ac:dyDescent="0.3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P59"/>
      <c r="AQ59"/>
      <c r="AR59"/>
      <c r="AS59"/>
      <c r="AT59"/>
      <c r="AU59"/>
      <c r="AV59"/>
      <c r="AW59"/>
    </row>
    <row r="60" spans="1:49" x14ac:dyDescent="0.3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P60"/>
      <c r="AQ60"/>
      <c r="AR60"/>
      <c r="AS60"/>
      <c r="AT60"/>
      <c r="AU60"/>
      <c r="AV60"/>
      <c r="AW60"/>
    </row>
    <row r="61" spans="1:49" x14ac:dyDescent="0.3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P61"/>
      <c r="AQ61"/>
      <c r="AR61"/>
      <c r="AS61"/>
      <c r="AT61"/>
      <c r="AU61"/>
      <c r="AV61"/>
      <c r="AW61"/>
    </row>
    <row r="62" spans="1:49" x14ac:dyDescent="0.3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P62"/>
      <c r="AQ62"/>
      <c r="AR62"/>
      <c r="AS62"/>
      <c r="AT62"/>
      <c r="AU62"/>
      <c r="AV62"/>
      <c r="AW62"/>
    </row>
    <row r="63" spans="1:49" x14ac:dyDescent="0.3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P63"/>
      <c r="AQ63"/>
      <c r="AR63"/>
      <c r="AS63"/>
      <c r="AT63"/>
      <c r="AU63"/>
      <c r="AV63"/>
      <c r="AW63"/>
    </row>
    <row r="64" spans="1:49" s="1" customFormat="1" x14ac:dyDescent="0.3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</row>
    <row r="65" spans="1:49" s="1" customFormat="1" x14ac:dyDescent="0.3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</row>
    <row r="66" spans="1:49" s="1" customFormat="1" x14ac:dyDescent="0.3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</row>
    <row r="67" spans="1:49" x14ac:dyDescent="0.3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P67"/>
      <c r="AQ67"/>
      <c r="AR67"/>
      <c r="AS67"/>
      <c r="AT67"/>
      <c r="AU67"/>
      <c r="AV67"/>
      <c r="AW67"/>
    </row>
    <row r="68" spans="1:49" x14ac:dyDescent="0.3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P68"/>
      <c r="AQ68"/>
      <c r="AR68"/>
      <c r="AS68"/>
      <c r="AT68"/>
      <c r="AU68"/>
      <c r="AV68"/>
      <c r="AW68"/>
    </row>
    <row r="69" spans="1:49" x14ac:dyDescent="0.3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P69"/>
      <c r="AQ69"/>
      <c r="AR69"/>
      <c r="AS69"/>
      <c r="AT69"/>
      <c r="AU69"/>
      <c r="AV69"/>
      <c r="AW69"/>
    </row>
    <row r="70" spans="1:49" x14ac:dyDescent="0.3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P70"/>
      <c r="AQ70"/>
      <c r="AR70"/>
      <c r="AS70"/>
      <c r="AT70"/>
      <c r="AU70"/>
      <c r="AV70"/>
      <c r="AW70"/>
    </row>
    <row r="71" spans="1:49" x14ac:dyDescent="0.3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P71"/>
      <c r="AQ71"/>
      <c r="AR71"/>
      <c r="AS71"/>
      <c r="AT71"/>
      <c r="AU71"/>
      <c r="AV71"/>
      <c r="AW71"/>
    </row>
    <row r="72" spans="1:49" x14ac:dyDescent="0.3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P72"/>
      <c r="AQ72"/>
      <c r="AR72"/>
      <c r="AS72"/>
      <c r="AT72"/>
      <c r="AU72"/>
      <c r="AV72"/>
      <c r="AW72"/>
    </row>
    <row r="73" spans="1:49" x14ac:dyDescent="0.3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P73"/>
      <c r="AQ73"/>
      <c r="AR73"/>
      <c r="AS73"/>
      <c r="AT73"/>
      <c r="AU73"/>
      <c r="AV73"/>
      <c r="AW73"/>
    </row>
    <row r="74" spans="1:49" x14ac:dyDescent="0.3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P74"/>
      <c r="AQ74"/>
      <c r="AR74"/>
      <c r="AS74"/>
      <c r="AT74"/>
      <c r="AU74"/>
      <c r="AV74"/>
      <c r="AW74"/>
    </row>
    <row r="75" spans="1:49" x14ac:dyDescent="0.3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P75"/>
      <c r="AQ75"/>
      <c r="AR75"/>
      <c r="AS75"/>
      <c r="AT75"/>
      <c r="AU75"/>
      <c r="AV75"/>
      <c r="AW75"/>
    </row>
    <row r="76" spans="1:49" x14ac:dyDescent="0.3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P76"/>
      <c r="AQ76"/>
      <c r="AR76"/>
      <c r="AS76"/>
      <c r="AT76"/>
      <c r="AU76"/>
      <c r="AV76"/>
      <c r="AW76"/>
    </row>
    <row r="77" spans="1:49" x14ac:dyDescent="0.3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P77"/>
      <c r="AQ77"/>
      <c r="AR77"/>
      <c r="AS77"/>
      <c r="AT77"/>
      <c r="AU77"/>
      <c r="AV77"/>
      <c r="AW77"/>
    </row>
    <row r="78" spans="1:49" x14ac:dyDescent="0.3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P78"/>
      <c r="AQ78"/>
      <c r="AR78"/>
      <c r="AS78"/>
      <c r="AT78"/>
      <c r="AU78"/>
      <c r="AV78"/>
      <c r="AW78"/>
    </row>
    <row r="79" spans="1:49" x14ac:dyDescent="0.3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P79"/>
      <c r="AQ79"/>
      <c r="AR79"/>
      <c r="AS79"/>
      <c r="AT79"/>
      <c r="AU79"/>
      <c r="AV79"/>
      <c r="AW79"/>
    </row>
    <row r="80" spans="1:49" x14ac:dyDescent="0.3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P80"/>
      <c r="AQ80"/>
      <c r="AR80"/>
      <c r="AS80"/>
      <c r="AT80"/>
      <c r="AU80"/>
      <c r="AV80"/>
      <c r="AW80"/>
    </row>
    <row r="81" spans="1:49" x14ac:dyDescent="0.3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P81"/>
      <c r="AQ81"/>
      <c r="AR81"/>
      <c r="AS81"/>
      <c r="AT81"/>
      <c r="AU81"/>
      <c r="AV81"/>
      <c r="AW81"/>
    </row>
    <row r="82" spans="1:49" x14ac:dyDescent="0.3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P82"/>
      <c r="AQ82"/>
      <c r="AR82"/>
      <c r="AS82"/>
      <c r="AT82"/>
      <c r="AU82"/>
      <c r="AV82"/>
      <c r="AW82"/>
    </row>
    <row r="83" spans="1:49" x14ac:dyDescent="0.3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P83"/>
      <c r="AQ83"/>
      <c r="AR83"/>
      <c r="AS83"/>
      <c r="AT83"/>
      <c r="AU83"/>
      <c r="AV83"/>
      <c r="AW83"/>
    </row>
    <row r="84" spans="1:49" x14ac:dyDescent="0.3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P84"/>
      <c r="AQ84"/>
      <c r="AR84"/>
      <c r="AS84"/>
      <c r="AT84"/>
      <c r="AU84"/>
      <c r="AV84"/>
      <c r="AW84"/>
    </row>
    <row r="85" spans="1:49" x14ac:dyDescent="0.3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P85"/>
      <c r="AQ85"/>
      <c r="AR85"/>
      <c r="AS85"/>
      <c r="AT85"/>
      <c r="AU85"/>
      <c r="AV85"/>
      <c r="AW85"/>
    </row>
    <row r="86" spans="1:49" x14ac:dyDescent="0.3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P86"/>
      <c r="AQ86"/>
      <c r="AR86"/>
      <c r="AS86"/>
      <c r="AT86"/>
      <c r="AU86"/>
      <c r="AV86"/>
      <c r="AW86"/>
    </row>
    <row r="87" spans="1:49" x14ac:dyDescent="0.3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P87"/>
      <c r="AQ87"/>
      <c r="AR87"/>
      <c r="AS87"/>
      <c r="AT87"/>
      <c r="AU87"/>
      <c r="AV87"/>
      <c r="AW87"/>
    </row>
    <row r="88" spans="1:49" x14ac:dyDescent="0.3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P88"/>
      <c r="AQ88"/>
      <c r="AR88"/>
      <c r="AS88"/>
      <c r="AT88"/>
      <c r="AU88"/>
      <c r="AV88"/>
      <c r="AW88"/>
    </row>
    <row r="89" spans="1:49" x14ac:dyDescent="0.3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P89"/>
      <c r="AQ89"/>
      <c r="AR89"/>
      <c r="AS89"/>
      <c r="AT89"/>
      <c r="AU89"/>
      <c r="AV89"/>
      <c r="AW89"/>
    </row>
    <row r="90" spans="1:49" x14ac:dyDescent="0.3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P90"/>
      <c r="AQ90"/>
      <c r="AR90"/>
      <c r="AS90"/>
      <c r="AT90"/>
      <c r="AU90"/>
      <c r="AV90"/>
      <c r="AW90"/>
    </row>
    <row r="91" spans="1:49" x14ac:dyDescent="0.3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P91"/>
      <c r="AQ91"/>
      <c r="AR91"/>
      <c r="AS91"/>
      <c r="AT91"/>
      <c r="AU91"/>
      <c r="AV91"/>
      <c r="AW91"/>
    </row>
    <row r="92" spans="1:49" x14ac:dyDescent="0.3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P92"/>
      <c r="AQ92"/>
      <c r="AR92"/>
      <c r="AS92"/>
      <c r="AT92"/>
      <c r="AU92"/>
      <c r="AV92"/>
      <c r="AW92"/>
    </row>
    <row r="93" spans="1:49" x14ac:dyDescent="0.3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P93"/>
      <c r="AQ93"/>
      <c r="AR93"/>
      <c r="AS93"/>
      <c r="AT93"/>
      <c r="AU93"/>
      <c r="AV93"/>
      <c r="AW93"/>
    </row>
    <row r="94" spans="1:49" x14ac:dyDescent="0.3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P94"/>
      <c r="AQ94"/>
      <c r="AR94"/>
      <c r="AS94"/>
      <c r="AT94"/>
      <c r="AU94"/>
      <c r="AV94"/>
      <c r="AW94"/>
    </row>
    <row r="95" spans="1:49" x14ac:dyDescent="0.3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P95"/>
      <c r="AQ95"/>
      <c r="AR95"/>
      <c r="AS95"/>
      <c r="AT95"/>
      <c r="AU95"/>
      <c r="AV95"/>
      <c r="AW95"/>
    </row>
    <row r="96" spans="1:49" x14ac:dyDescent="0.3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P96"/>
      <c r="AQ96"/>
      <c r="AR96"/>
      <c r="AS96"/>
      <c r="AT96"/>
      <c r="AU96"/>
      <c r="AV96"/>
      <c r="AW96"/>
    </row>
    <row r="97" spans="1:49" x14ac:dyDescent="0.3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P97"/>
      <c r="AQ97"/>
      <c r="AR97"/>
      <c r="AS97"/>
      <c r="AT97"/>
      <c r="AU97"/>
      <c r="AV97"/>
      <c r="AW97"/>
    </row>
    <row r="98" spans="1:49" x14ac:dyDescent="0.3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P98"/>
      <c r="AQ98"/>
      <c r="AR98"/>
      <c r="AS98"/>
      <c r="AT98"/>
      <c r="AU98"/>
      <c r="AV98"/>
      <c r="AW98"/>
    </row>
    <row r="99" spans="1:49" x14ac:dyDescent="0.3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P99"/>
      <c r="AQ99"/>
      <c r="AR99"/>
      <c r="AS99"/>
      <c r="AT99"/>
      <c r="AU99"/>
      <c r="AV99"/>
      <c r="AW99"/>
    </row>
    <row r="100" spans="1:49" x14ac:dyDescent="0.3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P100"/>
      <c r="AQ100"/>
      <c r="AR100"/>
      <c r="AS100"/>
      <c r="AT100"/>
      <c r="AU100"/>
      <c r="AV100"/>
      <c r="AW100"/>
    </row>
    <row r="101" spans="1:49" x14ac:dyDescent="0.3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P101"/>
      <c r="AQ101"/>
      <c r="AR101"/>
      <c r="AS101"/>
      <c r="AT101"/>
      <c r="AU101"/>
      <c r="AV101"/>
      <c r="AW101"/>
    </row>
    <row r="102" spans="1:49" x14ac:dyDescent="0.3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P102"/>
      <c r="AQ102"/>
      <c r="AR102"/>
      <c r="AS102"/>
      <c r="AT102"/>
      <c r="AU102"/>
      <c r="AV102"/>
      <c r="AW102"/>
    </row>
    <row r="103" spans="1:49" x14ac:dyDescent="0.3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P103"/>
      <c r="AQ103"/>
      <c r="AR103"/>
      <c r="AS103"/>
      <c r="AT103"/>
      <c r="AU103"/>
      <c r="AV103"/>
      <c r="AW103"/>
    </row>
    <row r="104" spans="1:49" x14ac:dyDescent="0.3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P104"/>
      <c r="AQ104"/>
      <c r="AR104"/>
      <c r="AS104"/>
      <c r="AT104"/>
      <c r="AU104"/>
      <c r="AV104"/>
      <c r="AW104"/>
    </row>
    <row r="105" spans="1:49" x14ac:dyDescent="0.3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P105"/>
      <c r="AQ105"/>
      <c r="AR105"/>
      <c r="AS105"/>
      <c r="AT105"/>
      <c r="AU105"/>
      <c r="AV105"/>
      <c r="AW105"/>
    </row>
    <row r="106" spans="1:49" x14ac:dyDescent="0.3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P106"/>
      <c r="AQ106"/>
      <c r="AR106"/>
      <c r="AS106"/>
      <c r="AT106"/>
      <c r="AU106"/>
      <c r="AV106"/>
      <c r="AW106"/>
    </row>
    <row r="107" spans="1:49" x14ac:dyDescent="0.3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P107"/>
      <c r="AQ107"/>
      <c r="AR107"/>
      <c r="AS107"/>
      <c r="AT107"/>
      <c r="AU107"/>
      <c r="AV107"/>
      <c r="AW107"/>
    </row>
    <row r="108" spans="1:49" x14ac:dyDescent="0.3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P108"/>
      <c r="AQ108"/>
      <c r="AR108"/>
      <c r="AS108"/>
      <c r="AT108"/>
      <c r="AU108"/>
      <c r="AV108"/>
      <c r="AW108"/>
    </row>
    <row r="109" spans="1:49" x14ac:dyDescent="0.3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P109"/>
      <c r="AQ109"/>
      <c r="AR109"/>
      <c r="AS109"/>
      <c r="AT109"/>
      <c r="AU109"/>
      <c r="AV109"/>
      <c r="AW109"/>
    </row>
    <row r="110" spans="1:49" x14ac:dyDescent="0.3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P110"/>
      <c r="AQ110"/>
      <c r="AR110"/>
      <c r="AS110"/>
      <c r="AT110"/>
      <c r="AU110"/>
      <c r="AV110"/>
      <c r="AW110"/>
    </row>
    <row r="111" spans="1:49" x14ac:dyDescent="0.3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P111"/>
      <c r="AQ111"/>
      <c r="AR111"/>
      <c r="AS111"/>
      <c r="AT111"/>
      <c r="AU111"/>
      <c r="AV111"/>
      <c r="AW111"/>
    </row>
    <row r="112" spans="1:49" x14ac:dyDescent="0.3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P112"/>
      <c r="AQ112"/>
      <c r="AR112"/>
      <c r="AS112"/>
      <c r="AT112"/>
      <c r="AU112"/>
      <c r="AV112"/>
      <c r="AW112"/>
    </row>
    <row r="113" spans="1:49" x14ac:dyDescent="0.3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P113"/>
      <c r="AQ113"/>
      <c r="AR113"/>
      <c r="AS113"/>
      <c r="AT113"/>
      <c r="AU113"/>
      <c r="AV113"/>
      <c r="AW113"/>
    </row>
    <row r="114" spans="1:49" x14ac:dyDescent="0.3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P114"/>
      <c r="AQ114"/>
      <c r="AR114"/>
      <c r="AS114"/>
      <c r="AT114"/>
      <c r="AU114"/>
      <c r="AV114"/>
      <c r="AW114"/>
    </row>
    <row r="115" spans="1:49" x14ac:dyDescent="0.3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P115"/>
      <c r="AQ115"/>
      <c r="AR115"/>
      <c r="AS115"/>
      <c r="AT115"/>
      <c r="AU115"/>
      <c r="AV115"/>
      <c r="AW115"/>
    </row>
    <row r="116" spans="1:49" x14ac:dyDescent="0.3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P116"/>
      <c r="AQ116"/>
      <c r="AR116"/>
      <c r="AS116"/>
      <c r="AT116"/>
      <c r="AU116"/>
      <c r="AV116"/>
      <c r="AW116"/>
    </row>
    <row r="117" spans="1:49" x14ac:dyDescent="0.3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P117"/>
      <c r="AQ117"/>
      <c r="AR117"/>
      <c r="AS117"/>
      <c r="AT117"/>
      <c r="AU117"/>
      <c r="AV117"/>
      <c r="AW117"/>
    </row>
    <row r="118" spans="1:49" x14ac:dyDescent="0.3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P118"/>
      <c r="AQ118"/>
      <c r="AR118"/>
      <c r="AS118"/>
      <c r="AT118"/>
      <c r="AU118"/>
      <c r="AV118"/>
      <c r="AW118"/>
    </row>
    <row r="119" spans="1:49" x14ac:dyDescent="0.3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P119"/>
      <c r="AQ119"/>
      <c r="AR119"/>
      <c r="AS119"/>
      <c r="AT119"/>
      <c r="AU119"/>
      <c r="AV119"/>
      <c r="AW119"/>
    </row>
    <row r="120" spans="1:49" x14ac:dyDescent="0.3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P120"/>
      <c r="AQ120"/>
      <c r="AR120"/>
      <c r="AS120"/>
      <c r="AT120"/>
      <c r="AU120"/>
      <c r="AV120"/>
      <c r="AW120"/>
    </row>
    <row r="121" spans="1:49" x14ac:dyDescent="0.3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P121"/>
      <c r="AQ121"/>
      <c r="AR121"/>
      <c r="AS121"/>
      <c r="AT121"/>
      <c r="AU121"/>
      <c r="AV121"/>
      <c r="AW121"/>
    </row>
    <row r="122" spans="1:49" x14ac:dyDescent="0.3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P122"/>
      <c r="AQ122"/>
      <c r="AR122"/>
      <c r="AS122"/>
      <c r="AT122"/>
      <c r="AU122"/>
      <c r="AV122"/>
      <c r="AW122"/>
    </row>
    <row r="123" spans="1:49" x14ac:dyDescent="0.3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P123"/>
      <c r="AQ123"/>
      <c r="AR123"/>
      <c r="AS123"/>
      <c r="AT123"/>
      <c r="AU123"/>
      <c r="AV123"/>
      <c r="AW123"/>
    </row>
    <row r="124" spans="1:49" x14ac:dyDescent="0.3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P124"/>
      <c r="AQ124"/>
      <c r="AR124"/>
      <c r="AS124"/>
      <c r="AT124"/>
      <c r="AU124"/>
      <c r="AV124"/>
      <c r="AW124"/>
    </row>
    <row r="125" spans="1:49" x14ac:dyDescent="0.3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P125"/>
      <c r="AQ125"/>
      <c r="AR125"/>
      <c r="AS125"/>
      <c r="AT125"/>
      <c r="AU125"/>
      <c r="AV125"/>
      <c r="AW125"/>
    </row>
    <row r="126" spans="1:49" x14ac:dyDescent="0.3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P126"/>
      <c r="AQ126"/>
      <c r="AR126"/>
      <c r="AS126"/>
      <c r="AT126"/>
      <c r="AU126"/>
      <c r="AV126"/>
      <c r="AW126"/>
    </row>
    <row r="127" spans="1:49" x14ac:dyDescent="0.3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P127"/>
      <c r="AQ127"/>
      <c r="AR127"/>
      <c r="AS127"/>
      <c r="AT127"/>
      <c r="AU127"/>
      <c r="AV127"/>
      <c r="AW127"/>
    </row>
    <row r="128" spans="1:49" x14ac:dyDescent="0.3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P128"/>
      <c r="AQ128"/>
      <c r="AR128"/>
      <c r="AS128"/>
      <c r="AT128"/>
      <c r="AU128"/>
      <c r="AV128"/>
      <c r="AW128"/>
    </row>
    <row r="129" spans="1:49" x14ac:dyDescent="0.3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P129"/>
      <c r="AQ129"/>
      <c r="AR129"/>
      <c r="AS129"/>
      <c r="AT129"/>
      <c r="AU129"/>
      <c r="AV129"/>
      <c r="AW129"/>
    </row>
    <row r="130" spans="1:49" x14ac:dyDescent="0.3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P130"/>
      <c r="AQ130"/>
      <c r="AR130"/>
      <c r="AS130"/>
      <c r="AT130"/>
      <c r="AU130"/>
      <c r="AV130"/>
      <c r="AW130"/>
    </row>
    <row r="131" spans="1:49" x14ac:dyDescent="0.3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P131"/>
      <c r="AQ131"/>
      <c r="AR131"/>
      <c r="AS131"/>
      <c r="AT131"/>
      <c r="AU131"/>
      <c r="AV131"/>
      <c r="AW131"/>
    </row>
    <row r="132" spans="1:49" x14ac:dyDescent="0.3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P132"/>
      <c r="AQ132"/>
      <c r="AR132"/>
      <c r="AS132"/>
      <c r="AT132"/>
      <c r="AU132"/>
      <c r="AV132"/>
      <c r="AW132"/>
    </row>
    <row r="133" spans="1:49" x14ac:dyDescent="0.3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P133"/>
      <c r="AQ133"/>
      <c r="AR133"/>
      <c r="AS133"/>
      <c r="AT133"/>
      <c r="AU133"/>
      <c r="AV133"/>
      <c r="AW133"/>
    </row>
    <row r="134" spans="1:49" x14ac:dyDescent="0.3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P134"/>
      <c r="AQ134"/>
      <c r="AR134"/>
      <c r="AS134"/>
      <c r="AT134"/>
      <c r="AU134"/>
      <c r="AV134"/>
      <c r="AW134"/>
    </row>
    <row r="135" spans="1:49" x14ac:dyDescent="0.3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P135"/>
      <c r="AQ135"/>
      <c r="AR135"/>
      <c r="AS135"/>
      <c r="AT135"/>
      <c r="AU135"/>
      <c r="AV135"/>
      <c r="AW135"/>
    </row>
    <row r="136" spans="1:49" x14ac:dyDescent="0.3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P136"/>
      <c r="AQ136"/>
      <c r="AR136"/>
      <c r="AS136"/>
      <c r="AT136"/>
      <c r="AU136"/>
      <c r="AV136"/>
      <c r="AW136"/>
    </row>
    <row r="137" spans="1:49" x14ac:dyDescent="0.3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P137"/>
      <c r="AQ137"/>
      <c r="AR137"/>
      <c r="AS137"/>
      <c r="AT137"/>
      <c r="AU137"/>
      <c r="AV137"/>
      <c r="AW137"/>
    </row>
    <row r="138" spans="1:49" x14ac:dyDescent="0.3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P138"/>
      <c r="AQ138"/>
      <c r="AR138"/>
      <c r="AS138"/>
      <c r="AT138"/>
      <c r="AU138"/>
      <c r="AV138"/>
      <c r="AW138"/>
    </row>
    <row r="139" spans="1:49" x14ac:dyDescent="0.3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P139"/>
      <c r="AQ139"/>
      <c r="AR139"/>
      <c r="AS139"/>
      <c r="AT139"/>
      <c r="AU139"/>
      <c r="AV139"/>
      <c r="AW139"/>
    </row>
    <row r="140" spans="1:49" x14ac:dyDescent="0.3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P140"/>
      <c r="AQ140"/>
      <c r="AR140"/>
      <c r="AS140"/>
      <c r="AT140"/>
      <c r="AU140"/>
      <c r="AV140"/>
      <c r="AW140"/>
    </row>
    <row r="141" spans="1:49" x14ac:dyDescent="0.3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P141"/>
      <c r="AQ141"/>
      <c r="AR141"/>
      <c r="AS141"/>
      <c r="AT141"/>
      <c r="AU141"/>
      <c r="AV141"/>
      <c r="AW141"/>
    </row>
    <row r="142" spans="1:49" x14ac:dyDescent="0.3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P142"/>
      <c r="AQ142"/>
      <c r="AR142"/>
      <c r="AS142"/>
      <c r="AT142"/>
      <c r="AU142"/>
      <c r="AV142"/>
      <c r="AW142"/>
    </row>
    <row r="143" spans="1:49" x14ac:dyDescent="0.3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P143"/>
      <c r="AQ143"/>
      <c r="AR143"/>
      <c r="AS143"/>
      <c r="AT143"/>
      <c r="AU143"/>
      <c r="AV143"/>
      <c r="AW143"/>
    </row>
    <row r="144" spans="1:49" x14ac:dyDescent="0.3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P144"/>
      <c r="AQ144"/>
      <c r="AR144"/>
      <c r="AS144"/>
      <c r="AT144"/>
      <c r="AU144"/>
      <c r="AV144"/>
      <c r="AW144"/>
    </row>
    <row r="145" spans="1:49" x14ac:dyDescent="0.3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P145"/>
      <c r="AQ145"/>
      <c r="AR145"/>
      <c r="AS145"/>
      <c r="AT145"/>
      <c r="AU145"/>
      <c r="AV145"/>
      <c r="AW145"/>
    </row>
    <row r="146" spans="1:49" x14ac:dyDescent="0.3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P146"/>
      <c r="AQ146"/>
      <c r="AR146"/>
      <c r="AS146"/>
      <c r="AT146"/>
      <c r="AU146"/>
      <c r="AV146"/>
      <c r="AW146"/>
    </row>
    <row r="147" spans="1:49" x14ac:dyDescent="0.3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P147"/>
      <c r="AQ147"/>
      <c r="AR147"/>
      <c r="AS147"/>
      <c r="AT147"/>
      <c r="AU147"/>
      <c r="AV147"/>
      <c r="AW147"/>
    </row>
    <row r="148" spans="1:49" x14ac:dyDescent="0.3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P148"/>
      <c r="AQ148"/>
      <c r="AR148"/>
      <c r="AS148"/>
      <c r="AT148"/>
      <c r="AU148"/>
      <c r="AV148"/>
      <c r="AW148"/>
    </row>
    <row r="149" spans="1:49" x14ac:dyDescent="0.3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P149"/>
      <c r="AQ149"/>
      <c r="AR149"/>
      <c r="AS149"/>
      <c r="AT149"/>
      <c r="AU149"/>
      <c r="AV149"/>
      <c r="AW149"/>
    </row>
    <row r="150" spans="1:49" x14ac:dyDescent="0.3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P150"/>
      <c r="AQ150"/>
      <c r="AR150"/>
      <c r="AS150"/>
      <c r="AT150"/>
      <c r="AU150"/>
      <c r="AV150"/>
      <c r="AW150"/>
    </row>
    <row r="151" spans="1:49" x14ac:dyDescent="0.3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P151"/>
      <c r="AQ151"/>
      <c r="AR151"/>
      <c r="AS151"/>
      <c r="AT151"/>
      <c r="AU151"/>
      <c r="AV151"/>
      <c r="AW151"/>
    </row>
    <row r="152" spans="1:49" x14ac:dyDescent="0.3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P152"/>
      <c r="AQ152"/>
      <c r="AR152"/>
      <c r="AS152"/>
      <c r="AT152"/>
      <c r="AU152"/>
      <c r="AV152"/>
      <c r="AW152"/>
    </row>
    <row r="153" spans="1:49" x14ac:dyDescent="0.3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P153"/>
      <c r="AQ153"/>
      <c r="AR153"/>
      <c r="AS153"/>
      <c r="AT153"/>
      <c r="AU153"/>
      <c r="AV153"/>
      <c r="AW153"/>
    </row>
    <row r="154" spans="1:49" x14ac:dyDescent="0.3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P154"/>
      <c r="AQ154"/>
      <c r="AR154"/>
      <c r="AS154"/>
      <c r="AT154"/>
      <c r="AU154"/>
      <c r="AV154"/>
      <c r="AW154"/>
    </row>
    <row r="155" spans="1:49" x14ac:dyDescent="0.3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P155"/>
      <c r="AQ155"/>
      <c r="AR155"/>
      <c r="AS155"/>
      <c r="AT155"/>
      <c r="AU155"/>
      <c r="AV155"/>
      <c r="AW155"/>
    </row>
    <row r="156" spans="1:49" x14ac:dyDescent="0.3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P156"/>
      <c r="AQ156"/>
      <c r="AR156"/>
      <c r="AS156"/>
      <c r="AT156"/>
      <c r="AU156"/>
      <c r="AV156"/>
      <c r="AW156"/>
    </row>
    <row r="157" spans="1:49" x14ac:dyDescent="0.3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P157"/>
      <c r="AQ157"/>
      <c r="AR157"/>
      <c r="AS157"/>
      <c r="AT157"/>
      <c r="AU157"/>
      <c r="AV157"/>
      <c r="AW157"/>
    </row>
    <row r="158" spans="1:49" x14ac:dyDescent="0.3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P158"/>
      <c r="AQ158"/>
      <c r="AR158"/>
      <c r="AS158"/>
      <c r="AT158"/>
      <c r="AU158"/>
      <c r="AV158"/>
      <c r="AW158"/>
    </row>
    <row r="159" spans="1:49" x14ac:dyDescent="0.3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P159"/>
      <c r="AQ159"/>
      <c r="AR159"/>
      <c r="AS159"/>
      <c r="AT159"/>
      <c r="AU159"/>
      <c r="AV159"/>
      <c r="AW159"/>
    </row>
    <row r="160" spans="1:49" x14ac:dyDescent="0.3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P160"/>
      <c r="AQ160"/>
      <c r="AR160"/>
      <c r="AS160"/>
      <c r="AT160"/>
      <c r="AU160"/>
      <c r="AV160"/>
      <c r="AW160"/>
    </row>
    <row r="161" spans="1:49" x14ac:dyDescent="0.3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P161"/>
      <c r="AQ161"/>
      <c r="AR161"/>
      <c r="AS161"/>
      <c r="AT161"/>
      <c r="AU161"/>
      <c r="AV161"/>
      <c r="AW161"/>
    </row>
    <row r="162" spans="1:49" x14ac:dyDescent="0.3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P162"/>
      <c r="AQ162"/>
      <c r="AR162"/>
      <c r="AS162"/>
      <c r="AT162"/>
      <c r="AU162"/>
      <c r="AV162"/>
      <c r="AW162"/>
    </row>
    <row r="163" spans="1:49" x14ac:dyDescent="0.3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P163"/>
      <c r="AQ163"/>
      <c r="AR163"/>
      <c r="AS163"/>
      <c r="AT163"/>
      <c r="AU163"/>
      <c r="AV163"/>
      <c r="AW163"/>
    </row>
    <row r="164" spans="1:49" x14ac:dyDescent="0.3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P164"/>
      <c r="AQ164"/>
      <c r="AR164"/>
      <c r="AS164"/>
      <c r="AT164"/>
      <c r="AU164"/>
      <c r="AV164"/>
      <c r="AW164"/>
    </row>
    <row r="165" spans="1:49" x14ac:dyDescent="0.3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P165"/>
      <c r="AQ165"/>
      <c r="AR165"/>
      <c r="AS165"/>
      <c r="AT165"/>
      <c r="AU165"/>
      <c r="AV165"/>
      <c r="AW165"/>
    </row>
    <row r="166" spans="1:49" x14ac:dyDescent="0.3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P166"/>
      <c r="AQ166"/>
      <c r="AR166"/>
      <c r="AS166"/>
      <c r="AT166"/>
      <c r="AU166"/>
      <c r="AV166"/>
      <c r="AW166"/>
    </row>
    <row r="167" spans="1:49" x14ac:dyDescent="0.3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P167"/>
      <c r="AQ167"/>
      <c r="AR167"/>
      <c r="AS167"/>
      <c r="AT167"/>
      <c r="AU167"/>
      <c r="AV167"/>
      <c r="AW167"/>
    </row>
    <row r="168" spans="1:49" x14ac:dyDescent="0.3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P168"/>
      <c r="AQ168"/>
      <c r="AR168"/>
      <c r="AS168"/>
      <c r="AT168"/>
      <c r="AU168"/>
      <c r="AV168"/>
      <c r="AW168"/>
    </row>
    <row r="169" spans="1:49" x14ac:dyDescent="0.3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P169"/>
      <c r="AQ169"/>
      <c r="AR169"/>
      <c r="AS169"/>
      <c r="AT169"/>
      <c r="AU169"/>
      <c r="AV169"/>
      <c r="AW169"/>
    </row>
    <row r="170" spans="1:49" x14ac:dyDescent="0.3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P170"/>
      <c r="AQ170"/>
      <c r="AR170"/>
      <c r="AS170"/>
      <c r="AT170"/>
      <c r="AU170"/>
      <c r="AV170"/>
      <c r="AW170"/>
    </row>
    <row r="171" spans="1:49" x14ac:dyDescent="0.3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P171"/>
      <c r="AQ171"/>
      <c r="AR171"/>
      <c r="AS171"/>
      <c r="AT171"/>
      <c r="AU171"/>
      <c r="AV171"/>
      <c r="AW171"/>
    </row>
    <row r="172" spans="1:49" x14ac:dyDescent="0.3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P172"/>
      <c r="AQ172"/>
      <c r="AR172"/>
      <c r="AS172"/>
      <c r="AT172"/>
      <c r="AU172"/>
      <c r="AV172"/>
      <c r="AW172"/>
    </row>
    <row r="173" spans="1:49" x14ac:dyDescent="0.3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P173"/>
      <c r="AQ173"/>
      <c r="AR173"/>
      <c r="AS173"/>
      <c r="AT173"/>
      <c r="AU173"/>
      <c r="AV173"/>
      <c r="AW173"/>
    </row>
    <row r="174" spans="1:49" x14ac:dyDescent="0.3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P174"/>
      <c r="AQ174"/>
      <c r="AR174"/>
      <c r="AS174"/>
      <c r="AT174"/>
      <c r="AU174"/>
      <c r="AV174"/>
      <c r="AW174"/>
    </row>
    <row r="175" spans="1:49" x14ac:dyDescent="0.3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P175"/>
      <c r="AQ175"/>
      <c r="AR175"/>
      <c r="AS175"/>
      <c r="AT175"/>
      <c r="AU175"/>
      <c r="AV175"/>
      <c r="AW175"/>
    </row>
    <row r="176" spans="1:49" x14ac:dyDescent="0.3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P176"/>
      <c r="AQ176"/>
      <c r="AR176"/>
      <c r="AS176"/>
      <c r="AT176"/>
      <c r="AU176"/>
      <c r="AV176"/>
      <c r="AW176"/>
    </row>
    <row r="177" spans="1:49" x14ac:dyDescent="0.3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P177"/>
      <c r="AQ177"/>
      <c r="AR177"/>
      <c r="AS177"/>
      <c r="AT177"/>
      <c r="AU177"/>
      <c r="AV177"/>
      <c r="AW177"/>
    </row>
    <row r="178" spans="1:49" x14ac:dyDescent="0.3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P178"/>
      <c r="AQ178"/>
      <c r="AR178"/>
      <c r="AS178"/>
      <c r="AT178"/>
      <c r="AU178"/>
      <c r="AV178"/>
      <c r="AW178"/>
    </row>
    <row r="179" spans="1:49" x14ac:dyDescent="0.3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P179"/>
      <c r="AQ179"/>
      <c r="AR179"/>
      <c r="AS179"/>
      <c r="AT179"/>
      <c r="AU179"/>
      <c r="AV179"/>
      <c r="AW179"/>
    </row>
    <row r="180" spans="1:49" x14ac:dyDescent="0.3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P180"/>
      <c r="AQ180"/>
      <c r="AR180"/>
      <c r="AS180"/>
      <c r="AT180"/>
      <c r="AU180"/>
      <c r="AV180"/>
      <c r="AW180"/>
    </row>
    <row r="181" spans="1:49" x14ac:dyDescent="0.3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P181"/>
      <c r="AQ181"/>
      <c r="AR181"/>
      <c r="AS181"/>
      <c r="AT181"/>
      <c r="AU181"/>
      <c r="AV181"/>
      <c r="AW181"/>
    </row>
    <row r="182" spans="1:49" x14ac:dyDescent="0.3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P182"/>
      <c r="AQ182"/>
      <c r="AR182"/>
      <c r="AS182"/>
      <c r="AT182"/>
      <c r="AU182"/>
      <c r="AV182"/>
      <c r="AW182"/>
    </row>
    <row r="183" spans="1:49" x14ac:dyDescent="0.3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P183"/>
      <c r="AQ183"/>
      <c r="AR183"/>
      <c r="AS183"/>
      <c r="AT183"/>
      <c r="AU183"/>
      <c r="AV183"/>
      <c r="AW183"/>
    </row>
    <row r="184" spans="1:49" x14ac:dyDescent="0.3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P184"/>
      <c r="AQ184"/>
      <c r="AR184"/>
      <c r="AS184"/>
      <c r="AT184"/>
      <c r="AU184"/>
      <c r="AV184"/>
      <c r="AW184"/>
    </row>
    <row r="185" spans="1:49" x14ac:dyDescent="0.3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P185"/>
      <c r="AQ185"/>
      <c r="AR185"/>
      <c r="AS185"/>
      <c r="AT185"/>
      <c r="AU185"/>
      <c r="AV185"/>
      <c r="AW185"/>
    </row>
    <row r="186" spans="1:49" x14ac:dyDescent="0.3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P186"/>
      <c r="AQ186"/>
      <c r="AR186"/>
      <c r="AS186"/>
      <c r="AT186"/>
      <c r="AU186"/>
      <c r="AV186"/>
      <c r="AW186"/>
    </row>
    <row r="187" spans="1:49" x14ac:dyDescent="0.3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P187"/>
      <c r="AQ187"/>
      <c r="AR187"/>
      <c r="AS187"/>
      <c r="AT187"/>
      <c r="AU187"/>
      <c r="AV187"/>
      <c r="AW187"/>
    </row>
    <row r="188" spans="1:49" x14ac:dyDescent="0.3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P188"/>
      <c r="AQ188"/>
      <c r="AR188"/>
      <c r="AS188"/>
      <c r="AT188"/>
      <c r="AU188"/>
      <c r="AV188"/>
      <c r="AW188"/>
    </row>
    <row r="189" spans="1:49" x14ac:dyDescent="0.3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P189"/>
      <c r="AQ189"/>
      <c r="AR189"/>
      <c r="AS189"/>
      <c r="AT189"/>
      <c r="AU189"/>
      <c r="AV189"/>
      <c r="AW189"/>
    </row>
    <row r="190" spans="1:49" x14ac:dyDescent="0.3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P190"/>
      <c r="AQ190"/>
      <c r="AR190"/>
      <c r="AS190"/>
      <c r="AT190"/>
      <c r="AU190"/>
      <c r="AV190"/>
      <c r="AW190"/>
    </row>
    <row r="191" spans="1:49" x14ac:dyDescent="0.3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P191"/>
      <c r="AQ191"/>
      <c r="AR191"/>
      <c r="AS191"/>
      <c r="AT191"/>
      <c r="AU191"/>
      <c r="AV191"/>
      <c r="AW191"/>
    </row>
    <row r="192" spans="1:49" x14ac:dyDescent="0.3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P192"/>
      <c r="AQ192"/>
      <c r="AR192"/>
      <c r="AS192"/>
      <c r="AT192"/>
      <c r="AU192"/>
      <c r="AV192"/>
      <c r="AW192"/>
    </row>
    <row r="193" spans="1:49" x14ac:dyDescent="0.3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P193"/>
      <c r="AQ193"/>
      <c r="AR193"/>
      <c r="AS193"/>
      <c r="AT193"/>
      <c r="AU193"/>
      <c r="AV193"/>
      <c r="AW193"/>
    </row>
    <row r="194" spans="1:49" x14ac:dyDescent="0.3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P194"/>
      <c r="AQ194"/>
      <c r="AR194"/>
      <c r="AS194"/>
      <c r="AT194"/>
      <c r="AU194"/>
      <c r="AV194"/>
      <c r="AW194"/>
    </row>
    <row r="195" spans="1:49" x14ac:dyDescent="0.3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P195"/>
      <c r="AQ195"/>
      <c r="AR195"/>
      <c r="AS195"/>
      <c r="AT195"/>
      <c r="AU195"/>
      <c r="AV195"/>
      <c r="AW195"/>
    </row>
    <row r="196" spans="1:49" x14ac:dyDescent="0.3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P196"/>
      <c r="AQ196"/>
      <c r="AR196"/>
      <c r="AS196"/>
      <c r="AT196"/>
      <c r="AU196"/>
      <c r="AV196"/>
      <c r="AW196"/>
    </row>
    <row r="197" spans="1:49" x14ac:dyDescent="0.3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P197"/>
      <c r="AQ197"/>
      <c r="AR197"/>
      <c r="AS197"/>
      <c r="AT197"/>
      <c r="AU197"/>
      <c r="AV197"/>
      <c r="AW197"/>
    </row>
    <row r="198" spans="1:49" x14ac:dyDescent="0.3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P198"/>
      <c r="AQ198"/>
      <c r="AR198"/>
      <c r="AS198"/>
      <c r="AT198"/>
      <c r="AU198"/>
      <c r="AV198"/>
      <c r="AW198"/>
    </row>
    <row r="199" spans="1:49" x14ac:dyDescent="0.3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P199"/>
      <c r="AQ199"/>
      <c r="AR199"/>
      <c r="AS199"/>
      <c r="AT199"/>
      <c r="AU199"/>
      <c r="AV199"/>
      <c r="AW199"/>
    </row>
    <row r="200" spans="1:49" x14ac:dyDescent="0.3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P200"/>
      <c r="AQ200"/>
      <c r="AR200"/>
      <c r="AS200"/>
      <c r="AT200"/>
      <c r="AU200"/>
      <c r="AV200"/>
      <c r="AW200"/>
    </row>
    <row r="201" spans="1:49" x14ac:dyDescent="0.3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P201"/>
      <c r="AQ201"/>
      <c r="AR201"/>
      <c r="AS201"/>
      <c r="AT201"/>
      <c r="AU201"/>
      <c r="AV201"/>
      <c r="AW201"/>
    </row>
    <row r="202" spans="1:49" x14ac:dyDescent="0.3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P202"/>
      <c r="AQ202"/>
      <c r="AR202"/>
      <c r="AS202"/>
      <c r="AT202"/>
      <c r="AU202"/>
      <c r="AV202"/>
      <c r="AW202"/>
    </row>
    <row r="203" spans="1:49" x14ac:dyDescent="0.3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P203"/>
      <c r="AQ203"/>
      <c r="AR203"/>
      <c r="AS203"/>
      <c r="AT203"/>
      <c r="AU203"/>
      <c r="AV203"/>
      <c r="AW203"/>
    </row>
    <row r="204" spans="1:49" x14ac:dyDescent="0.3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P204"/>
      <c r="AQ204"/>
      <c r="AR204"/>
      <c r="AS204"/>
      <c r="AT204"/>
      <c r="AU204"/>
      <c r="AV204"/>
      <c r="AW204"/>
    </row>
    <row r="205" spans="1:49" x14ac:dyDescent="0.3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P205"/>
      <c r="AQ205"/>
      <c r="AR205"/>
      <c r="AS205"/>
      <c r="AT205"/>
      <c r="AU205"/>
      <c r="AV205"/>
      <c r="AW205"/>
    </row>
    <row r="206" spans="1:49" x14ac:dyDescent="0.3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P206"/>
      <c r="AQ206"/>
      <c r="AR206"/>
      <c r="AS206"/>
      <c r="AT206"/>
      <c r="AU206"/>
      <c r="AV206"/>
      <c r="AW206"/>
    </row>
    <row r="207" spans="1:49" x14ac:dyDescent="0.3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P207"/>
      <c r="AQ207"/>
      <c r="AR207"/>
      <c r="AS207"/>
      <c r="AT207"/>
      <c r="AU207"/>
      <c r="AV207"/>
      <c r="AW207"/>
    </row>
    <row r="208" spans="1:49" x14ac:dyDescent="0.3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P208"/>
      <c r="AQ208"/>
      <c r="AR208"/>
      <c r="AS208"/>
      <c r="AT208"/>
      <c r="AU208"/>
      <c r="AV208"/>
      <c r="AW208"/>
    </row>
    <row r="209" spans="1:49" x14ac:dyDescent="0.3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P209"/>
      <c r="AQ209"/>
      <c r="AR209"/>
      <c r="AS209"/>
      <c r="AT209"/>
      <c r="AU209"/>
      <c r="AV209"/>
      <c r="AW209"/>
    </row>
    <row r="210" spans="1:49" x14ac:dyDescent="0.3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P210"/>
      <c r="AQ210"/>
      <c r="AR210"/>
      <c r="AS210"/>
      <c r="AT210"/>
      <c r="AU210"/>
      <c r="AV210"/>
      <c r="AW210"/>
    </row>
    <row r="211" spans="1:49" x14ac:dyDescent="0.3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P211"/>
      <c r="AQ211"/>
      <c r="AR211"/>
      <c r="AS211"/>
      <c r="AT211"/>
      <c r="AU211"/>
      <c r="AV211"/>
      <c r="AW211"/>
    </row>
    <row r="212" spans="1:49" x14ac:dyDescent="0.3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P212"/>
      <c r="AQ212"/>
      <c r="AR212"/>
      <c r="AS212"/>
      <c r="AT212"/>
      <c r="AU212"/>
      <c r="AV212"/>
      <c r="AW212"/>
    </row>
    <row r="213" spans="1:49" x14ac:dyDescent="0.3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P213"/>
      <c r="AQ213"/>
      <c r="AR213"/>
      <c r="AS213"/>
      <c r="AT213"/>
      <c r="AU213"/>
      <c r="AV213"/>
      <c r="AW213"/>
    </row>
    <row r="214" spans="1:49" x14ac:dyDescent="0.3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P214"/>
      <c r="AQ214"/>
      <c r="AR214"/>
      <c r="AS214"/>
      <c r="AT214"/>
      <c r="AU214"/>
      <c r="AV214"/>
      <c r="AW214"/>
    </row>
    <row r="215" spans="1:49" x14ac:dyDescent="0.3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P215"/>
      <c r="AQ215"/>
      <c r="AR215"/>
      <c r="AS215"/>
      <c r="AT215"/>
      <c r="AU215"/>
      <c r="AV215"/>
      <c r="AW215"/>
    </row>
    <row r="216" spans="1:49" x14ac:dyDescent="0.3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P216"/>
      <c r="AQ216"/>
      <c r="AR216"/>
      <c r="AS216"/>
      <c r="AT216"/>
      <c r="AU216"/>
      <c r="AV216"/>
      <c r="AW216"/>
    </row>
    <row r="217" spans="1:49" x14ac:dyDescent="0.3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P217"/>
      <c r="AQ217"/>
      <c r="AR217"/>
      <c r="AS217"/>
      <c r="AT217"/>
      <c r="AU217"/>
      <c r="AV217"/>
      <c r="AW217"/>
    </row>
    <row r="218" spans="1:49" x14ac:dyDescent="0.3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P218"/>
      <c r="AQ218"/>
      <c r="AR218"/>
      <c r="AS218"/>
      <c r="AT218"/>
      <c r="AU218"/>
      <c r="AV218"/>
      <c r="AW218"/>
    </row>
    <row r="219" spans="1:49" x14ac:dyDescent="0.3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P219"/>
      <c r="AQ219"/>
      <c r="AR219"/>
      <c r="AS219"/>
      <c r="AT219"/>
      <c r="AU219"/>
      <c r="AV219"/>
      <c r="AW219"/>
    </row>
    <row r="220" spans="1:49" x14ac:dyDescent="0.3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P220"/>
      <c r="AQ220"/>
      <c r="AR220"/>
      <c r="AS220"/>
      <c r="AT220"/>
      <c r="AU220"/>
      <c r="AV220"/>
      <c r="AW220"/>
    </row>
    <row r="221" spans="1:49" x14ac:dyDescent="0.3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P221"/>
      <c r="AQ221"/>
      <c r="AR221"/>
      <c r="AS221"/>
      <c r="AT221"/>
      <c r="AU221"/>
      <c r="AV221"/>
      <c r="AW221"/>
    </row>
    <row r="222" spans="1:49" x14ac:dyDescent="0.3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P222"/>
      <c r="AQ222"/>
      <c r="AR222"/>
      <c r="AS222"/>
      <c r="AT222"/>
      <c r="AU222"/>
      <c r="AV222"/>
      <c r="AW222"/>
    </row>
    <row r="223" spans="1:49" x14ac:dyDescent="0.3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P223"/>
      <c r="AQ223"/>
      <c r="AR223"/>
      <c r="AS223"/>
      <c r="AT223"/>
      <c r="AU223"/>
      <c r="AV223"/>
      <c r="AW223"/>
    </row>
    <row r="224" spans="1:49" x14ac:dyDescent="0.3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P224"/>
      <c r="AQ224"/>
      <c r="AR224"/>
      <c r="AS224"/>
      <c r="AT224"/>
      <c r="AU224"/>
      <c r="AV224"/>
      <c r="AW224"/>
    </row>
    <row r="225" spans="1:49" x14ac:dyDescent="0.3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P225"/>
      <c r="AQ225"/>
      <c r="AR225"/>
      <c r="AS225"/>
      <c r="AT225"/>
      <c r="AU225"/>
      <c r="AV225"/>
      <c r="AW225"/>
    </row>
    <row r="226" spans="1:49" x14ac:dyDescent="0.3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P226"/>
      <c r="AQ226"/>
      <c r="AR226"/>
      <c r="AS226"/>
      <c r="AT226"/>
      <c r="AU226"/>
      <c r="AV226"/>
      <c r="AW226"/>
    </row>
    <row r="227" spans="1:49" x14ac:dyDescent="0.3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P227"/>
      <c r="AQ227"/>
      <c r="AR227"/>
      <c r="AS227"/>
      <c r="AT227"/>
      <c r="AU227"/>
      <c r="AV227"/>
      <c r="AW227"/>
    </row>
    <row r="228" spans="1:49" x14ac:dyDescent="0.3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P228"/>
      <c r="AQ228"/>
      <c r="AR228"/>
      <c r="AS228"/>
      <c r="AT228"/>
      <c r="AU228"/>
      <c r="AV228"/>
      <c r="AW228"/>
    </row>
    <row r="229" spans="1:49" x14ac:dyDescent="0.3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P229"/>
      <c r="AQ229"/>
      <c r="AR229"/>
      <c r="AS229"/>
      <c r="AT229"/>
      <c r="AU229"/>
      <c r="AV229"/>
      <c r="AW229"/>
    </row>
    <row r="230" spans="1:49" x14ac:dyDescent="0.3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P230"/>
      <c r="AQ230"/>
      <c r="AR230"/>
      <c r="AS230"/>
      <c r="AT230"/>
      <c r="AU230"/>
      <c r="AV230"/>
      <c r="AW230"/>
    </row>
    <row r="231" spans="1:49" x14ac:dyDescent="0.3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P231"/>
      <c r="AQ231"/>
      <c r="AR231"/>
      <c r="AS231"/>
      <c r="AT231"/>
      <c r="AU231"/>
      <c r="AV231"/>
      <c r="AW231"/>
    </row>
    <row r="232" spans="1:49" x14ac:dyDescent="0.3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P232"/>
      <c r="AQ232"/>
      <c r="AR232"/>
      <c r="AS232"/>
      <c r="AT232"/>
      <c r="AU232"/>
      <c r="AV232"/>
      <c r="AW232"/>
    </row>
    <row r="233" spans="1:49" x14ac:dyDescent="0.3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P233"/>
      <c r="AQ233"/>
      <c r="AR233"/>
      <c r="AS233"/>
      <c r="AT233"/>
      <c r="AU233"/>
      <c r="AV233"/>
      <c r="AW233"/>
    </row>
    <row r="234" spans="1:49" x14ac:dyDescent="0.3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P234"/>
      <c r="AQ234"/>
      <c r="AR234"/>
      <c r="AS234"/>
      <c r="AT234"/>
      <c r="AU234"/>
      <c r="AV234"/>
      <c r="AW234"/>
    </row>
    <row r="235" spans="1:49" x14ac:dyDescent="0.3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P235"/>
      <c r="AQ235"/>
      <c r="AR235"/>
      <c r="AS235"/>
      <c r="AT235"/>
      <c r="AU235"/>
      <c r="AV235"/>
      <c r="AW235"/>
    </row>
    <row r="236" spans="1:49" x14ac:dyDescent="0.3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P236"/>
      <c r="AQ236"/>
      <c r="AR236"/>
      <c r="AS236"/>
      <c r="AT236"/>
      <c r="AU236"/>
      <c r="AV236"/>
      <c r="AW236"/>
    </row>
    <row r="237" spans="1:49" x14ac:dyDescent="0.3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P237"/>
      <c r="AQ237"/>
      <c r="AR237"/>
      <c r="AS237"/>
      <c r="AT237"/>
      <c r="AU237"/>
      <c r="AV237"/>
      <c r="AW237"/>
    </row>
    <row r="238" spans="1:49" x14ac:dyDescent="0.3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P238"/>
      <c r="AQ238"/>
      <c r="AR238"/>
      <c r="AS238"/>
      <c r="AT238"/>
      <c r="AU238"/>
      <c r="AV238"/>
      <c r="AW238"/>
    </row>
    <row r="239" spans="1:49" x14ac:dyDescent="0.3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P239"/>
      <c r="AQ239"/>
      <c r="AR239"/>
      <c r="AS239"/>
      <c r="AT239"/>
      <c r="AU239"/>
      <c r="AV239"/>
      <c r="AW239"/>
    </row>
    <row r="240" spans="1:49" x14ac:dyDescent="0.3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P240"/>
      <c r="AQ240"/>
      <c r="AR240"/>
      <c r="AS240"/>
      <c r="AT240"/>
      <c r="AU240"/>
      <c r="AV240"/>
      <c r="AW240"/>
    </row>
    <row r="241" spans="1:49" x14ac:dyDescent="0.3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P241"/>
      <c r="AQ241"/>
      <c r="AR241"/>
      <c r="AS241"/>
      <c r="AT241"/>
      <c r="AU241"/>
      <c r="AV241"/>
      <c r="AW241"/>
    </row>
    <row r="242" spans="1:49" x14ac:dyDescent="0.3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P242"/>
      <c r="AQ242"/>
      <c r="AR242"/>
      <c r="AS242"/>
      <c r="AT242"/>
      <c r="AU242"/>
      <c r="AV242"/>
      <c r="AW242"/>
    </row>
    <row r="243" spans="1:49" x14ac:dyDescent="0.3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P243"/>
      <c r="AQ243"/>
      <c r="AR243"/>
      <c r="AS243"/>
      <c r="AT243"/>
      <c r="AU243"/>
      <c r="AV243"/>
      <c r="AW243"/>
    </row>
    <row r="244" spans="1:49" x14ac:dyDescent="0.3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P244"/>
      <c r="AQ244"/>
      <c r="AR244"/>
      <c r="AS244"/>
      <c r="AT244"/>
      <c r="AU244"/>
      <c r="AV244"/>
      <c r="AW244"/>
    </row>
    <row r="245" spans="1:49" x14ac:dyDescent="0.3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P245"/>
      <c r="AQ245"/>
      <c r="AR245"/>
      <c r="AS245"/>
      <c r="AT245"/>
      <c r="AU245"/>
      <c r="AV245"/>
      <c r="AW245"/>
    </row>
    <row r="246" spans="1:49" x14ac:dyDescent="0.3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P246"/>
      <c r="AQ246"/>
      <c r="AR246"/>
      <c r="AS246"/>
      <c r="AT246"/>
      <c r="AU246"/>
      <c r="AV246"/>
      <c r="AW246"/>
    </row>
    <row r="247" spans="1:49" x14ac:dyDescent="0.3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P247"/>
      <c r="AQ247"/>
      <c r="AR247"/>
      <c r="AS247"/>
      <c r="AT247"/>
      <c r="AU247"/>
      <c r="AV247"/>
      <c r="AW247"/>
    </row>
    <row r="248" spans="1:49" x14ac:dyDescent="0.3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P248"/>
      <c r="AQ248"/>
      <c r="AR248"/>
      <c r="AS248"/>
      <c r="AT248"/>
      <c r="AU248"/>
      <c r="AV248"/>
      <c r="AW248"/>
    </row>
    <row r="249" spans="1:49" x14ac:dyDescent="0.3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P249"/>
      <c r="AQ249"/>
      <c r="AR249"/>
      <c r="AS249"/>
      <c r="AT249"/>
      <c r="AU249"/>
      <c r="AV249"/>
      <c r="AW249"/>
    </row>
    <row r="250" spans="1:49" x14ac:dyDescent="0.3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P250"/>
      <c r="AQ250"/>
      <c r="AR250"/>
      <c r="AS250"/>
      <c r="AT250"/>
      <c r="AU250"/>
      <c r="AV250"/>
      <c r="AW250"/>
    </row>
    <row r="251" spans="1:49" x14ac:dyDescent="0.3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P251"/>
      <c r="AQ251"/>
      <c r="AR251"/>
      <c r="AS251"/>
      <c r="AT251"/>
      <c r="AU251"/>
      <c r="AV251"/>
      <c r="AW251"/>
    </row>
    <row r="252" spans="1:49" x14ac:dyDescent="0.3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P252"/>
      <c r="AQ252"/>
      <c r="AR252"/>
      <c r="AS252"/>
      <c r="AT252"/>
      <c r="AU252"/>
      <c r="AV252"/>
      <c r="AW252"/>
    </row>
    <row r="253" spans="1:49" x14ac:dyDescent="0.3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P253"/>
      <c r="AQ253"/>
      <c r="AR253"/>
      <c r="AS253"/>
      <c r="AT253"/>
      <c r="AU253"/>
      <c r="AV253"/>
      <c r="AW253"/>
    </row>
    <row r="254" spans="1:49" x14ac:dyDescent="0.3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P254"/>
      <c r="AQ254"/>
      <c r="AR254"/>
      <c r="AS254"/>
      <c r="AT254"/>
      <c r="AU254"/>
      <c r="AV254"/>
      <c r="AW254"/>
    </row>
    <row r="255" spans="1:49" x14ac:dyDescent="0.3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P255"/>
      <c r="AQ255"/>
      <c r="AR255"/>
      <c r="AS255"/>
      <c r="AT255"/>
      <c r="AU255"/>
      <c r="AV255"/>
      <c r="AW255"/>
    </row>
    <row r="256" spans="1:49" x14ac:dyDescent="0.3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P256"/>
      <c r="AQ256"/>
      <c r="AR256"/>
      <c r="AS256"/>
      <c r="AT256"/>
      <c r="AU256"/>
      <c r="AV256"/>
      <c r="AW256"/>
    </row>
    <row r="257" spans="1:49" x14ac:dyDescent="0.3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P257"/>
      <c r="AQ257"/>
      <c r="AR257"/>
      <c r="AS257"/>
      <c r="AT257"/>
      <c r="AU257"/>
      <c r="AV257"/>
      <c r="AW257"/>
    </row>
    <row r="258" spans="1:49" x14ac:dyDescent="0.3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P258"/>
      <c r="AQ258"/>
      <c r="AR258"/>
      <c r="AS258"/>
      <c r="AT258"/>
      <c r="AU258"/>
      <c r="AV258"/>
      <c r="AW258"/>
    </row>
    <row r="259" spans="1:49" x14ac:dyDescent="0.3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P259"/>
      <c r="AQ259"/>
      <c r="AR259"/>
      <c r="AS259"/>
      <c r="AT259"/>
      <c r="AU259"/>
      <c r="AV259"/>
      <c r="AW259"/>
    </row>
    <row r="260" spans="1:49" x14ac:dyDescent="0.3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P260"/>
      <c r="AQ260"/>
      <c r="AR260"/>
      <c r="AS260"/>
      <c r="AT260"/>
      <c r="AU260"/>
      <c r="AV260"/>
      <c r="AW260"/>
    </row>
    <row r="261" spans="1:49" x14ac:dyDescent="0.3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P261"/>
      <c r="AQ261"/>
      <c r="AR261"/>
      <c r="AS261"/>
      <c r="AT261"/>
      <c r="AU261"/>
      <c r="AV261"/>
      <c r="AW261"/>
    </row>
    <row r="262" spans="1:49" x14ac:dyDescent="0.3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P262"/>
      <c r="AQ262"/>
      <c r="AR262"/>
      <c r="AS262"/>
      <c r="AT262"/>
      <c r="AU262"/>
      <c r="AV262"/>
      <c r="AW262"/>
    </row>
    <row r="263" spans="1:49" x14ac:dyDescent="0.3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P263"/>
      <c r="AQ263"/>
      <c r="AR263"/>
      <c r="AS263"/>
      <c r="AT263"/>
      <c r="AU263"/>
      <c r="AV263"/>
      <c r="AW263"/>
    </row>
    <row r="264" spans="1:49" x14ac:dyDescent="0.3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P264"/>
      <c r="AQ264"/>
      <c r="AR264"/>
      <c r="AS264"/>
      <c r="AT264"/>
      <c r="AU264"/>
      <c r="AV264"/>
      <c r="AW264"/>
    </row>
    <row r="265" spans="1:49" x14ac:dyDescent="0.3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P265"/>
      <c r="AQ265"/>
      <c r="AR265"/>
      <c r="AS265"/>
      <c r="AT265"/>
      <c r="AU265"/>
      <c r="AV265"/>
      <c r="AW265"/>
    </row>
    <row r="266" spans="1:49" x14ac:dyDescent="0.3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P266"/>
      <c r="AQ266"/>
      <c r="AR266"/>
      <c r="AS266"/>
      <c r="AT266"/>
      <c r="AU266"/>
      <c r="AV266"/>
      <c r="AW266"/>
    </row>
    <row r="267" spans="1:49" x14ac:dyDescent="0.3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P267"/>
      <c r="AQ267"/>
      <c r="AR267"/>
      <c r="AS267"/>
      <c r="AT267"/>
      <c r="AU267"/>
      <c r="AV267"/>
      <c r="AW267"/>
    </row>
    <row r="268" spans="1:49" x14ac:dyDescent="0.3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P268"/>
      <c r="AQ268"/>
      <c r="AR268"/>
      <c r="AS268"/>
      <c r="AT268"/>
      <c r="AU268"/>
      <c r="AV268"/>
      <c r="AW268"/>
    </row>
    <row r="269" spans="1:49" x14ac:dyDescent="0.3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P269"/>
      <c r="AQ269"/>
      <c r="AR269"/>
      <c r="AS269"/>
      <c r="AT269"/>
      <c r="AU269"/>
      <c r="AV269"/>
      <c r="AW269"/>
    </row>
    <row r="270" spans="1:49" x14ac:dyDescent="0.3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P270"/>
      <c r="AQ270"/>
      <c r="AR270"/>
      <c r="AS270"/>
      <c r="AT270"/>
      <c r="AU270"/>
      <c r="AV270"/>
      <c r="AW270"/>
    </row>
    <row r="271" spans="1:49" x14ac:dyDescent="0.3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P271"/>
      <c r="AQ271"/>
      <c r="AR271"/>
      <c r="AS271"/>
      <c r="AT271"/>
      <c r="AU271"/>
      <c r="AV271"/>
      <c r="AW271"/>
    </row>
    <row r="272" spans="1:49" x14ac:dyDescent="0.3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P272"/>
      <c r="AQ272"/>
      <c r="AR272"/>
      <c r="AS272"/>
      <c r="AT272"/>
      <c r="AU272"/>
      <c r="AV272"/>
      <c r="AW272"/>
    </row>
    <row r="273" spans="1:49" x14ac:dyDescent="0.3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P273"/>
      <c r="AQ273"/>
      <c r="AR273"/>
      <c r="AS273"/>
      <c r="AT273"/>
      <c r="AU273"/>
      <c r="AV273"/>
      <c r="AW273"/>
    </row>
    <row r="274" spans="1:49" x14ac:dyDescent="0.3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P274"/>
      <c r="AQ274"/>
      <c r="AR274"/>
      <c r="AS274"/>
      <c r="AT274"/>
      <c r="AU274"/>
      <c r="AV274"/>
      <c r="AW274"/>
    </row>
    <row r="275" spans="1:49" x14ac:dyDescent="0.3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P275"/>
      <c r="AQ275"/>
      <c r="AR275"/>
      <c r="AS275"/>
      <c r="AT275"/>
      <c r="AU275"/>
      <c r="AV275"/>
      <c r="AW275"/>
    </row>
    <row r="276" spans="1:49" x14ac:dyDescent="0.3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P276"/>
      <c r="AQ276"/>
      <c r="AR276"/>
      <c r="AS276"/>
      <c r="AT276"/>
      <c r="AU276"/>
      <c r="AV276"/>
      <c r="AW276"/>
    </row>
    <row r="277" spans="1:49" x14ac:dyDescent="0.3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P277"/>
      <c r="AQ277"/>
      <c r="AR277"/>
      <c r="AS277"/>
      <c r="AT277"/>
      <c r="AU277"/>
      <c r="AV277"/>
      <c r="AW277"/>
    </row>
    <row r="278" spans="1:49" x14ac:dyDescent="0.3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P278"/>
      <c r="AQ278"/>
      <c r="AR278"/>
      <c r="AS278"/>
      <c r="AT278"/>
      <c r="AU278"/>
      <c r="AV278"/>
      <c r="AW278"/>
    </row>
    <row r="279" spans="1:49" x14ac:dyDescent="0.3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P279"/>
      <c r="AQ279"/>
      <c r="AR279"/>
      <c r="AS279"/>
      <c r="AT279"/>
      <c r="AU279"/>
      <c r="AV279"/>
      <c r="AW279"/>
    </row>
    <row r="280" spans="1:49" x14ac:dyDescent="0.3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P280"/>
      <c r="AQ280"/>
      <c r="AR280"/>
      <c r="AS280"/>
      <c r="AT280"/>
      <c r="AU280"/>
      <c r="AV280"/>
      <c r="AW280"/>
    </row>
    <row r="281" spans="1:49" x14ac:dyDescent="0.3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P281"/>
      <c r="AQ281"/>
      <c r="AR281"/>
      <c r="AS281"/>
      <c r="AT281"/>
      <c r="AU281"/>
      <c r="AV281"/>
      <c r="AW281"/>
    </row>
    <row r="282" spans="1:49" x14ac:dyDescent="0.3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P282"/>
      <c r="AQ282"/>
      <c r="AR282"/>
      <c r="AS282"/>
      <c r="AT282"/>
      <c r="AU282"/>
      <c r="AV282"/>
      <c r="AW282"/>
    </row>
    <row r="283" spans="1:49" x14ac:dyDescent="0.3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P283"/>
      <c r="AQ283"/>
      <c r="AR283"/>
      <c r="AS283"/>
      <c r="AT283"/>
      <c r="AU283"/>
      <c r="AV283"/>
      <c r="AW283"/>
    </row>
    <row r="284" spans="1:49" x14ac:dyDescent="0.3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P284"/>
      <c r="AQ284"/>
      <c r="AR284"/>
      <c r="AS284"/>
      <c r="AT284"/>
      <c r="AU284"/>
      <c r="AV284"/>
      <c r="AW284"/>
    </row>
    <row r="285" spans="1:49" x14ac:dyDescent="0.3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P285"/>
      <c r="AQ285"/>
      <c r="AR285"/>
      <c r="AS285"/>
      <c r="AT285"/>
      <c r="AU285"/>
      <c r="AV285"/>
      <c r="AW285"/>
    </row>
    <row r="286" spans="1:49" x14ac:dyDescent="0.3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P286"/>
      <c r="AQ286"/>
      <c r="AR286"/>
      <c r="AS286"/>
      <c r="AT286"/>
      <c r="AU286"/>
      <c r="AV286"/>
      <c r="AW286"/>
    </row>
    <row r="287" spans="1:49" x14ac:dyDescent="0.3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P287"/>
      <c r="AQ287"/>
      <c r="AR287"/>
      <c r="AS287"/>
      <c r="AT287"/>
      <c r="AU287"/>
      <c r="AV287"/>
      <c r="AW287"/>
    </row>
    <row r="288" spans="1:49" x14ac:dyDescent="0.3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P288"/>
      <c r="AQ288"/>
      <c r="AR288"/>
      <c r="AS288"/>
      <c r="AT288"/>
      <c r="AU288"/>
      <c r="AV288"/>
      <c r="AW288"/>
    </row>
    <row r="289" spans="1:49" x14ac:dyDescent="0.3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P289"/>
      <c r="AQ289"/>
      <c r="AR289"/>
      <c r="AS289"/>
      <c r="AT289"/>
      <c r="AU289"/>
      <c r="AV289"/>
      <c r="AW289"/>
    </row>
    <row r="290" spans="1:49" x14ac:dyDescent="0.3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P290"/>
      <c r="AQ290"/>
      <c r="AR290"/>
      <c r="AS290"/>
      <c r="AT290"/>
      <c r="AU290"/>
      <c r="AV290"/>
      <c r="AW290"/>
    </row>
    <row r="291" spans="1:49" x14ac:dyDescent="0.3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P291"/>
      <c r="AQ291"/>
      <c r="AR291"/>
      <c r="AS291"/>
      <c r="AT291"/>
      <c r="AU291"/>
      <c r="AV291"/>
      <c r="AW291"/>
    </row>
    <row r="292" spans="1:49" x14ac:dyDescent="0.3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P292"/>
      <c r="AQ292"/>
      <c r="AR292"/>
      <c r="AS292"/>
      <c r="AT292"/>
      <c r="AU292"/>
      <c r="AV292"/>
      <c r="AW292"/>
    </row>
    <row r="293" spans="1:49" x14ac:dyDescent="0.3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P293"/>
      <c r="AQ293"/>
      <c r="AR293"/>
      <c r="AS293"/>
      <c r="AT293"/>
      <c r="AU293"/>
      <c r="AV293"/>
      <c r="AW293"/>
    </row>
    <row r="294" spans="1:49" x14ac:dyDescent="0.3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P294"/>
      <c r="AQ294"/>
      <c r="AR294"/>
      <c r="AS294"/>
      <c r="AT294"/>
      <c r="AU294"/>
      <c r="AV294"/>
      <c r="AW294"/>
    </row>
    <row r="295" spans="1:49" x14ac:dyDescent="0.3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P295"/>
      <c r="AQ295"/>
      <c r="AR295"/>
      <c r="AS295"/>
      <c r="AT295"/>
      <c r="AU295"/>
      <c r="AV295"/>
      <c r="AW295"/>
    </row>
    <row r="296" spans="1:49" x14ac:dyDescent="0.3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P296"/>
      <c r="AQ296"/>
      <c r="AR296"/>
      <c r="AS296"/>
      <c r="AT296"/>
      <c r="AU296"/>
      <c r="AV296"/>
      <c r="AW296"/>
    </row>
    <row r="297" spans="1:49" x14ac:dyDescent="0.3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P297"/>
      <c r="AQ297"/>
      <c r="AR297"/>
      <c r="AS297"/>
      <c r="AT297"/>
      <c r="AU297"/>
      <c r="AV297"/>
      <c r="AW297"/>
    </row>
    <row r="298" spans="1:49" x14ac:dyDescent="0.3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P298"/>
      <c r="AQ298"/>
      <c r="AR298"/>
      <c r="AS298"/>
      <c r="AT298"/>
      <c r="AU298"/>
      <c r="AV298"/>
      <c r="AW298"/>
    </row>
    <row r="299" spans="1:49" x14ac:dyDescent="0.3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P299"/>
      <c r="AQ299"/>
      <c r="AR299"/>
      <c r="AS299"/>
      <c r="AT299"/>
      <c r="AU299"/>
      <c r="AV299"/>
      <c r="AW299"/>
    </row>
    <row r="300" spans="1:49" x14ac:dyDescent="0.3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P300"/>
      <c r="AQ300"/>
      <c r="AR300"/>
      <c r="AS300"/>
      <c r="AT300"/>
      <c r="AU300"/>
      <c r="AV300"/>
      <c r="AW300"/>
    </row>
    <row r="301" spans="1:49" x14ac:dyDescent="0.3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P301"/>
      <c r="AQ301"/>
      <c r="AR301"/>
      <c r="AS301"/>
      <c r="AT301"/>
      <c r="AU301"/>
      <c r="AV301"/>
      <c r="AW301"/>
    </row>
    <row r="302" spans="1:49" x14ac:dyDescent="0.3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P302"/>
      <c r="AQ302"/>
      <c r="AR302"/>
      <c r="AS302"/>
      <c r="AT302"/>
      <c r="AU302"/>
      <c r="AV302"/>
      <c r="AW302"/>
    </row>
    <row r="303" spans="1:49" x14ac:dyDescent="0.3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P303"/>
      <c r="AQ303"/>
      <c r="AR303"/>
      <c r="AS303"/>
      <c r="AT303"/>
      <c r="AU303"/>
      <c r="AV303"/>
      <c r="AW303"/>
    </row>
    <row r="304" spans="1:49" x14ac:dyDescent="0.3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P304"/>
      <c r="AQ304"/>
      <c r="AR304"/>
      <c r="AS304"/>
      <c r="AT304"/>
      <c r="AU304"/>
      <c r="AV304"/>
      <c r="AW304"/>
    </row>
    <row r="305" spans="1:49" x14ac:dyDescent="0.3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P305"/>
      <c r="AQ305"/>
      <c r="AR305"/>
      <c r="AS305"/>
      <c r="AT305"/>
      <c r="AU305"/>
      <c r="AV305"/>
      <c r="AW305"/>
    </row>
    <row r="306" spans="1:49" x14ac:dyDescent="0.3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P306"/>
      <c r="AQ306"/>
      <c r="AR306"/>
      <c r="AS306"/>
      <c r="AT306"/>
      <c r="AU306"/>
      <c r="AV306"/>
      <c r="AW306"/>
    </row>
    <row r="307" spans="1:49" x14ac:dyDescent="0.3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P307"/>
      <c r="AQ307"/>
      <c r="AR307"/>
      <c r="AS307"/>
      <c r="AT307"/>
      <c r="AU307"/>
      <c r="AV307"/>
      <c r="AW307"/>
    </row>
    <row r="308" spans="1:49" x14ac:dyDescent="0.3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P308"/>
      <c r="AQ308"/>
      <c r="AR308"/>
      <c r="AS308"/>
      <c r="AT308"/>
      <c r="AU308"/>
      <c r="AV308"/>
      <c r="AW308"/>
    </row>
    <row r="309" spans="1:49" x14ac:dyDescent="0.3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P309"/>
      <c r="AQ309"/>
      <c r="AR309"/>
      <c r="AS309"/>
      <c r="AT309"/>
      <c r="AU309"/>
      <c r="AV309"/>
      <c r="AW309"/>
    </row>
    <row r="310" spans="1:49" x14ac:dyDescent="0.3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P310"/>
      <c r="AQ310"/>
      <c r="AR310"/>
      <c r="AS310"/>
      <c r="AT310"/>
      <c r="AU310"/>
      <c r="AV310"/>
      <c r="AW310"/>
    </row>
    <row r="311" spans="1:49" x14ac:dyDescent="0.3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P311"/>
      <c r="AQ311"/>
      <c r="AR311"/>
      <c r="AS311"/>
      <c r="AT311"/>
      <c r="AU311"/>
      <c r="AV311"/>
      <c r="AW311"/>
    </row>
    <row r="312" spans="1:49" x14ac:dyDescent="0.3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P312"/>
      <c r="AQ312"/>
      <c r="AR312"/>
      <c r="AS312"/>
      <c r="AT312"/>
      <c r="AU312"/>
      <c r="AV312"/>
      <c r="AW312"/>
    </row>
    <row r="313" spans="1:49" x14ac:dyDescent="0.3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P313"/>
      <c r="AQ313"/>
      <c r="AR313"/>
      <c r="AS313"/>
      <c r="AT313"/>
      <c r="AU313"/>
      <c r="AV313"/>
      <c r="AW313"/>
    </row>
    <row r="314" spans="1:49" x14ac:dyDescent="0.3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P314"/>
      <c r="AQ314"/>
      <c r="AR314"/>
      <c r="AS314"/>
      <c r="AT314"/>
      <c r="AU314"/>
      <c r="AV314"/>
      <c r="AW314"/>
    </row>
    <row r="315" spans="1:49" x14ac:dyDescent="0.3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P315"/>
      <c r="AQ315"/>
      <c r="AR315"/>
      <c r="AS315"/>
      <c r="AT315"/>
      <c r="AU315"/>
      <c r="AV315"/>
      <c r="AW315"/>
    </row>
    <row r="316" spans="1:49" x14ac:dyDescent="0.3">
      <c r="A316"/>
      <c r="B316" s="1"/>
      <c r="C316" s="1"/>
      <c r="D316" s="177"/>
      <c r="E316" s="177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P316"/>
      <c r="AQ316"/>
      <c r="AR316"/>
    </row>
    <row r="317" spans="1:49" x14ac:dyDescent="0.3">
      <c r="A317"/>
      <c r="B317" s="1"/>
      <c r="C317" s="1"/>
      <c r="D317" s="177"/>
      <c r="E317" s="17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P317"/>
      <c r="AQ317"/>
      <c r="AR317"/>
    </row>
    <row r="318" spans="1:49" x14ac:dyDescent="0.3">
      <c r="A318"/>
      <c r="B318" s="1"/>
      <c r="C318" s="1"/>
      <c r="D318" s="177"/>
      <c r="E318" s="177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P318"/>
      <c r="AQ318"/>
      <c r="AR318"/>
    </row>
    <row r="319" spans="1:49" x14ac:dyDescent="0.3">
      <c r="A319"/>
      <c r="B319" s="1"/>
      <c r="C319" s="1"/>
      <c r="D319" s="177"/>
      <c r="E319" s="177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P319"/>
      <c r="AQ319"/>
      <c r="AR319"/>
    </row>
    <row r="320" spans="1:49" x14ac:dyDescent="0.3">
      <c r="A320"/>
      <c r="B320" s="1"/>
      <c r="C320" s="1"/>
      <c r="D320" s="177"/>
      <c r="E320" s="177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P320"/>
      <c r="AQ320"/>
      <c r="AR320"/>
    </row>
    <row r="321" spans="1:44" x14ac:dyDescent="0.3">
      <c r="A321"/>
      <c r="B321" s="1"/>
      <c r="C321" s="1"/>
      <c r="D321" s="177"/>
      <c r="E321" s="177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P321"/>
      <c r="AQ321"/>
      <c r="AR321"/>
    </row>
    <row r="322" spans="1:44" x14ac:dyDescent="0.3">
      <c r="A322"/>
      <c r="B322" s="1"/>
      <c r="C322" s="1"/>
      <c r="D322" s="177"/>
      <c r="E322" s="177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</row>
    <row r="323" spans="1:44" x14ac:dyDescent="0.3">
      <c r="A323"/>
      <c r="B323" s="1"/>
      <c r="C323" s="1"/>
      <c r="D323" s="177"/>
      <c r="E323" s="177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</row>
    <row r="324" spans="1:44" x14ac:dyDescent="0.3">
      <c r="A324"/>
      <c r="B324" s="1"/>
      <c r="C324" s="1"/>
      <c r="D324" s="177"/>
      <c r="E324" s="177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</row>
    <row r="325" spans="1:44" x14ac:dyDescent="0.3">
      <c r="A325"/>
      <c r="B325" s="1"/>
      <c r="C325" s="1"/>
      <c r="D325" s="177"/>
      <c r="E325" s="177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</row>
    <row r="326" spans="1:44" x14ac:dyDescent="0.3">
      <c r="A326"/>
      <c r="B326" s="1"/>
      <c r="C326" s="1"/>
      <c r="D326" s="177"/>
      <c r="E326" s="177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</row>
    <row r="327" spans="1:44" x14ac:dyDescent="0.3">
      <c r="A327"/>
      <c r="B327" s="1"/>
      <c r="C327" s="1"/>
      <c r="D327" s="177"/>
      <c r="E327" s="17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</row>
    <row r="328" spans="1:44" x14ac:dyDescent="0.3">
      <c r="A328"/>
      <c r="B328" s="1"/>
      <c r="C328" s="1"/>
      <c r="D328" s="177"/>
      <c r="E328" s="177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</row>
    <row r="329" spans="1:44" x14ac:dyDescent="0.3">
      <c r="A329"/>
      <c r="B329" s="1"/>
      <c r="C329" s="1"/>
      <c r="D329" s="177"/>
      <c r="E329" s="177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</row>
    <row r="330" spans="1:44" x14ac:dyDescent="0.3">
      <c r="A330"/>
      <c r="B330" s="1"/>
      <c r="C330" s="1"/>
      <c r="D330" s="177"/>
      <c r="E330" s="177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</row>
    <row r="331" spans="1:44" x14ac:dyDescent="0.3">
      <c r="A331"/>
      <c r="B331" s="1"/>
      <c r="C331" s="1"/>
      <c r="D331" s="177"/>
      <c r="E331" s="177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</row>
  </sheetData>
  <pageMargins left="0.7" right="0.7" top="0.75" bottom="0.75" header="0.3" footer="0.3"/>
  <pageSetup orientation="portrait" horizontalDpi="0" verticalDpi="0" r:id="rId1"/>
  <drawing r:id="rId2"/>
  <legacyDrawing r:id="rId3"/>
  <tableParts count="1">
    <tablePart r:id="rId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U321"/>
  <sheetViews>
    <sheetView zoomScaleNormal="100" workbookViewId="0">
      <selection activeCell="A29" sqref="A29"/>
    </sheetView>
  </sheetViews>
  <sheetFormatPr defaultColWidth="9.109375" defaultRowHeight="14.4" x14ac:dyDescent="0.3"/>
  <cols>
    <col min="1" max="1" width="15" style="140" customWidth="1"/>
    <col min="2" max="2" width="8.33203125" style="2" customWidth="1"/>
    <col min="3" max="3" width="7.44140625" style="2" customWidth="1"/>
    <col min="4" max="4" width="9.44140625" style="188" customWidth="1"/>
    <col min="5" max="5" width="10.88671875" style="188" customWidth="1"/>
    <col min="6" max="6" width="12.88671875" style="2" customWidth="1"/>
    <col min="7" max="7" width="12" style="2" customWidth="1"/>
    <col min="8" max="8" width="10.5546875" style="2" customWidth="1"/>
    <col min="9" max="9" width="10.88671875" style="2" customWidth="1"/>
    <col min="10" max="10" width="17.6640625" style="2" customWidth="1"/>
    <col min="11" max="11" width="8.88671875" style="2" customWidth="1"/>
    <col min="12" max="12" width="8.44140625" style="2" customWidth="1"/>
    <col min="13" max="17" width="10" style="2" customWidth="1"/>
    <col min="18" max="27" width="14.6640625" style="2" customWidth="1"/>
    <col min="28" max="28" width="9.44140625" style="2" customWidth="1"/>
    <col min="29" max="30" width="9.5546875" style="2" customWidth="1"/>
    <col min="31" max="31" width="10.6640625" style="2" customWidth="1"/>
    <col min="32" max="32" width="9.88671875" style="2" customWidth="1"/>
    <col min="33" max="33" width="12.5546875" style="2" customWidth="1"/>
    <col min="34" max="34" width="11.6640625" style="2" customWidth="1"/>
    <col min="35" max="35" width="11" style="2" customWidth="1"/>
    <col min="36" max="36" width="12.44140625" style="2" customWidth="1"/>
    <col min="37" max="38" width="14.33203125" style="2" customWidth="1"/>
    <col min="39" max="39" width="15.33203125" customWidth="1"/>
    <col min="40" max="40" width="13.5546875" style="2" customWidth="1"/>
    <col min="41" max="41" width="12.44140625" style="1" customWidth="1"/>
    <col min="42" max="42" width="9.109375" style="1"/>
    <col min="43" max="16384" width="9.109375" style="2"/>
  </cols>
  <sheetData>
    <row r="1" spans="1:47" ht="80.25" customHeight="1" x14ac:dyDescent="0.3">
      <c r="A1" s="151" t="s">
        <v>59</v>
      </c>
      <c r="B1" s="104" t="s">
        <v>57</v>
      </c>
      <c r="C1" s="104" t="s">
        <v>58</v>
      </c>
      <c r="D1" s="187" t="s">
        <v>194</v>
      </c>
      <c r="E1" s="189" t="s">
        <v>24</v>
      </c>
      <c r="F1" s="104" t="s">
        <v>63</v>
      </c>
      <c r="G1" s="17" t="s">
        <v>23</v>
      </c>
      <c r="H1" s="17" t="s">
        <v>3</v>
      </c>
      <c r="I1" s="17" t="s">
        <v>13</v>
      </c>
      <c r="J1" s="17" t="s">
        <v>14</v>
      </c>
      <c r="K1" s="17" t="s">
        <v>20</v>
      </c>
      <c r="L1" s="3" t="s">
        <v>19</v>
      </c>
      <c r="M1" s="3" t="s">
        <v>53</v>
      </c>
      <c r="N1" s="3" t="s">
        <v>54</v>
      </c>
      <c r="O1" s="3" t="s">
        <v>79</v>
      </c>
      <c r="P1" s="3" t="s">
        <v>81</v>
      </c>
      <c r="Q1" s="3" t="s">
        <v>82</v>
      </c>
      <c r="R1" s="3" t="s">
        <v>84</v>
      </c>
      <c r="S1" s="3" t="s">
        <v>85</v>
      </c>
      <c r="T1" s="3" t="s">
        <v>88</v>
      </c>
      <c r="U1" s="3" t="s">
        <v>91</v>
      </c>
      <c r="V1" s="3" t="s">
        <v>140</v>
      </c>
      <c r="W1" s="3" t="s">
        <v>103</v>
      </c>
      <c r="X1" s="3" t="s">
        <v>302</v>
      </c>
      <c r="Y1" s="191" t="s">
        <v>60</v>
      </c>
      <c r="Z1" s="191" t="s">
        <v>303</v>
      </c>
      <c r="AA1" s="73" t="s">
        <v>304</v>
      </c>
      <c r="AB1" s="3" t="s">
        <v>5</v>
      </c>
      <c r="AC1" s="3" t="s">
        <v>9</v>
      </c>
      <c r="AD1" s="3" t="s">
        <v>12</v>
      </c>
      <c r="AE1" s="3" t="s">
        <v>76</v>
      </c>
      <c r="AF1" s="3" t="s">
        <v>77</v>
      </c>
      <c r="AG1" s="3" t="s">
        <v>10</v>
      </c>
      <c r="AH1" s="3" t="s">
        <v>11</v>
      </c>
      <c r="AI1" s="3" t="s">
        <v>18</v>
      </c>
      <c r="AJ1" s="3" t="s">
        <v>15</v>
      </c>
      <c r="AK1" s="3" t="s">
        <v>17</v>
      </c>
      <c r="AL1" s="3" t="s">
        <v>78</v>
      </c>
      <c r="AM1" t="s">
        <v>50</v>
      </c>
      <c r="AN1" s="1" t="s">
        <v>75</v>
      </c>
      <c r="AO1" s="1" t="s">
        <v>80</v>
      </c>
      <c r="AP1" s="1" t="s">
        <v>90</v>
      </c>
    </row>
    <row r="2" spans="1:47" ht="17.25" customHeight="1" x14ac:dyDescent="0.3">
      <c r="A2" s="325" t="s">
        <v>237</v>
      </c>
      <c r="B2" s="326">
        <v>11</v>
      </c>
      <c r="C2" s="325">
        <v>1</v>
      </c>
      <c r="D2" s="325">
        <v>2.86</v>
      </c>
      <c r="E2" s="325">
        <v>98</v>
      </c>
      <c r="F2" s="137">
        <f>Table11234579101416[[#This Row],[d (mm)]]</f>
        <v>1890</v>
      </c>
      <c r="G2" s="111">
        <f t="shared" ref="G2:G17" si="0">E2*AB2</f>
        <v>529729.19999999995</v>
      </c>
      <c r="H2" s="111" t="e">
        <f>G2/(#REF!*AK2*0.001)</f>
        <v>#REF!</v>
      </c>
      <c r="I2" s="111">
        <f>G2/(Table11234579101416[[#This Row],[b (mm)]]*AC2^2)</f>
        <v>4.9432098765432098E-4</v>
      </c>
      <c r="J2" s="111">
        <f t="shared" ref="J2:J17" si="1">G2/(AG2*AI2*AC2*0.001)</f>
        <v>0.12001164662761621</v>
      </c>
      <c r="K2" s="111" t="e">
        <f>E2/(#REF!*AJ2*0.001)</f>
        <v>#REF!</v>
      </c>
      <c r="L2" s="111">
        <f>E2/(Table11234579101416[[#This Row],[b (mm)]]*AC2)</f>
        <v>1.728395061728395E-4</v>
      </c>
      <c r="M2" s="111">
        <f>Table11234579101416[[#This Row],[M (KN.mm)]]/(Table11234579101416[[#This Row],[b (mm)]]*Table11234579101416[[#This Row],[d (mm)]])</f>
        <v>0.93426666666666658</v>
      </c>
      <c r="N2" s="111">
        <f>Table11234579101416[[#This Row],[M (KN.mm)]]/(Table11234579101416[[#This Row],[b (mm)]]*Table11234579101416[[#This Row],[h (mm)]])</f>
        <v>0.88288199999999994</v>
      </c>
      <c r="O2" s="111">
        <f>Table11234579101416[[#This Row],[M (KN.mm)]]/(Table11234579101416[[#This Row],[b (mm)]]*Table11234579101416[[#This Row],[h (mm)]]*Table11234579101416[[#This Row],[L(mm)]])</f>
        <v>8.1666666666666655E-5</v>
      </c>
      <c r="P2" s="111">
        <f>Table11234579101416[[#This Row],[M (KN.mm)]]/(Table11234579101416[[#This Row],[b (mm)]]*Table11234579101416[[#This Row],[d (mm)]]*Table11234579101416[[#This Row],[L(mm)]])</f>
        <v>8.641975308641975E-5</v>
      </c>
      <c r="Q2" s="111">
        <f>Table11234579101416[[#This Row],[M (KN.mm)]]/(Table11234579101416[[#This Row],[b (mm)]]*Table11234579101416[[#This Row],[h (mm)]]*Table11234579101416[[#This Row],[L(mm)]]*Table11234579101416[[#This Row],[fc (Mpa)]])</f>
        <v>2.5681341719077567E-6</v>
      </c>
      <c r="R2" s="111">
        <f>Table11234579101416[[#This Row],[M (KN.mm)]]/(Table11234579101416[[#This Row],[b (mm)]]*Table11234579101416[[#This Row],[h (mm)]]*Table11234579101416[[#This Row],[L(mm)]]/2)</f>
        <v>1.6333333333333331E-4</v>
      </c>
      <c r="S2" s="111">
        <f>Table11234579101416[[#This Row],[M (KN.mm)]]/(Table11234579101416[[#This Row],[a (mm)]]*Table11234579101416[[#This Row],[b (mm)]]*Table11234579101416[[#This Row],[h (mm)]]*Table11234579101416[[#This Row],[L(mm)]]/2)</f>
        <v>3.0216696883363548E-8</v>
      </c>
      <c r="T2" s="111">
        <f>Table11234579101416[[#This Row],[M (KN.mm)]]/(Table11234579101416[[#This Row],[a (mm)]]^2*Table11234579101416[[#This Row],[b (mm)]]*Table11234579101416[[#This Row],[h (mm)]])</f>
        <v>3.0216696883363554E-8</v>
      </c>
      <c r="U2" s="111">
        <f>Table11234579101416[[#This Row],[M (KN.mm)]]/(Table11234579101416[[#This Row],[b (mm)]]*Table11234579101416[[#This Row],[d (mm)]]*Table11234579101416[[#This Row],[pho (%)]])</f>
        <v>1.2625225225225225</v>
      </c>
      <c r="V2" s="111">
        <f>E2*224.8/(2*SQRT(Table11234579101416[[#This Row],[fc (Mpa)]]*145.037)*Table11234579101416[[#This Row],[b (mm)]]*Table11234579101416[[#This Row],[d (mm)]]*(1/25.4)^2)</f>
        <v>0.18455414226027525</v>
      </c>
      <c r="W2" s="111">
        <f>Table11234579101416[[#This Row],[M (KN.mm)]]/$G$5</f>
        <v>0.42608695652173911</v>
      </c>
      <c r="X2" s="111">
        <f>Table11234579101416[[#This Row],[V/(2*sqrt(fc) bd)]]</f>
        <v>0.18455414226027525</v>
      </c>
      <c r="Y2" s="111">
        <f>Table11234579101416[[#This Row],[a (mm)]]</f>
        <v>5405.4</v>
      </c>
      <c r="Z2" s="111">
        <f>Table11234579101416[[#This Row],[width]]*Table11234579101416[[#This Row],[d]]^2</f>
        <v>1071630000</v>
      </c>
      <c r="AA2" s="111">
        <f>Table11234579101416[[#This Row],[b (mm)]]</f>
        <v>300</v>
      </c>
      <c r="AB2" s="135">
        <f>2.86*Table11234579101416[[#This Row],[d (mm)]]</f>
        <v>5405.4</v>
      </c>
      <c r="AC2" s="135">
        <v>1890</v>
      </c>
      <c r="AD2" s="135">
        <v>2000</v>
      </c>
      <c r="AE2" s="134">
        <v>300</v>
      </c>
      <c r="AF2" s="7">
        <v>31.8</v>
      </c>
      <c r="AG2" s="111">
        <f>Table11234579101416[[#This Row],[pho (%)]]*Table11234579101416[[#This Row],[b (mm)]]*Table11234579101416[[#This Row],[h (mm)]]/100</f>
        <v>4440</v>
      </c>
      <c r="AH2" s="135">
        <v>0.74</v>
      </c>
      <c r="AI2" s="111">
        <v>526</v>
      </c>
      <c r="AJ2" s="111">
        <f>(1/3-0.21*(MIN(Table11234579101416[[#This Row],[b (mm)]],AD2)/MAX(Table11234579101416[[#This Row],[b (mm)]],AD2))*(MIN(Table11234579101416[[#This Row],[b (mm)]],AD2)^4/(12*MAX(Table11234579101416[[#This Row],[b (mm)]],AD2)^4)))*MAX(Table11234579101416[[#This Row],[b (mm)]],AD2)*MIN(Table11234579101416[[#This Row],[b (mm)]],AD2)^3</f>
        <v>17999928239.0625</v>
      </c>
      <c r="AK2" s="111">
        <f>Table11234579101416[[#This Row],[b (mm)]]*AD2^3/12</f>
        <v>200000000000</v>
      </c>
      <c r="AL2" s="111">
        <f>Table11234579101416[[#This Row],[a (mm)]]*2</f>
        <v>10810.8</v>
      </c>
      <c r="AN2"/>
      <c r="AO2"/>
      <c r="AP2"/>
      <c r="AQ2"/>
      <c r="AR2"/>
      <c r="AS2"/>
      <c r="AT2"/>
      <c r="AU2"/>
    </row>
    <row r="3" spans="1:47" x14ac:dyDescent="0.3">
      <c r="A3" s="325" t="s">
        <v>237</v>
      </c>
      <c r="B3" s="326">
        <v>12</v>
      </c>
      <c r="C3" s="325">
        <v>2</v>
      </c>
      <c r="D3" s="325">
        <v>2.86</v>
      </c>
      <c r="E3" s="325">
        <v>117</v>
      </c>
      <c r="F3" s="137">
        <f>Table11234579101416[[#This Row],[d (mm)]]</f>
        <v>1890</v>
      </c>
      <c r="G3" s="111">
        <f t="shared" si="0"/>
        <v>632431.79999999993</v>
      </c>
      <c r="H3" s="111" t="e">
        <f>G3/(#REF!*AK3*0.001)</f>
        <v>#REF!</v>
      </c>
      <c r="I3" s="111">
        <f>G3/(Table11234579101416[[#This Row],[b (mm)]]*AC3^2)</f>
        <v>5.9015873015873005E-4</v>
      </c>
      <c r="J3" s="111">
        <f t="shared" si="1"/>
        <v>0.14300733370942098</v>
      </c>
      <c r="K3" s="111" t="e">
        <f>E3/(#REF!*AJ3*0.001)</f>
        <v>#REF!</v>
      </c>
      <c r="L3" s="111">
        <f>E3/(Table11234579101416[[#This Row],[b (mm)]]*AC3)</f>
        <v>2.0634920634920634E-4</v>
      </c>
      <c r="M3" s="111">
        <f>Table11234579101416[[#This Row],[M (KN.mm)]]/(Table11234579101416[[#This Row],[b (mm)]]*Table11234579101416[[#This Row],[d (mm)]])</f>
        <v>1.1153999999999999</v>
      </c>
      <c r="N3" s="111">
        <f>Table11234579101416[[#This Row],[M (KN.mm)]]/(Table11234579101416[[#This Row],[b (mm)]]*Table11234579101416[[#This Row],[h (mm)]])</f>
        <v>1.0540529999999999</v>
      </c>
      <c r="O3" s="111">
        <f>Table11234579101416[[#This Row],[M (KN.mm)]]/(Table11234579101416[[#This Row],[b (mm)]]*Table11234579101416[[#This Row],[h (mm)]]*Table11234579101416[[#This Row],[L(mm)]])</f>
        <v>9.7499999999999985E-5</v>
      </c>
      <c r="P3" s="111">
        <f>Table11234579101416[[#This Row],[M (KN.mm)]]/(Table11234579101416[[#This Row],[b (mm)]]*Table11234579101416[[#This Row],[d (mm)]]*Table11234579101416[[#This Row],[L(mm)]])</f>
        <v>1.0317460317460316E-4</v>
      </c>
      <c r="Q3" s="111">
        <f>Table11234579101416[[#This Row],[M (KN.mm)]]/(Table11234579101416[[#This Row],[b (mm)]]*Table11234579101416[[#This Row],[h (mm)]]*Table11234579101416[[#This Row],[L(mm)]]*Table11234579101416[[#This Row],[fc (Mpa)]])</f>
        <v>3.0660377358490562E-6</v>
      </c>
      <c r="R3" s="111">
        <f>Table11234579101416[[#This Row],[M (KN.mm)]]/(Table11234579101416[[#This Row],[b (mm)]]*Table11234579101416[[#This Row],[h (mm)]]*Table11234579101416[[#This Row],[L(mm)]]/2)</f>
        <v>1.9499999999999997E-4</v>
      </c>
      <c r="S3" s="111">
        <f>Table11234579101416[[#This Row],[M (KN.mm)]]/(Table11234579101416[[#This Row],[a (mm)]]*Table11234579101416[[#This Row],[b (mm)]]*Table11234579101416[[#This Row],[h (mm)]]*Table11234579101416[[#This Row],[L(mm)]]/2)</f>
        <v>3.6075036075036077E-8</v>
      </c>
      <c r="T3" s="111">
        <f>Table11234579101416[[#This Row],[M (KN.mm)]]/(Table11234579101416[[#This Row],[a (mm)]]^2*Table11234579101416[[#This Row],[b (mm)]]*Table11234579101416[[#This Row],[h (mm)]])</f>
        <v>3.6075036075036077E-8</v>
      </c>
      <c r="U3" s="111">
        <f>Table11234579101416[[#This Row],[M (KN.mm)]]/(Table11234579101416[[#This Row],[b (mm)]]*Table11234579101416[[#This Row],[d (mm)]]*Table11234579101416[[#This Row],[pho (%)]])</f>
        <v>1.5072972972972971</v>
      </c>
      <c r="V3" s="111">
        <f>E3*224.8/(2*SQRT(Table11234579101416[[#This Row],[fc (Mpa)]]*145.037)*Table11234579101416[[#This Row],[b (mm)]]*Table11234579101416[[#This Row],[d (mm)]]*(1/25.4)^2)</f>
        <v>0.22033504739236945</v>
      </c>
      <c r="W3" s="111">
        <f>Table11234579101416[[#This Row],[M (KN.mm)]]/$G$5</f>
        <v>0.50869565217391299</v>
      </c>
      <c r="X3" s="111">
        <f>Table11234579101416[[#This Row],[V/(2*sqrt(fc) bd)]]</f>
        <v>0.22033504739236945</v>
      </c>
      <c r="Y3" s="111">
        <f>Table11234579101416[[#This Row],[a (mm)]]</f>
        <v>5405.4</v>
      </c>
      <c r="Z3" s="111">
        <f>Table11234579101416[[#This Row],[width]]*Table11234579101416[[#This Row],[d]]^2</f>
        <v>1071630000</v>
      </c>
      <c r="AA3" s="111">
        <f>Table11234579101416[[#This Row],[b (mm)]]</f>
        <v>300</v>
      </c>
      <c r="AB3" s="135">
        <f>2.86*Table11234579101416[[#This Row],[d (mm)]]</f>
        <v>5405.4</v>
      </c>
      <c r="AC3" s="135">
        <v>1890</v>
      </c>
      <c r="AD3" s="135">
        <v>2000</v>
      </c>
      <c r="AE3" s="134">
        <v>300</v>
      </c>
      <c r="AF3" s="7">
        <v>31.8</v>
      </c>
      <c r="AG3" s="111">
        <f>Table11234579101416[[#This Row],[pho (%)]]*Table11234579101416[[#This Row],[b (mm)]]*Table11234579101416[[#This Row],[h (mm)]]/100</f>
        <v>4440</v>
      </c>
      <c r="AH3" s="135">
        <v>0.74</v>
      </c>
      <c r="AI3" s="111">
        <v>527</v>
      </c>
      <c r="AJ3" s="111">
        <f>(1/3-0.21*(MIN(Table11234579101416[[#This Row],[b (mm)]],AD3)/MAX(Table11234579101416[[#This Row],[b (mm)]],AD3))*(MIN(Table11234579101416[[#This Row],[b (mm)]],AD3)^4/(12*MAX(Table11234579101416[[#This Row],[b (mm)]],AD3)^4)))*MAX(Table11234579101416[[#This Row],[b (mm)]],AD3)*MIN(Table11234579101416[[#This Row],[b (mm)]],AD3)^3</f>
        <v>17999928239.0625</v>
      </c>
      <c r="AK3" s="111">
        <f>Table11234579101416[[#This Row],[b (mm)]]*AD3^3/12</f>
        <v>200000000000</v>
      </c>
      <c r="AL3" s="111">
        <f>Table11234579101416[[#This Row],[a (mm)]]*2</f>
        <v>10810.8</v>
      </c>
      <c r="AN3"/>
      <c r="AO3"/>
      <c r="AP3"/>
      <c r="AQ3"/>
      <c r="AR3"/>
      <c r="AS3"/>
      <c r="AT3"/>
      <c r="AU3"/>
    </row>
    <row r="4" spans="1:47" x14ac:dyDescent="0.3">
      <c r="A4" s="325" t="s">
        <v>237</v>
      </c>
      <c r="B4" s="326">
        <v>13</v>
      </c>
      <c r="C4" s="325">
        <v>3</v>
      </c>
      <c r="D4" s="325">
        <v>2.86</v>
      </c>
      <c r="E4" s="325">
        <v>175</v>
      </c>
      <c r="F4" s="137">
        <f>Table11234579101416[[#This Row],[d (mm)]]</f>
        <v>1890</v>
      </c>
      <c r="G4" s="111">
        <f t="shared" si="0"/>
        <v>945944.99999999988</v>
      </c>
      <c r="H4" s="111" t="e">
        <f>G4/(#REF!*AK4*0.001)</f>
        <v>#REF!</v>
      </c>
      <c r="I4" s="111">
        <f>G4/(Table11234579101416[[#This Row],[b (mm)]]*AC4^2)</f>
        <v>8.8271604938271598E-4</v>
      </c>
      <c r="J4" s="111">
        <f t="shared" si="1"/>
        <v>0.21349474474474472</v>
      </c>
      <c r="K4" s="111" t="e">
        <f>E4/(#REF!*AJ4*0.001)</f>
        <v>#REF!</v>
      </c>
      <c r="L4" s="111">
        <f>E4/(Table11234579101416[[#This Row],[b (mm)]]*AC4)</f>
        <v>3.0864197530864197E-4</v>
      </c>
      <c r="M4" s="111">
        <f>Table11234579101416[[#This Row],[M (KN.mm)]]/(Table11234579101416[[#This Row],[b (mm)]]*Table11234579101416[[#This Row],[d (mm)]])</f>
        <v>1.6683333333333332</v>
      </c>
      <c r="N4" s="111">
        <f>Table11234579101416[[#This Row],[M (KN.mm)]]/(Table11234579101416[[#This Row],[b (mm)]]*Table11234579101416[[#This Row],[h (mm)]])</f>
        <v>1.5765749999999998</v>
      </c>
      <c r="O4" s="111">
        <f>Table11234579101416[[#This Row],[M (KN.mm)]]/(Table11234579101416[[#This Row],[b (mm)]]*Table11234579101416[[#This Row],[h (mm)]]*Table11234579101416[[#This Row],[L(mm)]])</f>
        <v>1.4583333333333332E-4</v>
      </c>
      <c r="P4" s="111">
        <f>Table11234579101416[[#This Row],[M (KN.mm)]]/(Table11234579101416[[#This Row],[b (mm)]]*Table11234579101416[[#This Row],[d (mm)]]*Table11234579101416[[#This Row],[L(mm)]])</f>
        <v>1.5432098765432096E-4</v>
      </c>
      <c r="Q4" s="111">
        <f>Table11234579101416[[#This Row],[M (KN.mm)]]/(Table11234579101416[[#This Row],[b (mm)]]*Table11234579101416[[#This Row],[h (mm)]]*Table11234579101416[[#This Row],[L(mm)]]*Table11234579101416[[#This Row],[fc (Mpa)]])</f>
        <v>4.5859538784067084E-6</v>
      </c>
      <c r="R4" s="111">
        <f>Table11234579101416[[#This Row],[M (KN.mm)]]/(Table11234579101416[[#This Row],[b (mm)]]*Table11234579101416[[#This Row],[h (mm)]]*Table11234579101416[[#This Row],[L(mm)]]/2)</f>
        <v>2.9166666666666664E-4</v>
      </c>
      <c r="S4" s="111">
        <f>Table11234579101416[[#This Row],[M (KN.mm)]]/(Table11234579101416[[#This Row],[a (mm)]]*Table11234579101416[[#This Row],[b (mm)]]*Table11234579101416[[#This Row],[h (mm)]]*Table11234579101416[[#This Row],[L(mm)]]/2)</f>
        <v>5.3958387291720622E-8</v>
      </c>
      <c r="T4" s="111">
        <f>Table11234579101416[[#This Row],[M (KN.mm)]]/(Table11234579101416[[#This Row],[a (mm)]]^2*Table11234579101416[[#This Row],[b (mm)]]*Table11234579101416[[#This Row],[h (mm)]])</f>
        <v>5.3958387291720629E-8</v>
      </c>
      <c r="U4" s="111">
        <f>Table11234579101416[[#This Row],[M (KN.mm)]]/(Table11234579101416[[#This Row],[b (mm)]]*Table11234579101416[[#This Row],[d (mm)]]*Table11234579101416[[#This Row],[pho (%)]])</f>
        <v>2.2545045045045042</v>
      </c>
      <c r="V4" s="111">
        <f>E4*224.8/(2*SQRT(Table11234579101416[[#This Row],[fc (Mpa)]]*145.037)*Table11234579101416[[#This Row],[b (mm)]]*Table11234579101416[[#This Row],[d (mm)]]*(1/25.4)^2)</f>
        <v>0.32956096832192006</v>
      </c>
      <c r="W4" s="111">
        <f>Table11234579101416[[#This Row],[M (KN.mm)]]/$G$5</f>
        <v>0.76086956521739124</v>
      </c>
      <c r="X4" s="111">
        <f>Table11234579101416[[#This Row],[V/(2*sqrt(fc) bd)]]</f>
        <v>0.32956096832192006</v>
      </c>
      <c r="Y4" s="111">
        <f>Table11234579101416[[#This Row],[a (mm)]]</f>
        <v>5405.4</v>
      </c>
      <c r="Z4" s="111">
        <f>Table11234579101416[[#This Row],[width]]*Table11234579101416[[#This Row],[d]]^2</f>
        <v>1071630000</v>
      </c>
      <c r="AA4" s="111">
        <f>Table11234579101416[[#This Row],[b (mm)]]</f>
        <v>300</v>
      </c>
      <c r="AB4" s="135">
        <f>2.86*Table11234579101416[[#This Row],[d (mm)]]</f>
        <v>5405.4</v>
      </c>
      <c r="AC4" s="135">
        <v>1890</v>
      </c>
      <c r="AD4" s="135">
        <v>2000</v>
      </c>
      <c r="AE4" s="134">
        <v>300</v>
      </c>
      <c r="AF4" s="7">
        <v>31.8</v>
      </c>
      <c r="AG4" s="111">
        <f>Table11234579101416[[#This Row],[pho (%)]]*Table11234579101416[[#This Row],[b (mm)]]*Table11234579101416[[#This Row],[h (mm)]]/100</f>
        <v>4440</v>
      </c>
      <c r="AH4" s="135">
        <v>0.74</v>
      </c>
      <c r="AI4" s="111">
        <v>528</v>
      </c>
      <c r="AJ4" s="111">
        <f>(1/3-0.21*(MIN(Table11234579101416[[#This Row],[b (mm)]],AD4)/MAX(Table11234579101416[[#This Row],[b (mm)]],AD4))*(MIN(Table11234579101416[[#This Row],[b (mm)]],AD4)^4/(12*MAX(Table11234579101416[[#This Row],[b (mm)]],AD4)^4)))*MAX(Table11234579101416[[#This Row],[b (mm)]],AD4)*MIN(Table11234579101416[[#This Row],[b (mm)]],AD4)^3</f>
        <v>17999928239.0625</v>
      </c>
      <c r="AK4" s="111">
        <f>Table11234579101416[[#This Row],[b (mm)]]*AD4^3/12</f>
        <v>200000000000</v>
      </c>
      <c r="AL4" s="111">
        <f>Table11234579101416[[#This Row],[a (mm)]]*2</f>
        <v>10810.8</v>
      </c>
      <c r="AN4"/>
      <c r="AO4"/>
      <c r="AP4"/>
      <c r="AQ4"/>
      <c r="AR4"/>
      <c r="AS4"/>
      <c r="AT4"/>
      <c r="AU4"/>
    </row>
    <row r="5" spans="1:47" x14ac:dyDescent="0.3">
      <c r="A5" s="325" t="s">
        <v>237</v>
      </c>
      <c r="B5" s="326">
        <v>14</v>
      </c>
      <c r="C5" s="325">
        <v>4</v>
      </c>
      <c r="D5" s="325">
        <v>2.86</v>
      </c>
      <c r="E5" s="325">
        <v>230</v>
      </c>
      <c r="F5" s="137">
        <f>Table11234579101416[[#This Row],[d (mm)]]</f>
        <v>1890</v>
      </c>
      <c r="G5" s="111">
        <f t="shared" si="0"/>
        <v>1243242</v>
      </c>
      <c r="H5" s="111" t="e">
        <f>G5/(#REF!*AK5*0.001)</f>
        <v>#REF!</v>
      </c>
      <c r="I5" s="111">
        <f>G5/(Table11234579101416[[#This Row],[b (mm)]]*AC5^2)</f>
        <v>1.1601410934744267E-3</v>
      </c>
      <c r="J5" s="111">
        <f t="shared" si="1"/>
        <v>0.28006267136701918</v>
      </c>
      <c r="K5" s="111" t="e">
        <f>E5/(#REF!*AJ5*0.001)</f>
        <v>#REF!</v>
      </c>
      <c r="L5" s="111">
        <f>E5/(Table11234579101416[[#This Row],[b (mm)]]*AC5)</f>
        <v>4.0564373897707232E-4</v>
      </c>
      <c r="M5" s="111">
        <f>Table11234579101416[[#This Row],[M (KN.mm)]]/(Table11234579101416[[#This Row],[b (mm)]]*Table11234579101416[[#This Row],[d (mm)]])</f>
        <v>2.1926666666666668</v>
      </c>
      <c r="N5" s="111">
        <f>Table11234579101416[[#This Row],[M (KN.mm)]]/(Table11234579101416[[#This Row],[b (mm)]]*Table11234579101416[[#This Row],[h (mm)]])</f>
        <v>2.0720700000000001</v>
      </c>
      <c r="O5" s="111">
        <f>Table11234579101416[[#This Row],[M (KN.mm)]]/(Table11234579101416[[#This Row],[b (mm)]]*Table11234579101416[[#This Row],[h (mm)]]*Table11234579101416[[#This Row],[L(mm)]])</f>
        <v>1.9166666666666667E-4</v>
      </c>
      <c r="P5" s="111">
        <f>Table11234579101416[[#This Row],[M (KN.mm)]]/(Table11234579101416[[#This Row],[b (mm)]]*Table11234579101416[[#This Row],[d (mm)]]*Table11234579101416[[#This Row],[L(mm)]])</f>
        <v>2.0282186948853616E-4</v>
      </c>
      <c r="Q5" s="111">
        <f>Table11234579101416[[#This Row],[M (KN.mm)]]/(Table11234579101416[[#This Row],[b (mm)]]*Table11234579101416[[#This Row],[h (mm)]]*Table11234579101416[[#This Row],[L(mm)]]*Table11234579101416[[#This Row],[fc (Mpa)]])</f>
        <v>6.0272536687631029E-6</v>
      </c>
      <c r="R5" s="111">
        <f>Table11234579101416[[#This Row],[M (KN.mm)]]/(Table11234579101416[[#This Row],[b (mm)]]*Table11234579101416[[#This Row],[h (mm)]]*Table11234579101416[[#This Row],[L(mm)]]/2)</f>
        <v>3.8333333333333334E-4</v>
      </c>
      <c r="S5" s="111">
        <f>Table11234579101416[[#This Row],[M (KN.mm)]]/(Table11234579101416[[#This Row],[a (mm)]]*Table11234579101416[[#This Row],[b (mm)]]*Table11234579101416[[#This Row],[h (mm)]]*Table11234579101416[[#This Row],[L(mm)]]/2)</f>
        <v>7.0916737583404264E-8</v>
      </c>
      <c r="T5" s="111">
        <f>Table11234579101416[[#This Row],[M (KN.mm)]]/(Table11234579101416[[#This Row],[a (mm)]]^2*Table11234579101416[[#This Row],[b (mm)]]*Table11234579101416[[#This Row],[h (mm)]])</f>
        <v>7.0916737583404264E-8</v>
      </c>
      <c r="U5" s="111">
        <f>Table11234579101416[[#This Row],[M (KN.mm)]]/(Table11234579101416[[#This Row],[b (mm)]]*Table11234579101416[[#This Row],[d (mm)]]*Table11234579101416[[#This Row],[pho (%)]])</f>
        <v>2.9630630630630632</v>
      </c>
      <c r="V5" s="111">
        <f>E5*224.8/(2*SQRT(Table11234579101416[[#This Row],[fc (Mpa)]]*145.037)*Table11234579101416[[#This Row],[b (mm)]]*Table11234579101416[[#This Row],[d (mm)]]*(1/25.4)^2)</f>
        <v>0.43313727265166641</v>
      </c>
      <c r="W5" s="111">
        <f>Table11234579101416[[#This Row],[M (KN.mm)]]/$G$5</f>
        <v>1</v>
      </c>
      <c r="X5" s="111">
        <f>Table11234579101416[[#This Row],[V/(2*sqrt(fc) bd)]]</f>
        <v>0.43313727265166641</v>
      </c>
      <c r="Y5" s="111">
        <f>Table11234579101416[[#This Row],[a (mm)]]</f>
        <v>5405.4</v>
      </c>
      <c r="Z5" s="111">
        <f>Table11234579101416[[#This Row],[width]]*Table11234579101416[[#This Row],[d]]^2</f>
        <v>1071630000</v>
      </c>
      <c r="AA5" s="111">
        <f>Table11234579101416[[#This Row],[b (mm)]]</f>
        <v>300</v>
      </c>
      <c r="AB5" s="135">
        <f>2.86*Table11234579101416[[#This Row],[d (mm)]]</f>
        <v>5405.4</v>
      </c>
      <c r="AC5" s="135">
        <v>1890</v>
      </c>
      <c r="AD5" s="135">
        <v>2000</v>
      </c>
      <c r="AE5" s="134">
        <v>300</v>
      </c>
      <c r="AF5" s="7">
        <v>31.8</v>
      </c>
      <c r="AG5" s="111">
        <f>Table11234579101416[[#This Row],[pho (%)]]*Table11234579101416[[#This Row],[b (mm)]]*Table11234579101416[[#This Row],[h (mm)]]/100</f>
        <v>4440</v>
      </c>
      <c r="AH5" s="135">
        <v>0.74</v>
      </c>
      <c r="AI5" s="111">
        <v>529</v>
      </c>
      <c r="AJ5" s="111">
        <f>(1/3-0.21*(MIN(Table11234579101416[[#This Row],[b (mm)]],AD5)/MAX(Table11234579101416[[#This Row],[b (mm)]],AD5))*(MIN(Table11234579101416[[#This Row],[b (mm)]],AD5)^4/(12*MAX(Table11234579101416[[#This Row],[b (mm)]],AD5)^4)))*MAX(Table11234579101416[[#This Row],[b (mm)]],AD5)*MIN(Table11234579101416[[#This Row],[b (mm)]],AD5)^3</f>
        <v>17999928239.0625</v>
      </c>
      <c r="AK5" s="111">
        <f>Table11234579101416[[#This Row],[b (mm)]]*AD5^3/12</f>
        <v>200000000000</v>
      </c>
      <c r="AL5" s="111">
        <f>Table11234579101416[[#This Row],[a (mm)]]*2</f>
        <v>10810.8</v>
      </c>
      <c r="AN5"/>
      <c r="AO5"/>
      <c r="AP5"/>
      <c r="AQ5"/>
      <c r="AR5"/>
      <c r="AS5"/>
      <c r="AT5"/>
      <c r="AU5"/>
    </row>
    <row r="6" spans="1:47" x14ac:dyDescent="0.3">
      <c r="A6" s="323" t="s">
        <v>238</v>
      </c>
      <c r="B6" s="324">
        <v>15</v>
      </c>
      <c r="C6" s="323">
        <v>2</v>
      </c>
      <c r="D6" s="323">
        <v>2.81</v>
      </c>
      <c r="E6" s="323">
        <v>66</v>
      </c>
      <c r="F6" s="137">
        <f>Table11234579101416[[#This Row],[d (mm)]]</f>
        <v>1921.7081850533807</v>
      </c>
      <c r="G6" s="111">
        <f t="shared" si="0"/>
        <v>356400</v>
      </c>
      <c r="H6" s="111" t="e">
        <f>G6/(#REF!*AK6*0.001)</f>
        <v>#REF!</v>
      </c>
      <c r="I6" s="111">
        <f>G6/(Table11234579101416[[#This Row],[b (mm)]]*AC6^2)</f>
        <v>3.21692962962963E-4</v>
      </c>
      <c r="J6" s="111">
        <f t="shared" si="1"/>
        <v>0.1620020964360587</v>
      </c>
      <c r="K6" s="111" t="e">
        <f>E6/(#REF!*AJ6*0.001)</f>
        <v>#REF!</v>
      </c>
      <c r="L6" s="111">
        <f>E6/(Table11234579101416[[#This Row],[b (mm)]]*AC6)</f>
        <v>1.1448148148148148E-4</v>
      </c>
      <c r="M6" s="111">
        <f>Table11234579101416[[#This Row],[M (KN.mm)]]/(Table11234579101416[[#This Row],[b (mm)]]*Table11234579101416[[#This Row],[d (mm)]])</f>
        <v>0.61819999999999997</v>
      </c>
      <c r="N6" s="111">
        <f>Table11234579101416[[#This Row],[M (KN.mm)]]/(Table11234579101416[[#This Row],[b (mm)]]*Table11234579101416[[#This Row],[h (mm)]])</f>
        <v>0.59399999999999997</v>
      </c>
      <c r="O6" s="111">
        <f>Table11234579101416[[#This Row],[M (KN.mm)]]/(Table11234579101416[[#This Row],[b (mm)]]*Table11234579101416[[#This Row],[h (mm)]]*Table11234579101416[[#This Row],[L(mm)]])</f>
        <v>5.5000000000000002E-5</v>
      </c>
      <c r="P6" s="111">
        <f>Table11234579101416[[#This Row],[M (KN.mm)]]/(Table11234579101416[[#This Row],[b (mm)]]*Table11234579101416[[#This Row],[d (mm)]]*Table11234579101416[[#This Row],[L(mm)]])</f>
        <v>5.7240740740740739E-5</v>
      </c>
      <c r="Q6" s="111">
        <f>Table11234579101416[[#This Row],[M (KN.mm)]]/(Table11234579101416[[#This Row],[b (mm)]]*Table11234579101416[[#This Row],[h (mm)]]*Table11234579101416[[#This Row],[L(mm)]]*Table11234579101416[[#This Row],[fc (Mpa)]])</f>
        <v>1.9434628975265018E-6</v>
      </c>
      <c r="R6" s="111">
        <f>Table11234579101416[[#This Row],[M (KN.mm)]]/(Table11234579101416[[#This Row],[b (mm)]]*Table11234579101416[[#This Row],[h (mm)]]*Table11234579101416[[#This Row],[L(mm)]]/2)</f>
        <v>1.1E-4</v>
      </c>
      <c r="S6" s="111">
        <f>Table11234579101416[[#This Row],[M (KN.mm)]]/(Table11234579101416[[#This Row],[a (mm)]]*Table11234579101416[[#This Row],[b (mm)]]*Table11234579101416[[#This Row],[h (mm)]]*Table11234579101416[[#This Row],[L(mm)]]/2)</f>
        <v>2.0370370370370369E-8</v>
      </c>
      <c r="T6" s="111">
        <f>Table11234579101416[[#This Row],[M (KN.mm)]]/(Table11234579101416[[#This Row],[a (mm)]]^2*Table11234579101416[[#This Row],[b (mm)]]*Table11234579101416[[#This Row],[h (mm)]])</f>
        <v>2.0370370370370369E-8</v>
      </c>
      <c r="U6" s="111">
        <f>Table11234579101416[[#This Row],[M (KN.mm)]]/(Table11234579101416[[#This Row],[b (mm)]]*Table11234579101416[[#This Row],[d (mm)]]*Table11234579101416[[#This Row],[pho (%)]])</f>
        <v>1.7172222222222224</v>
      </c>
      <c r="V6" s="111">
        <f>E6*224.8/(2*SQRT(Table11234579101416[[#This Row],[fc (Mpa)]]*145.037)*Table11234579101416[[#This Row],[b (mm)]]*Table11234579101416[[#This Row],[d (mm)]]*(1/25.4)^2)</f>
        <v>0.12957951902145631</v>
      </c>
      <c r="W6" s="111">
        <f>Table11234579101416[[#This Row],[M (KN.mm)]]/$G$11</f>
        <v>0.33</v>
      </c>
      <c r="X6" s="111">
        <f>Table11234579101416[[#This Row],[V/(2*sqrt(fc) bd)]]</f>
        <v>0.12957951902145631</v>
      </c>
      <c r="Y6" s="111">
        <f>Table11234579101416[[#This Row],[a (mm)]]</f>
        <v>5400</v>
      </c>
      <c r="Z6" s="111">
        <f>Table11234579101416[[#This Row],[width]]*Table11234579101416[[#This Row],[d]]^2</f>
        <v>1107888704.5503476</v>
      </c>
      <c r="AA6" s="111">
        <f>Table11234579101416[[#This Row],[b (mm)]]</f>
        <v>300</v>
      </c>
      <c r="AB6" s="135">
        <v>5400</v>
      </c>
      <c r="AC6" s="135">
        <f>Table11234579101416[[#This Row],[a (mm)]]/2.81</f>
        <v>1921.7081850533807</v>
      </c>
      <c r="AD6" s="135">
        <v>2000</v>
      </c>
      <c r="AE6" s="134">
        <v>300</v>
      </c>
      <c r="AF6" s="7">
        <v>28.3</v>
      </c>
      <c r="AG6" s="111">
        <f>Table11234579101416[[#This Row],[pho (%)]]*Table11234579101416[[#This Row],[b (mm)]]*Table11234579101416[[#This Row],[h (mm)]]/100</f>
        <v>2160</v>
      </c>
      <c r="AH6" s="135">
        <v>0.36</v>
      </c>
      <c r="AI6" s="111">
        <v>530</v>
      </c>
      <c r="AJ6" s="111">
        <f>(1/3-0.21*(MIN(Table11234579101416[[#This Row],[b (mm)]],AD6)/MAX(Table11234579101416[[#This Row],[b (mm)]],AD6))*(MIN(Table11234579101416[[#This Row],[b (mm)]],AD6)^4/(12*MAX(Table11234579101416[[#This Row],[b (mm)]],AD6)^4)))*MAX(Table11234579101416[[#This Row],[b (mm)]],AD6)*MIN(Table11234579101416[[#This Row],[b (mm)]],AD6)^3</f>
        <v>17999928239.0625</v>
      </c>
      <c r="AK6" s="111">
        <f>Table11234579101416[[#This Row],[b (mm)]]*AD6^3/12</f>
        <v>200000000000</v>
      </c>
      <c r="AL6" s="111">
        <f>Table11234579101416[[#This Row],[a (mm)]]*2</f>
        <v>10800</v>
      </c>
      <c r="AN6"/>
      <c r="AO6"/>
      <c r="AP6"/>
      <c r="AQ6"/>
      <c r="AR6"/>
      <c r="AS6"/>
      <c r="AT6"/>
      <c r="AU6"/>
    </row>
    <row r="7" spans="1:47" x14ac:dyDescent="0.3">
      <c r="A7" s="323" t="s">
        <v>238</v>
      </c>
      <c r="B7" s="324">
        <v>16</v>
      </c>
      <c r="C7" s="323">
        <v>3</v>
      </c>
      <c r="D7" s="323">
        <v>2.81</v>
      </c>
      <c r="E7" s="323">
        <v>110</v>
      </c>
      <c r="F7" s="137">
        <f>Table11234579101416[[#This Row],[d (mm)]]</f>
        <v>1921.7081850533807</v>
      </c>
      <c r="G7" s="111">
        <f t="shared" si="0"/>
        <v>594000</v>
      </c>
      <c r="H7" s="111" t="e">
        <f>G7/(#REF!*AK7*0.001)</f>
        <v>#REF!</v>
      </c>
      <c r="I7" s="111">
        <f>G7/(Table11234579101416[[#This Row],[b (mm)]]*AC7^2)</f>
        <v>5.36154938271605E-4</v>
      </c>
      <c r="J7" s="111">
        <f t="shared" si="1"/>
        <v>0.26949501290367583</v>
      </c>
      <c r="K7" s="111" t="e">
        <f>E7/(#REF!*AJ7*0.001)</f>
        <v>#REF!</v>
      </c>
      <c r="L7" s="111">
        <f>E7/(Table11234579101416[[#This Row],[b (mm)]]*AC7)</f>
        <v>1.9080246913580245E-4</v>
      </c>
      <c r="M7" s="111">
        <f>Table11234579101416[[#This Row],[M (KN.mm)]]/(Table11234579101416[[#This Row],[b (mm)]]*Table11234579101416[[#This Row],[d (mm)]])</f>
        <v>1.0303333333333333</v>
      </c>
      <c r="N7" s="111">
        <f>Table11234579101416[[#This Row],[M (KN.mm)]]/(Table11234579101416[[#This Row],[b (mm)]]*Table11234579101416[[#This Row],[h (mm)]])</f>
        <v>0.99</v>
      </c>
      <c r="O7" s="111">
        <f>Table11234579101416[[#This Row],[M (KN.mm)]]/(Table11234579101416[[#This Row],[b (mm)]]*Table11234579101416[[#This Row],[h (mm)]]*Table11234579101416[[#This Row],[L(mm)]])</f>
        <v>9.1666666666666668E-5</v>
      </c>
      <c r="P7" s="111">
        <f>Table11234579101416[[#This Row],[M (KN.mm)]]/(Table11234579101416[[#This Row],[b (mm)]]*Table11234579101416[[#This Row],[d (mm)]]*Table11234579101416[[#This Row],[L(mm)]])</f>
        <v>9.5401234567901226E-5</v>
      </c>
      <c r="Q7" s="111">
        <f>Table11234579101416[[#This Row],[M (KN.mm)]]/(Table11234579101416[[#This Row],[b (mm)]]*Table11234579101416[[#This Row],[h (mm)]]*Table11234579101416[[#This Row],[L(mm)]]*Table11234579101416[[#This Row],[fc (Mpa)]])</f>
        <v>3.2391048292108363E-6</v>
      </c>
      <c r="R7" s="111">
        <f>Table11234579101416[[#This Row],[M (KN.mm)]]/(Table11234579101416[[#This Row],[b (mm)]]*Table11234579101416[[#This Row],[h (mm)]]*Table11234579101416[[#This Row],[L(mm)]]/2)</f>
        <v>1.8333333333333334E-4</v>
      </c>
      <c r="S7" s="111">
        <f>Table11234579101416[[#This Row],[M (KN.mm)]]/(Table11234579101416[[#This Row],[a (mm)]]*Table11234579101416[[#This Row],[b (mm)]]*Table11234579101416[[#This Row],[h (mm)]]*Table11234579101416[[#This Row],[L(mm)]]/2)</f>
        <v>3.3950617283950614E-8</v>
      </c>
      <c r="T7" s="111">
        <f>Table11234579101416[[#This Row],[M (KN.mm)]]/(Table11234579101416[[#This Row],[a (mm)]]^2*Table11234579101416[[#This Row],[b (mm)]]*Table11234579101416[[#This Row],[h (mm)]])</f>
        <v>3.3950617283950614E-8</v>
      </c>
      <c r="U7" s="111">
        <f>Table11234579101416[[#This Row],[M (KN.mm)]]/(Table11234579101416[[#This Row],[b (mm)]]*Table11234579101416[[#This Row],[d (mm)]]*Table11234579101416[[#This Row],[pho (%)]])</f>
        <v>2.8620370370370374</v>
      </c>
      <c r="V7" s="111">
        <f>E7*224.8/(2*SQRT(Table11234579101416[[#This Row],[fc (Mpa)]]*145.037)*Table11234579101416[[#This Row],[b (mm)]]*Table11234579101416[[#This Row],[d (mm)]]*(1/25.4)^2)</f>
        <v>0.21596586503576051</v>
      </c>
      <c r="W7" s="111">
        <f>Table11234579101416[[#This Row],[M (KN.mm)]]/$G$11</f>
        <v>0.55000000000000004</v>
      </c>
      <c r="X7" s="111">
        <f>Table11234579101416[[#This Row],[V/(2*sqrt(fc) bd)]]</f>
        <v>0.21596586503576051</v>
      </c>
      <c r="Y7" s="111">
        <f>Table11234579101416[[#This Row],[a (mm)]]</f>
        <v>5400</v>
      </c>
      <c r="Z7" s="111">
        <f>Table11234579101416[[#This Row],[width]]*Table11234579101416[[#This Row],[d]]^2</f>
        <v>1107888704.5503476</v>
      </c>
      <c r="AA7" s="111">
        <f>Table11234579101416[[#This Row],[b (mm)]]</f>
        <v>300</v>
      </c>
      <c r="AB7" s="135">
        <v>5400</v>
      </c>
      <c r="AC7" s="135">
        <f>Table11234579101416[[#This Row],[a (mm)]]/2.81</f>
        <v>1921.7081850533807</v>
      </c>
      <c r="AD7" s="135">
        <v>2000</v>
      </c>
      <c r="AE7" s="134">
        <v>300</v>
      </c>
      <c r="AF7" s="7">
        <v>28.3</v>
      </c>
      <c r="AG7" s="111">
        <f>Table11234579101416[[#This Row],[pho (%)]]*Table11234579101416[[#This Row],[b (mm)]]*Table11234579101416[[#This Row],[h (mm)]]/100</f>
        <v>2160</v>
      </c>
      <c r="AH7" s="135">
        <v>0.36</v>
      </c>
      <c r="AI7" s="111">
        <v>531</v>
      </c>
      <c r="AJ7" s="111">
        <f>(1/3-0.21*(MIN(Table11234579101416[[#This Row],[b (mm)]],AD7)/MAX(Table11234579101416[[#This Row],[b (mm)]],AD7))*(MIN(Table11234579101416[[#This Row],[b (mm)]],AD7)^4/(12*MAX(Table11234579101416[[#This Row],[b (mm)]],AD7)^4)))*MAX(Table11234579101416[[#This Row],[b (mm)]],AD7)*MIN(Table11234579101416[[#This Row],[b (mm)]],AD7)^3</f>
        <v>17999928239.0625</v>
      </c>
      <c r="AK7" s="111">
        <f>Table11234579101416[[#This Row],[b (mm)]]*AD7^3/12</f>
        <v>200000000000</v>
      </c>
      <c r="AL7" s="111">
        <f>Table11234579101416[[#This Row],[a (mm)]]*2</f>
        <v>10800</v>
      </c>
      <c r="AN7"/>
      <c r="AO7"/>
      <c r="AP7"/>
      <c r="AQ7"/>
      <c r="AR7"/>
      <c r="AS7"/>
      <c r="AT7"/>
      <c r="AU7"/>
    </row>
    <row r="8" spans="1:47" s="129" customFormat="1" x14ac:dyDescent="0.3">
      <c r="A8" s="323" t="s">
        <v>238</v>
      </c>
      <c r="B8" s="324">
        <v>17</v>
      </c>
      <c r="C8" s="323">
        <v>4</v>
      </c>
      <c r="D8" s="323">
        <v>2.81</v>
      </c>
      <c r="E8" s="323">
        <v>140</v>
      </c>
      <c r="F8" s="137">
        <f>Table11234579101416[[#This Row],[d (mm)]]</f>
        <v>1921.7081850533807</v>
      </c>
      <c r="G8" s="111">
        <f t="shared" si="0"/>
        <v>756000</v>
      </c>
      <c r="H8" s="111" t="e">
        <f>G8/(#REF!*AK8*0.001)</f>
        <v>#REF!</v>
      </c>
      <c r="I8" s="111">
        <f>G8/(Table11234579101416[[#This Row],[b (mm)]]*AC8^2)</f>
        <v>6.8237901234567905E-4</v>
      </c>
      <c r="J8" s="111">
        <f t="shared" si="1"/>
        <v>0.34234892787524368</v>
      </c>
      <c r="K8" s="111" t="e">
        <f>E8/(#REF!*AJ8*0.001)</f>
        <v>#REF!</v>
      </c>
      <c r="L8" s="111">
        <f>E8/(Table11234579101416[[#This Row],[b (mm)]]*AC8)</f>
        <v>2.4283950617283949E-4</v>
      </c>
      <c r="M8" s="111">
        <f>Table11234579101416[[#This Row],[M (KN.mm)]]/(Table11234579101416[[#This Row],[b (mm)]]*Table11234579101416[[#This Row],[d (mm)]])</f>
        <v>1.3113333333333332</v>
      </c>
      <c r="N8" s="111">
        <f>Table11234579101416[[#This Row],[M (KN.mm)]]/(Table11234579101416[[#This Row],[b (mm)]]*Table11234579101416[[#This Row],[h (mm)]])</f>
        <v>1.26</v>
      </c>
      <c r="O8" s="111">
        <f>Table11234579101416[[#This Row],[M (KN.mm)]]/(Table11234579101416[[#This Row],[b (mm)]]*Table11234579101416[[#This Row],[h (mm)]]*Table11234579101416[[#This Row],[L(mm)]])</f>
        <v>1.1666666666666667E-4</v>
      </c>
      <c r="P8" s="111">
        <f>Table11234579101416[[#This Row],[M (KN.mm)]]/(Table11234579101416[[#This Row],[b (mm)]]*Table11234579101416[[#This Row],[d (mm)]]*Table11234579101416[[#This Row],[L(mm)]])</f>
        <v>1.2141975308641975E-4</v>
      </c>
      <c r="Q8" s="111">
        <f>Table11234579101416[[#This Row],[M (KN.mm)]]/(Table11234579101416[[#This Row],[b (mm)]]*Table11234579101416[[#This Row],[h (mm)]]*Table11234579101416[[#This Row],[L(mm)]]*Table11234579101416[[#This Row],[fc (Mpa)]])</f>
        <v>4.1224970553592461E-6</v>
      </c>
      <c r="R8" s="111">
        <f>Table11234579101416[[#This Row],[M (KN.mm)]]/(Table11234579101416[[#This Row],[b (mm)]]*Table11234579101416[[#This Row],[h (mm)]]*Table11234579101416[[#This Row],[L(mm)]]/2)</f>
        <v>2.3333333333333333E-4</v>
      </c>
      <c r="S8" s="111">
        <f>Table11234579101416[[#This Row],[M (KN.mm)]]/(Table11234579101416[[#This Row],[a (mm)]]*Table11234579101416[[#This Row],[b (mm)]]*Table11234579101416[[#This Row],[h (mm)]]*Table11234579101416[[#This Row],[L(mm)]]/2)</f>
        <v>4.3209876543209874E-8</v>
      </c>
      <c r="T8" s="111">
        <f>Table11234579101416[[#This Row],[M (KN.mm)]]/(Table11234579101416[[#This Row],[a (mm)]]^2*Table11234579101416[[#This Row],[b (mm)]]*Table11234579101416[[#This Row],[h (mm)]])</f>
        <v>4.3209876543209874E-8</v>
      </c>
      <c r="U8" s="111">
        <f>Table11234579101416[[#This Row],[M (KN.mm)]]/(Table11234579101416[[#This Row],[b (mm)]]*Table11234579101416[[#This Row],[d (mm)]]*Table11234579101416[[#This Row],[pho (%)]])</f>
        <v>3.6425925925925928</v>
      </c>
      <c r="V8" s="111">
        <f>E8*224.8/(2*SQRT(Table11234579101416[[#This Row],[fc (Mpa)]]*145.037)*Table11234579101416[[#This Row],[b (mm)]]*Table11234579101416[[#This Row],[d (mm)]]*(1/25.4)^2)</f>
        <v>0.27486564640914973</v>
      </c>
      <c r="W8" s="111">
        <f>Table11234579101416[[#This Row],[M (KN.mm)]]/$G$11</f>
        <v>0.7</v>
      </c>
      <c r="X8" s="111">
        <f>Table11234579101416[[#This Row],[V/(2*sqrt(fc) bd)]]</f>
        <v>0.27486564640914973</v>
      </c>
      <c r="Y8" s="111">
        <f>Table11234579101416[[#This Row],[a (mm)]]</f>
        <v>5400</v>
      </c>
      <c r="Z8" s="111">
        <f>Table11234579101416[[#This Row],[width]]*Table11234579101416[[#This Row],[d]]^2</f>
        <v>1107888704.5503476</v>
      </c>
      <c r="AA8" s="111">
        <f>Table11234579101416[[#This Row],[b (mm)]]</f>
        <v>300</v>
      </c>
      <c r="AB8" s="135">
        <v>5400</v>
      </c>
      <c r="AC8" s="135">
        <f>Table11234579101416[[#This Row],[a (mm)]]/2.81</f>
        <v>1921.7081850533807</v>
      </c>
      <c r="AD8" s="135">
        <v>2000</v>
      </c>
      <c r="AE8" s="134">
        <v>300</v>
      </c>
      <c r="AF8" s="7">
        <v>28.3</v>
      </c>
      <c r="AG8" s="111">
        <f>Table11234579101416[[#This Row],[pho (%)]]*Table11234579101416[[#This Row],[b (mm)]]*Table11234579101416[[#This Row],[h (mm)]]/100</f>
        <v>2160</v>
      </c>
      <c r="AH8" s="135">
        <v>0.36</v>
      </c>
      <c r="AI8" s="111">
        <v>532</v>
      </c>
      <c r="AJ8" s="111">
        <f>(1/3-0.21*(MIN(Table11234579101416[[#This Row],[b (mm)]],AD8)/MAX(Table11234579101416[[#This Row],[b (mm)]],AD8))*(MIN(Table11234579101416[[#This Row],[b (mm)]],AD8)^4/(12*MAX(Table11234579101416[[#This Row],[b (mm)]],AD8)^4)))*MAX(Table11234579101416[[#This Row],[b (mm)]],AD8)*MIN(Table11234579101416[[#This Row],[b (mm)]],AD8)^3</f>
        <v>17999928239.0625</v>
      </c>
      <c r="AK8" s="111">
        <f>Table11234579101416[[#This Row],[b (mm)]]*AD8^3/12</f>
        <v>200000000000</v>
      </c>
      <c r="AL8" s="111">
        <f>Table11234579101416[[#This Row],[a (mm)]]*2</f>
        <v>10800</v>
      </c>
      <c r="AM8"/>
      <c r="AN8"/>
      <c r="AO8"/>
      <c r="AP8"/>
      <c r="AQ8"/>
      <c r="AR8"/>
      <c r="AS8"/>
      <c r="AT8"/>
      <c r="AU8"/>
    </row>
    <row r="9" spans="1:47" s="129" customFormat="1" x14ac:dyDescent="0.3">
      <c r="A9" s="323" t="s">
        <v>238</v>
      </c>
      <c r="B9" s="324">
        <v>18</v>
      </c>
      <c r="C9" s="323">
        <v>4</v>
      </c>
      <c r="D9" s="323">
        <v>2.81</v>
      </c>
      <c r="E9" s="323">
        <v>163</v>
      </c>
      <c r="F9" s="137">
        <f>Table11234579101416[[#This Row],[d (mm)]]</f>
        <v>1921.7081850533807</v>
      </c>
      <c r="G9" s="111">
        <f t="shared" si="0"/>
        <v>880200</v>
      </c>
      <c r="H9" s="111" t="e">
        <f>G9/(#REF!*AK9*0.001)</f>
        <v>#REF!</v>
      </c>
      <c r="I9" s="111">
        <f>G9/(Table11234579101416[[#This Row],[b (mm)]]*AC9^2)</f>
        <v>7.9448413580246924E-4</v>
      </c>
      <c r="J9" s="111">
        <f t="shared" si="1"/>
        <v>0.39784413869779728</v>
      </c>
      <c r="K9" s="111" t="e">
        <f>E9/(#REF!*AJ9*0.001)</f>
        <v>#REF!</v>
      </c>
      <c r="L9" s="111">
        <f>E9/(Table11234579101416[[#This Row],[b (mm)]]*AC9)</f>
        <v>2.8273456790123454E-4</v>
      </c>
      <c r="M9" s="111">
        <f>Table11234579101416[[#This Row],[M (KN.mm)]]/(Table11234579101416[[#This Row],[b (mm)]]*Table11234579101416[[#This Row],[d (mm)]])</f>
        <v>1.5267666666666666</v>
      </c>
      <c r="N9" s="111">
        <f>Table11234579101416[[#This Row],[M (KN.mm)]]/(Table11234579101416[[#This Row],[b (mm)]]*Table11234579101416[[#This Row],[h (mm)]])</f>
        <v>1.4670000000000001</v>
      </c>
      <c r="O9" s="111">
        <f>Table11234579101416[[#This Row],[M (KN.mm)]]/(Table11234579101416[[#This Row],[b (mm)]]*Table11234579101416[[#This Row],[h (mm)]]*Table11234579101416[[#This Row],[L(mm)]])</f>
        <v>1.3583333333333335E-4</v>
      </c>
      <c r="P9" s="111">
        <f>Table11234579101416[[#This Row],[M (KN.mm)]]/(Table11234579101416[[#This Row],[b (mm)]]*Table11234579101416[[#This Row],[d (mm)]]*Table11234579101416[[#This Row],[L(mm)]])</f>
        <v>1.4136728395061727E-4</v>
      </c>
      <c r="Q9" s="111">
        <f>Table11234579101416[[#This Row],[M (KN.mm)]]/(Table11234579101416[[#This Row],[b (mm)]]*Table11234579101416[[#This Row],[h (mm)]]*Table11234579101416[[#This Row],[L(mm)]]*Table11234579101416[[#This Row],[fc (Mpa)]])</f>
        <v>4.7997644287396939E-6</v>
      </c>
      <c r="R9" s="111">
        <f>Table11234579101416[[#This Row],[M (KN.mm)]]/(Table11234579101416[[#This Row],[b (mm)]]*Table11234579101416[[#This Row],[h (mm)]]*Table11234579101416[[#This Row],[L(mm)]]/2)</f>
        <v>2.7166666666666669E-4</v>
      </c>
      <c r="S9" s="111">
        <f>Table11234579101416[[#This Row],[M (KN.mm)]]/(Table11234579101416[[#This Row],[a (mm)]]*Table11234579101416[[#This Row],[b (mm)]]*Table11234579101416[[#This Row],[h (mm)]]*Table11234579101416[[#This Row],[L(mm)]]/2)</f>
        <v>5.0308641975308641E-8</v>
      </c>
      <c r="T9" s="111">
        <f>Table11234579101416[[#This Row],[M (KN.mm)]]/(Table11234579101416[[#This Row],[a (mm)]]^2*Table11234579101416[[#This Row],[b (mm)]]*Table11234579101416[[#This Row],[h (mm)]])</f>
        <v>5.0308641975308641E-8</v>
      </c>
      <c r="U9" s="111">
        <f>Table11234579101416[[#This Row],[M (KN.mm)]]/(Table11234579101416[[#This Row],[b (mm)]]*Table11234579101416[[#This Row],[d (mm)]]*Table11234579101416[[#This Row],[pho (%)]])</f>
        <v>4.2410185185185192</v>
      </c>
      <c r="V9" s="111">
        <f>E9*224.8/(2*SQRT(Table11234579101416[[#This Row],[fc (Mpa)]]*145.037)*Table11234579101416[[#This Row],[b (mm)]]*Table11234579101416[[#This Row],[d (mm)]]*(1/25.4)^2)</f>
        <v>0.32002214546208152</v>
      </c>
      <c r="W9" s="111">
        <f>Table11234579101416[[#This Row],[M (KN.mm)]]/$G$11</f>
        <v>0.81499999999999995</v>
      </c>
      <c r="X9" s="111">
        <f>Table11234579101416[[#This Row],[V/(2*sqrt(fc) bd)]]</f>
        <v>0.32002214546208152</v>
      </c>
      <c r="Y9" s="111">
        <f>Table11234579101416[[#This Row],[a (mm)]]</f>
        <v>5400</v>
      </c>
      <c r="Z9" s="111">
        <f>Table11234579101416[[#This Row],[width]]*Table11234579101416[[#This Row],[d]]^2</f>
        <v>1107888704.5503476</v>
      </c>
      <c r="AA9" s="111">
        <f>Table11234579101416[[#This Row],[b (mm)]]</f>
        <v>300</v>
      </c>
      <c r="AB9" s="135">
        <v>5400</v>
      </c>
      <c r="AC9" s="135">
        <f>Table11234579101416[[#This Row],[a (mm)]]/2.81</f>
        <v>1921.7081850533807</v>
      </c>
      <c r="AD9" s="135">
        <v>2000</v>
      </c>
      <c r="AE9" s="134">
        <v>300</v>
      </c>
      <c r="AF9" s="7">
        <v>28.3</v>
      </c>
      <c r="AG9" s="111">
        <f>Table11234579101416[[#This Row],[pho (%)]]*Table11234579101416[[#This Row],[b (mm)]]*Table11234579101416[[#This Row],[h (mm)]]/100</f>
        <v>2160</v>
      </c>
      <c r="AH9" s="135">
        <v>0.36</v>
      </c>
      <c r="AI9" s="111">
        <v>533</v>
      </c>
      <c r="AJ9" s="111">
        <f>(1/3-0.21*(MIN(Table11234579101416[[#This Row],[b (mm)]],AD9)/MAX(Table11234579101416[[#This Row],[b (mm)]],AD9))*(MIN(Table11234579101416[[#This Row],[b (mm)]],AD9)^4/(12*MAX(Table11234579101416[[#This Row],[b (mm)]],AD9)^4)))*MAX(Table11234579101416[[#This Row],[b (mm)]],AD9)*MIN(Table11234579101416[[#This Row],[b (mm)]],AD9)^3</f>
        <v>17999928239.0625</v>
      </c>
      <c r="AK9" s="111">
        <f>Table11234579101416[[#This Row],[b (mm)]]*AD9^3/12</f>
        <v>200000000000</v>
      </c>
      <c r="AL9" s="111">
        <f>Table11234579101416[[#This Row],[a (mm)]]*2</f>
        <v>10800</v>
      </c>
      <c r="AM9"/>
      <c r="AN9"/>
      <c r="AO9"/>
      <c r="AP9"/>
      <c r="AQ9"/>
      <c r="AR9"/>
      <c r="AS9"/>
      <c r="AT9"/>
      <c r="AU9"/>
    </row>
    <row r="10" spans="1:47" s="129" customFormat="1" x14ac:dyDescent="0.3">
      <c r="A10" s="323" t="s">
        <v>238</v>
      </c>
      <c r="B10" s="324">
        <v>19</v>
      </c>
      <c r="C10" s="323">
        <v>5</v>
      </c>
      <c r="D10" s="323">
        <v>2.81</v>
      </c>
      <c r="E10" s="323">
        <v>188</v>
      </c>
      <c r="F10" s="137">
        <f>Table11234579101416[[#This Row],[d (mm)]]</f>
        <v>1921.7081850533807</v>
      </c>
      <c r="G10" s="111">
        <f t="shared" si="0"/>
        <v>1015200</v>
      </c>
      <c r="H10" s="111" t="e">
        <f>G10/(#REF!*AK10*0.001)</f>
        <v>#REF!</v>
      </c>
      <c r="I10" s="111">
        <f>G10/(Table11234579101416[[#This Row],[b (mm)]]*AC10^2)</f>
        <v>9.1633753086419758E-4</v>
      </c>
      <c r="J10" s="111">
        <f t="shared" si="1"/>
        <v>0.45800388403384656</v>
      </c>
      <c r="K10" s="111" t="e">
        <f>E10/(#REF!*AJ10*0.001)</f>
        <v>#REF!</v>
      </c>
      <c r="L10" s="111">
        <f>E10/(Table11234579101416[[#This Row],[b (mm)]]*AC10)</f>
        <v>3.2609876543209876E-4</v>
      </c>
      <c r="M10" s="111">
        <f>Table11234579101416[[#This Row],[M (KN.mm)]]/(Table11234579101416[[#This Row],[b (mm)]]*Table11234579101416[[#This Row],[d (mm)]])</f>
        <v>1.7609333333333332</v>
      </c>
      <c r="N10" s="111">
        <f>Table11234579101416[[#This Row],[M (KN.mm)]]/(Table11234579101416[[#This Row],[b (mm)]]*Table11234579101416[[#This Row],[h (mm)]])</f>
        <v>1.6919999999999999</v>
      </c>
      <c r="O10" s="111">
        <f>Table11234579101416[[#This Row],[M (KN.mm)]]/(Table11234579101416[[#This Row],[b (mm)]]*Table11234579101416[[#This Row],[h (mm)]]*Table11234579101416[[#This Row],[L(mm)]])</f>
        <v>1.5666666666666666E-4</v>
      </c>
      <c r="P10" s="111">
        <f>Table11234579101416[[#This Row],[M (KN.mm)]]/(Table11234579101416[[#This Row],[b (mm)]]*Table11234579101416[[#This Row],[d (mm)]]*Table11234579101416[[#This Row],[L(mm)]])</f>
        <v>1.6304938271604938E-4</v>
      </c>
      <c r="Q10" s="111">
        <f>Table11234579101416[[#This Row],[M (KN.mm)]]/(Table11234579101416[[#This Row],[b (mm)]]*Table11234579101416[[#This Row],[h (mm)]]*Table11234579101416[[#This Row],[L(mm)]]*Table11234579101416[[#This Row],[fc (Mpa)]])</f>
        <v>5.5359246171967019E-6</v>
      </c>
      <c r="R10" s="111">
        <f>Table11234579101416[[#This Row],[M (KN.mm)]]/(Table11234579101416[[#This Row],[b (mm)]]*Table11234579101416[[#This Row],[h (mm)]]*Table11234579101416[[#This Row],[L(mm)]]/2)</f>
        <v>3.1333333333333332E-4</v>
      </c>
      <c r="S10" s="111">
        <f>Table11234579101416[[#This Row],[M (KN.mm)]]/(Table11234579101416[[#This Row],[a (mm)]]*Table11234579101416[[#This Row],[b (mm)]]*Table11234579101416[[#This Row],[h (mm)]]*Table11234579101416[[#This Row],[L(mm)]]/2)</f>
        <v>5.8024691358024689E-8</v>
      </c>
      <c r="T10" s="111">
        <f>Table11234579101416[[#This Row],[M (KN.mm)]]/(Table11234579101416[[#This Row],[a (mm)]]^2*Table11234579101416[[#This Row],[b (mm)]]*Table11234579101416[[#This Row],[h (mm)]])</f>
        <v>5.8024691358024689E-8</v>
      </c>
      <c r="U10" s="111">
        <f>Table11234579101416[[#This Row],[M (KN.mm)]]/(Table11234579101416[[#This Row],[b (mm)]]*Table11234579101416[[#This Row],[d (mm)]]*Table11234579101416[[#This Row],[pho (%)]])</f>
        <v>4.891481481481482</v>
      </c>
      <c r="V10" s="111">
        <f>E10*224.8/(2*SQRT(Table11234579101416[[#This Row],[fc (Mpa)]]*145.037)*Table11234579101416[[#This Row],[b (mm)]]*Table11234579101416[[#This Row],[d (mm)]]*(1/25.4)^2)</f>
        <v>0.36910529660657254</v>
      </c>
      <c r="W10" s="111">
        <f>Table11234579101416[[#This Row],[M (KN.mm)]]/$G$11</f>
        <v>0.94</v>
      </c>
      <c r="X10" s="111">
        <f>Table11234579101416[[#This Row],[V/(2*sqrt(fc) bd)]]</f>
        <v>0.36910529660657254</v>
      </c>
      <c r="Y10" s="111">
        <f>Table11234579101416[[#This Row],[a (mm)]]</f>
        <v>5400</v>
      </c>
      <c r="Z10" s="111">
        <f>Table11234579101416[[#This Row],[width]]*Table11234579101416[[#This Row],[d]]^2</f>
        <v>1107888704.5503476</v>
      </c>
      <c r="AA10" s="111">
        <f>Table11234579101416[[#This Row],[b (mm)]]</f>
        <v>300</v>
      </c>
      <c r="AB10">
        <v>5400</v>
      </c>
      <c r="AC10">
        <f>Table11234579101416[[#This Row],[a (mm)]]/2.81</f>
        <v>1921.7081850533807</v>
      </c>
      <c r="AD10">
        <v>2000</v>
      </c>
      <c r="AE10">
        <v>300</v>
      </c>
      <c r="AF10" s="7">
        <v>28.3</v>
      </c>
      <c r="AG10" s="111">
        <f>Table11234579101416[[#This Row],[pho (%)]]*Table11234579101416[[#This Row],[b (mm)]]*Table11234579101416[[#This Row],[h (mm)]]/100</f>
        <v>2160</v>
      </c>
      <c r="AH10" s="135">
        <v>0.36</v>
      </c>
      <c r="AI10" s="111">
        <v>534</v>
      </c>
      <c r="AJ10" s="111">
        <f>(1/3-0.21*(MIN(Table11234579101416[[#This Row],[b (mm)]],AD10)/MAX(Table11234579101416[[#This Row],[b (mm)]],AD10))*(MIN(Table11234579101416[[#This Row],[b (mm)]],AD10)^4/(12*MAX(Table11234579101416[[#This Row],[b (mm)]],AD10)^4)))*MAX(Table11234579101416[[#This Row],[b (mm)]],AD10)*MIN(Table11234579101416[[#This Row],[b (mm)]],AD10)^3</f>
        <v>17999928239.0625</v>
      </c>
      <c r="AK10" s="111">
        <f>Table11234579101416[[#This Row],[b (mm)]]*AD10^3/12</f>
        <v>200000000000</v>
      </c>
      <c r="AL10" s="111">
        <f>Table11234579101416[[#This Row],[a (mm)]]*2</f>
        <v>10800</v>
      </c>
      <c r="AM10"/>
      <c r="AN10"/>
      <c r="AO10"/>
      <c r="AP10"/>
      <c r="AQ10"/>
      <c r="AR10"/>
      <c r="AS10"/>
      <c r="AT10"/>
      <c r="AU10"/>
    </row>
    <row r="11" spans="1:47" s="129" customFormat="1" x14ac:dyDescent="0.3">
      <c r="A11" s="323" t="s">
        <v>238</v>
      </c>
      <c r="B11" s="324">
        <v>20</v>
      </c>
      <c r="C11" s="323">
        <v>6</v>
      </c>
      <c r="D11" s="323">
        <v>2.81</v>
      </c>
      <c r="E11" s="323">
        <v>200</v>
      </c>
      <c r="F11" s="137">
        <f>Table11234579101416[[#This Row],[d (mm)]]</f>
        <v>1921.7081850533807</v>
      </c>
      <c r="G11" s="111">
        <f t="shared" si="0"/>
        <v>1080000</v>
      </c>
      <c r="H11" s="111" t="e">
        <f>G11/(#REF!*AK11*0.001)</f>
        <v>#REF!</v>
      </c>
      <c r="I11" s="111">
        <f>G11/(Table11234579101416[[#This Row],[b (mm)]]*AC11^2)</f>
        <v>9.7482716049382726E-4</v>
      </c>
      <c r="J11" s="111">
        <f t="shared" si="1"/>
        <v>0.48632744894427132</v>
      </c>
      <c r="K11" s="111" t="e">
        <f>E11/(#REF!*AJ11*0.001)</f>
        <v>#REF!</v>
      </c>
      <c r="L11" s="111">
        <f>E11/(Table11234579101416[[#This Row],[b (mm)]]*AC11)</f>
        <v>3.4691358024691358E-4</v>
      </c>
      <c r="M11" s="111">
        <f>Table11234579101416[[#This Row],[M (KN.mm)]]/(Table11234579101416[[#This Row],[b (mm)]]*Table11234579101416[[#This Row],[d (mm)]])</f>
        <v>1.8733333333333333</v>
      </c>
      <c r="N11" s="111">
        <f>Table11234579101416[[#This Row],[M (KN.mm)]]/(Table11234579101416[[#This Row],[b (mm)]]*Table11234579101416[[#This Row],[h (mm)]])</f>
        <v>1.8</v>
      </c>
      <c r="O11" s="111">
        <f>Table11234579101416[[#This Row],[M (KN.mm)]]/(Table11234579101416[[#This Row],[b (mm)]]*Table11234579101416[[#This Row],[h (mm)]]*Table11234579101416[[#This Row],[L(mm)]])</f>
        <v>1.6666666666666666E-4</v>
      </c>
      <c r="P11" s="111">
        <f>Table11234579101416[[#This Row],[M (KN.mm)]]/(Table11234579101416[[#This Row],[b (mm)]]*Table11234579101416[[#This Row],[d (mm)]]*Table11234579101416[[#This Row],[L(mm)]])</f>
        <v>1.7345679012345679E-4</v>
      </c>
      <c r="Q11" s="111">
        <f>Table11234579101416[[#This Row],[M (KN.mm)]]/(Table11234579101416[[#This Row],[b (mm)]]*Table11234579101416[[#This Row],[h (mm)]]*Table11234579101416[[#This Row],[L(mm)]]*Table11234579101416[[#This Row],[fc (Mpa)]])</f>
        <v>5.8892815076560656E-6</v>
      </c>
      <c r="R11" s="111">
        <f>Table11234579101416[[#This Row],[M (KN.mm)]]/(Table11234579101416[[#This Row],[b (mm)]]*Table11234579101416[[#This Row],[h (mm)]]*Table11234579101416[[#This Row],[L(mm)]]/2)</f>
        <v>3.3333333333333332E-4</v>
      </c>
      <c r="S11" s="111">
        <f>Table11234579101416[[#This Row],[M (KN.mm)]]/(Table11234579101416[[#This Row],[a (mm)]]*Table11234579101416[[#This Row],[b (mm)]]*Table11234579101416[[#This Row],[h (mm)]]*Table11234579101416[[#This Row],[L(mm)]]/2)</f>
        <v>6.1728395061728398E-8</v>
      </c>
      <c r="T11" s="111">
        <f>Table11234579101416[[#This Row],[M (KN.mm)]]/(Table11234579101416[[#This Row],[a (mm)]]^2*Table11234579101416[[#This Row],[b (mm)]]*Table11234579101416[[#This Row],[h (mm)]])</f>
        <v>6.1728395061728398E-8</v>
      </c>
      <c r="U11" s="111">
        <f>Table11234579101416[[#This Row],[M (KN.mm)]]/(Table11234579101416[[#This Row],[b (mm)]]*Table11234579101416[[#This Row],[d (mm)]]*Table11234579101416[[#This Row],[pho (%)]])</f>
        <v>5.2037037037037042</v>
      </c>
      <c r="V11" s="111">
        <f>E11*224.8/(2*SQRT(Table11234579101416[[#This Row],[fc (Mpa)]]*145.037)*Table11234579101416[[#This Row],[b (mm)]]*Table11234579101416[[#This Row],[d (mm)]]*(1/25.4)^2)</f>
        <v>0.39266520915592823</v>
      </c>
      <c r="W11" s="111">
        <f>Table11234579101416[[#This Row],[M (KN.mm)]]/$G$11</f>
        <v>1</v>
      </c>
      <c r="X11" s="111">
        <f>Table11234579101416[[#This Row],[V/(2*sqrt(fc) bd)]]</f>
        <v>0.39266520915592823</v>
      </c>
      <c r="Y11" s="111">
        <f>Table11234579101416[[#This Row],[a (mm)]]</f>
        <v>5400</v>
      </c>
      <c r="Z11" s="111">
        <f>Table11234579101416[[#This Row],[width]]*Table11234579101416[[#This Row],[d]]^2</f>
        <v>1107888704.5503476</v>
      </c>
      <c r="AA11" s="111">
        <f>Table11234579101416[[#This Row],[b (mm)]]</f>
        <v>300</v>
      </c>
      <c r="AB11">
        <v>5400</v>
      </c>
      <c r="AC11">
        <f>Table11234579101416[[#This Row],[a (mm)]]/2.81</f>
        <v>1921.7081850533807</v>
      </c>
      <c r="AD11">
        <v>2000</v>
      </c>
      <c r="AE11">
        <v>300</v>
      </c>
      <c r="AF11" s="7">
        <v>28.3</v>
      </c>
      <c r="AG11" s="111">
        <f>Table11234579101416[[#This Row],[pho (%)]]*Table11234579101416[[#This Row],[b (mm)]]*Table11234579101416[[#This Row],[h (mm)]]/100</f>
        <v>2160</v>
      </c>
      <c r="AH11" s="135">
        <v>0.36</v>
      </c>
      <c r="AI11" s="111">
        <v>535</v>
      </c>
      <c r="AJ11" s="111">
        <f>(1/3-0.21*(MIN(Table11234579101416[[#This Row],[b (mm)]],AD11)/MAX(Table11234579101416[[#This Row],[b (mm)]],AD11))*(MIN(Table11234579101416[[#This Row],[b (mm)]],AD11)^4/(12*MAX(Table11234579101416[[#This Row],[b (mm)]],AD11)^4)))*MAX(Table11234579101416[[#This Row],[b (mm)]],AD11)*MIN(Table11234579101416[[#This Row],[b (mm)]],AD11)^3</f>
        <v>17999928239.0625</v>
      </c>
      <c r="AK11" s="111">
        <f>Table11234579101416[[#This Row],[b (mm)]]*AD11^3/12</f>
        <v>200000000000</v>
      </c>
      <c r="AL11" s="111">
        <f>Table11234579101416[[#This Row],[a (mm)]]*2</f>
        <v>10800</v>
      </c>
      <c r="AM11"/>
      <c r="AN11"/>
      <c r="AO11"/>
      <c r="AP11"/>
      <c r="AQ11"/>
      <c r="AR11"/>
      <c r="AS11"/>
      <c r="AT11"/>
      <c r="AU11"/>
    </row>
    <row r="12" spans="1:47" s="129" customFormat="1" ht="16.5" customHeight="1" x14ac:dyDescent="0.3">
      <c r="A12" s="327" t="s">
        <v>239</v>
      </c>
      <c r="B12" s="328">
        <v>21</v>
      </c>
      <c r="C12" s="327">
        <v>1</v>
      </c>
      <c r="D12" s="327">
        <v>2.92</v>
      </c>
      <c r="E12" s="327">
        <v>150</v>
      </c>
      <c r="F12" s="137">
        <f>Table11234579101416[[#This Row],[d (mm)]]</f>
        <v>1921.7081850533807</v>
      </c>
      <c r="G12" s="111">
        <f t="shared" si="0"/>
        <v>810000</v>
      </c>
      <c r="H12" s="111" t="e">
        <f>G12/(#REF!*AK12*0.001)</f>
        <v>#REF!</v>
      </c>
      <c r="I12" s="111">
        <f>G12/(Table11234579101416[[#This Row],[b (mm)]]*AC12^2)</f>
        <v>7.3112037037037037E-4</v>
      </c>
      <c r="J12" s="111">
        <f t="shared" si="1"/>
        <v>8.6387112641416616E-2</v>
      </c>
      <c r="K12" s="111" t="e">
        <f>E12/(#REF!*AJ12*0.001)</f>
        <v>#REF!</v>
      </c>
      <c r="L12" s="111">
        <f>E12/(Table11234579101416[[#This Row],[b (mm)]]*AC12)</f>
        <v>2.6018518518518518E-4</v>
      </c>
      <c r="M12" s="111">
        <f>Table11234579101416[[#This Row],[M (KN.mm)]]/(Table11234579101416[[#This Row],[b (mm)]]*Table11234579101416[[#This Row],[d (mm)]])</f>
        <v>1.405</v>
      </c>
      <c r="N12" s="111">
        <f>Table11234579101416[[#This Row],[M (KN.mm)]]/(Table11234579101416[[#This Row],[b (mm)]]*Table11234579101416[[#This Row],[h (mm)]])</f>
        <v>1.35</v>
      </c>
      <c r="O12" s="111">
        <f>Table11234579101416[[#This Row],[M (KN.mm)]]/(Table11234579101416[[#This Row],[b (mm)]]*Table11234579101416[[#This Row],[h (mm)]]*Table11234579101416[[#This Row],[L(mm)]])</f>
        <v>1.25E-4</v>
      </c>
      <c r="P12" s="111">
        <f>Table11234579101416[[#This Row],[M (KN.mm)]]/(Table11234579101416[[#This Row],[b (mm)]]*Table11234579101416[[#This Row],[d (mm)]]*Table11234579101416[[#This Row],[L(mm)]])</f>
        <v>1.3009259259259259E-4</v>
      </c>
      <c r="Q12" s="111">
        <f>Table11234579101416[[#This Row],[M (KN.mm)]]/(Table11234579101416[[#This Row],[b (mm)]]*Table11234579101416[[#This Row],[h (mm)]]*Table11234579101416[[#This Row],[L(mm)]]*Table11234579101416[[#This Row],[fc (Mpa)]])</f>
        <v>4.7709923664122139E-6</v>
      </c>
      <c r="R12" s="111">
        <f>Table11234579101416[[#This Row],[M (KN.mm)]]/(Table11234579101416[[#This Row],[b (mm)]]*Table11234579101416[[#This Row],[h (mm)]]*Table11234579101416[[#This Row],[L(mm)]]/2)</f>
        <v>2.5000000000000001E-4</v>
      </c>
      <c r="S12" s="111">
        <f>Table11234579101416[[#This Row],[M (KN.mm)]]/(Table11234579101416[[#This Row],[a (mm)]]*Table11234579101416[[#This Row],[b (mm)]]*Table11234579101416[[#This Row],[h (mm)]]*Table11234579101416[[#This Row],[L(mm)]]/2)</f>
        <v>4.6296296296296295E-8</v>
      </c>
      <c r="T12" s="111">
        <f>Table11234579101416[[#This Row],[M (KN.mm)]]/(Table11234579101416[[#This Row],[a (mm)]]^2*Table11234579101416[[#This Row],[b (mm)]]*Table11234579101416[[#This Row],[h (mm)]])</f>
        <v>4.6296296296296295E-8</v>
      </c>
      <c r="U12" s="111">
        <f>Table11234579101416[[#This Row],[M (KN.mm)]]/(Table11234579101416[[#This Row],[b (mm)]]*Table11234579101416[[#This Row],[d (mm)]]*Table11234579101416[[#This Row],[pho (%)]])</f>
        <v>0.92434210526315785</v>
      </c>
      <c r="V12" s="111">
        <f>E12*224.8/(2*SQRT(Table11234579101416[[#This Row],[fc (Mpa)]]*145.037)*Table11234579101416[[#This Row],[b (mm)]]*Table11234579101416[[#This Row],[d (mm)]]*(1/25.4)^2)</f>
        <v>0.30607387310702622</v>
      </c>
      <c r="W12" s="111">
        <f>Table11234579101416[[#This Row],[M (KN.mm)]]/$G$17</f>
        <v>0.39473684210526316</v>
      </c>
      <c r="X12" s="111">
        <f>Table11234579101416[[#This Row],[V/(2*sqrt(fc) bd)]]</f>
        <v>0.30607387310702622</v>
      </c>
      <c r="Y12" s="111">
        <f>Table11234579101416[[#This Row],[a (mm)]]</f>
        <v>5400</v>
      </c>
      <c r="Z12" s="111">
        <f>Table11234579101416[[#This Row],[width]]*Table11234579101416[[#This Row],[d]]^2</f>
        <v>1107888704.5503476</v>
      </c>
      <c r="AA12" s="111">
        <f>Table11234579101416[[#This Row],[b (mm)]]</f>
        <v>300</v>
      </c>
      <c r="AB12">
        <v>5400</v>
      </c>
      <c r="AC12">
        <f>Table11234579101416[[#This Row],[a (mm)]]/2.81</f>
        <v>1921.7081850533807</v>
      </c>
      <c r="AD12">
        <v>2000</v>
      </c>
      <c r="AE12">
        <v>300</v>
      </c>
      <c r="AF12">
        <v>26.2</v>
      </c>
      <c r="AG12" s="111">
        <f>Table11234579101416[[#This Row],[pho (%)]]*Table11234579101416[[#This Row],[b (mm)]]*Table11234579101416[[#This Row],[h (mm)]]/100</f>
        <v>9120</v>
      </c>
      <c r="AH12">
        <v>1.52</v>
      </c>
      <c r="AI12" s="111">
        <v>535</v>
      </c>
      <c r="AJ12" s="111">
        <f>(1/3-0.21*(MIN(Table11234579101416[[#This Row],[b (mm)]],AD12)/MAX(Table11234579101416[[#This Row],[b (mm)]],AD12))*(MIN(Table11234579101416[[#This Row],[b (mm)]],AD12)^4/(12*MAX(Table11234579101416[[#This Row],[b (mm)]],AD12)^4)))*MAX(Table11234579101416[[#This Row],[b (mm)]],AD12)*MIN(Table11234579101416[[#This Row],[b (mm)]],AD12)^3</f>
        <v>17999928239.0625</v>
      </c>
      <c r="AK12" s="111">
        <f>Table11234579101416[[#This Row],[b (mm)]]*AD12^3/12</f>
        <v>200000000000</v>
      </c>
      <c r="AL12" s="111">
        <f>Table11234579101416[[#This Row],[a (mm)]]*2</f>
        <v>10800</v>
      </c>
      <c r="AM12"/>
      <c r="AN12"/>
      <c r="AO12"/>
      <c r="AP12"/>
      <c r="AQ12"/>
      <c r="AR12"/>
      <c r="AS12"/>
      <c r="AT12"/>
      <c r="AU12"/>
    </row>
    <row r="13" spans="1:47" s="129" customFormat="1" x14ac:dyDescent="0.3">
      <c r="A13" s="327" t="s">
        <v>239</v>
      </c>
      <c r="B13" s="328">
        <v>22</v>
      </c>
      <c r="C13" s="327">
        <v>2</v>
      </c>
      <c r="D13" s="327">
        <v>2.92</v>
      </c>
      <c r="E13" s="327">
        <v>225</v>
      </c>
      <c r="F13" s="137">
        <f>Table11234579101416[[#This Row],[d (mm)]]</f>
        <v>1921.7081850533807</v>
      </c>
      <c r="G13" s="111">
        <f t="shared" si="0"/>
        <v>1215000</v>
      </c>
      <c r="H13" s="111" t="e">
        <f>G13/(#REF!*AK13*0.001)</f>
        <v>#REF!</v>
      </c>
      <c r="I13" s="111">
        <f>G13/(Table11234579101416[[#This Row],[b (mm)]]*AC13^2)</f>
        <v>1.0966805555555556E-3</v>
      </c>
      <c r="J13" s="111">
        <f t="shared" si="1"/>
        <v>0.12958066896212495</v>
      </c>
      <c r="K13" s="111" t="e">
        <f>E13/(#REF!*AJ13*0.001)</f>
        <v>#REF!</v>
      </c>
      <c r="L13" s="111">
        <f>E13/(Table11234579101416[[#This Row],[b (mm)]]*AC13)</f>
        <v>3.9027777777777775E-4</v>
      </c>
      <c r="M13" s="111">
        <f>Table11234579101416[[#This Row],[M (KN.mm)]]/(Table11234579101416[[#This Row],[b (mm)]]*Table11234579101416[[#This Row],[d (mm)]])</f>
        <v>2.1074999999999999</v>
      </c>
      <c r="N13" s="111">
        <f>Table11234579101416[[#This Row],[M (KN.mm)]]/(Table11234579101416[[#This Row],[b (mm)]]*Table11234579101416[[#This Row],[h (mm)]])</f>
        <v>2.0249999999999999</v>
      </c>
      <c r="O13" s="111">
        <f>Table11234579101416[[#This Row],[M (KN.mm)]]/(Table11234579101416[[#This Row],[b (mm)]]*Table11234579101416[[#This Row],[h (mm)]]*Table11234579101416[[#This Row],[L(mm)]])</f>
        <v>1.875E-4</v>
      </c>
      <c r="P13" s="111">
        <f>Table11234579101416[[#This Row],[M (KN.mm)]]/(Table11234579101416[[#This Row],[b (mm)]]*Table11234579101416[[#This Row],[d (mm)]]*Table11234579101416[[#This Row],[L(mm)]])</f>
        <v>1.9513888888888887E-4</v>
      </c>
      <c r="Q13" s="111">
        <f>Table11234579101416[[#This Row],[M (KN.mm)]]/(Table11234579101416[[#This Row],[b (mm)]]*Table11234579101416[[#This Row],[h (mm)]]*Table11234579101416[[#This Row],[L(mm)]]*Table11234579101416[[#This Row],[fc (Mpa)]])</f>
        <v>7.1564885496183204E-6</v>
      </c>
      <c r="R13" s="111">
        <f>Table11234579101416[[#This Row],[M (KN.mm)]]/(Table11234579101416[[#This Row],[b (mm)]]*Table11234579101416[[#This Row],[h (mm)]]*Table11234579101416[[#This Row],[L(mm)]]/2)</f>
        <v>3.7500000000000001E-4</v>
      </c>
      <c r="S13" s="111">
        <f>Table11234579101416[[#This Row],[M (KN.mm)]]/(Table11234579101416[[#This Row],[a (mm)]]*Table11234579101416[[#This Row],[b (mm)]]*Table11234579101416[[#This Row],[h (mm)]]*Table11234579101416[[#This Row],[L(mm)]]/2)</f>
        <v>6.944444444444444E-8</v>
      </c>
      <c r="T13" s="111">
        <f>Table11234579101416[[#This Row],[M (KN.mm)]]/(Table11234579101416[[#This Row],[a (mm)]]^2*Table11234579101416[[#This Row],[b (mm)]]*Table11234579101416[[#This Row],[h (mm)]])</f>
        <v>6.944444444444444E-8</v>
      </c>
      <c r="U13" s="111">
        <f>Table11234579101416[[#This Row],[M (KN.mm)]]/(Table11234579101416[[#This Row],[b (mm)]]*Table11234579101416[[#This Row],[d (mm)]]*Table11234579101416[[#This Row],[pho (%)]])</f>
        <v>1.3865131578947367</v>
      </c>
      <c r="V13" s="111">
        <f>E13*224.8/(2*SQRT(Table11234579101416[[#This Row],[fc (Mpa)]]*145.037)*Table11234579101416[[#This Row],[b (mm)]]*Table11234579101416[[#This Row],[d (mm)]]*(1/25.4)^2)</f>
        <v>0.4591108096605393</v>
      </c>
      <c r="W13" s="111">
        <f>Table11234579101416[[#This Row],[M (KN.mm)]]/$G$17</f>
        <v>0.59210526315789469</v>
      </c>
      <c r="X13" s="111">
        <f>Table11234579101416[[#This Row],[V/(2*sqrt(fc) bd)]]</f>
        <v>0.4591108096605393</v>
      </c>
      <c r="Y13" s="111">
        <f>Table11234579101416[[#This Row],[a (mm)]]</f>
        <v>5400</v>
      </c>
      <c r="Z13" s="111">
        <f>Table11234579101416[[#This Row],[width]]*Table11234579101416[[#This Row],[d]]^2</f>
        <v>1107888704.5503476</v>
      </c>
      <c r="AA13" s="111">
        <f>Table11234579101416[[#This Row],[b (mm)]]</f>
        <v>300</v>
      </c>
      <c r="AB13">
        <v>5400</v>
      </c>
      <c r="AC13">
        <f>Table11234579101416[[#This Row],[a (mm)]]/2.81</f>
        <v>1921.7081850533807</v>
      </c>
      <c r="AD13">
        <v>2000</v>
      </c>
      <c r="AE13">
        <v>300</v>
      </c>
      <c r="AF13">
        <v>26.2</v>
      </c>
      <c r="AG13" s="111">
        <f>Table11234579101416[[#This Row],[pho (%)]]*Table11234579101416[[#This Row],[b (mm)]]*Table11234579101416[[#This Row],[h (mm)]]/100</f>
        <v>9120</v>
      </c>
      <c r="AH13">
        <v>1.52</v>
      </c>
      <c r="AI13" s="111">
        <v>535</v>
      </c>
      <c r="AJ13" s="111">
        <f>(1/3-0.21*(MIN(Table11234579101416[[#This Row],[b (mm)]],AD13)/MAX(Table11234579101416[[#This Row],[b (mm)]],AD13))*(MIN(Table11234579101416[[#This Row],[b (mm)]],AD13)^4/(12*MAX(Table11234579101416[[#This Row],[b (mm)]],AD13)^4)))*MAX(Table11234579101416[[#This Row],[b (mm)]],AD13)*MIN(Table11234579101416[[#This Row],[b (mm)]],AD13)^3</f>
        <v>17999928239.0625</v>
      </c>
      <c r="AK13" s="111">
        <f>Table11234579101416[[#This Row],[b (mm)]]*AD13^3/12</f>
        <v>200000000000</v>
      </c>
      <c r="AL13" s="111">
        <f>Table11234579101416[[#This Row],[a (mm)]]*2</f>
        <v>10800</v>
      </c>
      <c r="AM13"/>
      <c r="AN13"/>
      <c r="AO13"/>
      <c r="AP13"/>
      <c r="AQ13"/>
      <c r="AR13"/>
      <c r="AS13"/>
      <c r="AT13"/>
      <c r="AU13"/>
    </row>
    <row r="14" spans="1:47" s="129" customFormat="1" x14ac:dyDescent="0.3">
      <c r="A14" s="327" t="s">
        <v>239</v>
      </c>
      <c r="B14" s="328">
        <v>23</v>
      </c>
      <c r="C14" s="327">
        <v>3</v>
      </c>
      <c r="D14" s="327">
        <v>2.92</v>
      </c>
      <c r="E14" s="327">
        <v>260</v>
      </c>
      <c r="F14" s="137">
        <f>Table11234579101416[[#This Row],[d (mm)]]</f>
        <v>1921.7081850533807</v>
      </c>
      <c r="G14" s="111">
        <f t="shared" si="0"/>
        <v>1404000</v>
      </c>
      <c r="H14" s="111" t="e">
        <f>G14/(#REF!*AK14*0.001)</f>
        <v>#REF!</v>
      </c>
      <c r="I14" s="111">
        <f>G14/(Table11234579101416[[#This Row],[b (mm)]]*AC14^2)</f>
        <v>1.2672753086419755E-3</v>
      </c>
      <c r="J14" s="111">
        <f t="shared" si="1"/>
        <v>0.14973766191178881</v>
      </c>
      <c r="K14" s="111" t="e">
        <f>E14/(#REF!*AJ14*0.001)</f>
        <v>#REF!</v>
      </c>
      <c r="L14" s="111">
        <f>E14/(Table11234579101416[[#This Row],[b (mm)]]*AC14)</f>
        <v>4.5098765432098766E-4</v>
      </c>
      <c r="M14" s="111">
        <f>Table11234579101416[[#This Row],[M (KN.mm)]]/(Table11234579101416[[#This Row],[b (mm)]]*Table11234579101416[[#This Row],[d (mm)]])</f>
        <v>2.4353333333333333</v>
      </c>
      <c r="N14" s="111">
        <f>Table11234579101416[[#This Row],[M (KN.mm)]]/(Table11234579101416[[#This Row],[b (mm)]]*Table11234579101416[[#This Row],[h (mm)]])</f>
        <v>2.34</v>
      </c>
      <c r="O14" s="111">
        <f>Table11234579101416[[#This Row],[M (KN.mm)]]/(Table11234579101416[[#This Row],[b (mm)]]*Table11234579101416[[#This Row],[h (mm)]]*Table11234579101416[[#This Row],[L(mm)]])</f>
        <v>2.1666666666666666E-4</v>
      </c>
      <c r="P14" s="111">
        <f>Table11234579101416[[#This Row],[M (KN.mm)]]/(Table11234579101416[[#This Row],[b (mm)]]*Table11234579101416[[#This Row],[d (mm)]]*Table11234579101416[[#This Row],[L(mm)]])</f>
        <v>2.254938271604938E-4</v>
      </c>
      <c r="Q14" s="111">
        <f>Table11234579101416[[#This Row],[M (KN.mm)]]/(Table11234579101416[[#This Row],[b (mm)]]*Table11234579101416[[#This Row],[h (mm)]]*Table11234579101416[[#This Row],[L(mm)]]*Table11234579101416[[#This Row],[fc (Mpa)]])</f>
        <v>8.2697201017811708E-6</v>
      </c>
      <c r="R14" s="111">
        <f>Table11234579101416[[#This Row],[M (KN.mm)]]/(Table11234579101416[[#This Row],[b (mm)]]*Table11234579101416[[#This Row],[h (mm)]]*Table11234579101416[[#This Row],[L(mm)]]/2)</f>
        <v>4.3333333333333331E-4</v>
      </c>
      <c r="S14" s="111">
        <f>Table11234579101416[[#This Row],[M (KN.mm)]]/(Table11234579101416[[#This Row],[a (mm)]]*Table11234579101416[[#This Row],[b (mm)]]*Table11234579101416[[#This Row],[h (mm)]]*Table11234579101416[[#This Row],[L(mm)]]/2)</f>
        <v>8.0246913580246916E-8</v>
      </c>
      <c r="T14" s="111">
        <f>Table11234579101416[[#This Row],[M (KN.mm)]]/(Table11234579101416[[#This Row],[a (mm)]]^2*Table11234579101416[[#This Row],[b (mm)]]*Table11234579101416[[#This Row],[h (mm)]])</f>
        <v>8.0246913580246916E-8</v>
      </c>
      <c r="U14" s="111">
        <f>Table11234579101416[[#This Row],[M (KN.mm)]]/(Table11234579101416[[#This Row],[b (mm)]]*Table11234579101416[[#This Row],[d (mm)]]*Table11234579101416[[#This Row],[pho (%)]])</f>
        <v>1.6021929824561403</v>
      </c>
      <c r="V14" s="111">
        <f>E14*224.8/(2*SQRT(Table11234579101416[[#This Row],[fc (Mpa)]]*145.037)*Table11234579101416[[#This Row],[b (mm)]]*Table11234579101416[[#This Row],[d (mm)]]*(1/25.4)^2)</f>
        <v>0.53052804671884546</v>
      </c>
      <c r="W14" s="111">
        <f>Table11234579101416[[#This Row],[M (KN.mm)]]/$G$17</f>
        <v>0.68421052631578949</v>
      </c>
      <c r="X14" s="111">
        <f>Table11234579101416[[#This Row],[V/(2*sqrt(fc) bd)]]</f>
        <v>0.53052804671884546</v>
      </c>
      <c r="Y14" s="111">
        <f>Table11234579101416[[#This Row],[a (mm)]]</f>
        <v>5400</v>
      </c>
      <c r="Z14" s="111">
        <f>Table11234579101416[[#This Row],[width]]*Table11234579101416[[#This Row],[d]]^2</f>
        <v>1107888704.5503476</v>
      </c>
      <c r="AA14" s="111">
        <f>Table11234579101416[[#This Row],[b (mm)]]</f>
        <v>300</v>
      </c>
      <c r="AB14">
        <v>5400</v>
      </c>
      <c r="AC14">
        <f>Table11234579101416[[#This Row],[a (mm)]]/2.81</f>
        <v>1921.7081850533807</v>
      </c>
      <c r="AD14">
        <v>2000</v>
      </c>
      <c r="AE14">
        <v>300</v>
      </c>
      <c r="AF14">
        <v>26.2</v>
      </c>
      <c r="AG14" s="111">
        <f>Table11234579101416[[#This Row],[pho (%)]]*Table11234579101416[[#This Row],[b (mm)]]*Table11234579101416[[#This Row],[h (mm)]]/100</f>
        <v>9120</v>
      </c>
      <c r="AH14">
        <v>1.52</v>
      </c>
      <c r="AI14" s="111">
        <v>535</v>
      </c>
      <c r="AJ14" s="111">
        <f>(1/3-0.21*(MIN(Table11234579101416[[#This Row],[b (mm)]],AD14)/MAX(Table11234579101416[[#This Row],[b (mm)]],AD14))*(MIN(Table11234579101416[[#This Row],[b (mm)]],AD14)^4/(12*MAX(Table11234579101416[[#This Row],[b (mm)]],AD14)^4)))*MAX(Table11234579101416[[#This Row],[b (mm)]],AD14)*MIN(Table11234579101416[[#This Row],[b (mm)]],AD14)^3</f>
        <v>17999928239.0625</v>
      </c>
      <c r="AK14" s="111">
        <f>Table11234579101416[[#This Row],[b (mm)]]*AD14^3/12</f>
        <v>200000000000</v>
      </c>
      <c r="AL14" s="111">
        <f>Table11234579101416[[#This Row],[a (mm)]]*2</f>
        <v>10800</v>
      </c>
      <c r="AM14"/>
      <c r="AN14"/>
      <c r="AO14"/>
      <c r="AP14"/>
      <c r="AQ14"/>
      <c r="AR14"/>
      <c r="AS14"/>
      <c r="AT14"/>
      <c r="AU14"/>
    </row>
    <row r="15" spans="1:47" s="129" customFormat="1" x14ac:dyDescent="0.3">
      <c r="A15" s="327" t="s">
        <v>239</v>
      </c>
      <c r="B15" s="328">
        <v>24</v>
      </c>
      <c r="C15" s="327">
        <v>4</v>
      </c>
      <c r="D15" s="327">
        <v>2.92</v>
      </c>
      <c r="E15" s="327">
        <v>310</v>
      </c>
      <c r="F15" s="137">
        <f>Table11234579101416[[#This Row],[d (mm)]]</f>
        <v>1921.7081850533807</v>
      </c>
      <c r="G15" s="111">
        <f t="shared" si="0"/>
        <v>1674000</v>
      </c>
      <c r="H15" s="111" t="e">
        <f>G15/(#REF!*AK15*0.001)</f>
        <v>#REF!</v>
      </c>
      <c r="I15" s="111">
        <f>G15/(Table11234579101416[[#This Row],[b (mm)]]*AC15^2)</f>
        <v>1.5109820987654322E-3</v>
      </c>
      <c r="J15" s="111">
        <f t="shared" si="1"/>
        <v>0.17853336612559434</v>
      </c>
      <c r="K15" s="111" t="e">
        <f>E15/(#REF!*AJ15*0.001)</f>
        <v>#REF!</v>
      </c>
      <c r="L15" s="111">
        <f>E15/(Table11234579101416[[#This Row],[b (mm)]]*AC15)</f>
        <v>5.3771604938271606E-4</v>
      </c>
      <c r="M15" s="111">
        <f>Table11234579101416[[#This Row],[M (KN.mm)]]/(Table11234579101416[[#This Row],[b (mm)]]*Table11234579101416[[#This Row],[d (mm)]])</f>
        <v>2.9036666666666666</v>
      </c>
      <c r="N15" s="111">
        <f>Table11234579101416[[#This Row],[M (KN.mm)]]/(Table11234579101416[[#This Row],[b (mm)]]*Table11234579101416[[#This Row],[h (mm)]])</f>
        <v>2.79</v>
      </c>
      <c r="O15" s="111">
        <f>Table11234579101416[[#This Row],[M (KN.mm)]]/(Table11234579101416[[#This Row],[b (mm)]]*Table11234579101416[[#This Row],[h (mm)]]*Table11234579101416[[#This Row],[L(mm)]])</f>
        <v>2.5833333333333334E-4</v>
      </c>
      <c r="P15" s="111">
        <f>Table11234579101416[[#This Row],[M (KN.mm)]]/(Table11234579101416[[#This Row],[b (mm)]]*Table11234579101416[[#This Row],[d (mm)]]*Table11234579101416[[#This Row],[L(mm)]])</f>
        <v>2.6885802469135803E-4</v>
      </c>
      <c r="Q15" s="111">
        <f>Table11234579101416[[#This Row],[M (KN.mm)]]/(Table11234579101416[[#This Row],[b (mm)]]*Table11234579101416[[#This Row],[h (mm)]]*Table11234579101416[[#This Row],[L(mm)]]*Table11234579101416[[#This Row],[fc (Mpa)]])</f>
        <v>9.8600508905852424E-6</v>
      </c>
      <c r="R15" s="111">
        <f>Table11234579101416[[#This Row],[M (KN.mm)]]/(Table11234579101416[[#This Row],[b (mm)]]*Table11234579101416[[#This Row],[h (mm)]]*Table11234579101416[[#This Row],[L(mm)]]/2)</f>
        <v>5.1666666666666668E-4</v>
      </c>
      <c r="S15" s="111">
        <f>Table11234579101416[[#This Row],[M (KN.mm)]]/(Table11234579101416[[#This Row],[a (mm)]]*Table11234579101416[[#This Row],[b (mm)]]*Table11234579101416[[#This Row],[h (mm)]]*Table11234579101416[[#This Row],[L(mm)]]/2)</f>
        <v>9.5679012345679013E-8</v>
      </c>
      <c r="T15" s="111">
        <f>Table11234579101416[[#This Row],[M (KN.mm)]]/(Table11234579101416[[#This Row],[a (mm)]]^2*Table11234579101416[[#This Row],[b (mm)]]*Table11234579101416[[#This Row],[h (mm)]])</f>
        <v>9.5679012345679013E-8</v>
      </c>
      <c r="U15" s="111">
        <f>Table11234579101416[[#This Row],[M (KN.mm)]]/(Table11234579101416[[#This Row],[b (mm)]]*Table11234579101416[[#This Row],[d (mm)]]*Table11234579101416[[#This Row],[pho (%)]])</f>
        <v>1.9103070175438595</v>
      </c>
      <c r="V15" s="111">
        <f>E15*224.8/(2*SQRT(Table11234579101416[[#This Row],[fc (Mpa)]]*145.037)*Table11234579101416[[#This Row],[b (mm)]]*Table11234579101416[[#This Row],[d (mm)]]*(1/25.4)^2)</f>
        <v>0.63255267108785418</v>
      </c>
      <c r="W15" s="111">
        <f>Table11234579101416[[#This Row],[M (KN.mm)]]/$G$17</f>
        <v>0.81578947368421051</v>
      </c>
      <c r="X15" s="111">
        <f>Table11234579101416[[#This Row],[V/(2*sqrt(fc) bd)]]</f>
        <v>0.63255267108785418</v>
      </c>
      <c r="Y15" s="111">
        <f>Table11234579101416[[#This Row],[a (mm)]]</f>
        <v>5400</v>
      </c>
      <c r="Z15" s="111">
        <f>Table11234579101416[[#This Row],[width]]*Table11234579101416[[#This Row],[d]]^2</f>
        <v>1107888704.5503476</v>
      </c>
      <c r="AA15" s="111">
        <f>Table11234579101416[[#This Row],[b (mm)]]</f>
        <v>300</v>
      </c>
      <c r="AB15">
        <v>5400</v>
      </c>
      <c r="AC15">
        <f>Table11234579101416[[#This Row],[a (mm)]]/2.81</f>
        <v>1921.7081850533807</v>
      </c>
      <c r="AD15">
        <v>2000</v>
      </c>
      <c r="AE15">
        <v>300</v>
      </c>
      <c r="AF15">
        <v>26.2</v>
      </c>
      <c r="AG15" s="111">
        <f>Table11234579101416[[#This Row],[pho (%)]]*Table11234579101416[[#This Row],[b (mm)]]*Table11234579101416[[#This Row],[h (mm)]]/100</f>
        <v>9120</v>
      </c>
      <c r="AH15">
        <v>1.52</v>
      </c>
      <c r="AI15" s="111">
        <v>535</v>
      </c>
      <c r="AJ15" s="111">
        <f>(1/3-0.21*(MIN(Table11234579101416[[#This Row],[b (mm)]],AD15)/MAX(Table11234579101416[[#This Row],[b (mm)]],AD15))*(MIN(Table11234579101416[[#This Row],[b (mm)]],AD15)^4/(12*MAX(Table11234579101416[[#This Row],[b (mm)]],AD15)^4)))*MAX(Table11234579101416[[#This Row],[b (mm)]],AD15)*MIN(Table11234579101416[[#This Row],[b (mm)]],AD15)^3</f>
        <v>17999928239.0625</v>
      </c>
      <c r="AK15" s="111">
        <f>Table11234579101416[[#This Row],[b (mm)]]*AD15^3/12</f>
        <v>200000000000</v>
      </c>
      <c r="AL15" s="111">
        <f>Table11234579101416[[#This Row],[a (mm)]]*2</f>
        <v>10800</v>
      </c>
      <c r="AM15"/>
      <c r="AN15"/>
      <c r="AO15"/>
      <c r="AP15"/>
      <c r="AQ15"/>
      <c r="AR15"/>
      <c r="AS15"/>
      <c r="AT15"/>
      <c r="AU15"/>
    </row>
    <row r="16" spans="1:47" s="129" customFormat="1" x14ac:dyDescent="0.3">
      <c r="A16" s="327" t="s">
        <v>239</v>
      </c>
      <c r="B16" s="328">
        <v>25</v>
      </c>
      <c r="C16" s="327">
        <v>5</v>
      </c>
      <c r="D16" s="327">
        <v>2.92</v>
      </c>
      <c r="E16" s="327">
        <v>360</v>
      </c>
      <c r="F16" s="137">
        <f>Table11234579101416[[#This Row],[d (mm)]]</f>
        <v>1921.7081850533807</v>
      </c>
      <c r="G16" s="111">
        <f t="shared" si="0"/>
        <v>1944000</v>
      </c>
      <c r="H16" s="111" t="e">
        <f>G16/(#REF!*AK16*0.001)</f>
        <v>#REF!</v>
      </c>
      <c r="I16" s="111">
        <f>G16/(Table11234579101416[[#This Row],[b (mm)]]*AC16^2)</f>
        <v>1.7546888888888891E-3</v>
      </c>
      <c r="J16" s="111">
        <f t="shared" si="1"/>
        <v>0.2073290703393999</v>
      </c>
      <c r="K16" s="111" t="e">
        <f>E16/(#REF!*AJ16*0.001)</f>
        <v>#REF!</v>
      </c>
      <c r="L16" s="111">
        <f>E16/(Table11234579101416[[#This Row],[b (mm)]]*AC16)</f>
        <v>6.244444444444444E-4</v>
      </c>
      <c r="M16" s="111">
        <f>Table11234579101416[[#This Row],[M (KN.mm)]]/(Table11234579101416[[#This Row],[b (mm)]]*Table11234579101416[[#This Row],[d (mm)]])</f>
        <v>3.3719999999999999</v>
      </c>
      <c r="N16" s="111">
        <f>Table11234579101416[[#This Row],[M (KN.mm)]]/(Table11234579101416[[#This Row],[b (mm)]]*Table11234579101416[[#This Row],[h (mm)]])</f>
        <v>3.24</v>
      </c>
      <c r="O16" s="111">
        <f>Table11234579101416[[#This Row],[M (KN.mm)]]/(Table11234579101416[[#This Row],[b (mm)]]*Table11234579101416[[#This Row],[h (mm)]]*Table11234579101416[[#This Row],[L(mm)]])</f>
        <v>2.9999999999999997E-4</v>
      </c>
      <c r="P16" s="111">
        <f>Table11234579101416[[#This Row],[M (KN.mm)]]/(Table11234579101416[[#This Row],[b (mm)]]*Table11234579101416[[#This Row],[d (mm)]]*Table11234579101416[[#This Row],[L(mm)]])</f>
        <v>3.122222222222222E-4</v>
      </c>
      <c r="Q16" s="111">
        <f>Table11234579101416[[#This Row],[M (KN.mm)]]/(Table11234579101416[[#This Row],[b (mm)]]*Table11234579101416[[#This Row],[h (mm)]]*Table11234579101416[[#This Row],[L(mm)]]*Table11234579101416[[#This Row],[fc (Mpa)]])</f>
        <v>1.1450381679389312E-5</v>
      </c>
      <c r="R16" s="111">
        <f>Table11234579101416[[#This Row],[M (KN.mm)]]/(Table11234579101416[[#This Row],[b (mm)]]*Table11234579101416[[#This Row],[h (mm)]]*Table11234579101416[[#This Row],[L(mm)]]/2)</f>
        <v>5.9999999999999995E-4</v>
      </c>
      <c r="S16" s="111">
        <f>Table11234579101416[[#This Row],[M (KN.mm)]]/(Table11234579101416[[#This Row],[a (mm)]]*Table11234579101416[[#This Row],[b (mm)]]*Table11234579101416[[#This Row],[h (mm)]]*Table11234579101416[[#This Row],[L(mm)]]/2)</f>
        <v>1.1111111111111111E-7</v>
      </c>
      <c r="T16" s="111">
        <f>Table11234579101416[[#This Row],[M (KN.mm)]]/(Table11234579101416[[#This Row],[a (mm)]]^2*Table11234579101416[[#This Row],[b (mm)]]*Table11234579101416[[#This Row],[h (mm)]])</f>
        <v>1.1111111111111111E-7</v>
      </c>
      <c r="U16" s="111">
        <f>Table11234579101416[[#This Row],[M (KN.mm)]]/(Table11234579101416[[#This Row],[b (mm)]]*Table11234579101416[[#This Row],[d (mm)]]*Table11234579101416[[#This Row],[pho (%)]])</f>
        <v>2.2184210526315788</v>
      </c>
      <c r="V16" s="111">
        <f>E16*224.8/(2*SQRT(Table11234579101416[[#This Row],[fc (Mpa)]]*145.037)*Table11234579101416[[#This Row],[b (mm)]]*Table11234579101416[[#This Row],[d (mm)]]*(1/25.4)^2)</f>
        <v>0.7345772954568629</v>
      </c>
      <c r="W16" s="111">
        <f>Table11234579101416[[#This Row],[M (KN.mm)]]/$G$17</f>
        <v>0.94736842105263153</v>
      </c>
      <c r="X16" s="111">
        <f>Table11234579101416[[#This Row],[V/(2*sqrt(fc) bd)]]</f>
        <v>0.7345772954568629</v>
      </c>
      <c r="Y16" s="111">
        <f>Table11234579101416[[#This Row],[a (mm)]]</f>
        <v>5400</v>
      </c>
      <c r="Z16" s="111">
        <f>Table11234579101416[[#This Row],[width]]*Table11234579101416[[#This Row],[d]]^2</f>
        <v>1107888704.5503476</v>
      </c>
      <c r="AA16" s="111">
        <f>Table11234579101416[[#This Row],[b (mm)]]</f>
        <v>300</v>
      </c>
      <c r="AB16">
        <v>5400</v>
      </c>
      <c r="AC16">
        <f>Table11234579101416[[#This Row],[a (mm)]]/2.81</f>
        <v>1921.7081850533807</v>
      </c>
      <c r="AD16">
        <v>2000</v>
      </c>
      <c r="AE16">
        <v>300</v>
      </c>
      <c r="AF16">
        <v>26.2</v>
      </c>
      <c r="AG16" s="111">
        <f>Table11234579101416[[#This Row],[pho (%)]]*Table11234579101416[[#This Row],[b (mm)]]*Table11234579101416[[#This Row],[h (mm)]]/100</f>
        <v>9120</v>
      </c>
      <c r="AH16">
        <v>1.52</v>
      </c>
      <c r="AI16" s="111">
        <v>535</v>
      </c>
      <c r="AJ16" s="111">
        <f>(1/3-0.21*(MIN(Table11234579101416[[#This Row],[b (mm)]],AD16)/MAX(Table11234579101416[[#This Row],[b (mm)]],AD16))*(MIN(Table11234579101416[[#This Row],[b (mm)]],AD16)^4/(12*MAX(Table11234579101416[[#This Row],[b (mm)]],AD16)^4)))*MAX(Table11234579101416[[#This Row],[b (mm)]],AD16)*MIN(Table11234579101416[[#This Row],[b (mm)]],AD16)^3</f>
        <v>17999928239.0625</v>
      </c>
      <c r="AK16" s="111">
        <f>Table11234579101416[[#This Row],[b (mm)]]*AD16^3/12</f>
        <v>200000000000</v>
      </c>
      <c r="AL16" s="111">
        <f>Table11234579101416[[#This Row],[a (mm)]]*2</f>
        <v>10800</v>
      </c>
      <c r="AM16"/>
      <c r="AN16"/>
      <c r="AO16"/>
      <c r="AP16"/>
      <c r="AQ16"/>
      <c r="AR16"/>
      <c r="AS16"/>
      <c r="AT16"/>
      <c r="AU16"/>
    </row>
    <row r="17" spans="1:47" s="129" customFormat="1" x14ac:dyDescent="0.3">
      <c r="A17" s="327" t="s">
        <v>239</v>
      </c>
      <c r="B17" s="328">
        <v>26</v>
      </c>
      <c r="C17" s="327">
        <v>6</v>
      </c>
      <c r="D17" s="327">
        <v>2.92</v>
      </c>
      <c r="E17" s="327">
        <v>380</v>
      </c>
      <c r="F17" s="137">
        <f>Table11234579101416[[#This Row],[d (mm)]]</f>
        <v>1921.7081850533807</v>
      </c>
      <c r="G17" s="111">
        <f t="shared" si="0"/>
        <v>2052000</v>
      </c>
      <c r="H17" s="111" t="e">
        <f>G17/(#REF!*AK17*0.001)</f>
        <v>#REF!</v>
      </c>
      <c r="I17" s="111">
        <f>G17/(Table11234579101416[[#This Row],[b (mm)]]*AC17^2)</f>
        <v>1.8521716049382717E-3</v>
      </c>
      <c r="J17" s="111">
        <f t="shared" si="1"/>
        <v>0.21884735202492211</v>
      </c>
      <c r="K17" s="111" t="e">
        <f>E17/(#REF!*AJ17*0.001)</f>
        <v>#REF!</v>
      </c>
      <c r="L17" s="111">
        <f>E17/(Table11234579101416[[#This Row],[b (mm)]]*AC17)</f>
        <v>6.5913580246913578E-4</v>
      </c>
      <c r="M17" s="111">
        <f>Table11234579101416[[#This Row],[M (KN.mm)]]/(Table11234579101416[[#This Row],[b (mm)]]*Table11234579101416[[#This Row],[d (mm)]])</f>
        <v>3.5593333333333335</v>
      </c>
      <c r="N17" s="111">
        <f>Table11234579101416[[#This Row],[M (KN.mm)]]/(Table11234579101416[[#This Row],[b (mm)]]*Table11234579101416[[#This Row],[h (mm)]])</f>
        <v>3.42</v>
      </c>
      <c r="O17" s="111">
        <f>Table11234579101416[[#This Row],[M (KN.mm)]]/(Table11234579101416[[#This Row],[b (mm)]]*Table11234579101416[[#This Row],[h (mm)]]*Table11234579101416[[#This Row],[L(mm)]])</f>
        <v>3.1666666666666665E-4</v>
      </c>
      <c r="P17" s="111">
        <f>Table11234579101416[[#This Row],[M (KN.mm)]]/(Table11234579101416[[#This Row],[b (mm)]]*Table11234579101416[[#This Row],[d (mm)]]*Table11234579101416[[#This Row],[L(mm)]])</f>
        <v>3.2956790123456789E-4</v>
      </c>
      <c r="Q17" s="111">
        <f>Table11234579101416[[#This Row],[M (KN.mm)]]/(Table11234579101416[[#This Row],[b (mm)]]*Table11234579101416[[#This Row],[h (mm)]]*Table11234579101416[[#This Row],[L(mm)]]*Table11234579101416[[#This Row],[fc (Mpa)]])</f>
        <v>1.2086513994910942E-5</v>
      </c>
      <c r="R17" s="111">
        <f>Table11234579101416[[#This Row],[M (KN.mm)]]/(Table11234579101416[[#This Row],[b (mm)]]*Table11234579101416[[#This Row],[h (mm)]]*Table11234579101416[[#This Row],[L(mm)]]/2)</f>
        <v>6.333333333333333E-4</v>
      </c>
      <c r="S17" s="111">
        <f>Table11234579101416[[#This Row],[M (KN.mm)]]/(Table11234579101416[[#This Row],[a (mm)]]*Table11234579101416[[#This Row],[b (mm)]]*Table11234579101416[[#This Row],[h (mm)]]*Table11234579101416[[#This Row],[L(mm)]]/2)</f>
        <v>1.1728395061728395E-7</v>
      </c>
      <c r="T17" s="111">
        <f>Table11234579101416[[#This Row],[M (KN.mm)]]/(Table11234579101416[[#This Row],[a (mm)]]^2*Table11234579101416[[#This Row],[b (mm)]]*Table11234579101416[[#This Row],[h (mm)]])</f>
        <v>1.1728395061728395E-7</v>
      </c>
      <c r="U17" s="111">
        <f>Table11234579101416[[#This Row],[M (KN.mm)]]/(Table11234579101416[[#This Row],[b (mm)]]*Table11234579101416[[#This Row],[d (mm)]]*Table11234579101416[[#This Row],[pho (%)]])</f>
        <v>2.3416666666666663</v>
      </c>
      <c r="V17" s="111">
        <f>E17*224.8/(2*SQRT(Table11234579101416[[#This Row],[fc (Mpa)]]*145.037)*Table11234579101416[[#This Row],[b (mm)]]*Table11234579101416[[#This Row],[d (mm)]]*(1/25.4)^2)</f>
        <v>0.77538714520446639</v>
      </c>
      <c r="W17" s="111">
        <f>Table11234579101416[[#This Row],[M (KN.mm)]]/$G$17</f>
        <v>1</v>
      </c>
      <c r="X17" s="111">
        <f>Table11234579101416[[#This Row],[V/(2*sqrt(fc) bd)]]</f>
        <v>0.77538714520446639</v>
      </c>
      <c r="Y17" s="111">
        <f>Table11234579101416[[#This Row],[a (mm)]]</f>
        <v>5400</v>
      </c>
      <c r="Z17" s="111">
        <f>Table11234579101416[[#This Row],[width]]*Table11234579101416[[#This Row],[d]]^2</f>
        <v>1107888704.5503476</v>
      </c>
      <c r="AA17" s="111">
        <f>Table11234579101416[[#This Row],[b (mm)]]</f>
        <v>300</v>
      </c>
      <c r="AB17">
        <v>5400</v>
      </c>
      <c r="AC17">
        <f>Table11234579101416[[#This Row],[a (mm)]]/2.81</f>
        <v>1921.7081850533807</v>
      </c>
      <c r="AD17">
        <v>2000</v>
      </c>
      <c r="AE17">
        <v>300</v>
      </c>
      <c r="AF17">
        <v>26.2</v>
      </c>
      <c r="AG17" s="111">
        <f>Table11234579101416[[#This Row],[pho (%)]]*Table11234579101416[[#This Row],[b (mm)]]*Table11234579101416[[#This Row],[h (mm)]]/100</f>
        <v>9120</v>
      </c>
      <c r="AH17">
        <v>1.52</v>
      </c>
      <c r="AI17" s="111">
        <v>535</v>
      </c>
      <c r="AJ17" s="111">
        <f>(1/3-0.21*(MIN(Table11234579101416[[#This Row],[b (mm)]],AD17)/MAX(Table11234579101416[[#This Row],[b (mm)]],AD17))*(MIN(Table11234579101416[[#This Row],[b (mm)]],AD17)^4/(12*MAX(Table11234579101416[[#This Row],[b (mm)]],AD17)^4)))*MAX(Table11234579101416[[#This Row],[b (mm)]],AD17)*MIN(Table11234579101416[[#This Row],[b (mm)]],AD17)^3</f>
        <v>17999928239.0625</v>
      </c>
      <c r="AK17" s="111">
        <f>Table11234579101416[[#This Row],[b (mm)]]*AD17^3/12</f>
        <v>200000000000</v>
      </c>
      <c r="AL17" s="111">
        <f>Table11234579101416[[#This Row],[a (mm)]]*2</f>
        <v>10800</v>
      </c>
      <c r="AM17"/>
      <c r="AN17"/>
      <c r="AO17"/>
      <c r="AP17"/>
      <c r="AQ17"/>
      <c r="AR17"/>
      <c r="AS17"/>
      <c r="AT17"/>
      <c r="AU17"/>
    </row>
    <row r="18" spans="1:47" s="129" customFormat="1" x14ac:dyDescent="0.3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</row>
    <row r="19" spans="1:47" s="129" customFormat="1" x14ac:dyDescent="0.3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</row>
    <row r="20" spans="1:47" s="129" customFormat="1" x14ac:dyDescent="0.3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</row>
    <row r="21" spans="1:47" x14ac:dyDescent="0.3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N21"/>
      <c r="AO21"/>
      <c r="AP21"/>
      <c r="AQ21"/>
      <c r="AR21"/>
      <c r="AS21"/>
      <c r="AT21"/>
      <c r="AU21"/>
    </row>
    <row r="22" spans="1:47" x14ac:dyDescent="0.3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N22"/>
      <c r="AO22"/>
      <c r="AP22"/>
      <c r="AQ22"/>
      <c r="AR22"/>
      <c r="AS22"/>
      <c r="AT22"/>
      <c r="AU22"/>
    </row>
    <row r="23" spans="1:47" x14ac:dyDescent="0.3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N23"/>
      <c r="AO23"/>
      <c r="AP23"/>
      <c r="AQ23"/>
      <c r="AR23"/>
      <c r="AS23"/>
      <c r="AT23"/>
      <c r="AU23"/>
    </row>
    <row r="24" spans="1:47" x14ac:dyDescent="0.3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N24"/>
      <c r="AO24"/>
      <c r="AP24"/>
      <c r="AQ24"/>
      <c r="AR24"/>
      <c r="AS24"/>
      <c r="AT24"/>
      <c r="AU24"/>
    </row>
    <row r="25" spans="1:47" x14ac:dyDescent="0.3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N25"/>
      <c r="AO25"/>
      <c r="AP25"/>
      <c r="AQ25"/>
      <c r="AR25"/>
      <c r="AS25"/>
      <c r="AT25"/>
      <c r="AU25"/>
    </row>
    <row r="26" spans="1:47" x14ac:dyDescent="0.3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N26"/>
      <c r="AO26"/>
      <c r="AP26"/>
      <c r="AQ26"/>
      <c r="AR26"/>
      <c r="AS26"/>
      <c r="AT26"/>
      <c r="AU26"/>
    </row>
    <row r="27" spans="1:47" x14ac:dyDescent="0.3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N27"/>
      <c r="AO27"/>
      <c r="AP27"/>
      <c r="AQ27"/>
      <c r="AR27"/>
      <c r="AS27"/>
      <c r="AT27"/>
      <c r="AU27"/>
    </row>
    <row r="28" spans="1:47" x14ac:dyDescent="0.3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N28"/>
      <c r="AO28"/>
      <c r="AP28"/>
      <c r="AQ28"/>
      <c r="AR28"/>
      <c r="AS28"/>
      <c r="AT28"/>
      <c r="AU28"/>
    </row>
    <row r="29" spans="1:47" x14ac:dyDescent="0.3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N29"/>
      <c r="AO29"/>
      <c r="AP29"/>
      <c r="AQ29"/>
      <c r="AR29"/>
      <c r="AS29"/>
      <c r="AT29"/>
      <c r="AU29"/>
    </row>
    <row r="30" spans="1:47" x14ac:dyDescent="0.3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N30"/>
      <c r="AO30"/>
      <c r="AP30"/>
      <c r="AQ30"/>
      <c r="AR30"/>
      <c r="AS30"/>
      <c r="AT30"/>
      <c r="AU30"/>
    </row>
    <row r="31" spans="1:47" x14ac:dyDescent="0.3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N31"/>
      <c r="AO31"/>
      <c r="AP31"/>
      <c r="AQ31"/>
      <c r="AR31"/>
      <c r="AS31"/>
      <c r="AT31"/>
      <c r="AU31"/>
    </row>
    <row r="32" spans="1:47" x14ac:dyDescent="0.3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N32"/>
      <c r="AO32"/>
      <c r="AP32"/>
      <c r="AQ32"/>
      <c r="AR32"/>
      <c r="AS32"/>
      <c r="AT32"/>
      <c r="AU32"/>
    </row>
    <row r="33" spans="1:47" x14ac:dyDescent="0.3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N33"/>
      <c r="AO33"/>
      <c r="AP33"/>
      <c r="AQ33"/>
      <c r="AR33"/>
      <c r="AS33"/>
      <c r="AT33"/>
      <c r="AU33"/>
    </row>
    <row r="34" spans="1:47" customFormat="1" x14ac:dyDescent="0.3"/>
    <row r="35" spans="1:47" x14ac:dyDescent="0.3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N35"/>
      <c r="AO35"/>
      <c r="AP35"/>
      <c r="AQ35"/>
      <c r="AR35"/>
      <c r="AS35"/>
      <c r="AT35"/>
      <c r="AU35"/>
    </row>
    <row r="36" spans="1:47" x14ac:dyDescent="0.3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N36"/>
      <c r="AO36"/>
      <c r="AP36"/>
      <c r="AQ36"/>
      <c r="AR36"/>
      <c r="AS36"/>
      <c r="AT36"/>
      <c r="AU36"/>
    </row>
    <row r="37" spans="1:47" x14ac:dyDescent="0.3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N37"/>
      <c r="AO37"/>
      <c r="AP37"/>
      <c r="AQ37"/>
      <c r="AR37"/>
      <c r="AS37"/>
      <c r="AT37"/>
      <c r="AU37"/>
    </row>
    <row r="38" spans="1:47" x14ac:dyDescent="0.3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N38"/>
      <c r="AO38"/>
      <c r="AP38"/>
      <c r="AQ38"/>
      <c r="AR38"/>
      <c r="AS38"/>
      <c r="AT38"/>
      <c r="AU38"/>
    </row>
    <row r="39" spans="1:47" x14ac:dyDescent="0.3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N39"/>
      <c r="AO39"/>
      <c r="AP39"/>
      <c r="AQ39"/>
      <c r="AR39"/>
      <c r="AS39"/>
      <c r="AT39"/>
      <c r="AU39"/>
    </row>
    <row r="40" spans="1:47" x14ac:dyDescent="0.3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N40"/>
      <c r="AO40"/>
      <c r="AP40"/>
      <c r="AQ40"/>
      <c r="AR40"/>
      <c r="AS40"/>
      <c r="AT40"/>
      <c r="AU40"/>
    </row>
    <row r="41" spans="1:47" x14ac:dyDescent="0.3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N41"/>
      <c r="AO41"/>
      <c r="AP41"/>
      <c r="AQ41"/>
      <c r="AR41"/>
      <c r="AS41"/>
      <c r="AT41"/>
      <c r="AU41"/>
    </row>
    <row r="42" spans="1:47" x14ac:dyDescent="0.3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N42"/>
      <c r="AO42"/>
      <c r="AP42"/>
      <c r="AQ42"/>
      <c r="AR42"/>
      <c r="AS42"/>
      <c r="AT42"/>
      <c r="AU42"/>
    </row>
    <row r="43" spans="1:47" x14ac:dyDescent="0.3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N43"/>
      <c r="AO43"/>
      <c r="AP43"/>
      <c r="AQ43"/>
      <c r="AR43"/>
      <c r="AS43"/>
      <c r="AT43"/>
      <c r="AU43"/>
    </row>
    <row r="44" spans="1:47" x14ac:dyDescent="0.3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N44"/>
      <c r="AO44"/>
      <c r="AP44"/>
      <c r="AQ44"/>
      <c r="AR44"/>
      <c r="AS44"/>
      <c r="AT44"/>
      <c r="AU44"/>
    </row>
    <row r="45" spans="1:47" x14ac:dyDescent="0.3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N45"/>
      <c r="AO45"/>
      <c r="AP45"/>
      <c r="AQ45"/>
      <c r="AR45"/>
      <c r="AS45"/>
      <c r="AT45"/>
      <c r="AU45"/>
    </row>
    <row r="46" spans="1:47" x14ac:dyDescent="0.3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N46"/>
      <c r="AO46"/>
      <c r="AP46"/>
      <c r="AQ46"/>
      <c r="AR46"/>
      <c r="AS46"/>
      <c r="AT46"/>
      <c r="AU46"/>
    </row>
    <row r="47" spans="1:47" x14ac:dyDescent="0.3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N47"/>
      <c r="AO47"/>
      <c r="AP47"/>
      <c r="AQ47"/>
      <c r="AR47"/>
      <c r="AS47"/>
      <c r="AT47"/>
      <c r="AU47"/>
    </row>
    <row r="48" spans="1:47" x14ac:dyDescent="0.3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N48"/>
      <c r="AO48"/>
      <c r="AP48"/>
      <c r="AQ48"/>
      <c r="AR48"/>
      <c r="AS48"/>
      <c r="AT48"/>
      <c r="AU48"/>
    </row>
    <row r="49" spans="1:47" x14ac:dyDescent="0.3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N49"/>
      <c r="AO49"/>
      <c r="AP49"/>
      <c r="AQ49"/>
      <c r="AR49"/>
      <c r="AS49"/>
      <c r="AT49"/>
      <c r="AU49"/>
    </row>
    <row r="50" spans="1:47" x14ac:dyDescent="0.3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N50"/>
      <c r="AO50"/>
      <c r="AP50"/>
      <c r="AQ50"/>
      <c r="AR50"/>
      <c r="AS50"/>
      <c r="AT50"/>
      <c r="AU50"/>
    </row>
    <row r="51" spans="1:47" x14ac:dyDescent="0.3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N51"/>
      <c r="AO51"/>
      <c r="AP51"/>
      <c r="AQ51"/>
      <c r="AR51"/>
      <c r="AS51"/>
      <c r="AT51"/>
      <c r="AU51"/>
    </row>
    <row r="52" spans="1:47" x14ac:dyDescent="0.3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N52"/>
      <c r="AO52"/>
      <c r="AP52"/>
      <c r="AQ52"/>
      <c r="AR52"/>
      <c r="AS52"/>
      <c r="AT52"/>
      <c r="AU52"/>
    </row>
    <row r="53" spans="1:47" x14ac:dyDescent="0.3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N53"/>
      <c r="AO53"/>
      <c r="AP53"/>
      <c r="AQ53"/>
      <c r="AR53"/>
      <c r="AS53"/>
      <c r="AT53"/>
      <c r="AU53"/>
    </row>
    <row r="54" spans="1:47" s="1" customFormat="1" x14ac:dyDescent="0.3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</row>
    <row r="55" spans="1:47" s="1" customFormat="1" x14ac:dyDescent="0.3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</row>
    <row r="56" spans="1:47" s="1" customFormat="1" x14ac:dyDescent="0.3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</row>
    <row r="57" spans="1:47" x14ac:dyDescent="0.3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N57"/>
      <c r="AO57"/>
      <c r="AP57"/>
      <c r="AQ57"/>
      <c r="AR57"/>
      <c r="AS57"/>
      <c r="AT57"/>
      <c r="AU57"/>
    </row>
    <row r="58" spans="1:47" x14ac:dyDescent="0.3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N58"/>
      <c r="AO58"/>
      <c r="AP58"/>
      <c r="AQ58"/>
      <c r="AR58"/>
      <c r="AS58"/>
      <c r="AT58"/>
      <c r="AU58"/>
    </row>
    <row r="59" spans="1:47" x14ac:dyDescent="0.3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N59"/>
      <c r="AO59"/>
      <c r="AP59"/>
      <c r="AQ59"/>
      <c r="AR59"/>
      <c r="AS59"/>
      <c r="AT59"/>
      <c r="AU59"/>
    </row>
    <row r="60" spans="1:47" x14ac:dyDescent="0.3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N60"/>
      <c r="AO60"/>
      <c r="AP60"/>
      <c r="AQ60"/>
      <c r="AR60"/>
      <c r="AS60"/>
      <c r="AT60"/>
      <c r="AU60"/>
    </row>
    <row r="61" spans="1:47" x14ac:dyDescent="0.3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N61"/>
      <c r="AO61"/>
      <c r="AP61"/>
      <c r="AQ61"/>
      <c r="AR61"/>
      <c r="AS61"/>
      <c r="AT61"/>
      <c r="AU61"/>
    </row>
    <row r="62" spans="1:47" x14ac:dyDescent="0.3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N62"/>
      <c r="AO62"/>
      <c r="AP62"/>
      <c r="AQ62"/>
      <c r="AR62"/>
      <c r="AS62"/>
      <c r="AT62"/>
      <c r="AU62"/>
    </row>
    <row r="63" spans="1:47" x14ac:dyDescent="0.3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N63"/>
      <c r="AO63"/>
      <c r="AP63"/>
      <c r="AQ63"/>
      <c r="AR63"/>
      <c r="AS63"/>
      <c r="AT63"/>
      <c r="AU63"/>
    </row>
    <row r="64" spans="1:47" x14ac:dyDescent="0.3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N64"/>
      <c r="AO64"/>
      <c r="AP64"/>
      <c r="AQ64"/>
      <c r="AR64"/>
      <c r="AS64"/>
      <c r="AT64"/>
      <c r="AU64"/>
    </row>
    <row r="65" spans="1:47" x14ac:dyDescent="0.3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N65"/>
      <c r="AO65"/>
      <c r="AP65"/>
      <c r="AQ65"/>
      <c r="AR65"/>
      <c r="AS65"/>
      <c r="AT65"/>
      <c r="AU65"/>
    </row>
    <row r="66" spans="1:47" x14ac:dyDescent="0.3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N66"/>
      <c r="AO66"/>
      <c r="AP66"/>
      <c r="AQ66"/>
      <c r="AR66"/>
      <c r="AS66"/>
      <c r="AT66"/>
      <c r="AU66"/>
    </row>
    <row r="67" spans="1:47" x14ac:dyDescent="0.3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N67"/>
      <c r="AO67"/>
      <c r="AP67"/>
      <c r="AQ67"/>
      <c r="AR67"/>
      <c r="AS67"/>
      <c r="AT67"/>
      <c r="AU67"/>
    </row>
    <row r="68" spans="1:47" x14ac:dyDescent="0.3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N68"/>
      <c r="AO68"/>
      <c r="AP68"/>
      <c r="AQ68"/>
      <c r="AR68"/>
      <c r="AS68"/>
      <c r="AT68"/>
      <c r="AU68"/>
    </row>
    <row r="69" spans="1:47" x14ac:dyDescent="0.3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N69"/>
      <c r="AO69"/>
      <c r="AP69"/>
      <c r="AQ69"/>
      <c r="AR69"/>
      <c r="AS69"/>
      <c r="AT69"/>
      <c r="AU69"/>
    </row>
    <row r="70" spans="1:47" x14ac:dyDescent="0.3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N70"/>
      <c r="AO70"/>
      <c r="AP70"/>
      <c r="AQ70"/>
      <c r="AR70"/>
      <c r="AS70"/>
      <c r="AT70"/>
      <c r="AU70"/>
    </row>
    <row r="71" spans="1:47" x14ac:dyDescent="0.3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N71"/>
      <c r="AO71"/>
      <c r="AP71"/>
      <c r="AQ71"/>
      <c r="AR71"/>
      <c r="AS71"/>
      <c r="AT71"/>
      <c r="AU71"/>
    </row>
    <row r="72" spans="1:47" x14ac:dyDescent="0.3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N72"/>
      <c r="AO72"/>
      <c r="AP72"/>
      <c r="AQ72"/>
      <c r="AR72"/>
      <c r="AS72"/>
      <c r="AT72"/>
      <c r="AU72"/>
    </row>
    <row r="73" spans="1:47" x14ac:dyDescent="0.3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N73"/>
      <c r="AO73"/>
      <c r="AP73"/>
      <c r="AQ73"/>
      <c r="AR73"/>
      <c r="AS73"/>
      <c r="AT73"/>
      <c r="AU73"/>
    </row>
    <row r="74" spans="1:47" x14ac:dyDescent="0.3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N74"/>
      <c r="AO74"/>
      <c r="AP74"/>
      <c r="AQ74"/>
      <c r="AR74"/>
      <c r="AS74"/>
      <c r="AT74"/>
      <c r="AU74"/>
    </row>
    <row r="75" spans="1:47" x14ac:dyDescent="0.3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N75"/>
      <c r="AO75"/>
      <c r="AP75"/>
      <c r="AQ75"/>
      <c r="AR75"/>
      <c r="AS75"/>
      <c r="AT75"/>
      <c r="AU75"/>
    </row>
    <row r="76" spans="1:47" x14ac:dyDescent="0.3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N76"/>
      <c r="AO76"/>
      <c r="AP76"/>
      <c r="AQ76"/>
      <c r="AR76"/>
      <c r="AS76"/>
      <c r="AT76"/>
      <c r="AU76"/>
    </row>
    <row r="77" spans="1:47" x14ac:dyDescent="0.3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N77"/>
      <c r="AO77"/>
      <c r="AP77"/>
      <c r="AQ77"/>
      <c r="AR77"/>
      <c r="AS77"/>
      <c r="AT77"/>
      <c r="AU77"/>
    </row>
    <row r="78" spans="1:47" x14ac:dyDescent="0.3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N78"/>
      <c r="AO78"/>
      <c r="AP78"/>
      <c r="AQ78"/>
      <c r="AR78"/>
      <c r="AS78"/>
      <c r="AT78"/>
      <c r="AU78"/>
    </row>
    <row r="79" spans="1:47" x14ac:dyDescent="0.3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N79"/>
      <c r="AO79"/>
      <c r="AP79"/>
      <c r="AQ79"/>
      <c r="AR79"/>
      <c r="AS79"/>
      <c r="AT79"/>
      <c r="AU79"/>
    </row>
    <row r="80" spans="1:47" x14ac:dyDescent="0.3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N80"/>
      <c r="AO80"/>
      <c r="AP80"/>
      <c r="AQ80"/>
      <c r="AR80"/>
      <c r="AS80"/>
      <c r="AT80"/>
      <c r="AU80"/>
    </row>
    <row r="81" spans="1:47" x14ac:dyDescent="0.3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N81"/>
      <c r="AO81"/>
      <c r="AP81"/>
      <c r="AQ81"/>
      <c r="AR81"/>
      <c r="AS81"/>
      <c r="AT81"/>
      <c r="AU81"/>
    </row>
    <row r="82" spans="1:47" x14ac:dyDescent="0.3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N82"/>
      <c r="AO82"/>
      <c r="AP82"/>
      <c r="AQ82"/>
      <c r="AR82"/>
      <c r="AS82"/>
      <c r="AT82"/>
      <c r="AU82"/>
    </row>
    <row r="83" spans="1:47" x14ac:dyDescent="0.3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N83"/>
      <c r="AO83"/>
      <c r="AP83"/>
      <c r="AQ83"/>
      <c r="AR83"/>
      <c r="AS83"/>
      <c r="AT83"/>
      <c r="AU83"/>
    </row>
    <row r="84" spans="1:47" x14ac:dyDescent="0.3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N84"/>
      <c r="AO84"/>
      <c r="AP84"/>
      <c r="AQ84"/>
      <c r="AR84"/>
      <c r="AS84"/>
      <c r="AT84"/>
      <c r="AU84"/>
    </row>
    <row r="85" spans="1:47" x14ac:dyDescent="0.3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N85"/>
      <c r="AO85"/>
      <c r="AP85"/>
      <c r="AQ85"/>
      <c r="AR85"/>
      <c r="AS85"/>
      <c r="AT85"/>
      <c r="AU85"/>
    </row>
    <row r="86" spans="1:47" x14ac:dyDescent="0.3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N86"/>
      <c r="AO86"/>
      <c r="AP86"/>
      <c r="AQ86"/>
      <c r="AR86"/>
      <c r="AS86"/>
      <c r="AT86"/>
      <c r="AU86"/>
    </row>
    <row r="87" spans="1:47" x14ac:dyDescent="0.3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N87"/>
      <c r="AO87"/>
      <c r="AP87"/>
      <c r="AQ87"/>
      <c r="AR87"/>
      <c r="AS87"/>
      <c r="AT87"/>
      <c r="AU87"/>
    </row>
    <row r="88" spans="1:47" x14ac:dyDescent="0.3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N88"/>
      <c r="AO88"/>
      <c r="AP88"/>
      <c r="AQ88"/>
      <c r="AR88"/>
      <c r="AS88"/>
      <c r="AT88"/>
      <c r="AU88"/>
    </row>
    <row r="89" spans="1:47" x14ac:dyDescent="0.3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N89"/>
      <c r="AO89"/>
      <c r="AP89"/>
      <c r="AQ89"/>
      <c r="AR89"/>
      <c r="AS89"/>
      <c r="AT89"/>
      <c r="AU89"/>
    </row>
    <row r="90" spans="1:47" x14ac:dyDescent="0.3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N90"/>
      <c r="AO90"/>
      <c r="AP90"/>
      <c r="AQ90"/>
      <c r="AR90"/>
      <c r="AS90"/>
      <c r="AT90"/>
      <c r="AU90"/>
    </row>
    <row r="91" spans="1:47" x14ac:dyDescent="0.3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N91"/>
      <c r="AO91"/>
      <c r="AP91"/>
      <c r="AQ91"/>
      <c r="AR91"/>
      <c r="AS91"/>
      <c r="AT91"/>
      <c r="AU91"/>
    </row>
    <row r="92" spans="1:47" x14ac:dyDescent="0.3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N92"/>
      <c r="AO92"/>
      <c r="AP92"/>
      <c r="AQ92"/>
      <c r="AR92"/>
      <c r="AS92"/>
      <c r="AT92"/>
      <c r="AU92"/>
    </row>
    <row r="93" spans="1:47" x14ac:dyDescent="0.3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N93"/>
      <c r="AO93"/>
      <c r="AP93"/>
      <c r="AQ93"/>
      <c r="AR93"/>
      <c r="AS93"/>
      <c r="AT93"/>
      <c r="AU93"/>
    </row>
    <row r="94" spans="1:47" x14ac:dyDescent="0.3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N94"/>
      <c r="AO94"/>
      <c r="AP94"/>
      <c r="AQ94"/>
      <c r="AR94"/>
      <c r="AS94"/>
      <c r="AT94"/>
      <c r="AU94"/>
    </row>
    <row r="95" spans="1:47" x14ac:dyDescent="0.3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N95"/>
      <c r="AO95"/>
      <c r="AP95"/>
      <c r="AQ95"/>
      <c r="AR95"/>
      <c r="AS95"/>
      <c r="AT95"/>
      <c r="AU95"/>
    </row>
    <row r="96" spans="1:47" x14ac:dyDescent="0.3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N96"/>
      <c r="AO96"/>
      <c r="AP96"/>
      <c r="AQ96"/>
      <c r="AR96"/>
      <c r="AS96"/>
      <c r="AT96"/>
      <c r="AU96"/>
    </row>
    <row r="97" spans="1:47" x14ac:dyDescent="0.3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N97"/>
      <c r="AO97"/>
      <c r="AP97"/>
      <c r="AQ97"/>
      <c r="AR97"/>
      <c r="AS97"/>
      <c r="AT97"/>
      <c r="AU97"/>
    </row>
    <row r="98" spans="1:47" x14ac:dyDescent="0.3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N98"/>
      <c r="AO98"/>
      <c r="AP98"/>
      <c r="AQ98"/>
      <c r="AR98"/>
      <c r="AS98"/>
      <c r="AT98"/>
      <c r="AU98"/>
    </row>
    <row r="99" spans="1:47" x14ac:dyDescent="0.3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N99"/>
      <c r="AO99"/>
      <c r="AP99"/>
      <c r="AQ99"/>
      <c r="AR99"/>
      <c r="AS99"/>
      <c r="AT99"/>
      <c r="AU99"/>
    </row>
    <row r="100" spans="1:47" x14ac:dyDescent="0.3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N100"/>
      <c r="AO100"/>
      <c r="AP100"/>
      <c r="AQ100"/>
      <c r="AR100"/>
      <c r="AS100"/>
      <c r="AT100"/>
      <c r="AU100"/>
    </row>
    <row r="101" spans="1:47" x14ac:dyDescent="0.3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N101"/>
      <c r="AO101"/>
      <c r="AP101"/>
      <c r="AQ101"/>
      <c r="AR101"/>
      <c r="AS101"/>
      <c r="AT101"/>
      <c r="AU101"/>
    </row>
    <row r="102" spans="1:47" x14ac:dyDescent="0.3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N102"/>
      <c r="AO102"/>
      <c r="AP102"/>
      <c r="AQ102"/>
      <c r="AR102"/>
      <c r="AS102"/>
      <c r="AT102"/>
      <c r="AU102"/>
    </row>
    <row r="103" spans="1:47" x14ac:dyDescent="0.3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N103"/>
      <c r="AO103"/>
      <c r="AP103"/>
      <c r="AQ103"/>
      <c r="AR103"/>
      <c r="AS103"/>
      <c r="AT103"/>
      <c r="AU103"/>
    </row>
    <row r="104" spans="1:47" x14ac:dyDescent="0.3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N104"/>
      <c r="AO104"/>
      <c r="AP104"/>
      <c r="AQ104"/>
      <c r="AR104"/>
      <c r="AS104"/>
      <c r="AT104"/>
      <c r="AU104"/>
    </row>
    <row r="105" spans="1:47" x14ac:dyDescent="0.3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N105"/>
      <c r="AO105"/>
      <c r="AP105"/>
      <c r="AQ105"/>
      <c r="AR105"/>
      <c r="AS105"/>
      <c r="AT105"/>
      <c r="AU105"/>
    </row>
    <row r="106" spans="1:47" x14ac:dyDescent="0.3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N106"/>
      <c r="AO106"/>
      <c r="AP106"/>
      <c r="AQ106"/>
      <c r="AR106"/>
      <c r="AS106"/>
      <c r="AT106"/>
      <c r="AU106"/>
    </row>
    <row r="107" spans="1:47" x14ac:dyDescent="0.3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N107"/>
      <c r="AO107"/>
      <c r="AP107"/>
      <c r="AQ107"/>
      <c r="AR107"/>
      <c r="AS107"/>
      <c r="AT107"/>
      <c r="AU107"/>
    </row>
    <row r="108" spans="1:47" x14ac:dyDescent="0.3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N108"/>
      <c r="AO108"/>
      <c r="AP108"/>
      <c r="AQ108"/>
      <c r="AR108"/>
      <c r="AS108"/>
      <c r="AT108"/>
      <c r="AU108"/>
    </row>
    <row r="109" spans="1:47" x14ac:dyDescent="0.3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N109"/>
      <c r="AO109"/>
      <c r="AP109"/>
      <c r="AQ109"/>
      <c r="AR109"/>
      <c r="AS109"/>
      <c r="AT109"/>
      <c r="AU109"/>
    </row>
    <row r="110" spans="1:47" x14ac:dyDescent="0.3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N110"/>
      <c r="AO110"/>
      <c r="AP110"/>
      <c r="AQ110"/>
      <c r="AR110"/>
      <c r="AS110"/>
      <c r="AT110"/>
      <c r="AU110"/>
    </row>
    <row r="111" spans="1:47" x14ac:dyDescent="0.3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N111"/>
      <c r="AO111"/>
      <c r="AP111"/>
      <c r="AQ111"/>
      <c r="AR111"/>
      <c r="AS111"/>
      <c r="AT111"/>
      <c r="AU111"/>
    </row>
    <row r="112" spans="1:47" x14ac:dyDescent="0.3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N112"/>
      <c r="AO112"/>
      <c r="AP112"/>
      <c r="AQ112"/>
      <c r="AR112"/>
      <c r="AS112"/>
      <c r="AT112"/>
      <c r="AU112"/>
    </row>
    <row r="113" spans="1:47" x14ac:dyDescent="0.3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N113"/>
      <c r="AO113"/>
      <c r="AP113"/>
      <c r="AQ113"/>
      <c r="AR113"/>
      <c r="AS113"/>
      <c r="AT113"/>
      <c r="AU113"/>
    </row>
    <row r="114" spans="1:47" x14ac:dyDescent="0.3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N114"/>
      <c r="AO114"/>
      <c r="AP114"/>
      <c r="AQ114"/>
      <c r="AR114"/>
      <c r="AS114"/>
      <c r="AT114"/>
      <c r="AU114"/>
    </row>
    <row r="115" spans="1:47" x14ac:dyDescent="0.3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N115"/>
      <c r="AO115"/>
      <c r="AP115"/>
      <c r="AQ115"/>
      <c r="AR115"/>
      <c r="AS115"/>
      <c r="AT115"/>
      <c r="AU115"/>
    </row>
    <row r="116" spans="1:47" x14ac:dyDescent="0.3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N116"/>
      <c r="AO116"/>
      <c r="AP116"/>
      <c r="AQ116"/>
      <c r="AR116"/>
      <c r="AS116"/>
      <c r="AT116"/>
      <c r="AU116"/>
    </row>
    <row r="117" spans="1:47" x14ac:dyDescent="0.3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N117"/>
      <c r="AO117"/>
      <c r="AP117"/>
      <c r="AQ117"/>
      <c r="AR117"/>
      <c r="AS117"/>
      <c r="AT117"/>
      <c r="AU117"/>
    </row>
    <row r="118" spans="1:47" x14ac:dyDescent="0.3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N118"/>
      <c r="AO118"/>
      <c r="AP118"/>
      <c r="AQ118"/>
      <c r="AR118"/>
      <c r="AS118"/>
      <c r="AT118"/>
      <c r="AU118"/>
    </row>
    <row r="119" spans="1:47" x14ac:dyDescent="0.3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N119"/>
      <c r="AO119"/>
      <c r="AP119"/>
      <c r="AQ119"/>
      <c r="AR119"/>
      <c r="AS119"/>
      <c r="AT119"/>
      <c r="AU119"/>
    </row>
    <row r="120" spans="1:47" x14ac:dyDescent="0.3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N120"/>
      <c r="AO120"/>
      <c r="AP120"/>
      <c r="AQ120"/>
      <c r="AR120"/>
      <c r="AS120"/>
      <c r="AT120"/>
      <c r="AU120"/>
    </row>
    <row r="121" spans="1:47" x14ac:dyDescent="0.3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N121"/>
      <c r="AO121"/>
      <c r="AP121"/>
      <c r="AQ121"/>
      <c r="AR121"/>
      <c r="AS121"/>
      <c r="AT121"/>
      <c r="AU121"/>
    </row>
    <row r="122" spans="1:47" x14ac:dyDescent="0.3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N122"/>
      <c r="AO122"/>
      <c r="AP122"/>
      <c r="AQ122"/>
      <c r="AR122"/>
      <c r="AS122"/>
      <c r="AT122"/>
      <c r="AU122"/>
    </row>
    <row r="123" spans="1:47" x14ac:dyDescent="0.3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N123"/>
      <c r="AO123"/>
      <c r="AP123"/>
      <c r="AQ123"/>
      <c r="AR123"/>
      <c r="AS123"/>
      <c r="AT123"/>
      <c r="AU123"/>
    </row>
    <row r="124" spans="1:47" x14ac:dyDescent="0.3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N124"/>
      <c r="AO124"/>
      <c r="AP124"/>
      <c r="AQ124"/>
      <c r="AR124"/>
      <c r="AS124"/>
      <c r="AT124"/>
      <c r="AU124"/>
    </row>
    <row r="125" spans="1:47" x14ac:dyDescent="0.3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N125"/>
      <c r="AO125"/>
      <c r="AP125"/>
      <c r="AQ125"/>
      <c r="AR125"/>
      <c r="AS125"/>
      <c r="AT125"/>
      <c r="AU125"/>
    </row>
    <row r="126" spans="1:47" x14ac:dyDescent="0.3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N126"/>
      <c r="AO126"/>
      <c r="AP126"/>
      <c r="AQ126"/>
      <c r="AR126"/>
      <c r="AS126"/>
      <c r="AT126"/>
      <c r="AU126"/>
    </row>
    <row r="127" spans="1:47" x14ac:dyDescent="0.3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N127"/>
      <c r="AO127"/>
      <c r="AP127"/>
      <c r="AQ127"/>
      <c r="AR127"/>
      <c r="AS127"/>
      <c r="AT127"/>
      <c r="AU127"/>
    </row>
    <row r="128" spans="1:47" x14ac:dyDescent="0.3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N128"/>
      <c r="AO128"/>
      <c r="AP128"/>
      <c r="AQ128"/>
      <c r="AR128"/>
      <c r="AS128"/>
      <c r="AT128"/>
      <c r="AU128"/>
    </row>
    <row r="129" spans="1:47" x14ac:dyDescent="0.3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N129"/>
      <c r="AO129"/>
      <c r="AP129"/>
      <c r="AQ129"/>
      <c r="AR129"/>
      <c r="AS129"/>
      <c r="AT129"/>
      <c r="AU129"/>
    </row>
    <row r="130" spans="1:47" x14ac:dyDescent="0.3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N130"/>
      <c r="AO130"/>
      <c r="AP130"/>
      <c r="AQ130"/>
      <c r="AR130"/>
      <c r="AS130"/>
      <c r="AT130"/>
      <c r="AU130"/>
    </row>
    <row r="131" spans="1:47" x14ac:dyDescent="0.3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N131"/>
      <c r="AO131"/>
      <c r="AP131"/>
      <c r="AQ131"/>
      <c r="AR131"/>
      <c r="AS131"/>
      <c r="AT131"/>
      <c r="AU131"/>
    </row>
    <row r="132" spans="1:47" x14ac:dyDescent="0.3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N132"/>
      <c r="AO132"/>
      <c r="AP132"/>
      <c r="AQ132"/>
      <c r="AR132"/>
      <c r="AS132"/>
      <c r="AT132"/>
      <c r="AU132"/>
    </row>
    <row r="133" spans="1:47" x14ac:dyDescent="0.3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N133"/>
      <c r="AO133"/>
      <c r="AP133"/>
      <c r="AQ133"/>
      <c r="AR133"/>
      <c r="AS133"/>
      <c r="AT133"/>
      <c r="AU133"/>
    </row>
    <row r="134" spans="1:47" x14ac:dyDescent="0.3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N134"/>
      <c r="AO134"/>
      <c r="AP134"/>
      <c r="AQ134"/>
      <c r="AR134"/>
      <c r="AS134"/>
      <c r="AT134"/>
      <c r="AU134"/>
    </row>
    <row r="135" spans="1:47" x14ac:dyDescent="0.3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N135"/>
      <c r="AO135"/>
      <c r="AP135"/>
      <c r="AQ135"/>
      <c r="AR135"/>
      <c r="AS135"/>
      <c r="AT135"/>
      <c r="AU135"/>
    </row>
    <row r="136" spans="1:47" x14ac:dyDescent="0.3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N136"/>
      <c r="AO136"/>
      <c r="AP136"/>
      <c r="AQ136"/>
      <c r="AR136"/>
      <c r="AS136"/>
      <c r="AT136"/>
      <c r="AU136"/>
    </row>
    <row r="137" spans="1:47" x14ac:dyDescent="0.3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N137"/>
      <c r="AO137"/>
      <c r="AP137"/>
      <c r="AQ137"/>
      <c r="AR137"/>
      <c r="AS137"/>
      <c r="AT137"/>
      <c r="AU137"/>
    </row>
    <row r="138" spans="1:47" x14ac:dyDescent="0.3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N138"/>
      <c r="AO138"/>
      <c r="AP138"/>
      <c r="AQ138"/>
      <c r="AR138"/>
      <c r="AS138"/>
      <c r="AT138"/>
      <c r="AU138"/>
    </row>
    <row r="139" spans="1:47" x14ac:dyDescent="0.3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N139"/>
      <c r="AO139"/>
      <c r="AP139"/>
      <c r="AQ139"/>
      <c r="AR139"/>
      <c r="AS139"/>
      <c r="AT139"/>
      <c r="AU139"/>
    </row>
    <row r="140" spans="1:47" x14ac:dyDescent="0.3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N140"/>
      <c r="AO140"/>
      <c r="AP140"/>
      <c r="AQ140"/>
      <c r="AR140"/>
      <c r="AS140"/>
      <c r="AT140"/>
      <c r="AU140"/>
    </row>
    <row r="141" spans="1:47" x14ac:dyDescent="0.3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N141"/>
      <c r="AO141"/>
      <c r="AP141"/>
      <c r="AQ141"/>
      <c r="AR141"/>
      <c r="AS141"/>
      <c r="AT141"/>
      <c r="AU141"/>
    </row>
    <row r="142" spans="1:47" x14ac:dyDescent="0.3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N142"/>
      <c r="AO142"/>
      <c r="AP142"/>
      <c r="AQ142"/>
      <c r="AR142"/>
      <c r="AS142"/>
      <c r="AT142"/>
      <c r="AU142"/>
    </row>
    <row r="143" spans="1:47" x14ac:dyDescent="0.3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N143"/>
      <c r="AO143"/>
      <c r="AP143"/>
      <c r="AQ143"/>
      <c r="AR143"/>
      <c r="AS143"/>
      <c r="AT143"/>
      <c r="AU143"/>
    </row>
    <row r="144" spans="1:47" x14ac:dyDescent="0.3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N144"/>
      <c r="AO144"/>
      <c r="AP144"/>
      <c r="AQ144"/>
      <c r="AR144"/>
      <c r="AS144"/>
      <c r="AT144"/>
      <c r="AU144"/>
    </row>
    <row r="145" spans="1:47" x14ac:dyDescent="0.3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N145"/>
      <c r="AO145"/>
      <c r="AP145"/>
      <c r="AQ145"/>
      <c r="AR145"/>
      <c r="AS145"/>
      <c r="AT145"/>
      <c r="AU145"/>
    </row>
    <row r="146" spans="1:47" x14ac:dyDescent="0.3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N146"/>
      <c r="AO146"/>
      <c r="AP146"/>
      <c r="AQ146"/>
      <c r="AR146"/>
      <c r="AS146"/>
      <c r="AT146"/>
      <c r="AU146"/>
    </row>
    <row r="147" spans="1:47" x14ac:dyDescent="0.3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N147"/>
      <c r="AO147"/>
      <c r="AP147"/>
      <c r="AQ147"/>
      <c r="AR147"/>
      <c r="AS147"/>
      <c r="AT147"/>
      <c r="AU147"/>
    </row>
    <row r="148" spans="1:47" x14ac:dyDescent="0.3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N148"/>
      <c r="AO148"/>
      <c r="AP148"/>
      <c r="AQ148"/>
      <c r="AR148"/>
      <c r="AS148"/>
      <c r="AT148"/>
      <c r="AU148"/>
    </row>
    <row r="149" spans="1:47" x14ac:dyDescent="0.3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N149"/>
      <c r="AO149"/>
      <c r="AP149"/>
      <c r="AQ149"/>
      <c r="AR149"/>
      <c r="AS149"/>
      <c r="AT149"/>
      <c r="AU149"/>
    </row>
    <row r="150" spans="1:47" x14ac:dyDescent="0.3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N150"/>
      <c r="AO150"/>
      <c r="AP150"/>
      <c r="AQ150"/>
      <c r="AR150"/>
      <c r="AS150"/>
      <c r="AT150"/>
      <c r="AU150"/>
    </row>
    <row r="151" spans="1:47" x14ac:dyDescent="0.3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N151"/>
      <c r="AO151"/>
      <c r="AP151"/>
      <c r="AQ151"/>
      <c r="AR151"/>
      <c r="AS151"/>
      <c r="AT151"/>
      <c r="AU151"/>
    </row>
    <row r="152" spans="1:47" x14ac:dyDescent="0.3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N152"/>
      <c r="AO152"/>
      <c r="AP152"/>
      <c r="AQ152"/>
      <c r="AR152"/>
      <c r="AS152"/>
      <c r="AT152"/>
      <c r="AU152"/>
    </row>
    <row r="153" spans="1:47" x14ac:dyDescent="0.3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N153"/>
      <c r="AO153"/>
      <c r="AP153"/>
      <c r="AQ153"/>
      <c r="AR153"/>
      <c r="AS153"/>
      <c r="AT153"/>
      <c r="AU153"/>
    </row>
    <row r="154" spans="1:47" x14ac:dyDescent="0.3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N154"/>
      <c r="AO154"/>
      <c r="AP154"/>
      <c r="AQ154"/>
      <c r="AR154"/>
      <c r="AS154"/>
      <c r="AT154"/>
      <c r="AU154"/>
    </row>
    <row r="155" spans="1:47" x14ac:dyDescent="0.3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N155"/>
      <c r="AO155"/>
      <c r="AP155"/>
      <c r="AQ155"/>
      <c r="AR155"/>
      <c r="AS155"/>
      <c r="AT155"/>
      <c r="AU155"/>
    </row>
    <row r="156" spans="1:47" x14ac:dyDescent="0.3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N156"/>
      <c r="AO156"/>
      <c r="AP156"/>
      <c r="AQ156"/>
      <c r="AR156"/>
      <c r="AS156"/>
      <c r="AT156"/>
      <c r="AU156"/>
    </row>
    <row r="157" spans="1:47" x14ac:dyDescent="0.3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N157"/>
      <c r="AO157"/>
      <c r="AP157"/>
      <c r="AQ157"/>
      <c r="AR157"/>
      <c r="AS157"/>
      <c r="AT157"/>
      <c r="AU157"/>
    </row>
    <row r="158" spans="1:47" x14ac:dyDescent="0.3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N158"/>
      <c r="AO158"/>
      <c r="AP158"/>
      <c r="AQ158"/>
      <c r="AR158"/>
      <c r="AS158"/>
      <c r="AT158"/>
      <c r="AU158"/>
    </row>
    <row r="159" spans="1:47" x14ac:dyDescent="0.3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N159"/>
      <c r="AO159"/>
      <c r="AP159"/>
      <c r="AQ159"/>
      <c r="AR159"/>
      <c r="AS159"/>
      <c r="AT159"/>
      <c r="AU159"/>
    </row>
    <row r="160" spans="1:47" x14ac:dyDescent="0.3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N160"/>
      <c r="AO160"/>
      <c r="AP160"/>
      <c r="AQ160"/>
      <c r="AR160"/>
      <c r="AS160"/>
      <c r="AT160"/>
      <c r="AU160"/>
    </row>
    <row r="161" spans="1:47" x14ac:dyDescent="0.3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N161"/>
      <c r="AO161"/>
      <c r="AP161"/>
      <c r="AQ161"/>
      <c r="AR161"/>
      <c r="AS161"/>
      <c r="AT161"/>
      <c r="AU161"/>
    </row>
    <row r="162" spans="1:47" x14ac:dyDescent="0.3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N162"/>
      <c r="AO162"/>
      <c r="AP162"/>
      <c r="AQ162"/>
      <c r="AR162"/>
      <c r="AS162"/>
      <c r="AT162"/>
      <c r="AU162"/>
    </row>
    <row r="163" spans="1:47" x14ac:dyDescent="0.3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N163"/>
      <c r="AO163"/>
      <c r="AP163"/>
      <c r="AQ163"/>
      <c r="AR163"/>
      <c r="AS163"/>
      <c r="AT163"/>
      <c r="AU163"/>
    </row>
    <row r="164" spans="1:47" x14ac:dyDescent="0.3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N164"/>
      <c r="AO164"/>
      <c r="AP164"/>
      <c r="AQ164"/>
      <c r="AR164"/>
      <c r="AS164"/>
      <c r="AT164"/>
      <c r="AU164"/>
    </row>
    <row r="165" spans="1:47" x14ac:dyDescent="0.3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N165"/>
      <c r="AO165"/>
      <c r="AP165"/>
      <c r="AQ165"/>
      <c r="AR165"/>
      <c r="AS165"/>
      <c r="AT165"/>
      <c r="AU165"/>
    </row>
    <row r="166" spans="1:47" x14ac:dyDescent="0.3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N166"/>
      <c r="AO166"/>
      <c r="AP166"/>
      <c r="AQ166"/>
      <c r="AR166"/>
      <c r="AS166"/>
      <c r="AT166"/>
      <c r="AU166"/>
    </row>
    <row r="167" spans="1:47" x14ac:dyDescent="0.3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N167"/>
      <c r="AO167"/>
      <c r="AP167"/>
      <c r="AQ167"/>
      <c r="AR167"/>
      <c r="AS167"/>
      <c r="AT167"/>
      <c r="AU167"/>
    </row>
    <row r="168" spans="1:47" x14ac:dyDescent="0.3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N168"/>
      <c r="AO168"/>
      <c r="AP168"/>
      <c r="AQ168"/>
      <c r="AR168"/>
      <c r="AS168"/>
      <c r="AT168"/>
      <c r="AU168"/>
    </row>
    <row r="169" spans="1:47" x14ac:dyDescent="0.3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N169"/>
      <c r="AO169"/>
      <c r="AP169"/>
      <c r="AQ169"/>
      <c r="AR169"/>
      <c r="AS169"/>
      <c r="AT169"/>
      <c r="AU169"/>
    </row>
    <row r="170" spans="1:47" x14ac:dyDescent="0.3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N170"/>
      <c r="AO170"/>
      <c r="AP170"/>
      <c r="AQ170"/>
      <c r="AR170"/>
      <c r="AS170"/>
      <c r="AT170"/>
      <c r="AU170"/>
    </row>
    <row r="171" spans="1:47" x14ac:dyDescent="0.3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N171"/>
      <c r="AO171"/>
      <c r="AP171"/>
      <c r="AQ171"/>
      <c r="AR171"/>
      <c r="AS171"/>
      <c r="AT171"/>
      <c r="AU171"/>
    </row>
    <row r="172" spans="1:47" x14ac:dyDescent="0.3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N172"/>
      <c r="AO172"/>
      <c r="AP172"/>
      <c r="AQ172"/>
      <c r="AR172"/>
      <c r="AS172"/>
      <c r="AT172"/>
      <c r="AU172"/>
    </row>
    <row r="173" spans="1:47" x14ac:dyDescent="0.3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N173"/>
      <c r="AO173"/>
      <c r="AP173"/>
      <c r="AQ173"/>
      <c r="AR173"/>
      <c r="AS173"/>
      <c r="AT173"/>
      <c r="AU173"/>
    </row>
    <row r="174" spans="1:47" x14ac:dyDescent="0.3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N174"/>
      <c r="AO174"/>
      <c r="AP174"/>
      <c r="AQ174"/>
      <c r="AR174"/>
      <c r="AS174"/>
      <c r="AT174"/>
      <c r="AU174"/>
    </row>
    <row r="175" spans="1:47" x14ac:dyDescent="0.3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N175"/>
      <c r="AO175"/>
      <c r="AP175"/>
      <c r="AQ175"/>
      <c r="AR175"/>
      <c r="AS175"/>
      <c r="AT175"/>
      <c r="AU175"/>
    </row>
    <row r="176" spans="1:47" x14ac:dyDescent="0.3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N176"/>
      <c r="AO176"/>
      <c r="AP176"/>
      <c r="AQ176"/>
      <c r="AR176"/>
      <c r="AS176"/>
      <c r="AT176"/>
      <c r="AU176"/>
    </row>
    <row r="177" spans="1:47" x14ac:dyDescent="0.3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N177"/>
      <c r="AO177"/>
      <c r="AP177"/>
      <c r="AQ177"/>
      <c r="AR177"/>
      <c r="AS177"/>
      <c r="AT177"/>
      <c r="AU177"/>
    </row>
    <row r="178" spans="1:47" x14ac:dyDescent="0.3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N178"/>
      <c r="AO178"/>
      <c r="AP178"/>
      <c r="AQ178"/>
      <c r="AR178"/>
      <c r="AS178"/>
      <c r="AT178"/>
      <c r="AU178"/>
    </row>
    <row r="179" spans="1:47" x14ac:dyDescent="0.3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N179"/>
      <c r="AO179"/>
      <c r="AP179"/>
      <c r="AQ179"/>
      <c r="AR179"/>
      <c r="AS179"/>
      <c r="AT179"/>
      <c r="AU179"/>
    </row>
    <row r="180" spans="1:47" x14ac:dyDescent="0.3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N180"/>
      <c r="AO180"/>
      <c r="AP180"/>
      <c r="AQ180"/>
      <c r="AR180"/>
      <c r="AS180"/>
      <c r="AT180"/>
      <c r="AU180"/>
    </row>
    <row r="181" spans="1:47" x14ac:dyDescent="0.3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N181"/>
      <c r="AO181"/>
      <c r="AP181"/>
      <c r="AQ181"/>
      <c r="AR181"/>
      <c r="AS181"/>
      <c r="AT181"/>
      <c r="AU181"/>
    </row>
    <row r="182" spans="1:47" x14ac:dyDescent="0.3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N182"/>
      <c r="AO182"/>
      <c r="AP182"/>
      <c r="AQ182"/>
      <c r="AR182"/>
      <c r="AS182"/>
      <c r="AT182"/>
      <c r="AU182"/>
    </row>
    <row r="183" spans="1:47" x14ac:dyDescent="0.3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N183"/>
      <c r="AO183"/>
      <c r="AP183"/>
      <c r="AQ183"/>
      <c r="AR183"/>
      <c r="AS183"/>
      <c r="AT183"/>
      <c r="AU183"/>
    </row>
    <row r="184" spans="1:47" x14ac:dyDescent="0.3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N184"/>
      <c r="AO184"/>
      <c r="AP184"/>
      <c r="AQ184"/>
      <c r="AR184"/>
      <c r="AS184"/>
      <c r="AT184"/>
      <c r="AU184"/>
    </row>
    <row r="185" spans="1:47" x14ac:dyDescent="0.3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N185"/>
      <c r="AO185"/>
      <c r="AP185"/>
      <c r="AQ185"/>
      <c r="AR185"/>
      <c r="AS185"/>
      <c r="AT185"/>
      <c r="AU185"/>
    </row>
    <row r="186" spans="1:47" x14ac:dyDescent="0.3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N186"/>
      <c r="AO186"/>
      <c r="AP186"/>
      <c r="AQ186"/>
      <c r="AR186"/>
      <c r="AS186"/>
      <c r="AT186"/>
      <c r="AU186"/>
    </row>
    <row r="187" spans="1:47" x14ac:dyDescent="0.3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N187"/>
      <c r="AO187"/>
      <c r="AP187"/>
      <c r="AQ187"/>
      <c r="AR187"/>
      <c r="AS187"/>
      <c r="AT187"/>
      <c r="AU187"/>
    </row>
    <row r="188" spans="1:47" x14ac:dyDescent="0.3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N188"/>
      <c r="AO188"/>
      <c r="AP188"/>
      <c r="AQ188"/>
      <c r="AR188"/>
      <c r="AS188"/>
      <c r="AT188"/>
      <c r="AU188"/>
    </row>
    <row r="189" spans="1:47" x14ac:dyDescent="0.3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N189"/>
      <c r="AO189"/>
      <c r="AP189"/>
      <c r="AQ189"/>
      <c r="AR189"/>
      <c r="AS189"/>
      <c r="AT189"/>
      <c r="AU189"/>
    </row>
    <row r="190" spans="1:47" x14ac:dyDescent="0.3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N190"/>
      <c r="AO190"/>
      <c r="AP190"/>
      <c r="AQ190"/>
      <c r="AR190"/>
      <c r="AS190"/>
      <c r="AT190"/>
      <c r="AU190"/>
    </row>
    <row r="191" spans="1:47" x14ac:dyDescent="0.3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N191"/>
      <c r="AO191"/>
      <c r="AP191"/>
      <c r="AQ191"/>
      <c r="AR191"/>
      <c r="AS191"/>
      <c r="AT191"/>
      <c r="AU191"/>
    </row>
    <row r="192" spans="1:47" x14ac:dyDescent="0.3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N192"/>
      <c r="AO192"/>
      <c r="AP192"/>
      <c r="AQ192"/>
      <c r="AR192"/>
      <c r="AS192"/>
      <c r="AT192"/>
      <c r="AU192"/>
    </row>
    <row r="193" spans="1:47" x14ac:dyDescent="0.3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N193"/>
      <c r="AO193"/>
      <c r="AP193"/>
      <c r="AQ193"/>
      <c r="AR193"/>
      <c r="AS193"/>
      <c r="AT193"/>
      <c r="AU193"/>
    </row>
    <row r="194" spans="1:47" x14ac:dyDescent="0.3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N194"/>
      <c r="AO194"/>
      <c r="AP194"/>
      <c r="AQ194"/>
      <c r="AR194"/>
      <c r="AS194"/>
      <c r="AT194"/>
      <c r="AU194"/>
    </row>
    <row r="195" spans="1:47" x14ac:dyDescent="0.3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N195"/>
      <c r="AO195"/>
      <c r="AP195"/>
      <c r="AQ195"/>
      <c r="AR195"/>
      <c r="AS195"/>
      <c r="AT195"/>
      <c r="AU195"/>
    </row>
    <row r="196" spans="1:47" x14ac:dyDescent="0.3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N196"/>
      <c r="AO196"/>
      <c r="AP196"/>
      <c r="AQ196"/>
      <c r="AR196"/>
      <c r="AS196"/>
      <c r="AT196"/>
      <c r="AU196"/>
    </row>
    <row r="197" spans="1:47" x14ac:dyDescent="0.3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N197"/>
      <c r="AO197"/>
      <c r="AP197"/>
      <c r="AQ197"/>
      <c r="AR197"/>
      <c r="AS197"/>
      <c r="AT197"/>
      <c r="AU197"/>
    </row>
    <row r="198" spans="1:47" x14ac:dyDescent="0.3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N198"/>
      <c r="AO198"/>
      <c r="AP198"/>
      <c r="AQ198"/>
      <c r="AR198"/>
      <c r="AS198"/>
      <c r="AT198"/>
      <c r="AU198"/>
    </row>
    <row r="199" spans="1:47" x14ac:dyDescent="0.3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N199"/>
      <c r="AO199"/>
      <c r="AP199"/>
      <c r="AQ199"/>
      <c r="AR199"/>
      <c r="AS199"/>
      <c r="AT199"/>
      <c r="AU199"/>
    </row>
    <row r="200" spans="1:47" x14ac:dyDescent="0.3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N200"/>
      <c r="AO200"/>
      <c r="AP200"/>
      <c r="AQ200"/>
      <c r="AR200"/>
      <c r="AS200"/>
      <c r="AT200"/>
      <c r="AU200"/>
    </row>
    <row r="201" spans="1:47" x14ac:dyDescent="0.3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N201"/>
      <c r="AO201"/>
      <c r="AP201"/>
      <c r="AQ201"/>
      <c r="AR201"/>
      <c r="AS201"/>
      <c r="AT201"/>
      <c r="AU201"/>
    </row>
    <row r="202" spans="1:47" x14ac:dyDescent="0.3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N202"/>
      <c r="AO202"/>
      <c r="AP202"/>
      <c r="AQ202"/>
      <c r="AR202"/>
      <c r="AS202"/>
      <c r="AT202"/>
      <c r="AU202"/>
    </row>
    <row r="203" spans="1:47" x14ac:dyDescent="0.3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N203"/>
      <c r="AO203"/>
      <c r="AP203"/>
      <c r="AQ203"/>
      <c r="AR203"/>
      <c r="AS203"/>
      <c r="AT203"/>
      <c r="AU203"/>
    </row>
    <row r="204" spans="1:47" x14ac:dyDescent="0.3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N204"/>
      <c r="AO204"/>
      <c r="AP204"/>
      <c r="AQ204"/>
      <c r="AR204"/>
      <c r="AS204"/>
      <c r="AT204"/>
      <c r="AU204"/>
    </row>
    <row r="205" spans="1:47" x14ac:dyDescent="0.3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N205"/>
      <c r="AO205"/>
      <c r="AP205"/>
      <c r="AQ205"/>
      <c r="AR205"/>
      <c r="AS205"/>
      <c r="AT205"/>
      <c r="AU205"/>
    </row>
    <row r="206" spans="1:47" x14ac:dyDescent="0.3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N206"/>
      <c r="AO206"/>
      <c r="AP206"/>
      <c r="AQ206"/>
      <c r="AR206"/>
      <c r="AS206"/>
      <c r="AT206"/>
      <c r="AU206"/>
    </row>
    <row r="207" spans="1:47" x14ac:dyDescent="0.3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N207"/>
      <c r="AO207"/>
      <c r="AP207"/>
      <c r="AQ207"/>
      <c r="AR207"/>
      <c r="AS207"/>
      <c r="AT207"/>
      <c r="AU207"/>
    </row>
    <row r="208" spans="1:47" x14ac:dyDescent="0.3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N208"/>
      <c r="AO208"/>
      <c r="AP208"/>
      <c r="AQ208"/>
      <c r="AR208"/>
      <c r="AS208"/>
      <c r="AT208"/>
      <c r="AU208"/>
    </row>
    <row r="209" spans="1:47" x14ac:dyDescent="0.3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N209"/>
      <c r="AO209"/>
      <c r="AP209"/>
      <c r="AQ209"/>
      <c r="AR209"/>
      <c r="AS209"/>
      <c r="AT209"/>
      <c r="AU209"/>
    </row>
    <row r="210" spans="1:47" x14ac:dyDescent="0.3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N210"/>
      <c r="AO210"/>
      <c r="AP210"/>
      <c r="AQ210"/>
      <c r="AR210"/>
      <c r="AS210"/>
      <c r="AT210"/>
      <c r="AU210"/>
    </row>
    <row r="211" spans="1:47" x14ac:dyDescent="0.3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N211"/>
      <c r="AO211"/>
      <c r="AP211"/>
      <c r="AQ211"/>
      <c r="AR211"/>
      <c r="AS211"/>
      <c r="AT211"/>
      <c r="AU211"/>
    </row>
    <row r="212" spans="1:47" x14ac:dyDescent="0.3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N212"/>
      <c r="AO212"/>
      <c r="AP212"/>
      <c r="AQ212"/>
      <c r="AR212"/>
      <c r="AS212"/>
      <c r="AT212"/>
      <c r="AU212"/>
    </row>
    <row r="213" spans="1:47" x14ac:dyDescent="0.3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N213"/>
      <c r="AO213"/>
      <c r="AP213"/>
      <c r="AQ213"/>
      <c r="AR213"/>
      <c r="AS213"/>
      <c r="AT213"/>
      <c r="AU213"/>
    </row>
    <row r="214" spans="1:47" x14ac:dyDescent="0.3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N214"/>
      <c r="AO214"/>
      <c r="AP214"/>
      <c r="AQ214"/>
      <c r="AR214"/>
      <c r="AS214"/>
      <c r="AT214"/>
      <c r="AU214"/>
    </row>
    <row r="215" spans="1:47" x14ac:dyDescent="0.3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N215"/>
      <c r="AO215"/>
      <c r="AP215"/>
      <c r="AQ215"/>
      <c r="AR215"/>
      <c r="AS215"/>
      <c r="AT215"/>
      <c r="AU215"/>
    </row>
    <row r="216" spans="1:47" x14ac:dyDescent="0.3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N216"/>
      <c r="AO216"/>
      <c r="AP216"/>
      <c r="AQ216"/>
      <c r="AR216"/>
      <c r="AS216"/>
      <c r="AT216"/>
      <c r="AU216"/>
    </row>
    <row r="217" spans="1:47" x14ac:dyDescent="0.3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N217"/>
      <c r="AO217"/>
      <c r="AP217"/>
      <c r="AQ217"/>
      <c r="AR217"/>
      <c r="AS217"/>
      <c r="AT217"/>
      <c r="AU217"/>
    </row>
    <row r="218" spans="1:47" x14ac:dyDescent="0.3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N218"/>
      <c r="AO218"/>
      <c r="AP218"/>
      <c r="AQ218"/>
      <c r="AR218"/>
      <c r="AS218"/>
      <c r="AT218"/>
      <c r="AU218"/>
    </row>
    <row r="219" spans="1:47" x14ac:dyDescent="0.3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N219"/>
      <c r="AO219"/>
      <c r="AP219"/>
      <c r="AQ219"/>
      <c r="AR219"/>
      <c r="AS219"/>
      <c r="AT219"/>
      <c r="AU219"/>
    </row>
    <row r="220" spans="1:47" x14ac:dyDescent="0.3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N220"/>
      <c r="AO220"/>
      <c r="AP220"/>
      <c r="AQ220"/>
      <c r="AR220"/>
      <c r="AS220"/>
      <c r="AT220"/>
      <c r="AU220"/>
    </row>
    <row r="221" spans="1:47" x14ac:dyDescent="0.3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N221"/>
      <c r="AO221"/>
      <c r="AP221"/>
      <c r="AQ221"/>
      <c r="AR221"/>
      <c r="AS221"/>
      <c r="AT221"/>
      <c r="AU221"/>
    </row>
    <row r="222" spans="1:47" x14ac:dyDescent="0.3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N222"/>
      <c r="AO222"/>
      <c r="AP222"/>
      <c r="AQ222"/>
      <c r="AR222"/>
      <c r="AS222"/>
      <c r="AT222"/>
      <c r="AU222"/>
    </row>
    <row r="223" spans="1:47" x14ac:dyDescent="0.3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N223"/>
      <c r="AO223"/>
      <c r="AP223"/>
      <c r="AQ223"/>
      <c r="AR223"/>
      <c r="AS223"/>
      <c r="AT223"/>
      <c r="AU223"/>
    </row>
    <row r="224" spans="1:47" x14ac:dyDescent="0.3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N224"/>
      <c r="AO224"/>
      <c r="AP224"/>
      <c r="AQ224"/>
      <c r="AR224"/>
      <c r="AS224"/>
      <c r="AT224"/>
      <c r="AU224"/>
    </row>
    <row r="225" spans="1:47" x14ac:dyDescent="0.3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N225"/>
      <c r="AO225"/>
      <c r="AP225"/>
      <c r="AQ225"/>
      <c r="AR225"/>
      <c r="AS225"/>
      <c r="AT225"/>
      <c r="AU225"/>
    </row>
    <row r="226" spans="1:47" x14ac:dyDescent="0.3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N226"/>
      <c r="AO226"/>
      <c r="AP226"/>
      <c r="AQ226"/>
      <c r="AR226"/>
      <c r="AS226"/>
      <c r="AT226"/>
      <c r="AU226"/>
    </row>
    <row r="227" spans="1:47" x14ac:dyDescent="0.3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N227"/>
      <c r="AO227"/>
      <c r="AP227"/>
      <c r="AQ227"/>
      <c r="AR227"/>
      <c r="AS227"/>
      <c r="AT227"/>
      <c r="AU227"/>
    </row>
    <row r="228" spans="1:47" x14ac:dyDescent="0.3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N228"/>
      <c r="AO228"/>
      <c r="AP228"/>
      <c r="AQ228"/>
      <c r="AR228"/>
      <c r="AS228"/>
      <c r="AT228"/>
      <c r="AU228"/>
    </row>
    <row r="229" spans="1:47" x14ac:dyDescent="0.3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N229"/>
      <c r="AO229"/>
      <c r="AP229"/>
      <c r="AQ229"/>
      <c r="AR229"/>
      <c r="AS229"/>
      <c r="AT229"/>
      <c r="AU229"/>
    </row>
    <row r="230" spans="1:47" x14ac:dyDescent="0.3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N230"/>
      <c r="AO230"/>
      <c r="AP230"/>
      <c r="AQ230"/>
      <c r="AR230"/>
      <c r="AS230"/>
      <c r="AT230"/>
      <c r="AU230"/>
    </row>
    <row r="231" spans="1:47" x14ac:dyDescent="0.3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N231"/>
      <c r="AO231"/>
      <c r="AP231"/>
      <c r="AQ231"/>
      <c r="AR231"/>
      <c r="AS231"/>
      <c r="AT231"/>
      <c r="AU231"/>
    </row>
    <row r="232" spans="1:47" x14ac:dyDescent="0.3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N232"/>
      <c r="AO232"/>
      <c r="AP232"/>
      <c r="AQ232"/>
      <c r="AR232"/>
      <c r="AS232"/>
      <c r="AT232"/>
      <c r="AU232"/>
    </row>
    <row r="233" spans="1:47" x14ac:dyDescent="0.3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N233"/>
      <c r="AO233"/>
      <c r="AP233"/>
      <c r="AQ233"/>
      <c r="AR233"/>
      <c r="AS233"/>
      <c r="AT233"/>
      <c r="AU233"/>
    </row>
    <row r="234" spans="1:47" x14ac:dyDescent="0.3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N234"/>
      <c r="AO234"/>
      <c r="AP234"/>
      <c r="AQ234"/>
      <c r="AR234"/>
      <c r="AS234"/>
      <c r="AT234"/>
      <c r="AU234"/>
    </row>
    <row r="235" spans="1:47" x14ac:dyDescent="0.3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N235"/>
      <c r="AO235"/>
      <c r="AP235"/>
      <c r="AQ235"/>
      <c r="AR235"/>
      <c r="AS235"/>
      <c r="AT235"/>
      <c r="AU235"/>
    </row>
    <row r="236" spans="1:47" x14ac:dyDescent="0.3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N236"/>
      <c r="AO236"/>
      <c r="AP236"/>
      <c r="AQ236"/>
      <c r="AR236"/>
      <c r="AS236"/>
      <c r="AT236"/>
      <c r="AU236"/>
    </row>
    <row r="237" spans="1:47" x14ac:dyDescent="0.3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N237"/>
      <c r="AO237"/>
      <c r="AP237"/>
      <c r="AQ237"/>
      <c r="AR237"/>
      <c r="AS237"/>
      <c r="AT237"/>
      <c r="AU237"/>
    </row>
    <row r="238" spans="1:47" x14ac:dyDescent="0.3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N238"/>
      <c r="AO238"/>
      <c r="AP238"/>
      <c r="AQ238"/>
      <c r="AR238"/>
      <c r="AS238"/>
      <c r="AT238"/>
      <c r="AU238"/>
    </row>
    <row r="239" spans="1:47" x14ac:dyDescent="0.3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N239"/>
      <c r="AO239"/>
      <c r="AP239"/>
      <c r="AQ239"/>
      <c r="AR239"/>
      <c r="AS239"/>
      <c r="AT239"/>
      <c r="AU239"/>
    </row>
    <row r="240" spans="1:47" x14ac:dyDescent="0.3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N240"/>
      <c r="AO240"/>
      <c r="AP240"/>
      <c r="AQ240"/>
      <c r="AR240"/>
      <c r="AS240"/>
      <c r="AT240"/>
      <c r="AU240"/>
    </row>
    <row r="241" spans="1:47" x14ac:dyDescent="0.3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N241"/>
      <c r="AO241"/>
      <c r="AP241"/>
      <c r="AQ241"/>
      <c r="AR241"/>
      <c r="AS241"/>
      <c r="AT241"/>
      <c r="AU241"/>
    </row>
    <row r="242" spans="1:47" x14ac:dyDescent="0.3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N242"/>
      <c r="AO242"/>
      <c r="AP242"/>
      <c r="AQ242"/>
      <c r="AR242"/>
      <c r="AS242"/>
      <c r="AT242"/>
      <c r="AU242"/>
    </row>
    <row r="243" spans="1:47" x14ac:dyDescent="0.3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N243"/>
      <c r="AO243"/>
      <c r="AP243"/>
      <c r="AQ243"/>
      <c r="AR243"/>
      <c r="AS243"/>
      <c r="AT243"/>
      <c r="AU243"/>
    </row>
    <row r="244" spans="1:47" x14ac:dyDescent="0.3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N244"/>
      <c r="AO244"/>
      <c r="AP244"/>
      <c r="AQ244"/>
      <c r="AR244"/>
      <c r="AS244"/>
      <c r="AT244"/>
      <c r="AU244"/>
    </row>
    <row r="245" spans="1:47" x14ac:dyDescent="0.3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N245"/>
      <c r="AO245"/>
      <c r="AP245"/>
      <c r="AQ245"/>
      <c r="AR245"/>
      <c r="AS245"/>
      <c r="AT245"/>
      <c r="AU245"/>
    </row>
    <row r="246" spans="1:47" x14ac:dyDescent="0.3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N246"/>
      <c r="AO246"/>
      <c r="AP246"/>
      <c r="AQ246"/>
      <c r="AR246"/>
      <c r="AS246"/>
      <c r="AT246"/>
      <c r="AU246"/>
    </row>
    <row r="247" spans="1:47" x14ac:dyDescent="0.3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N247"/>
      <c r="AO247"/>
      <c r="AP247"/>
      <c r="AQ247"/>
      <c r="AR247"/>
      <c r="AS247"/>
      <c r="AT247"/>
      <c r="AU247"/>
    </row>
    <row r="248" spans="1:47" x14ac:dyDescent="0.3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N248"/>
      <c r="AO248"/>
      <c r="AP248"/>
      <c r="AQ248"/>
      <c r="AR248"/>
      <c r="AS248"/>
      <c r="AT248"/>
      <c r="AU248"/>
    </row>
    <row r="249" spans="1:47" x14ac:dyDescent="0.3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N249"/>
      <c r="AO249"/>
      <c r="AP249"/>
      <c r="AQ249"/>
      <c r="AR249"/>
      <c r="AS249"/>
      <c r="AT249"/>
      <c r="AU249"/>
    </row>
    <row r="250" spans="1:47" x14ac:dyDescent="0.3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N250"/>
      <c r="AO250"/>
      <c r="AP250"/>
      <c r="AQ250"/>
      <c r="AR250"/>
      <c r="AS250"/>
      <c r="AT250"/>
      <c r="AU250"/>
    </row>
    <row r="251" spans="1:47" x14ac:dyDescent="0.3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N251"/>
      <c r="AO251"/>
      <c r="AP251"/>
      <c r="AQ251"/>
      <c r="AR251"/>
      <c r="AS251"/>
      <c r="AT251"/>
      <c r="AU251"/>
    </row>
    <row r="252" spans="1:47" x14ac:dyDescent="0.3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N252"/>
      <c r="AO252"/>
      <c r="AP252"/>
      <c r="AQ252"/>
      <c r="AR252"/>
      <c r="AS252"/>
      <c r="AT252"/>
      <c r="AU252"/>
    </row>
    <row r="253" spans="1:47" x14ac:dyDescent="0.3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N253"/>
      <c r="AO253"/>
      <c r="AP253"/>
      <c r="AQ253"/>
      <c r="AR253"/>
      <c r="AS253"/>
      <c r="AT253"/>
      <c r="AU253"/>
    </row>
    <row r="254" spans="1:47" x14ac:dyDescent="0.3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N254"/>
      <c r="AO254"/>
      <c r="AP254"/>
      <c r="AQ254"/>
      <c r="AR254"/>
      <c r="AS254"/>
      <c r="AT254"/>
      <c r="AU254"/>
    </row>
    <row r="255" spans="1:47" x14ac:dyDescent="0.3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N255"/>
      <c r="AO255"/>
      <c r="AP255"/>
      <c r="AQ255"/>
      <c r="AR255"/>
      <c r="AS255"/>
      <c r="AT255"/>
      <c r="AU255"/>
    </row>
    <row r="256" spans="1:47" x14ac:dyDescent="0.3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N256"/>
      <c r="AO256"/>
      <c r="AP256"/>
      <c r="AQ256"/>
      <c r="AR256"/>
      <c r="AS256"/>
      <c r="AT256"/>
      <c r="AU256"/>
    </row>
    <row r="257" spans="1:47" x14ac:dyDescent="0.3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N257"/>
      <c r="AO257"/>
      <c r="AP257"/>
      <c r="AQ257"/>
      <c r="AR257"/>
      <c r="AS257"/>
      <c r="AT257"/>
      <c r="AU257"/>
    </row>
    <row r="258" spans="1:47" x14ac:dyDescent="0.3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N258"/>
      <c r="AO258"/>
      <c r="AP258"/>
      <c r="AQ258"/>
      <c r="AR258"/>
      <c r="AS258"/>
      <c r="AT258"/>
      <c r="AU258"/>
    </row>
    <row r="259" spans="1:47" x14ac:dyDescent="0.3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N259"/>
      <c r="AO259"/>
      <c r="AP259"/>
      <c r="AQ259"/>
      <c r="AR259"/>
      <c r="AS259"/>
      <c r="AT259"/>
      <c r="AU259"/>
    </row>
    <row r="260" spans="1:47" x14ac:dyDescent="0.3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N260"/>
      <c r="AO260"/>
      <c r="AP260"/>
      <c r="AQ260"/>
      <c r="AR260"/>
      <c r="AS260"/>
      <c r="AT260"/>
      <c r="AU260"/>
    </row>
    <row r="261" spans="1:47" x14ac:dyDescent="0.3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N261"/>
      <c r="AO261"/>
      <c r="AP261"/>
      <c r="AQ261"/>
      <c r="AR261"/>
      <c r="AS261"/>
      <c r="AT261"/>
      <c r="AU261"/>
    </row>
    <row r="262" spans="1:47" x14ac:dyDescent="0.3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N262"/>
      <c r="AO262"/>
      <c r="AP262"/>
      <c r="AQ262"/>
      <c r="AR262"/>
      <c r="AS262"/>
      <c r="AT262"/>
      <c r="AU262"/>
    </row>
    <row r="263" spans="1:47" x14ac:dyDescent="0.3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N263"/>
      <c r="AO263"/>
      <c r="AP263"/>
      <c r="AQ263"/>
      <c r="AR263"/>
      <c r="AS263"/>
      <c r="AT263"/>
      <c r="AU263"/>
    </row>
    <row r="264" spans="1:47" x14ac:dyDescent="0.3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N264"/>
      <c r="AO264"/>
      <c r="AP264"/>
      <c r="AQ264"/>
      <c r="AR264"/>
      <c r="AS264"/>
      <c r="AT264"/>
      <c r="AU264"/>
    </row>
    <row r="265" spans="1:47" x14ac:dyDescent="0.3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N265"/>
      <c r="AO265"/>
      <c r="AP265"/>
      <c r="AQ265"/>
      <c r="AR265"/>
      <c r="AS265"/>
      <c r="AT265"/>
      <c r="AU265"/>
    </row>
    <row r="266" spans="1:47" x14ac:dyDescent="0.3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N266"/>
      <c r="AO266"/>
      <c r="AP266"/>
      <c r="AQ266"/>
      <c r="AR266"/>
      <c r="AS266"/>
      <c r="AT266"/>
      <c r="AU266"/>
    </row>
    <row r="267" spans="1:47" x14ac:dyDescent="0.3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N267"/>
      <c r="AO267"/>
      <c r="AP267"/>
      <c r="AQ267"/>
      <c r="AR267"/>
      <c r="AS267"/>
      <c r="AT267"/>
      <c r="AU267"/>
    </row>
    <row r="268" spans="1:47" x14ac:dyDescent="0.3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N268"/>
      <c r="AO268"/>
      <c r="AP268"/>
      <c r="AQ268"/>
      <c r="AR268"/>
      <c r="AS268"/>
      <c r="AT268"/>
      <c r="AU268"/>
    </row>
    <row r="269" spans="1:47" x14ac:dyDescent="0.3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N269"/>
      <c r="AO269"/>
      <c r="AP269"/>
      <c r="AQ269"/>
      <c r="AR269"/>
      <c r="AS269"/>
      <c r="AT269"/>
      <c r="AU269"/>
    </row>
    <row r="270" spans="1:47" x14ac:dyDescent="0.3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N270"/>
      <c r="AO270"/>
      <c r="AP270"/>
      <c r="AQ270"/>
      <c r="AR270"/>
      <c r="AS270"/>
      <c r="AT270"/>
      <c r="AU270"/>
    </row>
    <row r="271" spans="1:47" x14ac:dyDescent="0.3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N271"/>
      <c r="AO271"/>
      <c r="AP271"/>
      <c r="AQ271"/>
      <c r="AR271"/>
      <c r="AS271"/>
      <c r="AT271"/>
      <c r="AU271"/>
    </row>
    <row r="272" spans="1:47" x14ac:dyDescent="0.3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N272"/>
      <c r="AO272"/>
      <c r="AP272"/>
      <c r="AQ272"/>
      <c r="AR272"/>
      <c r="AS272"/>
      <c r="AT272"/>
      <c r="AU272"/>
    </row>
    <row r="273" spans="1:47" x14ac:dyDescent="0.3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N273"/>
      <c r="AO273"/>
      <c r="AP273"/>
      <c r="AQ273"/>
      <c r="AR273"/>
      <c r="AS273"/>
      <c r="AT273"/>
      <c r="AU273"/>
    </row>
    <row r="274" spans="1:47" x14ac:dyDescent="0.3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N274"/>
      <c r="AO274"/>
      <c r="AP274"/>
      <c r="AQ274"/>
      <c r="AR274"/>
      <c r="AS274"/>
      <c r="AT274"/>
      <c r="AU274"/>
    </row>
    <row r="275" spans="1:47" x14ac:dyDescent="0.3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N275"/>
      <c r="AO275"/>
      <c r="AP275"/>
      <c r="AQ275"/>
      <c r="AR275"/>
      <c r="AS275"/>
      <c r="AT275"/>
      <c r="AU275"/>
    </row>
    <row r="276" spans="1:47" x14ac:dyDescent="0.3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N276"/>
      <c r="AO276"/>
      <c r="AP276"/>
      <c r="AQ276"/>
      <c r="AR276"/>
      <c r="AS276"/>
      <c r="AT276"/>
      <c r="AU276"/>
    </row>
    <row r="277" spans="1:47" x14ac:dyDescent="0.3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N277"/>
      <c r="AO277"/>
      <c r="AP277"/>
      <c r="AQ277"/>
      <c r="AR277"/>
      <c r="AS277"/>
      <c r="AT277"/>
      <c r="AU277"/>
    </row>
    <row r="278" spans="1:47" x14ac:dyDescent="0.3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N278"/>
      <c r="AO278"/>
      <c r="AP278"/>
      <c r="AQ278"/>
      <c r="AR278"/>
      <c r="AS278"/>
      <c r="AT278"/>
      <c r="AU278"/>
    </row>
    <row r="279" spans="1:47" x14ac:dyDescent="0.3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N279"/>
      <c r="AO279"/>
      <c r="AP279"/>
      <c r="AQ279"/>
      <c r="AR279"/>
      <c r="AS279"/>
      <c r="AT279"/>
      <c r="AU279"/>
    </row>
    <row r="280" spans="1:47" x14ac:dyDescent="0.3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N280"/>
      <c r="AO280"/>
      <c r="AP280"/>
      <c r="AQ280"/>
      <c r="AR280"/>
      <c r="AS280"/>
      <c r="AT280"/>
      <c r="AU280"/>
    </row>
    <row r="281" spans="1:47" x14ac:dyDescent="0.3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N281"/>
      <c r="AO281"/>
      <c r="AP281"/>
      <c r="AQ281"/>
      <c r="AR281"/>
      <c r="AS281"/>
      <c r="AT281"/>
      <c r="AU281"/>
    </row>
    <row r="282" spans="1:47" x14ac:dyDescent="0.3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N282"/>
      <c r="AO282"/>
      <c r="AP282"/>
      <c r="AQ282"/>
      <c r="AR282"/>
      <c r="AS282"/>
      <c r="AT282"/>
      <c r="AU282"/>
    </row>
    <row r="283" spans="1:47" x14ac:dyDescent="0.3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N283"/>
      <c r="AO283"/>
      <c r="AP283"/>
      <c r="AQ283"/>
      <c r="AR283"/>
      <c r="AS283"/>
      <c r="AT283"/>
      <c r="AU283"/>
    </row>
    <row r="284" spans="1:47" x14ac:dyDescent="0.3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N284"/>
      <c r="AO284"/>
      <c r="AP284"/>
      <c r="AQ284"/>
      <c r="AR284"/>
      <c r="AS284"/>
      <c r="AT284"/>
      <c r="AU284"/>
    </row>
    <row r="285" spans="1:47" x14ac:dyDescent="0.3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N285"/>
      <c r="AO285"/>
      <c r="AP285"/>
      <c r="AQ285"/>
      <c r="AR285"/>
      <c r="AS285"/>
      <c r="AT285"/>
      <c r="AU285"/>
    </row>
    <row r="286" spans="1:47" x14ac:dyDescent="0.3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N286"/>
      <c r="AO286"/>
      <c r="AP286"/>
      <c r="AQ286"/>
      <c r="AR286"/>
      <c r="AS286"/>
      <c r="AT286"/>
      <c r="AU286"/>
    </row>
    <row r="287" spans="1:47" x14ac:dyDescent="0.3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N287"/>
      <c r="AO287"/>
      <c r="AP287"/>
      <c r="AQ287"/>
      <c r="AR287"/>
      <c r="AS287"/>
      <c r="AT287"/>
      <c r="AU287"/>
    </row>
    <row r="288" spans="1:47" x14ac:dyDescent="0.3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N288"/>
      <c r="AO288"/>
      <c r="AP288"/>
      <c r="AQ288"/>
      <c r="AR288"/>
      <c r="AS288"/>
      <c r="AT288"/>
      <c r="AU288"/>
    </row>
    <row r="289" spans="1:47" x14ac:dyDescent="0.3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N289"/>
      <c r="AO289"/>
      <c r="AP289"/>
      <c r="AQ289"/>
      <c r="AR289"/>
      <c r="AS289"/>
      <c r="AT289"/>
      <c r="AU289"/>
    </row>
    <row r="290" spans="1:47" x14ac:dyDescent="0.3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N290"/>
      <c r="AO290"/>
      <c r="AP290"/>
      <c r="AQ290"/>
      <c r="AR290"/>
      <c r="AS290"/>
      <c r="AT290"/>
      <c r="AU290"/>
    </row>
    <row r="291" spans="1:47" x14ac:dyDescent="0.3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N291"/>
      <c r="AO291"/>
      <c r="AP291"/>
      <c r="AQ291"/>
      <c r="AR291"/>
      <c r="AS291"/>
      <c r="AT291"/>
      <c r="AU291"/>
    </row>
    <row r="292" spans="1:47" x14ac:dyDescent="0.3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N292"/>
      <c r="AO292"/>
      <c r="AP292"/>
      <c r="AQ292"/>
      <c r="AR292"/>
      <c r="AS292"/>
      <c r="AT292"/>
      <c r="AU292"/>
    </row>
    <row r="293" spans="1:47" x14ac:dyDescent="0.3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N293"/>
      <c r="AO293"/>
      <c r="AP293"/>
      <c r="AQ293"/>
      <c r="AR293"/>
      <c r="AS293"/>
      <c r="AT293"/>
      <c r="AU293"/>
    </row>
    <row r="294" spans="1:47" x14ac:dyDescent="0.3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N294"/>
      <c r="AO294"/>
      <c r="AP294"/>
      <c r="AQ294"/>
      <c r="AR294"/>
      <c r="AS294"/>
      <c r="AT294"/>
      <c r="AU294"/>
    </row>
    <row r="295" spans="1:47" x14ac:dyDescent="0.3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N295"/>
      <c r="AO295"/>
      <c r="AP295"/>
      <c r="AQ295"/>
      <c r="AR295"/>
      <c r="AS295"/>
      <c r="AT295"/>
      <c r="AU295"/>
    </row>
    <row r="296" spans="1:47" x14ac:dyDescent="0.3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N296"/>
      <c r="AO296"/>
      <c r="AP296"/>
      <c r="AQ296"/>
      <c r="AR296"/>
      <c r="AS296"/>
      <c r="AT296"/>
      <c r="AU296"/>
    </row>
    <row r="297" spans="1:47" x14ac:dyDescent="0.3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N297"/>
      <c r="AO297"/>
      <c r="AP297"/>
      <c r="AQ297"/>
      <c r="AR297"/>
      <c r="AS297"/>
      <c r="AT297"/>
      <c r="AU297"/>
    </row>
    <row r="298" spans="1:47" x14ac:dyDescent="0.3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N298"/>
      <c r="AO298"/>
      <c r="AP298"/>
      <c r="AQ298"/>
      <c r="AR298"/>
      <c r="AS298"/>
      <c r="AT298"/>
      <c r="AU298"/>
    </row>
    <row r="299" spans="1:47" x14ac:dyDescent="0.3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N299"/>
      <c r="AO299"/>
      <c r="AP299"/>
      <c r="AQ299"/>
      <c r="AR299"/>
      <c r="AS299"/>
      <c r="AT299"/>
      <c r="AU299"/>
    </row>
    <row r="300" spans="1:47" x14ac:dyDescent="0.3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N300"/>
      <c r="AO300"/>
      <c r="AP300"/>
      <c r="AQ300"/>
      <c r="AR300"/>
      <c r="AS300"/>
      <c r="AT300"/>
      <c r="AU300"/>
    </row>
    <row r="301" spans="1:47" x14ac:dyDescent="0.3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N301"/>
      <c r="AO301"/>
      <c r="AP301"/>
      <c r="AQ301"/>
      <c r="AR301"/>
      <c r="AS301"/>
      <c r="AT301"/>
      <c r="AU301"/>
    </row>
    <row r="302" spans="1:47" x14ac:dyDescent="0.3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N302"/>
      <c r="AO302"/>
      <c r="AP302"/>
      <c r="AQ302"/>
      <c r="AR302"/>
      <c r="AS302"/>
      <c r="AT302"/>
      <c r="AU302"/>
    </row>
    <row r="303" spans="1:47" x14ac:dyDescent="0.3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N303"/>
      <c r="AO303"/>
      <c r="AP303"/>
      <c r="AQ303"/>
      <c r="AR303"/>
      <c r="AS303"/>
      <c r="AT303"/>
      <c r="AU303"/>
    </row>
    <row r="304" spans="1:47" x14ac:dyDescent="0.3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N304"/>
      <c r="AO304"/>
      <c r="AP304"/>
      <c r="AQ304"/>
      <c r="AR304"/>
      <c r="AS304"/>
      <c r="AT304"/>
      <c r="AU304"/>
    </row>
    <row r="305" spans="1:47" x14ac:dyDescent="0.3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N305"/>
      <c r="AO305"/>
      <c r="AP305"/>
      <c r="AQ305"/>
      <c r="AR305"/>
      <c r="AS305"/>
      <c r="AT305"/>
      <c r="AU305"/>
    </row>
    <row r="306" spans="1:47" x14ac:dyDescent="0.3">
      <c r="A306"/>
      <c r="B306" s="1"/>
      <c r="C306" s="1"/>
      <c r="D306" s="177"/>
      <c r="E306" s="177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N306"/>
      <c r="AO306"/>
      <c r="AP306"/>
    </row>
    <row r="307" spans="1:47" x14ac:dyDescent="0.3">
      <c r="A307"/>
      <c r="B307" s="1"/>
      <c r="C307" s="1"/>
      <c r="D307" s="177"/>
      <c r="E307" s="17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N307"/>
      <c r="AO307"/>
      <c r="AP307"/>
    </row>
    <row r="308" spans="1:47" x14ac:dyDescent="0.3">
      <c r="A308"/>
      <c r="B308" s="1"/>
      <c r="C308" s="1"/>
      <c r="D308" s="177"/>
      <c r="E308" s="177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N308"/>
      <c r="AO308"/>
      <c r="AP308"/>
    </row>
    <row r="309" spans="1:47" x14ac:dyDescent="0.3">
      <c r="A309"/>
      <c r="B309" s="1"/>
      <c r="C309" s="1"/>
      <c r="D309" s="177"/>
      <c r="E309" s="177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N309"/>
      <c r="AO309"/>
      <c r="AP309"/>
    </row>
    <row r="310" spans="1:47" x14ac:dyDescent="0.3">
      <c r="A310"/>
      <c r="B310" s="1"/>
      <c r="C310" s="1"/>
      <c r="D310" s="177"/>
      <c r="E310" s="177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N310"/>
      <c r="AO310"/>
      <c r="AP310"/>
    </row>
    <row r="311" spans="1:47" x14ac:dyDescent="0.3">
      <c r="A311"/>
      <c r="B311" s="1"/>
      <c r="C311" s="1"/>
      <c r="D311" s="177"/>
      <c r="E311" s="177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N311"/>
      <c r="AO311"/>
      <c r="AP311"/>
    </row>
    <row r="312" spans="1:47" x14ac:dyDescent="0.3">
      <c r="A312"/>
      <c r="B312" s="1"/>
      <c r="C312" s="1"/>
      <c r="D312" s="177"/>
      <c r="E312" s="177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 spans="1:47" x14ac:dyDescent="0.3">
      <c r="A313"/>
      <c r="B313" s="1"/>
      <c r="C313" s="1"/>
      <c r="D313" s="177"/>
      <c r="E313" s="177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 spans="1:47" x14ac:dyDescent="0.3">
      <c r="A314"/>
      <c r="B314" s="1"/>
      <c r="C314" s="1"/>
      <c r="D314" s="177"/>
      <c r="E314" s="177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 spans="1:47" x14ac:dyDescent="0.3">
      <c r="A315"/>
      <c r="B315" s="1"/>
      <c r="C315" s="1"/>
      <c r="D315" s="177"/>
      <c r="E315" s="177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 spans="1:47" x14ac:dyDescent="0.3">
      <c r="A316"/>
      <c r="B316" s="1"/>
      <c r="C316" s="1"/>
      <c r="D316" s="177"/>
      <c r="E316" s="177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 spans="1:47" x14ac:dyDescent="0.3">
      <c r="A317"/>
      <c r="B317" s="1"/>
      <c r="C317" s="1"/>
      <c r="D317" s="177"/>
      <c r="E317" s="17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 spans="1:47" x14ac:dyDescent="0.3">
      <c r="A318"/>
      <c r="B318" s="1"/>
      <c r="C318" s="1"/>
      <c r="D318" s="177"/>
      <c r="E318" s="177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 spans="1:47" x14ac:dyDescent="0.3">
      <c r="A319"/>
      <c r="B319" s="1"/>
      <c r="C319" s="1"/>
      <c r="D319" s="177"/>
      <c r="E319" s="177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 spans="1:47" x14ac:dyDescent="0.3">
      <c r="A320"/>
      <c r="B320" s="1"/>
      <c r="C320" s="1"/>
      <c r="D320" s="177"/>
      <c r="E320" s="177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 spans="1:38" x14ac:dyDescent="0.3">
      <c r="A321"/>
      <c r="B321" s="1"/>
      <c r="C321" s="1"/>
      <c r="D321" s="177"/>
      <c r="E321" s="177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</sheetData>
  <pageMargins left="0.7" right="0.7" top="0.75" bottom="0.75" header="0.3" footer="0.3"/>
  <pageSetup orientation="portrait" horizontalDpi="0" verticalDpi="0" r:id="rId1"/>
  <drawing r:id="rId2"/>
  <legacyDrawing r:id="rId3"/>
  <tableParts count="1">
    <tablePart r:id="rId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Y83"/>
  <sheetViews>
    <sheetView topLeftCell="A52" zoomScaleNormal="100" workbookViewId="0">
      <selection activeCell="A61" sqref="A61:A70"/>
    </sheetView>
  </sheetViews>
  <sheetFormatPr defaultColWidth="9.109375" defaultRowHeight="14.4" x14ac:dyDescent="0.3"/>
  <cols>
    <col min="1" max="1" width="6.33203125" style="2" customWidth="1"/>
    <col min="2" max="2" width="8.33203125" style="2" customWidth="1"/>
    <col min="3" max="3" width="7.44140625" style="2" customWidth="1"/>
    <col min="4" max="4" width="11.6640625" style="2" customWidth="1"/>
    <col min="5" max="5" width="10.88671875" style="2" customWidth="1"/>
    <col min="6" max="6" width="12.88671875" style="2" customWidth="1"/>
    <col min="7" max="7" width="12" style="2" customWidth="1"/>
    <col min="8" max="8" width="10.5546875" style="2" customWidth="1"/>
    <col min="9" max="9" width="10.88671875" style="2" customWidth="1"/>
    <col min="10" max="10" width="13.109375" style="2" customWidth="1"/>
    <col min="11" max="11" width="8.88671875" style="2" customWidth="1"/>
    <col min="12" max="12" width="8.44140625" style="2" customWidth="1"/>
    <col min="13" max="17" width="10" style="2" customWidth="1"/>
    <col min="18" max="23" width="14.6640625" style="2" customWidth="1"/>
    <col min="24" max="24" width="19.109375" style="2" customWidth="1"/>
    <col min="25" max="29" width="14.6640625" style="2" customWidth="1"/>
    <col min="30" max="30" width="9.44140625" style="2" customWidth="1"/>
    <col min="31" max="32" width="9.5546875" style="2" customWidth="1"/>
    <col min="33" max="33" width="10.6640625" style="2" customWidth="1"/>
    <col min="34" max="34" width="9.88671875" style="2" customWidth="1"/>
    <col min="35" max="35" width="12.5546875" style="2" customWidth="1"/>
    <col min="36" max="36" width="11.6640625" style="2" customWidth="1"/>
    <col min="37" max="37" width="11" style="2" customWidth="1"/>
    <col min="38" max="38" width="12.44140625" style="2" customWidth="1"/>
    <col min="39" max="40" width="14.33203125" style="2" customWidth="1"/>
    <col min="41" max="41" width="15.33203125" style="2" customWidth="1"/>
    <col min="42" max="42" width="15.6640625" style="2" customWidth="1"/>
    <col min="43" max="44" width="8.88671875" customWidth="1"/>
    <col min="45" max="49" width="9.109375" style="2"/>
    <col min="52" max="16384" width="9.109375" style="2"/>
  </cols>
  <sheetData>
    <row r="1" spans="1:44" ht="80.25" customHeight="1" x14ac:dyDescent="0.3">
      <c r="A1" s="74" t="s">
        <v>59</v>
      </c>
      <c r="B1" s="74" t="s">
        <v>57</v>
      </c>
      <c r="C1" s="74" t="s">
        <v>58</v>
      </c>
      <c r="D1" s="74" t="s">
        <v>194</v>
      </c>
      <c r="E1" s="3" t="s">
        <v>24</v>
      </c>
      <c r="F1" s="74" t="s">
        <v>63</v>
      </c>
      <c r="G1" s="3" t="s">
        <v>23</v>
      </c>
      <c r="H1" s="3" t="s">
        <v>3</v>
      </c>
      <c r="I1" s="3" t="s">
        <v>307</v>
      </c>
      <c r="J1" s="3" t="s">
        <v>14</v>
      </c>
      <c r="K1" s="3" t="s">
        <v>20</v>
      </c>
      <c r="L1" s="3" t="s">
        <v>19</v>
      </c>
      <c r="M1" s="3" t="s">
        <v>53</v>
      </c>
      <c r="N1" s="3" t="s">
        <v>54</v>
      </c>
      <c r="O1" s="3" t="s">
        <v>79</v>
      </c>
      <c r="P1" s="3" t="s">
        <v>81</v>
      </c>
      <c r="Q1" s="3" t="s">
        <v>82</v>
      </c>
      <c r="R1" s="3" t="s">
        <v>84</v>
      </c>
      <c r="S1" s="3" t="s">
        <v>85</v>
      </c>
      <c r="T1" s="3" t="s">
        <v>88</v>
      </c>
      <c r="U1" s="3" t="s">
        <v>91</v>
      </c>
      <c r="V1" s="3" t="s">
        <v>140</v>
      </c>
      <c r="W1" s="3" t="s">
        <v>103</v>
      </c>
      <c r="X1" s="3" t="s">
        <v>302</v>
      </c>
      <c r="Y1" s="191" t="s">
        <v>60</v>
      </c>
      <c r="Z1" s="191" t="s">
        <v>306</v>
      </c>
      <c r="AA1" s="73" t="s">
        <v>304</v>
      </c>
      <c r="AB1" s="73" t="s">
        <v>305</v>
      </c>
      <c r="AC1" s="73" t="s">
        <v>67</v>
      </c>
      <c r="AD1" s="3" t="s">
        <v>5</v>
      </c>
      <c r="AE1" s="3" t="s">
        <v>9</v>
      </c>
      <c r="AF1" s="3" t="s">
        <v>12</v>
      </c>
      <c r="AG1" s="3" t="s">
        <v>76</v>
      </c>
      <c r="AH1" s="3" t="s">
        <v>77</v>
      </c>
      <c r="AI1" s="3" t="s">
        <v>10</v>
      </c>
      <c r="AJ1" s="3" t="s">
        <v>11</v>
      </c>
      <c r="AK1" s="3" t="s">
        <v>18</v>
      </c>
      <c r="AL1" s="3" t="s">
        <v>15</v>
      </c>
      <c r="AM1" s="3" t="s">
        <v>17</v>
      </c>
      <c r="AN1" s="3" t="s">
        <v>78</v>
      </c>
      <c r="AO1" t="s">
        <v>50</v>
      </c>
      <c r="AP1" t="s">
        <v>75</v>
      </c>
      <c r="AQ1" t="s">
        <v>80</v>
      </c>
      <c r="AR1" t="s">
        <v>90</v>
      </c>
    </row>
    <row r="2" spans="1:44" x14ac:dyDescent="0.3">
      <c r="A2" s="130" t="s">
        <v>172</v>
      </c>
      <c r="B2" s="130" t="s">
        <v>60</v>
      </c>
      <c r="C2" s="130">
        <v>1</v>
      </c>
      <c r="D2" s="130">
        <f>Table112348[[#This Row],[a (mm)]]/Table112348[[#This Row],[d (mm)]]</f>
        <v>2.2857142857142856</v>
      </c>
      <c r="E2" s="2">
        <v>133.44</v>
      </c>
      <c r="F2" s="127">
        <f>Table112348[[#This Row],[d (mm)]]</f>
        <v>666.75</v>
      </c>
      <c r="G2" s="110">
        <f t="shared" ref="G2:G36" si="0">E2*AD2</f>
        <v>203362.56</v>
      </c>
      <c r="H2" s="110">
        <f t="shared" ref="H2:H36" si="1">G2/($AP$5*AM2*0.001)</f>
        <v>3.6328601012726924E-7</v>
      </c>
      <c r="I2" s="110">
        <f>G2/(Table112348[[#This Row],[b (mm)]]*Table112348[[#This Row],[h]]^2)</f>
        <v>6.087693835608801E-4</v>
      </c>
      <c r="J2" s="110">
        <f t="shared" ref="J2:J36" si="2">G2/(AI2*AK2*AE2*0.001)</f>
        <v>0.13303790049216938</v>
      </c>
      <c r="K2" s="110">
        <f t="shared" ref="K2:K36" si="3">E2/($AP$4*AL2*0.001)</f>
        <v>8.9866826493406285E-8</v>
      </c>
      <c r="L2" s="110">
        <f>E2/(Table112348[[#This Row],[b (mm)]]*AE2)</f>
        <v>3.49261083527233E-4</v>
      </c>
      <c r="M2" s="110">
        <f>Table112348[[#This Row],[M (KN.mm)]]/(Table112348[[#This Row],[b (mm)]]*Table112348[[#This Row],[d (mm)]])</f>
        <v>0.53227389129550307</v>
      </c>
      <c r="N2" s="110">
        <f>Table112348[[#This Row],[M (KN.mm)]]/(Table112348[[#This Row],[b (mm)]]*Table112348[[#This Row],[h (mm)]])</f>
        <v>0.46481003481393734</v>
      </c>
      <c r="O2" s="110">
        <f>Table112348[[#This Row],[M (KN.mm)]]/(Table112348[[#This Row],[b (mm)]]*Table112348[[#This Row],[h (mm)]]*Table112348[[#This Row],[L(mm)]])</f>
        <v>1.5239673272588109E-4</v>
      </c>
      <c r="P2" s="110">
        <f>Table112348[[#This Row],[M (KN.mm)]]/(Table112348[[#This Row],[b (mm)]]*Table112348[[#This Row],[d (mm)]]*Table112348[[#This Row],[L(mm)]])</f>
        <v>1.7451602993295184E-4</v>
      </c>
      <c r="Q2" s="110">
        <f>Table112348[[#This Row],[M (KN.mm)]]/(Table112348[[#This Row],[b (mm)]]*Table112348[[#This Row],[h (mm)]]*Table112348[[#This Row],[L(mm)]]*Table112348[[#This Row],[fc (Mpa)]])</f>
        <v>5.5216207509377204E-6</v>
      </c>
      <c r="R2" s="110">
        <f>Table112348[[#This Row],[M (KN.mm)]]/(Table112348[[#This Row],[b (mm)]]*Table112348[[#This Row],[h (mm)]]*Table112348[[#This Row],[L(mm)]]/2)</f>
        <v>3.0479346545176218E-4</v>
      </c>
      <c r="S2" s="110">
        <f>Table112348[[#This Row],[M (KN.mm)]]/(Table112348[[#This Row],[a (mm)]]*Table112348[[#This Row],[b (mm)]]*Table112348[[#This Row],[h (mm)]]*Table112348[[#This Row],[L(mm)]]/2)</f>
        <v>1.9999571223868909E-7</v>
      </c>
      <c r="T2" s="110">
        <f>Table112348[[#This Row],[M (KN.mm)]]/(Table112348[[#This Row],[a (mm)]]^2*Table112348[[#This Row],[b (mm)]]*Table112348[[#This Row],[h (mm)]])</f>
        <v>2.0012694302099798E-7</v>
      </c>
      <c r="U2" s="110">
        <f>Table112348[[#This Row],[M (KN.mm)]]/(Table112348[[#This Row],[b (mm)]]*Table112348[[#This Row],[d (mm)]]*Table112348[[#This Row],[pho (%)]])</f>
        <v>0.67376441936139619</v>
      </c>
      <c r="V2" s="110">
        <f>E2*224.8/(2*SQRT(Table112348[[#This Row],[fc (Mpa)]]*145.037)*Table112348[[#This Row],[b (mm)]]*Table112348[[#This Row],[d (mm)]]*(1/25.4)^2)</f>
        <v>0.40030406141752073</v>
      </c>
      <c r="W2" s="110">
        <f>Table112348[[#This Row],[M (KN.mm)]]/$G$10</f>
        <v>0.31578947368421051</v>
      </c>
      <c r="X2" s="110">
        <f>Table112348[[#This Row],[V/(2*sqrt(fc) bd)]]</f>
        <v>0.40030406141752073</v>
      </c>
      <c r="Y2" s="110">
        <f>Table112348[[#This Row],[a (mm)]]</f>
        <v>1524</v>
      </c>
      <c r="Z2" s="110">
        <f>Table112348[[#This Row],[b (mm)]]*Table112348[[#This Row],[h (mm)]]^2</f>
        <v>334055170.13761365</v>
      </c>
      <c r="AA2" s="110">
        <f>Table112348[[#This Row],[b (mm)]]</f>
        <v>573.02399999999989</v>
      </c>
      <c r="AB2" s="110">
        <f>Table112348[[#This Row],[a]]/Table112348[[#This Row],[h (mm)]]</f>
        <v>1.9960079840319365</v>
      </c>
      <c r="AC2" s="110">
        <f>Table112348[[#This Row],[h (mm)]]</f>
        <v>763.52399999999989</v>
      </c>
      <c r="AD2" s="110">
        <f t="shared" ref="AD2:AD23" si="4">60*25.4</f>
        <v>1524</v>
      </c>
      <c r="AE2" s="110">
        <f>26.25*25.4</f>
        <v>666.75</v>
      </c>
      <c r="AF2" s="110">
        <f>30.06*25.4</f>
        <v>763.52399999999989</v>
      </c>
      <c r="AG2" s="110">
        <f t="shared" ref="AG2:AG23" si="5">22.56*25.4</f>
        <v>573.02399999999989</v>
      </c>
      <c r="AH2" s="7">
        <v>27.6</v>
      </c>
      <c r="AI2" s="110">
        <f>Table112348[[#This Row],[pho (%)]]/100*Table112348[[#This Row],[b (mm)]]*Table112348[[#This Row],[h (mm)]]</f>
        <v>3456.388854950399</v>
      </c>
      <c r="AJ2" s="111">
        <v>0.79</v>
      </c>
      <c r="AK2" s="110">
        <v>663.3</v>
      </c>
      <c r="AL2" s="110">
        <f>(1/3-0.21*(MIN(Table112348[[#This Row],[b (mm)]],AF2)/MAX(Table112348[[#This Row],[b (mm)]],AF2))*(MIN(Table112348[[#This Row],[b (mm)]],AF2)^4/(12*MAX(Table112348[[#This Row],[b (mm)]],AF2)^4)))*MAX(Table112348[[#This Row],[b (mm)]],AF2)*MIN(Table112348[[#This Row],[b (mm)]],AF2)^3</f>
        <v>47288656943.663506</v>
      </c>
      <c r="AM2" s="110">
        <f>Table112348[[#This Row],[b (mm)]]*AF2^3/12</f>
        <v>21254928310.34594</v>
      </c>
      <c r="AN2" s="110">
        <v>3050</v>
      </c>
      <c r="AO2" s="106" t="s">
        <v>22</v>
      </c>
      <c r="AP2" s="107">
        <v>1250</v>
      </c>
    </row>
    <row r="3" spans="1:44" x14ac:dyDescent="0.3">
      <c r="A3" s="130" t="s">
        <v>172</v>
      </c>
      <c r="B3" s="130" t="s">
        <v>61</v>
      </c>
      <c r="C3" s="130">
        <v>2</v>
      </c>
      <c r="D3" s="130">
        <f>Table112348[[#This Row],[a (mm)]]/Table112348[[#This Row],[d (mm)]]</f>
        <v>2.2857142857142856</v>
      </c>
      <c r="E3" s="2">
        <v>155.68</v>
      </c>
      <c r="F3" s="127">
        <f>Table112348[[#This Row],[d (mm)]]</f>
        <v>666.75</v>
      </c>
      <c r="G3" s="110">
        <f t="shared" si="0"/>
        <v>237256.32000000001</v>
      </c>
      <c r="H3" s="110">
        <f t="shared" si="1"/>
        <v>4.2383367848181416E-7</v>
      </c>
      <c r="I3" s="110">
        <f>G3/(Table112348[[#This Row],[b (mm)]]*Table112348[[#This Row],[h]]^2)</f>
        <v>7.1023094748769351E-4</v>
      </c>
      <c r="J3" s="110">
        <f t="shared" si="2"/>
        <v>0.15521088390753096</v>
      </c>
      <c r="K3" s="110">
        <f t="shared" si="3"/>
        <v>1.0484463090897401E-7</v>
      </c>
      <c r="L3" s="110">
        <f>E3/(Table112348[[#This Row],[b (mm)]]*AE3)</f>
        <v>4.0747126411510518E-4</v>
      </c>
      <c r="M3" s="110">
        <f>Table112348[[#This Row],[M (KN.mm)]]/(Table112348[[#This Row],[b (mm)]]*Table112348[[#This Row],[d (mm)]])</f>
        <v>0.62098620651142022</v>
      </c>
      <c r="N3" s="110">
        <f>Table112348[[#This Row],[M (KN.mm)]]/(Table112348[[#This Row],[b (mm)]]*Table112348[[#This Row],[h (mm)]])</f>
        <v>0.54227837394959366</v>
      </c>
      <c r="O3" s="110">
        <f>Table112348[[#This Row],[M (KN.mm)]]/(Table112348[[#This Row],[b (mm)]]*Table112348[[#This Row],[h (mm)]]*Table112348[[#This Row],[L(mm)]])</f>
        <v>1.777961881801946E-4</v>
      </c>
      <c r="P3" s="110">
        <f>Table112348[[#This Row],[M (KN.mm)]]/(Table112348[[#This Row],[b (mm)]]*Table112348[[#This Row],[d (mm)]]*Table112348[[#This Row],[L(mm)]])</f>
        <v>2.0360203492177716E-4</v>
      </c>
      <c r="Q3" s="110">
        <f>Table112348[[#This Row],[M (KN.mm)]]/(Table112348[[#This Row],[b (mm)]]*Table112348[[#This Row],[h (mm)]]*Table112348[[#This Row],[L(mm)]]*Table112348[[#This Row],[fc (Mpa)]])</f>
        <v>6.4418908760940076E-6</v>
      </c>
      <c r="R3" s="110">
        <f>Table112348[[#This Row],[M (KN.mm)]]/(Table112348[[#This Row],[b (mm)]]*Table112348[[#This Row],[h (mm)]]*Table112348[[#This Row],[L(mm)]]/2)</f>
        <v>3.555923763603892E-4</v>
      </c>
      <c r="S3" s="110">
        <f>Table112348[[#This Row],[M (KN.mm)]]/(Table112348[[#This Row],[a (mm)]]*Table112348[[#This Row],[b (mm)]]*Table112348[[#This Row],[h (mm)]]*Table112348[[#This Row],[L(mm)]]/2)</f>
        <v>2.3332833094513727E-7</v>
      </c>
      <c r="T3" s="110">
        <f>Table112348[[#This Row],[M (KN.mm)]]/(Table112348[[#This Row],[a (mm)]]^2*Table112348[[#This Row],[b (mm)]]*Table112348[[#This Row],[h (mm)]])</f>
        <v>2.3348143352449766E-7</v>
      </c>
      <c r="U3" s="110">
        <f>Table112348[[#This Row],[M (KN.mm)]]/(Table112348[[#This Row],[b (mm)]]*Table112348[[#This Row],[d (mm)]]*Table112348[[#This Row],[pho (%)]])</f>
        <v>0.78605848925496224</v>
      </c>
      <c r="V3" s="110">
        <f>E3*224.8/(2*SQRT(Table112348[[#This Row],[fc (Mpa)]]*145.037)*Table112348[[#This Row],[b (mm)]]*Table112348[[#This Row],[d (mm)]]*(1/25.4)^2)</f>
        <v>0.46702140498710754</v>
      </c>
      <c r="W3" s="110">
        <f>Table112348[[#This Row],[M (KN.mm)]]/$G$10</f>
        <v>0.36842105263157893</v>
      </c>
      <c r="X3" s="110">
        <f>Table112348[[#This Row],[V/(2*sqrt(fc) bd)]]</f>
        <v>0.46702140498710754</v>
      </c>
      <c r="Y3" s="110">
        <f>Table112348[[#This Row],[a (mm)]]</f>
        <v>1524</v>
      </c>
      <c r="Z3" s="110">
        <f>Table112348[[#This Row],[b (mm)]]*Table112348[[#This Row],[h (mm)]]^2</f>
        <v>334055170.13761365</v>
      </c>
      <c r="AA3" s="110">
        <f>Table112348[[#This Row],[b (mm)]]</f>
        <v>573.02399999999989</v>
      </c>
      <c r="AB3" s="110">
        <f>Table112348[[#This Row],[a]]/Table112348[[#This Row],[h (mm)]]</f>
        <v>1.9960079840319365</v>
      </c>
      <c r="AC3" s="110">
        <f>Table112348[[#This Row],[h (mm)]]</f>
        <v>763.52399999999989</v>
      </c>
      <c r="AD3" s="110">
        <f t="shared" si="4"/>
        <v>1524</v>
      </c>
      <c r="AE3" s="110">
        <f t="shared" ref="AE3:AE23" si="6">26.25*25.4</f>
        <v>666.75</v>
      </c>
      <c r="AF3" s="110">
        <f t="shared" ref="AF3:AF23" si="7">30.06*25.4</f>
        <v>763.52399999999989</v>
      </c>
      <c r="AG3" s="110">
        <f t="shared" si="5"/>
        <v>573.02399999999989</v>
      </c>
      <c r="AH3" s="7">
        <v>27.6</v>
      </c>
      <c r="AI3" s="110">
        <f>Table112348[[#This Row],[pho (%)]]/100*Table112348[[#This Row],[b (mm)]]*Table112348[[#This Row],[h (mm)]]</f>
        <v>3456.388854950399</v>
      </c>
      <c r="AJ3" s="111">
        <v>0.79</v>
      </c>
      <c r="AK3" s="110">
        <v>663.3</v>
      </c>
      <c r="AL3" s="110">
        <f>(1/3-0.21*(MIN(Table112348[[#This Row],[b (mm)]],AF3)/MAX(Table112348[[#This Row],[b (mm)]],AF3))*(MIN(Table112348[[#This Row],[b (mm)]],AF3)^4/(12*MAX(Table112348[[#This Row],[b (mm)]],AF3)^4)))*MAX(Table112348[[#This Row],[b (mm)]],AF3)*MIN(Table112348[[#This Row],[b (mm)]],AF3)^3</f>
        <v>47288656943.663506</v>
      </c>
      <c r="AM3" s="110">
        <f>Table112348[[#This Row],[b (mm)]]*AF3^3/12</f>
        <v>21254928310.34594</v>
      </c>
      <c r="AN3" s="110">
        <v>3050</v>
      </c>
      <c r="AO3" s="106" t="s">
        <v>6</v>
      </c>
      <c r="AP3" s="107">
        <v>200</v>
      </c>
    </row>
    <row r="4" spans="1:44" x14ac:dyDescent="0.3">
      <c r="A4" s="130" t="s">
        <v>172</v>
      </c>
      <c r="B4" s="130" t="s">
        <v>62</v>
      </c>
      <c r="C4" s="130">
        <v>3</v>
      </c>
      <c r="D4" s="130">
        <f>Table112348[[#This Row],[a (mm)]]/Table112348[[#This Row],[d (mm)]]</f>
        <v>2.2857142857142856</v>
      </c>
      <c r="E4" s="2">
        <v>177.92000000000002</v>
      </c>
      <c r="F4" s="127">
        <f>Table112348[[#This Row],[d (mm)]]</f>
        <v>666.75</v>
      </c>
      <c r="G4" s="110">
        <f t="shared" si="0"/>
        <v>271150.08000000002</v>
      </c>
      <c r="H4" s="110">
        <f t="shared" si="1"/>
        <v>4.8438134683635902E-7</v>
      </c>
      <c r="I4" s="110">
        <f>G4/(Table112348[[#This Row],[b (mm)]]*Table112348[[#This Row],[h]]^2)</f>
        <v>8.1169251141450691E-4</v>
      </c>
      <c r="J4" s="110">
        <f t="shared" si="2"/>
        <v>0.17738386732289252</v>
      </c>
      <c r="K4" s="110">
        <f t="shared" si="3"/>
        <v>1.1982243532454172E-7</v>
      </c>
      <c r="L4" s="110">
        <f>E4/(Table112348[[#This Row],[b (mm)]]*AE4)</f>
        <v>4.6568144470297737E-4</v>
      </c>
      <c r="M4" s="110">
        <f>Table112348[[#This Row],[M (KN.mm)]]/(Table112348[[#This Row],[b (mm)]]*Table112348[[#This Row],[d (mm)]])</f>
        <v>0.70969852172733749</v>
      </c>
      <c r="N4" s="110">
        <f>Table112348[[#This Row],[M (KN.mm)]]/(Table112348[[#This Row],[b (mm)]]*Table112348[[#This Row],[h (mm)]])</f>
        <v>0.61974671308524987</v>
      </c>
      <c r="O4" s="110">
        <f>Table112348[[#This Row],[M (KN.mm)]]/(Table112348[[#This Row],[b (mm)]]*Table112348[[#This Row],[h (mm)]]*Table112348[[#This Row],[L(mm)]])</f>
        <v>2.0319564363450814E-4</v>
      </c>
      <c r="P4" s="110">
        <f>Table112348[[#This Row],[M (KN.mm)]]/(Table112348[[#This Row],[b (mm)]]*Table112348[[#This Row],[d (mm)]]*Table112348[[#This Row],[L(mm)]])</f>
        <v>2.3268803991060246E-4</v>
      </c>
      <c r="Q4" s="110">
        <f>Table112348[[#This Row],[M (KN.mm)]]/(Table112348[[#This Row],[b (mm)]]*Table112348[[#This Row],[h (mm)]]*Table112348[[#This Row],[L(mm)]]*Table112348[[#This Row],[fc (Mpa)]])</f>
        <v>7.3621610012502947E-6</v>
      </c>
      <c r="R4" s="110">
        <f>Table112348[[#This Row],[M (KN.mm)]]/(Table112348[[#This Row],[b (mm)]]*Table112348[[#This Row],[h (mm)]]*Table112348[[#This Row],[L(mm)]]/2)</f>
        <v>4.0639128726901628E-4</v>
      </c>
      <c r="S4" s="110">
        <f>Table112348[[#This Row],[M (KN.mm)]]/(Table112348[[#This Row],[a (mm)]]*Table112348[[#This Row],[b (mm)]]*Table112348[[#This Row],[h (mm)]]*Table112348[[#This Row],[L(mm)]]/2)</f>
        <v>2.6666094965158548E-7</v>
      </c>
      <c r="T4" s="110">
        <f>Table112348[[#This Row],[M (KN.mm)]]/(Table112348[[#This Row],[a (mm)]]^2*Table112348[[#This Row],[b (mm)]]*Table112348[[#This Row],[h (mm)]])</f>
        <v>2.6683592402799731E-7</v>
      </c>
      <c r="U4" s="110">
        <f>Table112348[[#This Row],[M (KN.mm)]]/(Table112348[[#This Row],[b (mm)]]*Table112348[[#This Row],[d (mm)]]*Table112348[[#This Row],[pho (%)]])</f>
        <v>0.8983525591485283</v>
      </c>
      <c r="V4" s="110">
        <f>E4*224.8/(2*SQRT(Table112348[[#This Row],[fc (Mpa)]]*145.037)*Table112348[[#This Row],[b (mm)]]*Table112348[[#This Row],[d (mm)]]*(1/25.4)^2)</f>
        <v>0.53373874855669434</v>
      </c>
      <c r="W4" s="110">
        <f>Table112348[[#This Row],[M (KN.mm)]]/$G$10</f>
        <v>0.42105263157894735</v>
      </c>
      <c r="X4" s="110">
        <f>Table112348[[#This Row],[V/(2*sqrt(fc) bd)]]</f>
        <v>0.53373874855669434</v>
      </c>
      <c r="Y4" s="110">
        <f>Table112348[[#This Row],[a (mm)]]</f>
        <v>1524</v>
      </c>
      <c r="Z4" s="110">
        <f>Table112348[[#This Row],[b (mm)]]*Table112348[[#This Row],[h (mm)]]^2</f>
        <v>334055170.13761365</v>
      </c>
      <c r="AA4" s="110">
        <f>Table112348[[#This Row],[b (mm)]]</f>
        <v>573.02399999999989</v>
      </c>
      <c r="AB4" s="110">
        <f>Table112348[[#This Row],[a]]/Table112348[[#This Row],[h (mm)]]</f>
        <v>1.9960079840319365</v>
      </c>
      <c r="AC4" s="110">
        <f>Table112348[[#This Row],[h (mm)]]</f>
        <v>763.52399999999989</v>
      </c>
      <c r="AD4" s="110">
        <f t="shared" si="4"/>
        <v>1524</v>
      </c>
      <c r="AE4" s="110">
        <f t="shared" si="6"/>
        <v>666.75</v>
      </c>
      <c r="AF4" s="110">
        <f t="shared" si="7"/>
        <v>763.52399999999989</v>
      </c>
      <c r="AG4" s="110">
        <f t="shared" si="5"/>
        <v>573.02399999999989</v>
      </c>
      <c r="AH4" s="7">
        <v>27.6</v>
      </c>
      <c r="AI4" s="110">
        <f>Table112348[[#This Row],[pho (%)]]/100*Table112348[[#This Row],[b (mm)]]*Table112348[[#This Row],[h (mm)]]</f>
        <v>3456.388854950399</v>
      </c>
      <c r="AJ4" s="111">
        <v>0.79</v>
      </c>
      <c r="AK4" s="110">
        <v>663.3</v>
      </c>
      <c r="AL4" s="110">
        <f>(1/3-0.21*(MIN(Table112348[[#This Row],[b (mm)]],AF4)/MAX(Table112348[[#This Row],[b (mm)]],AF4))*(MIN(Table112348[[#This Row],[b (mm)]],AF4)^4/(12*MAX(Table112348[[#This Row],[b (mm)]],AF4)^4)))*MAX(Table112348[[#This Row],[b (mm)]],AF4)*MIN(Table112348[[#This Row],[b (mm)]],AF4)^3</f>
        <v>47288656943.663506</v>
      </c>
      <c r="AM4" s="110">
        <f>Table112348[[#This Row],[b (mm)]]*AF4^3/12</f>
        <v>21254928310.34594</v>
      </c>
      <c r="AN4" s="110">
        <v>3050</v>
      </c>
      <c r="AO4" s="106" t="s">
        <v>7</v>
      </c>
      <c r="AP4" s="107">
        <v>31.4</v>
      </c>
    </row>
    <row r="5" spans="1:44" x14ac:dyDescent="0.3">
      <c r="A5" s="130" t="s">
        <v>172</v>
      </c>
      <c r="B5" s="130" t="s">
        <v>63</v>
      </c>
      <c r="C5" s="130">
        <v>4</v>
      </c>
      <c r="D5" s="130">
        <f>Table112348[[#This Row],[a (mm)]]/Table112348[[#This Row],[d (mm)]]</f>
        <v>2.2857142857142856</v>
      </c>
      <c r="E5" s="2">
        <v>200.16000000000003</v>
      </c>
      <c r="F5" s="127">
        <f>Table112348[[#This Row],[d (mm)]]</f>
        <v>666.75</v>
      </c>
      <c r="G5" s="110">
        <f t="shared" si="0"/>
        <v>305043.84000000003</v>
      </c>
      <c r="H5" s="110">
        <f t="shared" si="1"/>
        <v>5.4492901519090394E-7</v>
      </c>
      <c r="I5" s="110">
        <f>G5/(Table112348[[#This Row],[b (mm)]]*Table112348[[#This Row],[h]]^2)</f>
        <v>9.1315407534132032E-4</v>
      </c>
      <c r="J5" s="110">
        <f t="shared" si="2"/>
        <v>0.1995568507382541</v>
      </c>
      <c r="K5" s="110">
        <f t="shared" si="3"/>
        <v>1.3480023974010945E-7</v>
      </c>
      <c r="L5" s="110">
        <f>E5/(Table112348[[#This Row],[b (mm)]]*AE5)</f>
        <v>5.2389162529084955E-4</v>
      </c>
      <c r="M5" s="110">
        <f>Table112348[[#This Row],[M (KN.mm)]]/(Table112348[[#This Row],[b (mm)]]*Table112348[[#This Row],[d (mm)]])</f>
        <v>0.79841083694325465</v>
      </c>
      <c r="N5" s="110">
        <f>Table112348[[#This Row],[M (KN.mm)]]/(Table112348[[#This Row],[b (mm)]]*Table112348[[#This Row],[h (mm)]])</f>
        <v>0.69721505222090607</v>
      </c>
      <c r="O5" s="110">
        <f>Table112348[[#This Row],[M (KN.mm)]]/(Table112348[[#This Row],[b (mm)]]*Table112348[[#This Row],[h (mm)]]*Table112348[[#This Row],[L(mm)]])</f>
        <v>2.2859509908882165E-4</v>
      </c>
      <c r="P5" s="110">
        <f>Table112348[[#This Row],[M (KN.mm)]]/(Table112348[[#This Row],[b (mm)]]*Table112348[[#This Row],[d (mm)]]*Table112348[[#This Row],[L(mm)]])</f>
        <v>2.6177404489942775E-4</v>
      </c>
      <c r="Q5" s="110">
        <f>Table112348[[#This Row],[M (KN.mm)]]/(Table112348[[#This Row],[b (mm)]]*Table112348[[#This Row],[h (mm)]]*Table112348[[#This Row],[L(mm)]]*Table112348[[#This Row],[fc (Mpa)]])</f>
        <v>8.282431126406581E-6</v>
      </c>
      <c r="R5" s="110">
        <f>Table112348[[#This Row],[M (KN.mm)]]/(Table112348[[#This Row],[b (mm)]]*Table112348[[#This Row],[h (mm)]]*Table112348[[#This Row],[L(mm)]]/2)</f>
        <v>4.571901981776433E-4</v>
      </c>
      <c r="S5" s="110">
        <f>Table112348[[#This Row],[M (KN.mm)]]/(Table112348[[#This Row],[a (mm)]]*Table112348[[#This Row],[b (mm)]]*Table112348[[#This Row],[h (mm)]]*Table112348[[#This Row],[L(mm)]]/2)</f>
        <v>2.9999356835803368E-7</v>
      </c>
      <c r="T5" s="110">
        <f>Table112348[[#This Row],[M (KN.mm)]]/(Table112348[[#This Row],[a (mm)]]^2*Table112348[[#This Row],[b (mm)]]*Table112348[[#This Row],[h (mm)]])</f>
        <v>3.0019041453149698E-7</v>
      </c>
      <c r="U5" s="110">
        <f>Table112348[[#This Row],[M (KN.mm)]]/(Table112348[[#This Row],[b (mm)]]*Table112348[[#This Row],[d (mm)]]*Table112348[[#This Row],[pho (%)]])</f>
        <v>1.0106466290420943</v>
      </c>
      <c r="V5" s="110">
        <f>E5*224.8/(2*SQRT(Table112348[[#This Row],[fc (Mpa)]]*145.037)*Table112348[[#This Row],[b (mm)]]*Table112348[[#This Row],[d (mm)]]*(1/25.4)^2)</f>
        <v>0.60045609212628115</v>
      </c>
      <c r="W5" s="110">
        <f>Table112348[[#This Row],[M (KN.mm)]]/$G$10</f>
        <v>0.47368421052631576</v>
      </c>
      <c r="X5" s="110">
        <f>Table112348[[#This Row],[V/(2*sqrt(fc) bd)]]</f>
        <v>0.60045609212628115</v>
      </c>
      <c r="Y5" s="110">
        <f>Table112348[[#This Row],[a (mm)]]</f>
        <v>1524</v>
      </c>
      <c r="Z5" s="110">
        <f>Table112348[[#This Row],[b (mm)]]*Table112348[[#This Row],[h (mm)]]^2</f>
        <v>334055170.13761365</v>
      </c>
      <c r="AA5" s="110">
        <f>Table112348[[#This Row],[b (mm)]]</f>
        <v>573.02399999999989</v>
      </c>
      <c r="AB5" s="110">
        <f>Table112348[[#This Row],[a]]/Table112348[[#This Row],[h (mm)]]</f>
        <v>1.9960079840319365</v>
      </c>
      <c r="AC5" s="110">
        <f>Table112348[[#This Row],[h (mm)]]</f>
        <v>763.52399999999989</v>
      </c>
      <c r="AD5" s="110">
        <f t="shared" si="4"/>
        <v>1524</v>
      </c>
      <c r="AE5" s="110">
        <f t="shared" si="6"/>
        <v>666.75</v>
      </c>
      <c r="AF5" s="110">
        <f t="shared" si="7"/>
        <v>763.52399999999989</v>
      </c>
      <c r="AG5" s="110">
        <f t="shared" si="5"/>
        <v>573.02399999999989</v>
      </c>
      <c r="AH5" s="7">
        <v>27.6</v>
      </c>
      <c r="AI5" s="110">
        <f>Table112348[[#This Row],[pho (%)]]/100*Table112348[[#This Row],[b (mm)]]*Table112348[[#This Row],[h (mm)]]</f>
        <v>3456.388854950399</v>
      </c>
      <c r="AJ5" s="111">
        <v>0.79</v>
      </c>
      <c r="AK5" s="110">
        <v>663.3</v>
      </c>
      <c r="AL5" s="110">
        <f>(1/3-0.21*(MIN(Table112348[[#This Row],[b (mm)]],AF5)/MAX(Table112348[[#This Row],[b (mm)]],AF5))*(MIN(Table112348[[#This Row],[b (mm)]],AF5)^4/(12*MAX(Table112348[[#This Row],[b (mm)]],AF5)^4)))*MAX(Table112348[[#This Row],[b (mm)]],AF5)*MIN(Table112348[[#This Row],[b (mm)]],AF5)^3</f>
        <v>47288656943.663506</v>
      </c>
      <c r="AM5" s="110">
        <f>Table112348[[#This Row],[b (mm)]]*AF5^3/12</f>
        <v>21254928310.34594</v>
      </c>
      <c r="AN5" s="110">
        <v>3050</v>
      </c>
      <c r="AO5" s="106" t="s">
        <v>8</v>
      </c>
      <c r="AP5" s="107">
        <f>4700*SQRT(AP4)</f>
        <v>26336.780365109171</v>
      </c>
    </row>
    <row r="6" spans="1:44" x14ac:dyDescent="0.3">
      <c r="A6" s="130" t="s">
        <v>172</v>
      </c>
      <c r="B6" s="130" t="s">
        <v>64</v>
      </c>
      <c r="C6" s="130">
        <v>5</v>
      </c>
      <c r="D6" s="130">
        <f>Table112348[[#This Row],[a (mm)]]/Table112348[[#This Row],[d (mm)]]</f>
        <v>2.2857142857142856</v>
      </c>
      <c r="E6" s="2">
        <v>222.40000000000003</v>
      </c>
      <c r="F6" s="127">
        <f>Table112348[[#This Row],[d (mm)]]</f>
        <v>666.75</v>
      </c>
      <c r="G6" s="110">
        <f t="shared" si="0"/>
        <v>338937.60000000003</v>
      </c>
      <c r="H6" s="110">
        <f t="shared" si="1"/>
        <v>6.0547668354544886E-7</v>
      </c>
      <c r="I6" s="110">
        <f>G6/(Table112348[[#This Row],[b (mm)]]*Table112348[[#This Row],[h]]^2)</f>
        <v>1.0146156392681336E-3</v>
      </c>
      <c r="J6" s="110">
        <f t="shared" si="2"/>
        <v>0.22172983415361566</v>
      </c>
      <c r="K6" s="110">
        <f t="shared" si="3"/>
        <v>1.4977804415567717E-7</v>
      </c>
      <c r="L6" s="110">
        <f>E6/(Table112348[[#This Row],[b (mm)]]*AE6)</f>
        <v>5.8210180587872174E-4</v>
      </c>
      <c r="M6" s="110">
        <f>Table112348[[#This Row],[M (KN.mm)]]/(Table112348[[#This Row],[b (mm)]]*Table112348[[#This Row],[d (mm)]])</f>
        <v>0.88712315215917192</v>
      </c>
      <c r="N6" s="110">
        <f>Table112348[[#This Row],[M (KN.mm)]]/(Table112348[[#This Row],[b (mm)]]*Table112348[[#This Row],[h (mm)]])</f>
        <v>0.77468339135656239</v>
      </c>
      <c r="O6" s="110">
        <f>Table112348[[#This Row],[M (KN.mm)]]/(Table112348[[#This Row],[b (mm)]]*Table112348[[#This Row],[h (mm)]]*Table112348[[#This Row],[L(mm)]])</f>
        <v>2.5399455454313516E-4</v>
      </c>
      <c r="P6" s="110">
        <f>Table112348[[#This Row],[M (KN.mm)]]/(Table112348[[#This Row],[b (mm)]]*Table112348[[#This Row],[d (mm)]]*Table112348[[#This Row],[L(mm)]])</f>
        <v>2.9086004988825308E-4</v>
      </c>
      <c r="Q6" s="110">
        <f>Table112348[[#This Row],[M (KN.mm)]]/(Table112348[[#This Row],[b (mm)]]*Table112348[[#This Row],[h (mm)]]*Table112348[[#This Row],[L(mm)]]*Table112348[[#This Row],[fc (Mpa)]])</f>
        <v>9.2027012515628682E-6</v>
      </c>
      <c r="R6" s="110">
        <f>Table112348[[#This Row],[M (KN.mm)]]/(Table112348[[#This Row],[b (mm)]]*Table112348[[#This Row],[h (mm)]]*Table112348[[#This Row],[L(mm)]]/2)</f>
        <v>5.0798910908627032E-4</v>
      </c>
      <c r="S6" s="110">
        <f>Table112348[[#This Row],[M (KN.mm)]]/(Table112348[[#This Row],[a (mm)]]*Table112348[[#This Row],[b (mm)]]*Table112348[[#This Row],[h (mm)]]*Table112348[[#This Row],[L(mm)]]/2)</f>
        <v>3.3332618706448183E-7</v>
      </c>
      <c r="T6" s="110">
        <f>Table112348[[#This Row],[M (KN.mm)]]/(Table112348[[#This Row],[a (mm)]]^2*Table112348[[#This Row],[b (mm)]]*Table112348[[#This Row],[h (mm)]])</f>
        <v>3.3354490503499666E-7</v>
      </c>
      <c r="U6" s="110">
        <f>Table112348[[#This Row],[M (KN.mm)]]/(Table112348[[#This Row],[b (mm)]]*Table112348[[#This Row],[d (mm)]]*Table112348[[#This Row],[pho (%)]])</f>
        <v>1.1229406989356605</v>
      </c>
      <c r="V6" s="110">
        <f>E6*224.8/(2*SQRT(Table112348[[#This Row],[fc (Mpa)]]*145.037)*Table112348[[#This Row],[b (mm)]]*Table112348[[#This Row],[d (mm)]]*(1/25.4)^2)</f>
        <v>0.66717343569586796</v>
      </c>
      <c r="W6" s="110">
        <f>Table112348[[#This Row],[M (KN.mm)]]/$G$10</f>
        <v>0.52631578947368418</v>
      </c>
      <c r="X6" s="110">
        <f>Table112348[[#This Row],[V/(2*sqrt(fc) bd)]]</f>
        <v>0.66717343569586796</v>
      </c>
      <c r="Y6" s="110">
        <f>Table112348[[#This Row],[a (mm)]]</f>
        <v>1524</v>
      </c>
      <c r="Z6" s="110">
        <f>Table112348[[#This Row],[b (mm)]]*Table112348[[#This Row],[h (mm)]]^2</f>
        <v>334055170.13761365</v>
      </c>
      <c r="AA6" s="110">
        <f>Table112348[[#This Row],[b (mm)]]</f>
        <v>573.02399999999989</v>
      </c>
      <c r="AB6" s="110">
        <f>Table112348[[#This Row],[a]]/Table112348[[#This Row],[h (mm)]]</f>
        <v>1.9960079840319365</v>
      </c>
      <c r="AC6" s="110">
        <f>Table112348[[#This Row],[h (mm)]]</f>
        <v>763.52399999999989</v>
      </c>
      <c r="AD6" s="110">
        <f t="shared" si="4"/>
        <v>1524</v>
      </c>
      <c r="AE6" s="110">
        <f t="shared" si="6"/>
        <v>666.75</v>
      </c>
      <c r="AF6" s="110">
        <f t="shared" si="7"/>
        <v>763.52399999999989</v>
      </c>
      <c r="AG6" s="110">
        <f t="shared" si="5"/>
        <v>573.02399999999989</v>
      </c>
      <c r="AH6" s="7">
        <v>27.6</v>
      </c>
      <c r="AI6" s="110">
        <f>Table112348[[#This Row],[pho (%)]]/100*Table112348[[#This Row],[b (mm)]]*Table112348[[#This Row],[h (mm)]]</f>
        <v>3456.388854950399</v>
      </c>
      <c r="AJ6" s="111">
        <v>0.79</v>
      </c>
      <c r="AK6" s="110">
        <v>663.3</v>
      </c>
      <c r="AL6" s="110">
        <f>(1/3-0.21*(MIN(Table112348[[#This Row],[b (mm)]],AF6)/MAX(Table112348[[#This Row],[b (mm)]],AF6))*(MIN(Table112348[[#This Row],[b (mm)]],AF6)^4/(12*MAX(Table112348[[#This Row],[b (mm)]],AF6)^4)))*MAX(Table112348[[#This Row],[b (mm)]],AF6)*MIN(Table112348[[#This Row],[b (mm)]],AF6)^3</f>
        <v>47288656943.663506</v>
      </c>
      <c r="AM6" s="110">
        <f>Table112348[[#This Row],[b (mm)]]*AF6^3/12</f>
        <v>21254928310.34594</v>
      </c>
      <c r="AN6" s="110">
        <v>3050</v>
      </c>
      <c r="AO6" s="106" t="s">
        <v>16</v>
      </c>
      <c r="AP6" s="107">
        <f>AP5/(2*(1+0.15))</f>
        <v>11450.774071786596</v>
      </c>
    </row>
    <row r="7" spans="1:44" x14ac:dyDescent="0.3">
      <c r="A7" s="130" t="s">
        <v>172</v>
      </c>
      <c r="B7" s="130" t="s">
        <v>65</v>
      </c>
      <c r="C7" s="130">
        <v>6</v>
      </c>
      <c r="D7" s="130">
        <f>Table112348[[#This Row],[a (mm)]]/Table112348[[#This Row],[d (mm)]]</f>
        <v>2.2857142857142856</v>
      </c>
      <c r="E7" s="2">
        <v>244.64000000000001</v>
      </c>
      <c r="F7" s="127">
        <f>Table112348[[#This Row],[d (mm)]]</f>
        <v>666.75</v>
      </c>
      <c r="G7" s="110">
        <f t="shared" si="0"/>
        <v>372831.36000000004</v>
      </c>
      <c r="H7" s="110">
        <f t="shared" si="1"/>
        <v>6.6602435189999367E-7</v>
      </c>
      <c r="I7" s="110">
        <f>G7/(Table112348[[#This Row],[b (mm)]]*Table112348[[#This Row],[h]]^2)</f>
        <v>1.116077203194947E-3</v>
      </c>
      <c r="J7" s="110">
        <f t="shared" si="2"/>
        <v>0.24390281756897725</v>
      </c>
      <c r="K7" s="110">
        <f t="shared" si="3"/>
        <v>1.6475584857124487E-7</v>
      </c>
      <c r="L7" s="110">
        <f>E7/(Table112348[[#This Row],[b (mm)]]*AE7)</f>
        <v>6.4031198646659381E-4</v>
      </c>
      <c r="M7" s="110">
        <f>Table112348[[#This Row],[M (KN.mm)]]/(Table112348[[#This Row],[b (mm)]]*Table112348[[#This Row],[d (mm)]])</f>
        <v>0.97583546737508908</v>
      </c>
      <c r="N7" s="110">
        <f>Table112348[[#This Row],[M (KN.mm)]]/(Table112348[[#This Row],[b (mm)]]*Table112348[[#This Row],[h (mm)]])</f>
        <v>0.8521517304922186</v>
      </c>
      <c r="O7" s="110">
        <f>Table112348[[#This Row],[M (KN.mm)]]/(Table112348[[#This Row],[b (mm)]]*Table112348[[#This Row],[h (mm)]]*Table112348[[#This Row],[L(mm)]])</f>
        <v>2.793940099974487E-4</v>
      </c>
      <c r="P7" s="110">
        <f>Table112348[[#This Row],[M (KN.mm)]]/(Table112348[[#This Row],[b (mm)]]*Table112348[[#This Row],[d (mm)]]*Table112348[[#This Row],[L(mm)]])</f>
        <v>3.199460548770784E-4</v>
      </c>
      <c r="Q7" s="110">
        <f>Table112348[[#This Row],[M (KN.mm)]]/(Table112348[[#This Row],[b (mm)]]*Table112348[[#This Row],[h (mm)]]*Table112348[[#This Row],[L(mm)]]*Table112348[[#This Row],[fc (Mpa)]])</f>
        <v>1.0122971376719155E-5</v>
      </c>
      <c r="R7" s="110">
        <f>Table112348[[#This Row],[M (KN.mm)]]/(Table112348[[#This Row],[b (mm)]]*Table112348[[#This Row],[h (mm)]]*Table112348[[#This Row],[L(mm)]]/2)</f>
        <v>5.587880199948974E-4</v>
      </c>
      <c r="S7" s="110">
        <f>Table112348[[#This Row],[M (KN.mm)]]/(Table112348[[#This Row],[a (mm)]]*Table112348[[#This Row],[b (mm)]]*Table112348[[#This Row],[h (mm)]]*Table112348[[#This Row],[L(mm)]]/2)</f>
        <v>3.6665880577093004E-7</v>
      </c>
      <c r="T7" s="110">
        <f>Table112348[[#This Row],[M (KN.mm)]]/(Table112348[[#This Row],[a (mm)]]^2*Table112348[[#This Row],[b (mm)]]*Table112348[[#This Row],[h (mm)]])</f>
        <v>3.6689939553849634E-7</v>
      </c>
      <c r="U7" s="110">
        <f>Table112348[[#This Row],[M (KN.mm)]]/(Table112348[[#This Row],[b (mm)]]*Table112348[[#This Row],[d (mm)]]*Table112348[[#This Row],[pho (%)]])</f>
        <v>1.2352347688292264</v>
      </c>
      <c r="V7" s="110">
        <f>E7*224.8/(2*SQRT(Table112348[[#This Row],[fc (Mpa)]]*145.037)*Table112348[[#This Row],[b (mm)]]*Table112348[[#This Row],[d (mm)]]*(1/25.4)^2)</f>
        <v>0.73389077926545476</v>
      </c>
      <c r="W7" s="110">
        <f>Table112348[[#This Row],[M (KN.mm)]]/$G$10</f>
        <v>0.57894736842105265</v>
      </c>
      <c r="X7" s="110">
        <f>Table112348[[#This Row],[V/(2*sqrt(fc) bd)]]</f>
        <v>0.73389077926545476</v>
      </c>
      <c r="Y7" s="110">
        <f>Table112348[[#This Row],[a (mm)]]</f>
        <v>1524</v>
      </c>
      <c r="Z7" s="110">
        <f>Table112348[[#This Row],[b (mm)]]*Table112348[[#This Row],[h (mm)]]^2</f>
        <v>334055170.13761365</v>
      </c>
      <c r="AA7" s="110">
        <f>Table112348[[#This Row],[b (mm)]]</f>
        <v>573.02399999999989</v>
      </c>
      <c r="AB7" s="110">
        <f>Table112348[[#This Row],[a]]/Table112348[[#This Row],[h (mm)]]</f>
        <v>1.9960079840319365</v>
      </c>
      <c r="AC7" s="110">
        <f>Table112348[[#This Row],[h (mm)]]</f>
        <v>763.52399999999989</v>
      </c>
      <c r="AD7" s="110">
        <f t="shared" si="4"/>
        <v>1524</v>
      </c>
      <c r="AE7" s="110">
        <f t="shared" si="6"/>
        <v>666.75</v>
      </c>
      <c r="AF7" s="110">
        <f t="shared" si="7"/>
        <v>763.52399999999989</v>
      </c>
      <c r="AG7" s="110">
        <f t="shared" si="5"/>
        <v>573.02399999999989</v>
      </c>
      <c r="AH7" s="7">
        <v>27.6</v>
      </c>
      <c r="AI7" s="110">
        <f>Table112348[[#This Row],[pho (%)]]/100*Table112348[[#This Row],[b (mm)]]*Table112348[[#This Row],[h (mm)]]</f>
        <v>3456.388854950399</v>
      </c>
      <c r="AJ7" s="111">
        <v>0.79</v>
      </c>
      <c r="AK7" s="110">
        <v>663.3</v>
      </c>
      <c r="AL7" s="110">
        <f>(1/3-0.21*(MIN(Table112348[[#This Row],[b (mm)]],AF7)/MAX(Table112348[[#This Row],[b (mm)]],AF7))*(MIN(Table112348[[#This Row],[b (mm)]],AF7)^4/(12*MAX(Table112348[[#This Row],[b (mm)]],AF7)^4)))*MAX(Table112348[[#This Row],[b (mm)]],AF7)*MIN(Table112348[[#This Row],[b (mm)]],AF7)^3</f>
        <v>47288656943.663506</v>
      </c>
      <c r="AM7" s="110">
        <f>Table112348[[#This Row],[b (mm)]]*AF7^3/12</f>
        <v>21254928310.34594</v>
      </c>
      <c r="AN7" s="110">
        <v>3050</v>
      </c>
      <c r="AO7" s="106"/>
      <c r="AP7" s="107"/>
    </row>
    <row r="8" spans="1:44" x14ac:dyDescent="0.3">
      <c r="A8" s="130" t="s">
        <v>172</v>
      </c>
      <c r="B8" s="130" t="s">
        <v>66</v>
      </c>
      <c r="C8" s="130">
        <v>7</v>
      </c>
      <c r="D8" s="130">
        <f>Table112348[[#This Row],[a (mm)]]/Table112348[[#This Row],[d (mm)]]</f>
        <v>2.2857142857142856</v>
      </c>
      <c r="E8" s="2">
        <v>266.88</v>
      </c>
      <c r="F8" s="127">
        <f>Table112348[[#This Row],[d (mm)]]</f>
        <v>666.75</v>
      </c>
      <c r="G8" s="110">
        <f t="shared" si="0"/>
        <v>406725.12</v>
      </c>
      <c r="H8" s="110">
        <f t="shared" si="1"/>
        <v>7.2657202025453848E-7</v>
      </c>
      <c r="I8" s="110">
        <f>G8/(Table112348[[#This Row],[b (mm)]]*Table112348[[#This Row],[h]]^2)</f>
        <v>1.2175387671217602E-3</v>
      </c>
      <c r="J8" s="110">
        <f t="shared" si="2"/>
        <v>0.26607580098433875</v>
      </c>
      <c r="K8" s="110">
        <f t="shared" si="3"/>
        <v>1.7973365298681257E-7</v>
      </c>
      <c r="L8" s="110">
        <f>E8/(Table112348[[#This Row],[b (mm)]]*AE8)</f>
        <v>6.98522167054466E-4</v>
      </c>
      <c r="M8" s="110">
        <f>Table112348[[#This Row],[M (KN.mm)]]/(Table112348[[#This Row],[b (mm)]]*Table112348[[#This Row],[d (mm)]])</f>
        <v>1.0645477825910061</v>
      </c>
      <c r="N8" s="110">
        <f>Table112348[[#This Row],[M (KN.mm)]]/(Table112348[[#This Row],[b (mm)]]*Table112348[[#This Row],[h (mm)]])</f>
        <v>0.92962006962787469</v>
      </c>
      <c r="O8" s="110">
        <f>Table112348[[#This Row],[M (KN.mm)]]/(Table112348[[#This Row],[b (mm)]]*Table112348[[#This Row],[h (mm)]]*Table112348[[#This Row],[L(mm)]])</f>
        <v>3.0479346545176218E-4</v>
      </c>
      <c r="P8" s="110">
        <f>Table112348[[#This Row],[M (KN.mm)]]/(Table112348[[#This Row],[b (mm)]]*Table112348[[#This Row],[d (mm)]]*Table112348[[#This Row],[L(mm)]])</f>
        <v>3.4903205986590367E-4</v>
      </c>
      <c r="Q8" s="110">
        <f>Table112348[[#This Row],[M (KN.mm)]]/(Table112348[[#This Row],[b (mm)]]*Table112348[[#This Row],[h (mm)]]*Table112348[[#This Row],[L(mm)]]*Table112348[[#This Row],[fc (Mpa)]])</f>
        <v>1.1043241501875441E-5</v>
      </c>
      <c r="R8" s="110">
        <f>Table112348[[#This Row],[M (KN.mm)]]/(Table112348[[#This Row],[b (mm)]]*Table112348[[#This Row],[h (mm)]]*Table112348[[#This Row],[L(mm)]]/2)</f>
        <v>6.0958693090352436E-4</v>
      </c>
      <c r="S8" s="110">
        <f>Table112348[[#This Row],[M (KN.mm)]]/(Table112348[[#This Row],[a (mm)]]*Table112348[[#This Row],[b (mm)]]*Table112348[[#This Row],[h (mm)]]*Table112348[[#This Row],[L(mm)]]/2)</f>
        <v>3.9999142447737819E-7</v>
      </c>
      <c r="T8" s="110">
        <f>Table112348[[#This Row],[M (KN.mm)]]/(Table112348[[#This Row],[a (mm)]]^2*Table112348[[#This Row],[b (mm)]]*Table112348[[#This Row],[h (mm)]])</f>
        <v>4.0025388604199596E-7</v>
      </c>
      <c r="U8" s="110">
        <f>Table112348[[#This Row],[M (KN.mm)]]/(Table112348[[#This Row],[b (mm)]]*Table112348[[#This Row],[d (mm)]]*Table112348[[#This Row],[pho (%)]])</f>
        <v>1.3475288387227924</v>
      </c>
      <c r="V8" s="110">
        <f>E8*224.8/(2*SQRT(Table112348[[#This Row],[fc (Mpa)]]*145.037)*Table112348[[#This Row],[b (mm)]]*Table112348[[#This Row],[d (mm)]]*(1/25.4)^2)</f>
        <v>0.80060812283504146</v>
      </c>
      <c r="W8" s="110">
        <f>Table112348[[#This Row],[M (KN.mm)]]/$G$10</f>
        <v>0.63157894736842102</v>
      </c>
      <c r="X8" s="110">
        <f>Table112348[[#This Row],[V/(2*sqrt(fc) bd)]]</f>
        <v>0.80060812283504146</v>
      </c>
      <c r="Y8" s="110">
        <f>Table112348[[#This Row],[a (mm)]]</f>
        <v>1524</v>
      </c>
      <c r="Z8" s="110">
        <f>Table112348[[#This Row],[b (mm)]]*Table112348[[#This Row],[h (mm)]]^2</f>
        <v>334055170.13761365</v>
      </c>
      <c r="AA8" s="110">
        <f>Table112348[[#This Row],[b (mm)]]</f>
        <v>573.02399999999989</v>
      </c>
      <c r="AB8" s="110">
        <f>Table112348[[#This Row],[a]]/Table112348[[#This Row],[h (mm)]]</f>
        <v>1.9960079840319365</v>
      </c>
      <c r="AC8" s="110">
        <f>Table112348[[#This Row],[h (mm)]]</f>
        <v>763.52399999999989</v>
      </c>
      <c r="AD8" s="110">
        <f t="shared" si="4"/>
        <v>1524</v>
      </c>
      <c r="AE8" s="110">
        <f t="shared" si="6"/>
        <v>666.75</v>
      </c>
      <c r="AF8" s="110">
        <f t="shared" si="7"/>
        <v>763.52399999999989</v>
      </c>
      <c r="AG8" s="110">
        <f t="shared" si="5"/>
        <v>573.02399999999989</v>
      </c>
      <c r="AH8" s="7">
        <v>27.6</v>
      </c>
      <c r="AI8" s="110">
        <f>Table112348[[#This Row],[pho (%)]]/100*Table112348[[#This Row],[b (mm)]]*Table112348[[#This Row],[h (mm)]]</f>
        <v>3456.388854950399</v>
      </c>
      <c r="AJ8" s="111">
        <v>0.79</v>
      </c>
      <c r="AK8" s="110">
        <v>663.3</v>
      </c>
      <c r="AL8" s="110">
        <f>(1/3-0.21*(MIN(Table112348[[#This Row],[b (mm)]],AF8)/MAX(Table112348[[#This Row],[b (mm)]],AF8))*(MIN(Table112348[[#This Row],[b (mm)]],AF8)^4/(12*MAX(Table112348[[#This Row],[b (mm)]],AF8)^4)))*MAX(Table112348[[#This Row],[b (mm)]],AF8)*MIN(Table112348[[#This Row],[b (mm)]],AF8)^3</f>
        <v>47288656943.663506</v>
      </c>
      <c r="AM8" s="110">
        <f>Table112348[[#This Row],[b (mm)]]*AF8^3/12</f>
        <v>21254928310.34594</v>
      </c>
      <c r="AN8" s="110">
        <v>3050</v>
      </c>
      <c r="AO8" s="106"/>
      <c r="AP8" s="107"/>
    </row>
    <row r="9" spans="1:44" x14ac:dyDescent="0.3">
      <c r="A9" s="130" t="s">
        <v>172</v>
      </c>
      <c r="B9" s="130" t="s">
        <v>67</v>
      </c>
      <c r="C9" s="130">
        <v>8</v>
      </c>
      <c r="D9" s="130">
        <f>Table112348[[#This Row],[a (mm)]]/Table112348[[#This Row],[d (mm)]]</f>
        <v>2.2857142857142856</v>
      </c>
      <c r="E9" s="2">
        <v>289.12</v>
      </c>
      <c r="F9" s="127">
        <f>Table112348[[#This Row],[d (mm)]]</f>
        <v>666.75</v>
      </c>
      <c r="G9" s="110">
        <f t="shared" si="0"/>
        <v>440618.88</v>
      </c>
      <c r="H9" s="110">
        <f t="shared" si="1"/>
        <v>7.871196886090834E-7</v>
      </c>
      <c r="I9" s="110">
        <f>G9/(Table112348[[#This Row],[b (mm)]]*Table112348[[#This Row],[h]]^2)</f>
        <v>1.3190003310485736E-3</v>
      </c>
      <c r="J9" s="110">
        <f t="shared" si="2"/>
        <v>0.30396727932006551</v>
      </c>
      <c r="K9" s="110">
        <f t="shared" si="3"/>
        <v>1.9471145740238029E-7</v>
      </c>
      <c r="L9" s="110">
        <f>E9/(Table112348[[#This Row],[b (mm)]]*AE9)</f>
        <v>7.5673234764233818E-4</v>
      </c>
      <c r="M9" s="110">
        <f>Table112348[[#This Row],[M (KN.mm)]]/(Table112348[[#This Row],[b (mm)]]*Table112348[[#This Row],[d (mm)]])</f>
        <v>1.1532600978069234</v>
      </c>
      <c r="N9" s="110">
        <f>Table112348[[#This Row],[M (KN.mm)]]/(Table112348[[#This Row],[b (mm)]]*Table112348[[#This Row],[h (mm)]])</f>
        <v>1.007088408763531</v>
      </c>
      <c r="O9" s="110">
        <f>Table112348[[#This Row],[M (KN.mm)]]/(Table112348[[#This Row],[b (mm)]]*Table112348[[#This Row],[h (mm)]]*Table112348[[#This Row],[L(mm)]])</f>
        <v>3.3019292090607572E-4</v>
      </c>
      <c r="P9" s="110">
        <f>Table112348[[#This Row],[M (KN.mm)]]/(Table112348[[#This Row],[b (mm)]]*Table112348[[#This Row],[d (mm)]]*Table112348[[#This Row],[L(mm)]])</f>
        <v>3.78118064854729E-4</v>
      </c>
      <c r="Q9" s="110">
        <f>Table112348[[#This Row],[M (KN.mm)]]/(Table112348[[#This Row],[b (mm)]]*Table112348[[#This Row],[h (mm)]]*Table112348[[#This Row],[L(mm)]]*Table112348[[#This Row],[fc (Mpa)]])</f>
        <v>1.1963511627031728E-5</v>
      </c>
      <c r="R9" s="110">
        <f>Table112348[[#This Row],[M (KN.mm)]]/(Table112348[[#This Row],[b (mm)]]*Table112348[[#This Row],[h (mm)]]*Table112348[[#This Row],[L(mm)]]/2)</f>
        <v>6.6038584181215144E-4</v>
      </c>
      <c r="S9" s="110">
        <f>Table112348[[#This Row],[M (KN.mm)]]/(Table112348[[#This Row],[a (mm)]]*Table112348[[#This Row],[b (mm)]]*Table112348[[#This Row],[h (mm)]]*Table112348[[#This Row],[L(mm)]]/2)</f>
        <v>4.3332404318382639E-7</v>
      </c>
      <c r="T9" s="110">
        <f>Table112348[[#This Row],[M (KN.mm)]]/(Table112348[[#This Row],[a (mm)]]^2*Table112348[[#This Row],[b (mm)]]*Table112348[[#This Row],[h (mm)]])</f>
        <v>4.3360837654549564E-7</v>
      </c>
      <c r="U9" s="110">
        <f>Table112348[[#This Row],[M (KN.mm)]]/(Table112348[[#This Row],[b (mm)]]*Table112348[[#This Row],[d (mm)]]*Table112348[[#This Row],[pho (%)]])</f>
        <v>1.4598229086163585</v>
      </c>
      <c r="V9" s="110">
        <f>E9*224.8/(2*SQRT(Table112348[[#This Row],[fc (Mpa)]]*145.037)*Table112348[[#This Row],[b (mm)]]*Table112348[[#This Row],[d (mm)]]*(1/25.4)^2)</f>
        <v>0.86732546640462826</v>
      </c>
      <c r="W9" s="110">
        <f>Table112348[[#This Row],[M (KN.mm)]]/$G$10</f>
        <v>0.68421052631578938</v>
      </c>
      <c r="X9" s="110">
        <f>Table112348[[#This Row],[V/(2*sqrt(fc) bd)]]</f>
        <v>0.86732546640462826</v>
      </c>
      <c r="Y9" s="110">
        <f>Table112348[[#This Row],[a (mm)]]</f>
        <v>1524</v>
      </c>
      <c r="Z9" s="110">
        <f>Table112348[[#This Row],[b (mm)]]*Table112348[[#This Row],[h (mm)]]^2</f>
        <v>334055170.13761365</v>
      </c>
      <c r="AA9" s="110">
        <f>Table112348[[#This Row],[b (mm)]]</f>
        <v>573.02399999999989</v>
      </c>
      <c r="AB9" s="110">
        <f>Table112348[[#This Row],[a]]/Table112348[[#This Row],[h (mm)]]</f>
        <v>1.9960079840319365</v>
      </c>
      <c r="AC9" s="110">
        <f>Table112348[[#This Row],[h (mm)]]</f>
        <v>763.52399999999989</v>
      </c>
      <c r="AD9" s="110">
        <f t="shared" si="4"/>
        <v>1524</v>
      </c>
      <c r="AE9" s="110">
        <f t="shared" si="6"/>
        <v>666.75</v>
      </c>
      <c r="AF9" s="110">
        <f t="shared" si="7"/>
        <v>763.52399999999989</v>
      </c>
      <c r="AG9" s="110">
        <f t="shared" si="5"/>
        <v>573.02399999999989</v>
      </c>
      <c r="AH9" s="7">
        <v>27.6</v>
      </c>
      <c r="AI9" s="110">
        <f>Table112348[[#This Row],[pho (%)]]/100*Table112348[[#This Row],[b (mm)]]*Table112348[[#This Row],[h (mm)]]</f>
        <v>3456.388854950399</v>
      </c>
      <c r="AJ9" s="111">
        <v>0.79</v>
      </c>
      <c r="AK9" s="110">
        <v>629</v>
      </c>
      <c r="AL9" s="110">
        <f>(1/3-0.21*(MIN(Table112348[[#This Row],[b (mm)]],AF9)/MAX(Table112348[[#This Row],[b (mm)]],AF9))*(MIN(Table112348[[#This Row],[b (mm)]],AF9)^4/(12*MAX(Table112348[[#This Row],[b (mm)]],AF9)^4)))*MAX(Table112348[[#This Row],[b (mm)]],AF9)*MIN(Table112348[[#This Row],[b (mm)]],AF9)^3</f>
        <v>47288656943.663506</v>
      </c>
      <c r="AM9" s="110">
        <f>Table112348[[#This Row],[b (mm)]]*AF9^3/12</f>
        <v>21254928310.34594</v>
      </c>
      <c r="AN9" s="110">
        <v>3050</v>
      </c>
      <c r="AO9" s="106"/>
      <c r="AP9" s="107"/>
    </row>
    <row r="10" spans="1:44" x14ac:dyDescent="0.3">
      <c r="A10" s="130" t="s">
        <v>172</v>
      </c>
      <c r="B10" s="130" t="s">
        <v>68</v>
      </c>
      <c r="C10" s="130">
        <v>9</v>
      </c>
      <c r="D10" s="130">
        <f>Table112348[[#This Row],[a (mm)]]/Table112348[[#This Row],[d (mm)]]</f>
        <v>2.2857142857142856</v>
      </c>
      <c r="E10" s="2">
        <v>422.56000000000006</v>
      </c>
      <c r="F10" s="127">
        <f>Table112348[[#This Row],[d (mm)]]</f>
        <v>666.75</v>
      </c>
      <c r="G10" s="110">
        <f t="shared" si="0"/>
        <v>643981.44000000006</v>
      </c>
      <c r="H10" s="110">
        <f t="shared" si="1"/>
        <v>1.1504056987363528E-6</v>
      </c>
      <c r="I10" s="110">
        <f>G10/(Table112348[[#This Row],[b (mm)]]*Table112348[[#This Row],[h]]^2)</f>
        <v>1.927769714609454E-3</v>
      </c>
      <c r="J10" s="110">
        <f t="shared" si="2"/>
        <v>0.44425986977548043</v>
      </c>
      <c r="K10" s="110">
        <f t="shared" si="3"/>
        <v>2.8457828389578662E-7</v>
      </c>
      <c r="L10" s="110">
        <f>E10/(Table112348[[#This Row],[b (mm)]]*AE10)</f>
        <v>1.1059934311695712E-3</v>
      </c>
      <c r="M10" s="110">
        <f>Table112348[[#This Row],[M (KN.mm)]]/(Table112348[[#This Row],[b (mm)]]*Table112348[[#This Row],[d (mm)]])</f>
        <v>1.6855339891024266</v>
      </c>
      <c r="N10" s="110">
        <f>Table112348[[#This Row],[M (KN.mm)]]/(Table112348[[#This Row],[b (mm)]]*Table112348[[#This Row],[h (mm)]])</f>
        <v>1.4718984435774685</v>
      </c>
      <c r="O10" s="110">
        <f>Table112348[[#This Row],[M (KN.mm)]]/(Table112348[[#This Row],[b (mm)]]*Table112348[[#This Row],[h (mm)]]*Table112348[[#This Row],[L(mm)]])</f>
        <v>4.8258965363195684E-4</v>
      </c>
      <c r="P10" s="110">
        <f>Table112348[[#This Row],[M (KN.mm)]]/(Table112348[[#This Row],[b (mm)]]*Table112348[[#This Row],[d (mm)]]*Table112348[[#This Row],[L(mm)]])</f>
        <v>5.5263409478768083E-4</v>
      </c>
      <c r="Q10" s="110">
        <f>Table112348[[#This Row],[M (KN.mm)]]/(Table112348[[#This Row],[b (mm)]]*Table112348[[#This Row],[h (mm)]]*Table112348[[#This Row],[L(mm)]]*Table112348[[#This Row],[fc (Mpa)]])</f>
        <v>1.7485132377969449E-5</v>
      </c>
      <c r="R10" s="110">
        <f>Table112348[[#This Row],[M (KN.mm)]]/(Table112348[[#This Row],[b (mm)]]*Table112348[[#This Row],[h (mm)]]*Table112348[[#This Row],[L(mm)]]/2)</f>
        <v>9.6517930726391368E-4</v>
      </c>
      <c r="S10" s="110">
        <f>Table112348[[#This Row],[M (KN.mm)]]/(Table112348[[#This Row],[a (mm)]]*Table112348[[#This Row],[b (mm)]]*Table112348[[#This Row],[h (mm)]]*Table112348[[#This Row],[L(mm)]]/2)</f>
        <v>6.3331975542251551E-7</v>
      </c>
      <c r="T10" s="110">
        <f>Table112348[[#This Row],[M (KN.mm)]]/(Table112348[[#This Row],[a (mm)]]^2*Table112348[[#This Row],[b (mm)]]*Table112348[[#This Row],[h (mm)]])</f>
        <v>6.337353195664937E-7</v>
      </c>
      <c r="U10" s="110">
        <f>Table112348[[#This Row],[M (KN.mm)]]/(Table112348[[#This Row],[b (mm)]]*Table112348[[#This Row],[d (mm)]]*Table112348[[#This Row],[pho (%)]])</f>
        <v>2.1335873279777551</v>
      </c>
      <c r="V10" s="110">
        <f>E10*224.8/(2*SQRT(Table112348[[#This Row],[fc (Mpa)]]*145.037)*Table112348[[#This Row],[b (mm)]]*Table112348[[#This Row],[d (mm)]]*(1/25.4)^2)</f>
        <v>1.267629527822149</v>
      </c>
      <c r="W10" s="110">
        <f>Table112348[[#This Row],[M (KN.mm)]]/$G$10</f>
        <v>1</v>
      </c>
      <c r="X10" s="110">
        <f>Table112348[[#This Row],[V/(2*sqrt(fc) bd)]]</f>
        <v>1.267629527822149</v>
      </c>
      <c r="Y10" s="110">
        <f>Table112348[[#This Row],[a (mm)]]</f>
        <v>1524</v>
      </c>
      <c r="Z10" s="110">
        <f>Table112348[[#This Row],[b (mm)]]*Table112348[[#This Row],[h (mm)]]^2</f>
        <v>334055170.13761365</v>
      </c>
      <c r="AA10" s="110">
        <f>Table112348[[#This Row],[b (mm)]]</f>
        <v>573.02399999999989</v>
      </c>
      <c r="AB10" s="110">
        <f>Table112348[[#This Row],[a]]/Table112348[[#This Row],[h (mm)]]</f>
        <v>1.9960079840319365</v>
      </c>
      <c r="AC10" s="110">
        <f>Table112348[[#This Row],[h (mm)]]</f>
        <v>763.52399999999989</v>
      </c>
      <c r="AD10" s="110">
        <f t="shared" si="4"/>
        <v>1524</v>
      </c>
      <c r="AE10" s="110">
        <f t="shared" si="6"/>
        <v>666.75</v>
      </c>
      <c r="AF10" s="110">
        <f t="shared" si="7"/>
        <v>763.52399999999989</v>
      </c>
      <c r="AG10" s="110">
        <f t="shared" si="5"/>
        <v>573.02399999999989</v>
      </c>
      <c r="AH10" s="7">
        <v>27.6</v>
      </c>
      <c r="AI10" s="110">
        <f>Table112348[[#This Row],[pho (%)]]/100*Table112348[[#This Row],[b (mm)]]*Table112348[[#This Row],[h (mm)]]</f>
        <v>3456.388854950399</v>
      </c>
      <c r="AJ10" s="111">
        <v>0.79</v>
      </c>
      <c r="AK10" s="110">
        <v>629</v>
      </c>
      <c r="AL10" s="110">
        <f>(1/3-0.21*(MIN(Table112348[[#This Row],[b (mm)]],AF10)/MAX(Table112348[[#This Row],[b (mm)]],AF10))*(MIN(Table112348[[#This Row],[b (mm)]],AF10)^4/(12*MAX(Table112348[[#This Row],[b (mm)]],AF10)^4)))*MAX(Table112348[[#This Row],[b (mm)]],AF10)*MIN(Table112348[[#This Row],[b (mm)]],AF10)^3</f>
        <v>47288656943.663506</v>
      </c>
      <c r="AM10" s="110">
        <f>Table112348[[#This Row],[b (mm)]]*AF10^3/12</f>
        <v>21254928310.34594</v>
      </c>
      <c r="AN10" s="110">
        <v>3050</v>
      </c>
      <c r="AO10" s="106"/>
      <c r="AP10" s="107"/>
    </row>
    <row r="11" spans="1:44" x14ac:dyDescent="0.3">
      <c r="A11" s="121" t="s">
        <v>173</v>
      </c>
      <c r="B11" s="121" t="s">
        <v>60</v>
      </c>
      <c r="C11" s="121">
        <v>10</v>
      </c>
      <c r="D11" s="130">
        <f>Table112348[[#This Row],[a (mm)]]/Table112348[[#This Row],[d (mm)]]</f>
        <v>2.2857142857142856</v>
      </c>
      <c r="E11" s="2">
        <v>66.72</v>
      </c>
      <c r="F11" s="127">
        <f>Table112348[[#This Row],[d (mm)]]</f>
        <v>666.75</v>
      </c>
      <c r="G11" s="110">
        <f t="shared" si="0"/>
        <v>101681.28</v>
      </c>
      <c r="H11" s="110">
        <f t="shared" si="1"/>
        <v>1.8164300506363462E-7</v>
      </c>
      <c r="I11" s="110">
        <f>G11/(Table112348[[#This Row],[b (mm)]]*Table112348[[#This Row],[h]]^2)</f>
        <v>3.0438469178044005E-4</v>
      </c>
      <c r="J11" s="110">
        <f t="shared" si="2"/>
        <v>7.0146295227707434E-2</v>
      </c>
      <c r="K11" s="110">
        <f t="shared" si="3"/>
        <v>4.4933413246703142E-8</v>
      </c>
      <c r="L11" s="110">
        <f>E11/(Table112348[[#This Row],[b (mm)]]*AE11)</f>
        <v>1.746305417636165E-4</v>
      </c>
      <c r="M11" s="110">
        <f>Table112348[[#This Row],[M (KN.mm)]]/(Table112348[[#This Row],[b (mm)]]*Table112348[[#This Row],[d (mm)]])</f>
        <v>0.26613694564775153</v>
      </c>
      <c r="N11" s="110">
        <f>Table112348[[#This Row],[M (KN.mm)]]/(Table112348[[#This Row],[b (mm)]]*Table112348[[#This Row],[h (mm)]])</f>
        <v>0.23240501740696867</v>
      </c>
      <c r="O11" s="110">
        <f>Table112348[[#This Row],[M (KN.mm)]]/(Table112348[[#This Row],[b (mm)]]*Table112348[[#This Row],[h (mm)]]*Table112348[[#This Row],[L(mm)]])</f>
        <v>7.6198366362940546E-5</v>
      </c>
      <c r="P11" s="110">
        <f>Table112348[[#This Row],[M (KN.mm)]]/(Table112348[[#This Row],[b (mm)]]*Table112348[[#This Row],[d (mm)]]*Table112348[[#This Row],[L(mm)]])</f>
        <v>8.7258014966475918E-5</v>
      </c>
      <c r="Q11" s="110">
        <f>Table112348[[#This Row],[M (KN.mm)]]/(Table112348[[#This Row],[b (mm)]]*Table112348[[#This Row],[h (mm)]]*Table112348[[#This Row],[L(mm)]]*Table112348[[#This Row],[fc (Mpa)]])</f>
        <v>2.455635396807623E-6</v>
      </c>
      <c r="R11" s="110">
        <f>Table112348[[#This Row],[M (KN.mm)]]/(Table112348[[#This Row],[b (mm)]]*Table112348[[#This Row],[h (mm)]]*Table112348[[#This Row],[L(mm)]]/2)</f>
        <v>1.5239673272588109E-4</v>
      </c>
      <c r="S11" s="110">
        <f>Table112348[[#This Row],[M (KN.mm)]]/(Table112348[[#This Row],[a (mm)]]*Table112348[[#This Row],[b (mm)]]*Table112348[[#This Row],[h (mm)]]*Table112348[[#This Row],[L(mm)]]/2)</f>
        <v>9.9997856119344547E-8</v>
      </c>
      <c r="T11" s="110">
        <f>Table112348[[#This Row],[M (KN.mm)]]/(Table112348[[#This Row],[a (mm)]]^2*Table112348[[#This Row],[b (mm)]]*Table112348[[#This Row],[h (mm)]])</f>
        <v>1.0006347151049899E-7</v>
      </c>
      <c r="U11" s="110">
        <f>Table112348[[#This Row],[M (KN.mm)]]/(Table112348[[#This Row],[b (mm)]]*Table112348[[#This Row],[d (mm)]]*Table112348[[#This Row],[pho (%)]])</f>
        <v>0.3368822096806981</v>
      </c>
      <c r="V11" s="110">
        <f>E11*224.8/(2*SQRT(Table112348[[#This Row],[fc (Mpa)]]*145.037)*Table112348[[#This Row],[b (mm)]]*Table112348[[#This Row],[d (mm)]]*(1/25.4)^2)</f>
        <v>0.18876594822233123</v>
      </c>
      <c r="W11" s="110">
        <f>Table112348[[#This Row],[M (KN.mm)]]/$G$23</f>
        <v>0.16393442622950818</v>
      </c>
      <c r="X11" s="110">
        <f>Table112348[[#This Row],[V/(2*sqrt(fc) bd)]]</f>
        <v>0.18876594822233123</v>
      </c>
      <c r="Y11" s="110">
        <f>Table112348[[#This Row],[a (mm)]]</f>
        <v>1524</v>
      </c>
      <c r="Z11" s="110">
        <f>Table112348[[#This Row],[b (mm)]]*Table112348[[#This Row],[h (mm)]]^2</f>
        <v>334055170.13761365</v>
      </c>
      <c r="AA11" s="110">
        <f>Table112348[[#This Row],[b (mm)]]</f>
        <v>573.02399999999989</v>
      </c>
      <c r="AB11" s="110">
        <f>Table112348[[#This Row],[a]]/Table112348[[#This Row],[h (mm)]]</f>
        <v>1.9960079840319365</v>
      </c>
      <c r="AC11" s="110">
        <f>Table112348[[#This Row],[h (mm)]]</f>
        <v>763.52399999999989</v>
      </c>
      <c r="AD11" s="110">
        <f t="shared" si="4"/>
        <v>1524</v>
      </c>
      <c r="AE11" s="110">
        <f t="shared" si="6"/>
        <v>666.75</v>
      </c>
      <c r="AF11" s="110">
        <f t="shared" si="7"/>
        <v>763.52399999999989</v>
      </c>
      <c r="AG11" s="110">
        <f t="shared" si="5"/>
        <v>573.02399999999989</v>
      </c>
      <c r="AH11" s="7">
        <v>31.03</v>
      </c>
      <c r="AI11" s="110">
        <f>Table112348[[#This Row],[pho (%)]]/100*Table112348[[#This Row],[b (mm)]]*Table112348[[#This Row],[h (mm)]]</f>
        <v>3456.388854950399</v>
      </c>
      <c r="AJ11" s="111">
        <v>0.79</v>
      </c>
      <c r="AK11" s="110">
        <v>629</v>
      </c>
      <c r="AL11" s="110">
        <f>(1/3-0.21*(MIN(Table112348[[#This Row],[b (mm)]],AF11)/MAX(Table112348[[#This Row],[b (mm)]],AF11))*(MIN(Table112348[[#This Row],[b (mm)]],AF11)^4/(12*MAX(Table112348[[#This Row],[b (mm)]],AF11)^4)))*MAX(Table112348[[#This Row],[b (mm)]],AF11)*MIN(Table112348[[#This Row],[b (mm)]],AF11)^3</f>
        <v>47288656943.663506</v>
      </c>
      <c r="AM11" s="110">
        <f>Table112348[[#This Row],[b (mm)]]*AF11^3/12</f>
        <v>21254928310.34594</v>
      </c>
      <c r="AN11" s="110">
        <v>3050</v>
      </c>
      <c r="AO11" s="106"/>
      <c r="AP11" s="107"/>
    </row>
    <row r="12" spans="1:44" x14ac:dyDescent="0.3">
      <c r="A12" s="121" t="s">
        <v>173</v>
      </c>
      <c r="B12" s="121" t="s">
        <v>61</v>
      </c>
      <c r="C12" s="121">
        <v>11</v>
      </c>
      <c r="D12" s="130">
        <f>Table112348[[#This Row],[a (mm)]]/Table112348[[#This Row],[d (mm)]]</f>
        <v>2.2857142857142856</v>
      </c>
      <c r="E12" s="2">
        <v>88.960000000000008</v>
      </c>
      <c r="F12" s="127">
        <f>Table112348[[#This Row],[d (mm)]]</f>
        <v>666.75</v>
      </c>
      <c r="G12" s="110">
        <f t="shared" si="0"/>
        <v>135575.04000000001</v>
      </c>
      <c r="H12" s="110">
        <f t="shared" si="1"/>
        <v>2.4219067341817951E-7</v>
      </c>
      <c r="I12" s="110">
        <f>G12/(Table112348[[#This Row],[b (mm)]]*Table112348[[#This Row],[h]]^2)</f>
        <v>4.0584625570725346E-4</v>
      </c>
      <c r="J12" s="110">
        <f t="shared" si="2"/>
        <v>9.3528393636943249E-2</v>
      </c>
      <c r="K12" s="110">
        <f t="shared" si="3"/>
        <v>5.9911217662270861E-8</v>
      </c>
      <c r="L12" s="110">
        <f>E12/(Table112348[[#This Row],[b (mm)]]*AE12)</f>
        <v>2.3284072235148868E-4</v>
      </c>
      <c r="M12" s="110">
        <f>Table112348[[#This Row],[M (KN.mm)]]/(Table112348[[#This Row],[b (mm)]]*Table112348[[#This Row],[d (mm)]])</f>
        <v>0.35484926086366875</v>
      </c>
      <c r="N12" s="110">
        <f>Table112348[[#This Row],[M (KN.mm)]]/(Table112348[[#This Row],[b (mm)]]*Table112348[[#This Row],[h (mm)]])</f>
        <v>0.30987335654262493</v>
      </c>
      <c r="O12" s="110">
        <f>Table112348[[#This Row],[M (KN.mm)]]/(Table112348[[#This Row],[b (mm)]]*Table112348[[#This Row],[h (mm)]]*Table112348[[#This Row],[L(mm)]])</f>
        <v>1.0159782181725407E-4</v>
      </c>
      <c r="P12" s="110">
        <f>Table112348[[#This Row],[M (KN.mm)]]/(Table112348[[#This Row],[b (mm)]]*Table112348[[#This Row],[d (mm)]]*Table112348[[#This Row],[L(mm)]])</f>
        <v>1.1634401995530123E-4</v>
      </c>
      <c r="Q12" s="110">
        <f>Table112348[[#This Row],[M (KN.mm)]]/(Table112348[[#This Row],[b (mm)]]*Table112348[[#This Row],[h (mm)]]*Table112348[[#This Row],[L(mm)]]*Table112348[[#This Row],[fc (Mpa)]])</f>
        <v>3.2741805290768309E-6</v>
      </c>
      <c r="R12" s="110">
        <f>Table112348[[#This Row],[M (KN.mm)]]/(Table112348[[#This Row],[b (mm)]]*Table112348[[#This Row],[h (mm)]]*Table112348[[#This Row],[L(mm)]]/2)</f>
        <v>2.0319564363450814E-4</v>
      </c>
      <c r="S12" s="110">
        <f>Table112348[[#This Row],[M (KN.mm)]]/(Table112348[[#This Row],[a (mm)]]*Table112348[[#This Row],[b (mm)]]*Table112348[[#This Row],[h (mm)]]*Table112348[[#This Row],[L(mm)]]/2)</f>
        <v>1.3333047482579274E-7</v>
      </c>
      <c r="T12" s="110">
        <f>Table112348[[#This Row],[M (KN.mm)]]/(Table112348[[#This Row],[a (mm)]]^2*Table112348[[#This Row],[b (mm)]]*Table112348[[#This Row],[h (mm)]])</f>
        <v>1.3341796201399865E-7</v>
      </c>
      <c r="U12" s="110">
        <f>Table112348[[#This Row],[M (KN.mm)]]/(Table112348[[#This Row],[b (mm)]]*Table112348[[#This Row],[d (mm)]]*Table112348[[#This Row],[pho (%)]])</f>
        <v>0.44917627957426415</v>
      </c>
      <c r="V12" s="110">
        <f>E12*224.8/(2*SQRT(Table112348[[#This Row],[fc (Mpa)]]*145.037)*Table112348[[#This Row],[b (mm)]]*Table112348[[#This Row],[d (mm)]]*(1/25.4)^2)</f>
        <v>0.25168793096310832</v>
      </c>
      <c r="W12" s="110">
        <f>Table112348[[#This Row],[M (KN.mm)]]/$G$23</f>
        <v>0.21857923497267759</v>
      </c>
      <c r="X12" s="110">
        <f>Table112348[[#This Row],[V/(2*sqrt(fc) bd)]]</f>
        <v>0.25168793096310832</v>
      </c>
      <c r="Y12" s="110">
        <f>Table112348[[#This Row],[a (mm)]]</f>
        <v>1524</v>
      </c>
      <c r="Z12" s="110">
        <f>Table112348[[#This Row],[b (mm)]]*Table112348[[#This Row],[h (mm)]]^2</f>
        <v>334055170.13761365</v>
      </c>
      <c r="AA12" s="110">
        <f>Table112348[[#This Row],[b (mm)]]</f>
        <v>573.02399999999989</v>
      </c>
      <c r="AB12" s="110">
        <f>Table112348[[#This Row],[a]]/Table112348[[#This Row],[h (mm)]]</f>
        <v>1.9960079840319365</v>
      </c>
      <c r="AC12" s="110">
        <f>Table112348[[#This Row],[h (mm)]]</f>
        <v>763.52399999999989</v>
      </c>
      <c r="AD12" s="110">
        <f t="shared" si="4"/>
        <v>1524</v>
      </c>
      <c r="AE12" s="110">
        <f t="shared" si="6"/>
        <v>666.75</v>
      </c>
      <c r="AF12" s="110">
        <f t="shared" si="7"/>
        <v>763.52399999999989</v>
      </c>
      <c r="AG12" s="110">
        <f t="shared" si="5"/>
        <v>573.02399999999989</v>
      </c>
      <c r="AH12" s="7">
        <v>31.03</v>
      </c>
      <c r="AI12" s="110">
        <f>Table112348[[#This Row],[pho (%)]]/100*Table112348[[#This Row],[b (mm)]]*Table112348[[#This Row],[h (mm)]]</f>
        <v>3456.388854950399</v>
      </c>
      <c r="AJ12" s="111">
        <v>0.79</v>
      </c>
      <c r="AK12" s="110">
        <v>629</v>
      </c>
      <c r="AL12" s="110">
        <f>(1/3-0.21*(MIN(Table112348[[#This Row],[b (mm)]],AF12)/MAX(Table112348[[#This Row],[b (mm)]],AF12))*(MIN(Table112348[[#This Row],[b (mm)]],AF12)^4/(12*MAX(Table112348[[#This Row],[b (mm)]],AF12)^4)))*MAX(Table112348[[#This Row],[b (mm)]],AF12)*MIN(Table112348[[#This Row],[b (mm)]],AF12)^3</f>
        <v>47288656943.663506</v>
      </c>
      <c r="AM12" s="110">
        <f>Table112348[[#This Row],[b (mm)]]*AF12^3/12</f>
        <v>21254928310.34594</v>
      </c>
      <c r="AN12" s="110">
        <v>3050</v>
      </c>
      <c r="AO12" s="106"/>
      <c r="AP12" s="107"/>
    </row>
    <row r="13" spans="1:44" x14ac:dyDescent="0.3">
      <c r="A13" s="121" t="s">
        <v>173</v>
      </c>
      <c r="B13" s="121" t="s">
        <v>62</v>
      </c>
      <c r="C13" s="121">
        <v>12</v>
      </c>
      <c r="D13" s="130">
        <f>Table112348[[#This Row],[a (mm)]]/Table112348[[#This Row],[d (mm)]]</f>
        <v>2.2857142857142856</v>
      </c>
      <c r="E13" s="2">
        <v>111.20000000000002</v>
      </c>
      <c r="F13" s="127">
        <f>Table112348[[#This Row],[d (mm)]]</f>
        <v>666.75</v>
      </c>
      <c r="G13" s="110">
        <f t="shared" si="0"/>
        <v>169468.80000000002</v>
      </c>
      <c r="H13" s="110">
        <f t="shared" si="1"/>
        <v>3.0273834177272443E-7</v>
      </c>
      <c r="I13" s="110">
        <f>G13/(Table112348[[#This Row],[b (mm)]]*Table112348[[#This Row],[h]]^2)</f>
        <v>5.0730781963406681E-4</v>
      </c>
      <c r="J13" s="110">
        <f t="shared" si="2"/>
        <v>0.11691049204617907</v>
      </c>
      <c r="K13" s="110">
        <f t="shared" si="3"/>
        <v>7.4889022077838586E-8</v>
      </c>
      <c r="L13" s="110">
        <f>E13/(Table112348[[#This Row],[b (mm)]]*AE13)</f>
        <v>2.9105090293936087E-4</v>
      </c>
      <c r="M13" s="110">
        <f>Table112348[[#This Row],[M (KN.mm)]]/(Table112348[[#This Row],[b (mm)]]*Table112348[[#This Row],[d (mm)]])</f>
        <v>0.44356157607958596</v>
      </c>
      <c r="N13" s="110">
        <f>Table112348[[#This Row],[M (KN.mm)]]/(Table112348[[#This Row],[b (mm)]]*Table112348[[#This Row],[h (mm)]])</f>
        <v>0.38734169567828119</v>
      </c>
      <c r="O13" s="110">
        <f>Table112348[[#This Row],[M (KN.mm)]]/(Table112348[[#This Row],[b (mm)]]*Table112348[[#This Row],[h (mm)]]*Table112348[[#This Row],[L(mm)]])</f>
        <v>1.2699727727156758E-4</v>
      </c>
      <c r="P13" s="110">
        <f>Table112348[[#This Row],[M (KN.mm)]]/(Table112348[[#This Row],[b (mm)]]*Table112348[[#This Row],[d (mm)]]*Table112348[[#This Row],[L(mm)]])</f>
        <v>1.4543002494412654E-4</v>
      </c>
      <c r="Q13" s="110">
        <f>Table112348[[#This Row],[M (KN.mm)]]/(Table112348[[#This Row],[b (mm)]]*Table112348[[#This Row],[h (mm)]]*Table112348[[#This Row],[L(mm)]]*Table112348[[#This Row],[fc (Mpa)]])</f>
        <v>4.0927256613460388E-6</v>
      </c>
      <c r="R13" s="110">
        <f>Table112348[[#This Row],[M (KN.mm)]]/(Table112348[[#This Row],[b (mm)]]*Table112348[[#This Row],[h (mm)]]*Table112348[[#This Row],[L(mm)]]/2)</f>
        <v>2.5399455454313516E-4</v>
      </c>
      <c r="S13" s="110">
        <f>Table112348[[#This Row],[M (KN.mm)]]/(Table112348[[#This Row],[a (mm)]]*Table112348[[#This Row],[b (mm)]]*Table112348[[#This Row],[h (mm)]]*Table112348[[#This Row],[L(mm)]]/2)</f>
        <v>1.6666309353224092E-7</v>
      </c>
      <c r="T13" s="110">
        <f>Table112348[[#This Row],[M (KN.mm)]]/(Table112348[[#This Row],[a (mm)]]^2*Table112348[[#This Row],[b (mm)]]*Table112348[[#This Row],[h (mm)]])</f>
        <v>1.6677245251749833E-7</v>
      </c>
      <c r="U13" s="110">
        <f>Table112348[[#This Row],[M (KN.mm)]]/(Table112348[[#This Row],[b (mm)]]*Table112348[[#This Row],[d (mm)]]*Table112348[[#This Row],[pho (%)]])</f>
        <v>0.56147034946783025</v>
      </c>
      <c r="V13" s="110">
        <f>E13*224.8/(2*SQRT(Table112348[[#This Row],[fc (Mpa)]]*145.037)*Table112348[[#This Row],[b (mm)]]*Table112348[[#This Row],[d (mm)]]*(1/25.4)^2)</f>
        <v>0.31460991370388541</v>
      </c>
      <c r="W13" s="110">
        <f>Table112348[[#This Row],[M (KN.mm)]]/$G$23</f>
        <v>0.27322404371584696</v>
      </c>
      <c r="X13" s="110">
        <f>Table112348[[#This Row],[V/(2*sqrt(fc) bd)]]</f>
        <v>0.31460991370388541</v>
      </c>
      <c r="Y13" s="110">
        <f>Table112348[[#This Row],[a (mm)]]</f>
        <v>1524</v>
      </c>
      <c r="Z13" s="110">
        <f>Table112348[[#This Row],[b (mm)]]*Table112348[[#This Row],[h (mm)]]^2</f>
        <v>334055170.13761365</v>
      </c>
      <c r="AA13" s="110">
        <f>Table112348[[#This Row],[b (mm)]]</f>
        <v>573.02399999999989</v>
      </c>
      <c r="AB13" s="110">
        <f>Table112348[[#This Row],[a]]/Table112348[[#This Row],[h (mm)]]</f>
        <v>1.9960079840319365</v>
      </c>
      <c r="AC13" s="110">
        <f>Table112348[[#This Row],[h (mm)]]</f>
        <v>763.52399999999989</v>
      </c>
      <c r="AD13" s="110">
        <f t="shared" si="4"/>
        <v>1524</v>
      </c>
      <c r="AE13" s="110">
        <f t="shared" si="6"/>
        <v>666.75</v>
      </c>
      <c r="AF13" s="110">
        <f t="shared" si="7"/>
        <v>763.52399999999989</v>
      </c>
      <c r="AG13" s="110">
        <f t="shared" si="5"/>
        <v>573.02399999999989</v>
      </c>
      <c r="AH13" s="7">
        <v>31.03</v>
      </c>
      <c r="AI13" s="110">
        <f>Table112348[[#This Row],[pho (%)]]/100*Table112348[[#This Row],[b (mm)]]*Table112348[[#This Row],[h (mm)]]</f>
        <v>3456.388854950399</v>
      </c>
      <c r="AJ13" s="111">
        <v>0.79</v>
      </c>
      <c r="AK13" s="110">
        <v>629</v>
      </c>
      <c r="AL13" s="110">
        <f>(1/3-0.21*(MIN(Table112348[[#This Row],[b (mm)]],AF13)/MAX(Table112348[[#This Row],[b (mm)]],AF13))*(MIN(Table112348[[#This Row],[b (mm)]],AF13)^4/(12*MAX(Table112348[[#This Row],[b (mm)]],AF13)^4)))*MAX(Table112348[[#This Row],[b (mm)]],AF13)*MIN(Table112348[[#This Row],[b (mm)]],AF13)^3</f>
        <v>47288656943.663506</v>
      </c>
      <c r="AM13" s="110">
        <f>Table112348[[#This Row],[b (mm)]]*AF13^3/12</f>
        <v>21254928310.34594</v>
      </c>
      <c r="AN13" s="110">
        <v>3050</v>
      </c>
      <c r="AO13" s="106"/>
      <c r="AP13" s="107"/>
    </row>
    <row r="14" spans="1:44" x14ac:dyDescent="0.3">
      <c r="A14" s="121" t="s">
        <v>173</v>
      </c>
      <c r="B14" s="121" t="s">
        <v>63</v>
      </c>
      <c r="C14" s="121">
        <v>13</v>
      </c>
      <c r="D14" s="130">
        <f>Table112348[[#This Row],[a (mm)]]/Table112348[[#This Row],[d (mm)]]</f>
        <v>2.2857142857142856</v>
      </c>
      <c r="E14" s="2">
        <v>133.44</v>
      </c>
      <c r="F14" s="127">
        <f>Table112348[[#This Row],[d (mm)]]</f>
        <v>666.75</v>
      </c>
      <c r="G14" s="110">
        <f t="shared" si="0"/>
        <v>203362.56</v>
      </c>
      <c r="H14" s="110">
        <f t="shared" si="1"/>
        <v>3.6328601012726924E-7</v>
      </c>
      <c r="I14" s="110">
        <f>G14/(Table112348[[#This Row],[b (mm)]]*Table112348[[#This Row],[h]]^2)</f>
        <v>6.087693835608801E-4</v>
      </c>
      <c r="J14" s="110">
        <f t="shared" si="2"/>
        <v>0.14029259045541487</v>
      </c>
      <c r="K14" s="110">
        <f t="shared" si="3"/>
        <v>8.9866826493406285E-8</v>
      </c>
      <c r="L14" s="110">
        <f>E14/(Table112348[[#This Row],[b (mm)]]*AE14)</f>
        <v>3.49261083527233E-4</v>
      </c>
      <c r="M14" s="110">
        <f>Table112348[[#This Row],[M (KN.mm)]]/(Table112348[[#This Row],[b (mm)]]*Table112348[[#This Row],[d (mm)]])</f>
        <v>0.53227389129550307</v>
      </c>
      <c r="N14" s="110">
        <f>Table112348[[#This Row],[M (KN.mm)]]/(Table112348[[#This Row],[b (mm)]]*Table112348[[#This Row],[h (mm)]])</f>
        <v>0.46481003481393734</v>
      </c>
      <c r="O14" s="110">
        <f>Table112348[[#This Row],[M (KN.mm)]]/(Table112348[[#This Row],[b (mm)]]*Table112348[[#This Row],[h (mm)]]*Table112348[[#This Row],[L(mm)]])</f>
        <v>1.5239673272588109E-4</v>
      </c>
      <c r="P14" s="110">
        <f>Table112348[[#This Row],[M (KN.mm)]]/(Table112348[[#This Row],[b (mm)]]*Table112348[[#This Row],[d (mm)]]*Table112348[[#This Row],[L(mm)]])</f>
        <v>1.7451602993295184E-4</v>
      </c>
      <c r="Q14" s="110">
        <f>Table112348[[#This Row],[M (KN.mm)]]/(Table112348[[#This Row],[b (mm)]]*Table112348[[#This Row],[h (mm)]]*Table112348[[#This Row],[L(mm)]]*Table112348[[#This Row],[fc (Mpa)]])</f>
        <v>4.9112707936152459E-6</v>
      </c>
      <c r="R14" s="110">
        <f>Table112348[[#This Row],[M (KN.mm)]]/(Table112348[[#This Row],[b (mm)]]*Table112348[[#This Row],[h (mm)]]*Table112348[[#This Row],[L(mm)]]/2)</f>
        <v>3.0479346545176218E-4</v>
      </c>
      <c r="S14" s="110">
        <f>Table112348[[#This Row],[M (KN.mm)]]/(Table112348[[#This Row],[a (mm)]]*Table112348[[#This Row],[b (mm)]]*Table112348[[#This Row],[h (mm)]]*Table112348[[#This Row],[L(mm)]]/2)</f>
        <v>1.9999571223868909E-7</v>
      </c>
      <c r="T14" s="110">
        <f>Table112348[[#This Row],[M (KN.mm)]]/(Table112348[[#This Row],[a (mm)]]^2*Table112348[[#This Row],[b (mm)]]*Table112348[[#This Row],[h (mm)]])</f>
        <v>2.0012694302099798E-7</v>
      </c>
      <c r="U14" s="110">
        <f>Table112348[[#This Row],[M (KN.mm)]]/(Table112348[[#This Row],[b (mm)]]*Table112348[[#This Row],[d (mm)]]*Table112348[[#This Row],[pho (%)]])</f>
        <v>0.67376441936139619</v>
      </c>
      <c r="V14" s="110">
        <f>E14*224.8/(2*SQRT(Table112348[[#This Row],[fc (Mpa)]]*145.037)*Table112348[[#This Row],[b (mm)]]*Table112348[[#This Row],[d (mm)]]*(1/25.4)^2)</f>
        <v>0.37753189644466245</v>
      </c>
      <c r="W14" s="110">
        <f>Table112348[[#This Row],[M (KN.mm)]]/$G$23</f>
        <v>0.32786885245901637</v>
      </c>
      <c r="X14" s="110">
        <f>Table112348[[#This Row],[V/(2*sqrt(fc) bd)]]</f>
        <v>0.37753189644466245</v>
      </c>
      <c r="Y14" s="110">
        <f>Table112348[[#This Row],[a (mm)]]</f>
        <v>1524</v>
      </c>
      <c r="Z14" s="110">
        <f>Table112348[[#This Row],[b (mm)]]*Table112348[[#This Row],[h (mm)]]^2</f>
        <v>334055170.13761365</v>
      </c>
      <c r="AA14" s="110">
        <f>Table112348[[#This Row],[b (mm)]]</f>
        <v>573.02399999999989</v>
      </c>
      <c r="AB14" s="110">
        <f>Table112348[[#This Row],[a]]/Table112348[[#This Row],[h (mm)]]</f>
        <v>1.9960079840319365</v>
      </c>
      <c r="AC14" s="110">
        <f>Table112348[[#This Row],[h (mm)]]</f>
        <v>763.52399999999989</v>
      </c>
      <c r="AD14" s="110">
        <f t="shared" si="4"/>
        <v>1524</v>
      </c>
      <c r="AE14" s="110">
        <f t="shared" si="6"/>
        <v>666.75</v>
      </c>
      <c r="AF14" s="110">
        <f t="shared" si="7"/>
        <v>763.52399999999989</v>
      </c>
      <c r="AG14" s="110">
        <f t="shared" si="5"/>
        <v>573.02399999999989</v>
      </c>
      <c r="AH14" s="7">
        <v>31.03</v>
      </c>
      <c r="AI14" s="110">
        <f>Table112348[[#This Row],[pho (%)]]/100*Table112348[[#This Row],[b (mm)]]*Table112348[[#This Row],[h (mm)]]</f>
        <v>3456.388854950399</v>
      </c>
      <c r="AJ14" s="111">
        <v>0.79</v>
      </c>
      <c r="AK14" s="110">
        <v>629</v>
      </c>
      <c r="AL14" s="110">
        <f>(1/3-0.21*(MIN(Table112348[[#This Row],[b (mm)]],AF14)/MAX(Table112348[[#This Row],[b (mm)]],AF14))*(MIN(Table112348[[#This Row],[b (mm)]],AF14)^4/(12*MAX(Table112348[[#This Row],[b (mm)]],AF14)^4)))*MAX(Table112348[[#This Row],[b (mm)]],AF14)*MIN(Table112348[[#This Row],[b (mm)]],AF14)^3</f>
        <v>47288656943.663506</v>
      </c>
      <c r="AM14" s="110">
        <f>Table112348[[#This Row],[b (mm)]]*AF14^3/12</f>
        <v>21254928310.34594</v>
      </c>
      <c r="AN14" s="110">
        <v>3050</v>
      </c>
      <c r="AO14" s="106"/>
      <c r="AP14" s="107"/>
    </row>
    <row r="15" spans="1:44" x14ac:dyDescent="0.3">
      <c r="A15" s="121" t="s">
        <v>173</v>
      </c>
      <c r="B15" s="121" t="s">
        <v>64</v>
      </c>
      <c r="C15" s="121">
        <v>14</v>
      </c>
      <c r="D15" s="130">
        <f>Table112348[[#This Row],[a (mm)]]/Table112348[[#This Row],[d (mm)]]</f>
        <v>2.2857142857142856</v>
      </c>
      <c r="E15" s="2">
        <v>155.68</v>
      </c>
      <c r="F15" s="127">
        <f>Table112348[[#This Row],[d (mm)]]</f>
        <v>666.75</v>
      </c>
      <c r="G15" s="109">
        <f t="shared" si="0"/>
        <v>237256.32000000001</v>
      </c>
      <c r="H15" s="109">
        <f t="shared" si="1"/>
        <v>4.2383367848181416E-7</v>
      </c>
      <c r="I15" s="110">
        <f>G15/(Table112348[[#This Row],[b (mm)]]*Table112348[[#This Row],[h]]^2)</f>
        <v>7.1023094748769351E-4</v>
      </c>
      <c r="J15" s="109">
        <f t="shared" si="2"/>
        <v>0.16367468886465067</v>
      </c>
      <c r="K15" s="109">
        <f t="shared" si="3"/>
        <v>1.0484463090897401E-7</v>
      </c>
      <c r="L15" s="109">
        <f>E15/(Table112348[[#This Row],[b (mm)]]*AE15)</f>
        <v>4.0747126411510518E-4</v>
      </c>
      <c r="M15" s="109">
        <f>Table112348[[#This Row],[M (KN.mm)]]/(Table112348[[#This Row],[b (mm)]]*Table112348[[#This Row],[d (mm)]])</f>
        <v>0.62098620651142022</v>
      </c>
      <c r="N15" s="109">
        <f>Table112348[[#This Row],[M (KN.mm)]]/(Table112348[[#This Row],[b (mm)]]*Table112348[[#This Row],[h (mm)]])</f>
        <v>0.54227837394959366</v>
      </c>
      <c r="O15" s="109">
        <f>Table112348[[#This Row],[M (KN.mm)]]/(Table112348[[#This Row],[b (mm)]]*Table112348[[#This Row],[h (mm)]]*Table112348[[#This Row],[L(mm)]])</f>
        <v>1.777961881801946E-4</v>
      </c>
      <c r="P15" s="109">
        <f>Table112348[[#This Row],[M (KN.mm)]]/(Table112348[[#This Row],[b (mm)]]*Table112348[[#This Row],[d (mm)]]*Table112348[[#This Row],[L(mm)]])</f>
        <v>2.0360203492177716E-4</v>
      </c>
      <c r="Q15" s="109">
        <f>Table112348[[#This Row],[M (KN.mm)]]/(Table112348[[#This Row],[b (mm)]]*Table112348[[#This Row],[h (mm)]]*Table112348[[#This Row],[L(mm)]]*Table112348[[#This Row],[fc (Mpa)]])</f>
        <v>5.7298159258844538E-6</v>
      </c>
      <c r="R15" s="109">
        <f>Table112348[[#This Row],[M (KN.mm)]]/(Table112348[[#This Row],[b (mm)]]*Table112348[[#This Row],[h (mm)]]*Table112348[[#This Row],[L(mm)]]/2)</f>
        <v>3.555923763603892E-4</v>
      </c>
      <c r="S15" s="109">
        <f>Table112348[[#This Row],[M (KN.mm)]]/(Table112348[[#This Row],[a (mm)]]*Table112348[[#This Row],[b (mm)]]*Table112348[[#This Row],[h (mm)]]*Table112348[[#This Row],[L(mm)]]/2)</f>
        <v>2.3332833094513727E-7</v>
      </c>
      <c r="T15" s="109">
        <f>Table112348[[#This Row],[M (KN.mm)]]/(Table112348[[#This Row],[a (mm)]]^2*Table112348[[#This Row],[b (mm)]]*Table112348[[#This Row],[h (mm)]])</f>
        <v>2.3348143352449766E-7</v>
      </c>
      <c r="U15" s="109">
        <f>Table112348[[#This Row],[M (KN.mm)]]/(Table112348[[#This Row],[b (mm)]]*Table112348[[#This Row],[d (mm)]]*Table112348[[#This Row],[pho (%)]])</f>
        <v>0.78605848925496224</v>
      </c>
      <c r="V15" s="110">
        <f>E15*224.8/(2*SQRT(Table112348[[#This Row],[fc (Mpa)]]*145.037)*Table112348[[#This Row],[b (mm)]]*Table112348[[#This Row],[d (mm)]]*(1/25.4)^2)</f>
        <v>0.44045387918543949</v>
      </c>
      <c r="W15" s="110">
        <f>Table112348[[#This Row],[M (KN.mm)]]/$G$23</f>
        <v>0.38251366120218577</v>
      </c>
      <c r="X15" s="110">
        <f>Table112348[[#This Row],[V/(2*sqrt(fc) bd)]]</f>
        <v>0.44045387918543949</v>
      </c>
      <c r="Y15" s="110">
        <f>Table112348[[#This Row],[a (mm)]]</f>
        <v>1524</v>
      </c>
      <c r="Z15" s="110">
        <f>Table112348[[#This Row],[b (mm)]]*Table112348[[#This Row],[h (mm)]]^2</f>
        <v>334055170.13761365</v>
      </c>
      <c r="AA15" s="110">
        <f>Table112348[[#This Row],[b (mm)]]</f>
        <v>573.02399999999989</v>
      </c>
      <c r="AB15" s="110">
        <f>Table112348[[#This Row],[a]]/Table112348[[#This Row],[h (mm)]]</f>
        <v>1.9960079840319365</v>
      </c>
      <c r="AC15" s="110">
        <f>Table112348[[#This Row],[h (mm)]]</f>
        <v>763.52399999999989</v>
      </c>
      <c r="AD15" s="110">
        <f t="shared" si="4"/>
        <v>1524</v>
      </c>
      <c r="AE15" s="110">
        <f t="shared" si="6"/>
        <v>666.75</v>
      </c>
      <c r="AF15" s="110">
        <f t="shared" si="7"/>
        <v>763.52399999999989</v>
      </c>
      <c r="AG15" s="110">
        <f t="shared" si="5"/>
        <v>573.02399999999989</v>
      </c>
      <c r="AH15" s="7">
        <v>31.03</v>
      </c>
      <c r="AI15" s="110">
        <f>Table112348[[#This Row],[pho (%)]]/100*Table112348[[#This Row],[b (mm)]]*Table112348[[#This Row],[h (mm)]]</f>
        <v>3456.388854950399</v>
      </c>
      <c r="AJ15" s="111">
        <v>0.79</v>
      </c>
      <c r="AK15" s="110">
        <v>629</v>
      </c>
      <c r="AL15" s="110">
        <f>(1/3-0.21*(MIN(Table112348[[#This Row],[b (mm)]],AF15)/MAX(Table112348[[#This Row],[b (mm)]],AF15))*(MIN(Table112348[[#This Row],[b (mm)]],AF15)^4/(12*MAX(Table112348[[#This Row],[b (mm)]],AF15)^4)))*MAX(Table112348[[#This Row],[b (mm)]],AF15)*MIN(Table112348[[#This Row],[b (mm)]],AF15)^3</f>
        <v>47288656943.663506</v>
      </c>
      <c r="AM15" s="110">
        <f>Table112348[[#This Row],[b (mm)]]*AF15^3/12</f>
        <v>21254928310.34594</v>
      </c>
      <c r="AN15" s="110">
        <v>3050</v>
      </c>
      <c r="AO15" s="106"/>
      <c r="AP15" s="107"/>
    </row>
    <row r="16" spans="1:44" x14ac:dyDescent="0.3">
      <c r="A16" s="121" t="s">
        <v>173</v>
      </c>
      <c r="B16" s="121" t="s">
        <v>65</v>
      </c>
      <c r="C16" s="121">
        <v>15</v>
      </c>
      <c r="D16" s="130">
        <f>Table112348[[#This Row],[a (mm)]]/Table112348[[#This Row],[d (mm)]]</f>
        <v>2.2857142857142856</v>
      </c>
      <c r="E16" s="2">
        <v>177.92000000000002</v>
      </c>
      <c r="F16" s="127">
        <f>Table112348[[#This Row],[d (mm)]]</f>
        <v>666.75</v>
      </c>
      <c r="G16" s="109">
        <f t="shared" si="0"/>
        <v>271150.08000000002</v>
      </c>
      <c r="H16" s="109">
        <f t="shared" si="1"/>
        <v>4.8438134683635902E-7</v>
      </c>
      <c r="I16" s="110">
        <f>G16/(Table112348[[#This Row],[b (mm)]]*Table112348[[#This Row],[h]]^2)</f>
        <v>8.1169251141450691E-4</v>
      </c>
      <c r="J16" s="109">
        <f t="shared" si="2"/>
        <v>0.1870567872738865</v>
      </c>
      <c r="K16" s="109">
        <f t="shared" si="3"/>
        <v>1.1982243532454172E-7</v>
      </c>
      <c r="L16" s="109">
        <f>E16/(Table112348[[#This Row],[b (mm)]]*AE16)</f>
        <v>4.6568144470297737E-4</v>
      </c>
      <c r="M16" s="109">
        <f>Table112348[[#This Row],[M (KN.mm)]]/(Table112348[[#This Row],[b (mm)]]*Table112348[[#This Row],[d (mm)]])</f>
        <v>0.70969852172733749</v>
      </c>
      <c r="N16" s="109">
        <f>Table112348[[#This Row],[M (KN.mm)]]/(Table112348[[#This Row],[b (mm)]]*Table112348[[#This Row],[h (mm)]])</f>
        <v>0.61974671308524987</v>
      </c>
      <c r="O16" s="109">
        <f>Table112348[[#This Row],[M (KN.mm)]]/(Table112348[[#This Row],[b (mm)]]*Table112348[[#This Row],[h (mm)]]*Table112348[[#This Row],[L(mm)]])</f>
        <v>2.0319564363450814E-4</v>
      </c>
      <c r="P16" s="109">
        <f>Table112348[[#This Row],[M (KN.mm)]]/(Table112348[[#This Row],[b (mm)]]*Table112348[[#This Row],[d (mm)]]*Table112348[[#This Row],[L(mm)]])</f>
        <v>2.3268803991060246E-4</v>
      </c>
      <c r="Q16" s="109">
        <f>Table112348[[#This Row],[M (KN.mm)]]/(Table112348[[#This Row],[b (mm)]]*Table112348[[#This Row],[h (mm)]]*Table112348[[#This Row],[L(mm)]]*Table112348[[#This Row],[fc (Mpa)]])</f>
        <v>6.5483610581536618E-6</v>
      </c>
      <c r="R16" s="109">
        <f>Table112348[[#This Row],[M (KN.mm)]]/(Table112348[[#This Row],[b (mm)]]*Table112348[[#This Row],[h (mm)]]*Table112348[[#This Row],[L(mm)]]/2)</f>
        <v>4.0639128726901628E-4</v>
      </c>
      <c r="S16" s="109">
        <f>Table112348[[#This Row],[M (KN.mm)]]/(Table112348[[#This Row],[a (mm)]]*Table112348[[#This Row],[b (mm)]]*Table112348[[#This Row],[h (mm)]]*Table112348[[#This Row],[L(mm)]]/2)</f>
        <v>2.6666094965158548E-7</v>
      </c>
      <c r="T16" s="109">
        <f>Table112348[[#This Row],[M (KN.mm)]]/(Table112348[[#This Row],[a (mm)]]^2*Table112348[[#This Row],[b (mm)]]*Table112348[[#This Row],[h (mm)]])</f>
        <v>2.6683592402799731E-7</v>
      </c>
      <c r="U16" s="109">
        <f>Table112348[[#This Row],[M (KN.mm)]]/(Table112348[[#This Row],[b (mm)]]*Table112348[[#This Row],[d (mm)]]*Table112348[[#This Row],[pho (%)]])</f>
        <v>0.8983525591485283</v>
      </c>
      <c r="V16" s="110">
        <f>E16*224.8/(2*SQRT(Table112348[[#This Row],[fc (Mpa)]]*145.037)*Table112348[[#This Row],[b (mm)]]*Table112348[[#This Row],[d (mm)]]*(1/25.4)^2)</f>
        <v>0.50337586192621664</v>
      </c>
      <c r="W16" s="110">
        <f>Table112348[[#This Row],[M (KN.mm)]]/$G$23</f>
        <v>0.43715846994535518</v>
      </c>
      <c r="X16" s="110">
        <f>Table112348[[#This Row],[V/(2*sqrt(fc) bd)]]</f>
        <v>0.50337586192621664</v>
      </c>
      <c r="Y16" s="110">
        <f>Table112348[[#This Row],[a (mm)]]</f>
        <v>1524</v>
      </c>
      <c r="Z16" s="110">
        <f>Table112348[[#This Row],[b (mm)]]*Table112348[[#This Row],[h (mm)]]^2</f>
        <v>334055170.13761365</v>
      </c>
      <c r="AA16" s="110">
        <f>Table112348[[#This Row],[b (mm)]]</f>
        <v>573.02399999999989</v>
      </c>
      <c r="AB16" s="110">
        <f>Table112348[[#This Row],[a]]/Table112348[[#This Row],[h (mm)]]</f>
        <v>1.9960079840319365</v>
      </c>
      <c r="AC16" s="110">
        <f>Table112348[[#This Row],[h (mm)]]</f>
        <v>763.52399999999989</v>
      </c>
      <c r="AD16" s="110">
        <f t="shared" si="4"/>
        <v>1524</v>
      </c>
      <c r="AE16" s="110">
        <f t="shared" si="6"/>
        <v>666.75</v>
      </c>
      <c r="AF16" s="110">
        <f t="shared" si="7"/>
        <v>763.52399999999989</v>
      </c>
      <c r="AG16" s="110">
        <f t="shared" si="5"/>
        <v>573.02399999999989</v>
      </c>
      <c r="AH16" s="7">
        <v>31.03</v>
      </c>
      <c r="AI16" s="110">
        <f>Table112348[[#This Row],[pho (%)]]/100*Table112348[[#This Row],[b (mm)]]*Table112348[[#This Row],[h (mm)]]</f>
        <v>3456.388854950399</v>
      </c>
      <c r="AJ16" s="111">
        <v>0.79</v>
      </c>
      <c r="AK16" s="110">
        <v>629</v>
      </c>
      <c r="AL16" s="110">
        <f>(1/3-0.21*(MIN(Table112348[[#This Row],[b (mm)]],AF16)/MAX(Table112348[[#This Row],[b (mm)]],AF16))*(MIN(Table112348[[#This Row],[b (mm)]],AF16)^4/(12*MAX(Table112348[[#This Row],[b (mm)]],AF16)^4)))*MAX(Table112348[[#This Row],[b (mm)]],AF16)*MIN(Table112348[[#This Row],[b (mm)]],AF16)^3</f>
        <v>47288656943.663506</v>
      </c>
      <c r="AM16" s="110">
        <f>Table112348[[#This Row],[b (mm)]]*AF16^3/12</f>
        <v>21254928310.34594</v>
      </c>
      <c r="AN16" s="110">
        <v>3050</v>
      </c>
      <c r="AO16" s="106"/>
      <c r="AP16" s="107"/>
    </row>
    <row r="17" spans="1:51" x14ac:dyDescent="0.3">
      <c r="A17" s="121" t="s">
        <v>173</v>
      </c>
      <c r="B17" s="121" t="s">
        <v>66</v>
      </c>
      <c r="C17" s="121">
        <v>16</v>
      </c>
      <c r="D17" s="130">
        <f>Table112348[[#This Row],[a (mm)]]/Table112348[[#This Row],[d (mm)]]</f>
        <v>2.2857142857142856</v>
      </c>
      <c r="E17" s="2">
        <v>200.16000000000003</v>
      </c>
      <c r="F17" s="127">
        <f>Table112348[[#This Row],[d (mm)]]</f>
        <v>666.75</v>
      </c>
      <c r="G17" s="109">
        <f t="shared" si="0"/>
        <v>305043.84000000003</v>
      </c>
      <c r="H17" s="109">
        <f t="shared" si="1"/>
        <v>5.4492901519090394E-7</v>
      </c>
      <c r="I17" s="110">
        <f>G17/(Table112348[[#This Row],[b (mm)]]*Table112348[[#This Row],[h]]^2)</f>
        <v>9.1315407534132032E-4</v>
      </c>
      <c r="J17" s="109">
        <f t="shared" si="2"/>
        <v>0.2104388856831223</v>
      </c>
      <c r="K17" s="109">
        <f t="shared" si="3"/>
        <v>1.3480023974010945E-7</v>
      </c>
      <c r="L17" s="109">
        <f>E17/(Table112348[[#This Row],[b (mm)]]*AE17)</f>
        <v>5.2389162529084955E-4</v>
      </c>
      <c r="M17" s="109">
        <f>Table112348[[#This Row],[M (KN.mm)]]/(Table112348[[#This Row],[b (mm)]]*Table112348[[#This Row],[d (mm)]])</f>
        <v>0.79841083694325465</v>
      </c>
      <c r="N17" s="109">
        <f>Table112348[[#This Row],[M (KN.mm)]]/(Table112348[[#This Row],[b (mm)]]*Table112348[[#This Row],[h (mm)]])</f>
        <v>0.69721505222090607</v>
      </c>
      <c r="O17" s="109">
        <f>Table112348[[#This Row],[M (KN.mm)]]/(Table112348[[#This Row],[b (mm)]]*Table112348[[#This Row],[h (mm)]]*Table112348[[#This Row],[L(mm)]])</f>
        <v>2.2859509908882165E-4</v>
      </c>
      <c r="P17" s="109">
        <f>Table112348[[#This Row],[M (KN.mm)]]/(Table112348[[#This Row],[b (mm)]]*Table112348[[#This Row],[d (mm)]]*Table112348[[#This Row],[L(mm)]])</f>
        <v>2.6177404489942775E-4</v>
      </c>
      <c r="Q17" s="109">
        <f>Table112348[[#This Row],[M (KN.mm)]]/(Table112348[[#This Row],[b (mm)]]*Table112348[[#This Row],[h (mm)]]*Table112348[[#This Row],[L(mm)]]*Table112348[[#This Row],[fc (Mpa)]])</f>
        <v>7.3669061904228697E-6</v>
      </c>
      <c r="R17" s="109">
        <f>Table112348[[#This Row],[M (KN.mm)]]/(Table112348[[#This Row],[b (mm)]]*Table112348[[#This Row],[h (mm)]]*Table112348[[#This Row],[L(mm)]]/2)</f>
        <v>4.571901981776433E-4</v>
      </c>
      <c r="S17" s="109">
        <f>Table112348[[#This Row],[M (KN.mm)]]/(Table112348[[#This Row],[a (mm)]]*Table112348[[#This Row],[b (mm)]]*Table112348[[#This Row],[h (mm)]]*Table112348[[#This Row],[L(mm)]]/2)</f>
        <v>2.9999356835803368E-7</v>
      </c>
      <c r="T17" s="109">
        <f>Table112348[[#This Row],[M (KN.mm)]]/(Table112348[[#This Row],[a (mm)]]^2*Table112348[[#This Row],[b (mm)]]*Table112348[[#This Row],[h (mm)]])</f>
        <v>3.0019041453149698E-7</v>
      </c>
      <c r="U17" s="109">
        <f>Table112348[[#This Row],[M (KN.mm)]]/(Table112348[[#This Row],[b (mm)]]*Table112348[[#This Row],[d (mm)]]*Table112348[[#This Row],[pho (%)]])</f>
        <v>1.0106466290420943</v>
      </c>
      <c r="V17" s="110">
        <f>E17*224.8/(2*SQRT(Table112348[[#This Row],[fc (Mpa)]]*145.037)*Table112348[[#This Row],[b (mm)]]*Table112348[[#This Row],[d (mm)]]*(1/25.4)^2)</f>
        <v>0.56629784466699373</v>
      </c>
      <c r="W17" s="110">
        <f>Table112348[[#This Row],[M (KN.mm)]]/$G$23</f>
        <v>0.49180327868852458</v>
      </c>
      <c r="X17" s="110">
        <f>Table112348[[#This Row],[V/(2*sqrt(fc) bd)]]</f>
        <v>0.56629784466699373</v>
      </c>
      <c r="Y17" s="110">
        <f>Table112348[[#This Row],[a (mm)]]</f>
        <v>1524</v>
      </c>
      <c r="Z17" s="110">
        <f>Table112348[[#This Row],[b (mm)]]*Table112348[[#This Row],[h (mm)]]^2</f>
        <v>334055170.13761365</v>
      </c>
      <c r="AA17" s="110">
        <f>Table112348[[#This Row],[b (mm)]]</f>
        <v>573.02399999999989</v>
      </c>
      <c r="AB17" s="110">
        <f>Table112348[[#This Row],[a]]/Table112348[[#This Row],[h (mm)]]</f>
        <v>1.9960079840319365</v>
      </c>
      <c r="AC17" s="110">
        <f>Table112348[[#This Row],[h (mm)]]</f>
        <v>763.52399999999989</v>
      </c>
      <c r="AD17" s="110">
        <f t="shared" si="4"/>
        <v>1524</v>
      </c>
      <c r="AE17" s="110">
        <f t="shared" si="6"/>
        <v>666.75</v>
      </c>
      <c r="AF17" s="110">
        <f t="shared" si="7"/>
        <v>763.52399999999989</v>
      </c>
      <c r="AG17" s="110">
        <f t="shared" si="5"/>
        <v>573.02399999999989</v>
      </c>
      <c r="AH17" s="7">
        <v>31.03</v>
      </c>
      <c r="AI17" s="110">
        <f>Table112348[[#This Row],[pho (%)]]/100*Table112348[[#This Row],[b (mm)]]*Table112348[[#This Row],[h (mm)]]</f>
        <v>3456.388854950399</v>
      </c>
      <c r="AJ17" s="111">
        <v>0.79</v>
      </c>
      <c r="AK17" s="110">
        <v>629</v>
      </c>
      <c r="AL17" s="110">
        <f>(1/3-0.21*(MIN(Table112348[[#This Row],[b (mm)]],AF17)/MAX(Table112348[[#This Row],[b (mm)]],AF17))*(MIN(Table112348[[#This Row],[b (mm)]],AF17)^4/(12*MAX(Table112348[[#This Row],[b (mm)]],AF17)^4)))*MAX(Table112348[[#This Row],[b (mm)]],AF17)*MIN(Table112348[[#This Row],[b (mm)]],AF17)^3</f>
        <v>47288656943.663506</v>
      </c>
      <c r="AM17" s="110">
        <f>Table112348[[#This Row],[b (mm)]]*AF17^3/12</f>
        <v>21254928310.34594</v>
      </c>
      <c r="AN17" s="110">
        <v>3050</v>
      </c>
      <c r="AO17" s="106"/>
      <c r="AP17" s="107"/>
    </row>
    <row r="18" spans="1:51" s="129" customFormat="1" x14ac:dyDescent="0.3">
      <c r="A18" s="121" t="s">
        <v>173</v>
      </c>
      <c r="B18" s="121" t="s">
        <v>67</v>
      </c>
      <c r="C18" s="121">
        <v>17</v>
      </c>
      <c r="D18" s="130">
        <f>Table112348[[#This Row],[a (mm)]]/Table112348[[#This Row],[d (mm)]]</f>
        <v>2.2857142857142856</v>
      </c>
      <c r="E18" s="2">
        <v>222.40000000000003</v>
      </c>
      <c r="F18" s="127">
        <f>Table112348[[#This Row],[d (mm)]]</f>
        <v>666.75</v>
      </c>
      <c r="G18" s="110">
        <f t="shared" si="0"/>
        <v>338937.60000000003</v>
      </c>
      <c r="H18" s="110">
        <f t="shared" si="1"/>
        <v>6.0547668354544886E-7</v>
      </c>
      <c r="I18" s="110">
        <f>G18/(Table112348[[#This Row],[b (mm)]]*Table112348[[#This Row],[h]]^2)</f>
        <v>1.0146156392681336E-3</v>
      </c>
      <c r="J18" s="110">
        <f t="shared" si="2"/>
        <v>0.23382098409235813</v>
      </c>
      <c r="K18" s="110">
        <f t="shared" si="3"/>
        <v>1.4977804415567717E-7</v>
      </c>
      <c r="L18" s="132">
        <f>E18/(Table112348[[#This Row],[b (mm)]]*AE18)</f>
        <v>5.8210180587872174E-4</v>
      </c>
      <c r="M18" s="132">
        <f>Table112348[[#This Row],[M (KN.mm)]]/(Table112348[[#This Row],[b (mm)]]*Table112348[[#This Row],[d (mm)]])</f>
        <v>0.88712315215917192</v>
      </c>
      <c r="N18" s="132">
        <f>Table112348[[#This Row],[M (KN.mm)]]/(Table112348[[#This Row],[b (mm)]]*Table112348[[#This Row],[h (mm)]])</f>
        <v>0.77468339135656239</v>
      </c>
      <c r="O18" s="133">
        <f>Table112348[[#This Row],[M (KN.mm)]]/(Table112348[[#This Row],[b (mm)]]*Table112348[[#This Row],[h (mm)]]*Table112348[[#This Row],[L(mm)]])</f>
        <v>2.5399455454313516E-4</v>
      </c>
      <c r="P18" s="133">
        <f>Table112348[[#This Row],[M (KN.mm)]]/(Table112348[[#This Row],[b (mm)]]*Table112348[[#This Row],[d (mm)]]*Table112348[[#This Row],[L(mm)]])</f>
        <v>2.9086004988825308E-4</v>
      </c>
      <c r="Q18" s="133">
        <f>Table112348[[#This Row],[M (KN.mm)]]/(Table112348[[#This Row],[b (mm)]]*Table112348[[#This Row],[h (mm)]]*Table112348[[#This Row],[L(mm)]]*Table112348[[#This Row],[fc (Mpa)]])</f>
        <v>8.1854513226920776E-6</v>
      </c>
      <c r="R18" s="133">
        <f>Table112348[[#This Row],[M (KN.mm)]]/(Table112348[[#This Row],[b (mm)]]*Table112348[[#This Row],[h (mm)]]*Table112348[[#This Row],[L(mm)]]/2)</f>
        <v>5.0798910908627032E-4</v>
      </c>
      <c r="S18" s="133">
        <f>Table112348[[#This Row],[M (KN.mm)]]/(Table112348[[#This Row],[a (mm)]]*Table112348[[#This Row],[b (mm)]]*Table112348[[#This Row],[h (mm)]]*Table112348[[#This Row],[L(mm)]]/2)</f>
        <v>3.3332618706448183E-7</v>
      </c>
      <c r="T18" s="133">
        <f>Table112348[[#This Row],[M (KN.mm)]]/(Table112348[[#This Row],[a (mm)]]^2*Table112348[[#This Row],[b (mm)]]*Table112348[[#This Row],[h (mm)]])</f>
        <v>3.3354490503499666E-7</v>
      </c>
      <c r="U18" s="133">
        <f>Table112348[[#This Row],[M (KN.mm)]]/(Table112348[[#This Row],[b (mm)]]*Table112348[[#This Row],[d (mm)]]*Table112348[[#This Row],[pho (%)]])</f>
        <v>1.1229406989356605</v>
      </c>
      <c r="V18" s="110">
        <f>E18*224.8/(2*SQRT(Table112348[[#This Row],[fc (Mpa)]]*145.037)*Table112348[[#This Row],[b (mm)]]*Table112348[[#This Row],[d (mm)]]*(1/25.4)^2)</f>
        <v>0.62921982740777083</v>
      </c>
      <c r="W18" s="110">
        <f>Table112348[[#This Row],[M (KN.mm)]]/$G$23</f>
        <v>0.54644808743169393</v>
      </c>
      <c r="X18" s="110">
        <f>Table112348[[#This Row],[V/(2*sqrt(fc) bd)]]</f>
        <v>0.62921982740777083</v>
      </c>
      <c r="Y18" s="110">
        <f>Table112348[[#This Row],[a (mm)]]</f>
        <v>1524</v>
      </c>
      <c r="Z18" s="110">
        <f>Table112348[[#This Row],[b (mm)]]*Table112348[[#This Row],[h (mm)]]^2</f>
        <v>334055170.13761365</v>
      </c>
      <c r="AA18" s="110">
        <f>Table112348[[#This Row],[b (mm)]]</f>
        <v>573.02399999999989</v>
      </c>
      <c r="AB18" s="110">
        <f>Table112348[[#This Row],[a]]/Table112348[[#This Row],[h (mm)]]</f>
        <v>1.9960079840319365</v>
      </c>
      <c r="AC18" s="110">
        <f>Table112348[[#This Row],[h (mm)]]</f>
        <v>763.52399999999989</v>
      </c>
      <c r="AD18" s="110">
        <f t="shared" si="4"/>
        <v>1524</v>
      </c>
      <c r="AE18" s="110">
        <f t="shared" si="6"/>
        <v>666.75</v>
      </c>
      <c r="AF18" s="110">
        <f t="shared" si="7"/>
        <v>763.52399999999989</v>
      </c>
      <c r="AG18" s="110">
        <f t="shared" si="5"/>
        <v>573.02399999999989</v>
      </c>
      <c r="AH18" s="7">
        <v>31.03</v>
      </c>
      <c r="AI18" s="110">
        <f>Table112348[[#This Row],[pho (%)]]/100*Table112348[[#This Row],[b (mm)]]*Table112348[[#This Row],[h (mm)]]</f>
        <v>3456.388854950399</v>
      </c>
      <c r="AJ18" s="111">
        <v>0.79</v>
      </c>
      <c r="AK18" s="110">
        <v>629</v>
      </c>
      <c r="AL18" s="132">
        <f>(1/3-0.21*(MIN(Table112348[[#This Row],[b (mm)]],AF18)/MAX(Table112348[[#This Row],[b (mm)]],AF18))*(MIN(Table112348[[#This Row],[b (mm)]],AF18)^4/(12*MAX(Table112348[[#This Row],[b (mm)]],AF18)^4)))*MAX(Table112348[[#This Row],[b (mm)]],AF18)*MIN(Table112348[[#This Row],[b (mm)]],AF18)^3</f>
        <v>47288656943.663506</v>
      </c>
      <c r="AM18" s="132">
        <f>Table112348[[#This Row],[b (mm)]]*AF18^3/12</f>
        <v>21254928310.34594</v>
      </c>
      <c r="AN18" s="110">
        <v>3050</v>
      </c>
      <c r="AO18" s="106"/>
      <c r="AP18" s="128"/>
      <c r="AQ18"/>
      <c r="AR18"/>
      <c r="AX18"/>
      <c r="AY18"/>
    </row>
    <row r="19" spans="1:51" s="129" customFormat="1" x14ac:dyDescent="0.3">
      <c r="A19" s="121" t="s">
        <v>173</v>
      </c>
      <c r="B19" s="121" t="s">
        <v>68</v>
      </c>
      <c r="C19" s="121">
        <v>18</v>
      </c>
      <c r="D19" s="130">
        <f>Table112348[[#This Row],[a (mm)]]/Table112348[[#This Row],[d (mm)]]</f>
        <v>2.2857142857142856</v>
      </c>
      <c r="E19" s="2">
        <v>244.64000000000001</v>
      </c>
      <c r="F19" s="127">
        <f>Table112348[[#This Row],[d (mm)]]</f>
        <v>666.75</v>
      </c>
      <c r="G19" s="110">
        <f t="shared" si="0"/>
        <v>372831.36000000004</v>
      </c>
      <c r="H19" s="110">
        <f t="shared" si="1"/>
        <v>6.6602435189999367E-7</v>
      </c>
      <c r="I19" s="110">
        <f>G19/(Table112348[[#This Row],[b (mm)]]*Table112348[[#This Row],[h]]^2)</f>
        <v>1.116077203194947E-3</v>
      </c>
      <c r="J19" s="110">
        <f t="shared" si="2"/>
        <v>0.25720308250159396</v>
      </c>
      <c r="K19" s="110">
        <f t="shared" si="3"/>
        <v>1.6475584857124487E-7</v>
      </c>
      <c r="L19" s="132">
        <f>E19/(Table112348[[#This Row],[b (mm)]]*AE19)</f>
        <v>6.4031198646659381E-4</v>
      </c>
      <c r="M19" s="132">
        <f>Table112348[[#This Row],[M (KN.mm)]]/(Table112348[[#This Row],[b (mm)]]*Table112348[[#This Row],[d (mm)]])</f>
        <v>0.97583546737508908</v>
      </c>
      <c r="N19" s="132">
        <f>Table112348[[#This Row],[M (KN.mm)]]/(Table112348[[#This Row],[b (mm)]]*Table112348[[#This Row],[h (mm)]])</f>
        <v>0.8521517304922186</v>
      </c>
      <c r="O19" s="133">
        <f>Table112348[[#This Row],[M (KN.mm)]]/(Table112348[[#This Row],[b (mm)]]*Table112348[[#This Row],[h (mm)]]*Table112348[[#This Row],[L(mm)]])</f>
        <v>2.793940099974487E-4</v>
      </c>
      <c r="P19" s="133">
        <f>Table112348[[#This Row],[M (KN.mm)]]/(Table112348[[#This Row],[b (mm)]]*Table112348[[#This Row],[d (mm)]]*Table112348[[#This Row],[L(mm)]])</f>
        <v>3.199460548770784E-4</v>
      </c>
      <c r="Q19" s="133">
        <f>Table112348[[#This Row],[M (KN.mm)]]/(Table112348[[#This Row],[b (mm)]]*Table112348[[#This Row],[h (mm)]]*Table112348[[#This Row],[L(mm)]]*Table112348[[#This Row],[fc (Mpa)]])</f>
        <v>9.0039964549612856E-6</v>
      </c>
      <c r="R19" s="133">
        <f>Table112348[[#This Row],[M (KN.mm)]]/(Table112348[[#This Row],[b (mm)]]*Table112348[[#This Row],[h (mm)]]*Table112348[[#This Row],[L(mm)]]/2)</f>
        <v>5.587880199948974E-4</v>
      </c>
      <c r="S19" s="133">
        <f>Table112348[[#This Row],[M (KN.mm)]]/(Table112348[[#This Row],[a (mm)]]*Table112348[[#This Row],[b (mm)]]*Table112348[[#This Row],[h (mm)]]*Table112348[[#This Row],[L(mm)]]/2)</f>
        <v>3.6665880577093004E-7</v>
      </c>
      <c r="T19" s="133">
        <f>Table112348[[#This Row],[M (KN.mm)]]/(Table112348[[#This Row],[a (mm)]]^2*Table112348[[#This Row],[b (mm)]]*Table112348[[#This Row],[h (mm)]])</f>
        <v>3.6689939553849634E-7</v>
      </c>
      <c r="U19" s="133">
        <f>Table112348[[#This Row],[M (KN.mm)]]/(Table112348[[#This Row],[b (mm)]]*Table112348[[#This Row],[d (mm)]]*Table112348[[#This Row],[pho (%)]])</f>
        <v>1.2352347688292264</v>
      </c>
      <c r="V19" s="110">
        <f>E19*224.8/(2*SQRT(Table112348[[#This Row],[fc (Mpa)]]*145.037)*Table112348[[#This Row],[b (mm)]]*Table112348[[#This Row],[d (mm)]]*(1/25.4)^2)</f>
        <v>0.69214181014854792</v>
      </c>
      <c r="W19" s="110">
        <f>Table112348[[#This Row],[M (KN.mm)]]/$G$23</f>
        <v>0.60109289617486339</v>
      </c>
      <c r="X19" s="110">
        <f>Table112348[[#This Row],[V/(2*sqrt(fc) bd)]]</f>
        <v>0.69214181014854792</v>
      </c>
      <c r="Y19" s="110">
        <f>Table112348[[#This Row],[a (mm)]]</f>
        <v>1524</v>
      </c>
      <c r="Z19" s="110">
        <f>Table112348[[#This Row],[b (mm)]]*Table112348[[#This Row],[h (mm)]]^2</f>
        <v>334055170.13761365</v>
      </c>
      <c r="AA19" s="110">
        <f>Table112348[[#This Row],[b (mm)]]</f>
        <v>573.02399999999989</v>
      </c>
      <c r="AB19" s="110">
        <f>Table112348[[#This Row],[a]]/Table112348[[#This Row],[h (mm)]]</f>
        <v>1.9960079840319365</v>
      </c>
      <c r="AC19" s="110">
        <f>Table112348[[#This Row],[h (mm)]]</f>
        <v>763.52399999999989</v>
      </c>
      <c r="AD19" s="110">
        <f t="shared" si="4"/>
        <v>1524</v>
      </c>
      <c r="AE19" s="110">
        <f t="shared" si="6"/>
        <v>666.75</v>
      </c>
      <c r="AF19" s="110">
        <f t="shared" si="7"/>
        <v>763.52399999999989</v>
      </c>
      <c r="AG19" s="110">
        <f t="shared" si="5"/>
        <v>573.02399999999989</v>
      </c>
      <c r="AH19" s="7">
        <v>31.03</v>
      </c>
      <c r="AI19" s="110">
        <f>Table112348[[#This Row],[pho (%)]]/100*Table112348[[#This Row],[b (mm)]]*Table112348[[#This Row],[h (mm)]]</f>
        <v>3456.388854950399</v>
      </c>
      <c r="AJ19" s="111">
        <v>0.79</v>
      </c>
      <c r="AK19" s="110">
        <v>629</v>
      </c>
      <c r="AL19" s="132">
        <f>(1/3-0.21*(MIN(Table112348[[#This Row],[b (mm)]],AF19)/MAX(Table112348[[#This Row],[b (mm)]],AF19))*(MIN(Table112348[[#This Row],[b (mm)]],AF19)^4/(12*MAX(Table112348[[#This Row],[b (mm)]],AF19)^4)))*MAX(Table112348[[#This Row],[b (mm)]],AF19)*MIN(Table112348[[#This Row],[b (mm)]],AF19)^3</f>
        <v>47288656943.663506</v>
      </c>
      <c r="AM19" s="132">
        <f>Table112348[[#This Row],[b (mm)]]*AF19^3/12</f>
        <v>21254928310.34594</v>
      </c>
      <c r="AN19" s="110">
        <v>3050</v>
      </c>
      <c r="AO19" s="106"/>
      <c r="AP19" s="128"/>
      <c r="AQ19"/>
      <c r="AR19"/>
      <c r="AX19"/>
      <c r="AY19"/>
    </row>
    <row r="20" spans="1:51" s="129" customFormat="1" x14ac:dyDescent="0.3">
      <c r="A20" s="121" t="s">
        <v>173</v>
      </c>
      <c r="B20" s="121" t="s">
        <v>175</v>
      </c>
      <c r="C20" s="121">
        <v>19</v>
      </c>
      <c r="D20" s="130">
        <f>Table112348[[#This Row],[a (mm)]]/Table112348[[#This Row],[d (mm)]]</f>
        <v>2.2857142857142856</v>
      </c>
      <c r="E20" s="2">
        <v>266.88</v>
      </c>
      <c r="F20" s="127">
        <f>Table112348[[#This Row],[d (mm)]]</f>
        <v>666.75</v>
      </c>
      <c r="G20" s="110">
        <f t="shared" si="0"/>
        <v>406725.12</v>
      </c>
      <c r="H20" s="110">
        <f t="shared" si="1"/>
        <v>7.2657202025453848E-7</v>
      </c>
      <c r="I20" s="110">
        <f>G20/(Table112348[[#This Row],[b (mm)]]*Table112348[[#This Row],[h]]^2)</f>
        <v>1.2175387671217602E-3</v>
      </c>
      <c r="J20" s="110">
        <f t="shared" si="2"/>
        <v>0.28058518091082973</v>
      </c>
      <c r="K20" s="110">
        <f t="shared" si="3"/>
        <v>1.7973365298681257E-7</v>
      </c>
      <c r="L20" s="132">
        <f>E20/(Table112348[[#This Row],[b (mm)]]*AE20)</f>
        <v>6.98522167054466E-4</v>
      </c>
      <c r="M20" s="132">
        <f>Table112348[[#This Row],[M (KN.mm)]]/(Table112348[[#This Row],[b (mm)]]*Table112348[[#This Row],[d (mm)]])</f>
        <v>1.0645477825910061</v>
      </c>
      <c r="N20" s="132">
        <f>Table112348[[#This Row],[M (KN.mm)]]/(Table112348[[#This Row],[b (mm)]]*Table112348[[#This Row],[h (mm)]])</f>
        <v>0.92962006962787469</v>
      </c>
      <c r="O20" s="133">
        <f>Table112348[[#This Row],[M (KN.mm)]]/(Table112348[[#This Row],[b (mm)]]*Table112348[[#This Row],[h (mm)]]*Table112348[[#This Row],[L(mm)]])</f>
        <v>3.0479346545176218E-4</v>
      </c>
      <c r="P20" s="133">
        <f>Table112348[[#This Row],[M (KN.mm)]]/(Table112348[[#This Row],[b (mm)]]*Table112348[[#This Row],[d (mm)]]*Table112348[[#This Row],[L(mm)]])</f>
        <v>3.4903205986590367E-4</v>
      </c>
      <c r="Q20" s="133">
        <f>Table112348[[#This Row],[M (KN.mm)]]/(Table112348[[#This Row],[b (mm)]]*Table112348[[#This Row],[h (mm)]]*Table112348[[#This Row],[L(mm)]]*Table112348[[#This Row],[fc (Mpa)]])</f>
        <v>9.8225415872304918E-6</v>
      </c>
      <c r="R20" s="133">
        <f>Table112348[[#This Row],[M (KN.mm)]]/(Table112348[[#This Row],[b (mm)]]*Table112348[[#This Row],[h (mm)]]*Table112348[[#This Row],[L(mm)]]/2)</f>
        <v>6.0958693090352436E-4</v>
      </c>
      <c r="S20" s="133">
        <f>Table112348[[#This Row],[M (KN.mm)]]/(Table112348[[#This Row],[a (mm)]]*Table112348[[#This Row],[b (mm)]]*Table112348[[#This Row],[h (mm)]]*Table112348[[#This Row],[L(mm)]]/2)</f>
        <v>3.9999142447737819E-7</v>
      </c>
      <c r="T20" s="133">
        <f>Table112348[[#This Row],[M (KN.mm)]]/(Table112348[[#This Row],[a (mm)]]^2*Table112348[[#This Row],[b (mm)]]*Table112348[[#This Row],[h (mm)]])</f>
        <v>4.0025388604199596E-7</v>
      </c>
      <c r="U20" s="133">
        <f>Table112348[[#This Row],[M (KN.mm)]]/(Table112348[[#This Row],[b (mm)]]*Table112348[[#This Row],[d (mm)]]*Table112348[[#This Row],[pho (%)]])</f>
        <v>1.3475288387227924</v>
      </c>
      <c r="V20" s="110">
        <f>E20*224.8/(2*SQRT(Table112348[[#This Row],[fc (Mpa)]]*145.037)*Table112348[[#This Row],[b (mm)]]*Table112348[[#This Row],[d (mm)]]*(1/25.4)^2)</f>
        <v>0.7550637928893249</v>
      </c>
      <c r="W20" s="110">
        <f>Table112348[[#This Row],[M (KN.mm)]]/$G$23</f>
        <v>0.65573770491803274</v>
      </c>
      <c r="X20" s="110">
        <f>Table112348[[#This Row],[V/(2*sqrt(fc) bd)]]</f>
        <v>0.7550637928893249</v>
      </c>
      <c r="Y20" s="110">
        <f>Table112348[[#This Row],[a (mm)]]</f>
        <v>1524</v>
      </c>
      <c r="Z20" s="110">
        <f>Table112348[[#This Row],[b (mm)]]*Table112348[[#This Row],[h (mm)]]^2</f>
        <v>334055170.13761365</v>
      </c>
      <c r="AA20" s="110">
        <f>Table112348[[#This Row],[b (mm)]]</f>
        <v>573.02399999999989</v>
      </c>
      <c r="AB20" s="110">
        <f>Table112348[[#This Row],[a]]/Table112348[[#This Row],[h (mm)]]</f>
        <v>1.9960079840319365</v>
      </c>
      <c r="AC20" s="110">
        <f>Table112348[[#This Row],[h (mm)]]</f>
        <v>763.52399999999989</v>
      </c>
      <c r="AD20" s="110">
        <f t="shared" si="4"/>
        <v>1524</v>
      </c>
      <c r="AE20" s="110">
        <f t="shared" si="6"/>
        <v>666.75</v>
      </c>
      <c r="AF20" s="110">
        <f t="shared" si="7"/>
        <v>763.52399999999989</v>
      </c>
      <c r="AG20" s="110">
        <f t="shared" si="5"/>
        <v>573.02399999999989</v>
      </c>
      <c r="AH20" s="7">
        <v>31.03</v>
      </c>
      <c r="AI20" s="110">
        <f>Table112348[[#This Row],[pho (%)]]/100*Table112348[[#This Row],[b (mm)]]*Table112348[[#This Row],[h (mm)]]</f>
        <v>3456.388854950399</v>
      </c>
      <c r="AJ20" s="111">
        <v>0.79</v>
      </c>
      <c r="AK20" s="110">
        <v>629</v>
      </c>
      <c r="AL20" s="132">
        <f>(1/3-0.21*(MIN(Table112348[[#This Row],[b (mm)]],AF20)/MAX(Table112348[[#This Row],[b (mm)]],AF20))*(MIN(Table112348[[#This Row],[b (mm)]],AF20)^4/(12*MAX(Table112348[[#This Row],[b (mm)]],AF20)^4)))*MAX(Table112348[[#This Row],[b (mm)]],AF20)*MIN(Table112348[[#This Row],[b (mm)]],AF20)^3</f>
        <v>47288656943.663506</v>
      </c>
      <c r="AM20" s="132">
        <f>Table112348[[#This Row],[b (mm)]]*AF20^3/12</f>
        <v>21254928310.34594</v>
      </c>
      <c r="AN20" s="110">
        <v>3050</v>
      </c>
      <c r="AO20" s="106"/>
      <c r="AP20" s="128"/>
      <c r="AQ20"/>
      <c r="AR20"/>
      <c r="AX20"/>
      <c r="AY20"/>
    </row>
    <row r="21" spans="1:51" s="129" customFormat="1" x14ac:dyDescent="0.3">
      <c r="A21" s="121" t="s">
        <v>173</v>
      </c>
      <c r="B21" s="121" t="s">
        <v>176</v>
      </c>
      <c r="C21" s="121">
        <v>20</v>
      </c>
      <c r="D21" s="130">
        <f>Table112348[[#This Row],[a (mm)]]/Table112348[[#This Row],[d (mm)]]</f>
        <v>2.2857142857142856</v>
      </c>
      <c r="E21" s="2">
        <v>289.12</v>
      </c>
      <c r="F21" s="127">
        <f>Table112348[[#This Row],[d (mm)]]</f>
        <v>666.75</v>
      </c>
      <c r="G21" s="110">
        <f t="shared" si="0"/>
        <v>440618.88</v>
      </c>
      <c r="H21" s="110">
        <f t="shared" si="1"/>
        <v>7.871196886090834E-7</v>
      </c>
      <c r="I21" s="110">
        <f>G21/(Table112348[[#This Row],[b (mm)]]*Table112348[[#This Row],[h]]^2)</f>
        <v>1.3190003310485736E-3</v>
      </c>
      <c r="J21" s="110">
        <f t="shared" si="2"/>
        <v>0.30396727932006551</v>
      </c>
      <c r="K21" s="110">
        <f t="shared" si="3"/>
        <v>1.9471145740238029E-7</v>
      </c>
      <c r="L21" s="132">
        <f>E21/(Table112348[[#This Row],[b (mm)]]*AE21)</f>
        <v>7.5673234764233818E-4</v>
      </c>
      <c r="M21" s="132">
        <f>Table112348[[#This Row],[M (KN.mm)]]/(Table112348[[#This Row],[b (mm)]]*Table112348[[#This Row],[d (mm)]])</f>
        <v>1.1532600978069234</v>
      </c>
      <c r="N21" s="132">
        <f>Table112348[[#This Row],[M (KN.mm)]]/(Table112348[[#This Row],[b (mm)]]*Table112348[[#This Row],[h (mm)]])</f>
        <v>1.007088408763531</v>
      </c>
      <c r="O21" s="133">
        <f>Table112348[[#This Row],[M (KN.mm)]]/(Table112348[[#This Row],[b (mm)]]*Table112348[[#This Row],[h (mm)]]*Table112348[[#This Row],[L(mm)]])</f>
        <v>3.3019292090607572E-4</v>
      </c>
      <c r="P21" s="133">
        <f>Table112348[[#This Row],[M (KN.mm)]]/(Table112348[[#This Row],[b (mm)]]*Table112348[[#This Row],[d (mm)]]*Table112348[[#This Row],[L(mm)]])</f>
        <v>3.78118064854729E-4</v>
      </c>
      <c r="Q21" s="133">
        <f>Table112348[[#This Row],[M (KN.mm)]]/(Table112348[[#This Row],[b (mm)]]*Table112348[[#This Row],[h (mm)]]*Table112348[[#This Row],[L(mm)]]*Table112348[[#This Row],[fc (Mpa)]])</f>
        <v>1.06410867194997E-5</v>
      </c>
      <c r="R21" s="133">
        <f>Table112348[[#This Row],[M (KN.mm)]]/(Table112348[[#This Row],[b (mm)]]*Table112348[[#This Row],[h (mm)]]*Table112348[[#This Row],[L(mm)]]/2)</f>
        <v>6.6038584181215144E-4</v>
      </c>
      <c r="S21" s="133">
        <f>Table112348[[#This Row],[M (KN.mm)]]/(Table112348[[#This Row],[a (mm)]]*Table112348[[#This Row],[b (mm)]]*Table112348[[#This Row],[h (mm)]]*Table112348[[#This Row],[L(mm)]]/2)</f>
        <v>4.3332404318382639E-7</v>
      </c>
      <c r="T21" s="133">
        <f>Table112348[[#This Row],[M (KN.mm)]]/(Table112348[[#This Row],[a (mm)]]^2*Table112348[[#This Row],[b (mm)]]*Table112348[[#This Row],[h (mm)]])</f>
        <v>4.3360837654549564E-7</v>
      </c>
      <c r="U21" s="133">
        <f>Table112348[[#This Row],[M (KN.mm)]]/(Table112348[[#This Row],[b (mm)]]*Table112348[[#This Row],[d (mm)]]*Table112348[[#This Row],[pho (%)]])</f>
        <v>1.4598229086163585</v>
      </c>
      <c r="V21" s="110">
        <f>E21*224.8/(2*SQRT(Table112348[[#This Row],[fc (Mpa)]]*145.037)*Table112348[[#This Row],[b (mm)]]*Table112348[[#This Row],[d (mm)]]*(1/25.4)^2)</f>
        <v>0.817985775630102</v>
      </c>
      <c r="W21" s="110">
        <f>Table112348[[#This Row],[M (KN.mm)]]/$G$23</f>
        <v>0.71038251366120209</v>
      </c>
      <c r="X21" s="110">
        <f>Table112348[[#This Row],[V/(2*sqrt(fc) bd)]]</f>
        <v>0.817985775630102</v>
      </c>
      <c r="Y21" s="110">
        <f>Table112348[[#This Row],[a (mm)]]</f>
        <v>1524</v>
      </c>
      <c r="Z21" s="110">
        <f>Table112348[[#This Row],[b (mm)]]*Table112348[[#This Row],[h (mm)]]^2</f>
        <v>334055170.13761365</v>
      </c>
      <c r="AA21" s="110">
        <f>Table112348[[#This Row],[b (mm)]]</f>
        <v>573.02399999999989</v>
      </c>
      <c r="AB21" s="110">
        <f>Table112348[[#This Row],[a]]/Table112348[[#This Row],[h (mm)]]</f>
        <v>1.9960079840319365</v>
      </c>
      <c r="AC21" s="110">
        <f>Table112348[[#This Row],[h (mm)]]</f>
        <v>763.52399999999989</v>
      </c>
      <c r="AD21" s="110">
        <f t="shared" si="4"/>
        <v>1524</v>
      </c>
      <c r="AE21" s="110">
        <f t="shared" si="6"/>
        <v>666.75</v>
      </c>
      <c r="AF21" s="110">
        <f t="shared" si="7"/>
        <v>763.52399999999989</v>
      </c>
      <c r="AG21" s="110">
        <f t="shared" si="5"/>
        <v>573.02399999999989</v>
      </c>
      <c r="AH21" s="7">
        <v>31.03</v>
      </c>
      <c r="AI21" s="110">
        <f>Table112348[[#This Row],[pho (%)]]/100*Table112348[[#This Row],[b (mm)]]*Table112348[[#This Row],[h (mm)]]</f>
        <v>3456.388854950399</v>
      </c>
      <c r="AJ21" s="111">
        <v>0.79</v>
      </c>
      <c r="AK21" s="110">
        <v>629</v>
      </c>
      <c r="AL21" s="132">
        <f>(1/3-0.21*(MIN(Table112348[[#This Row],[b (mm)]],AF21)/MAX(Table112348[[#This Row],[b (mm)]],AF21))*(MIN(Table112348[[#This Row],[b (mm)]],AF21)^4/(12*MAX(Table112348[[#This Row],[b (mm)]],AF21)^4)))*MAX(Table112348[[#This Row],[b (mm)]],AF21)*MIN(Table112348[[#This Row],[b (mm)]],AF21)^3</f>
        <v>47288656943.663506</v>
      </c>
      <c r="AM21" s="132">
        <f>Table112348[[#This Row],[b (mm)]]*AF21^3/12</f>
        <v>21254928310.34594</v>
      </c>
      <c r="AN21" s="110">
        <v>3050</v>
      </c>
      <c r="AO21" s="106"/>
      <c r="AP21" s="128"/>
      <c r="AQ21"/>
      <c r="AR21"/>
      <c r="AX21"/>
      <c r="AY21"/>
    </row>
    <row r="22" spans="1:51" s="129" customFormat="1" x14ac:dyDescent="0.3">
      <c r="A22" s="121" t="s">
        <v>173</v>
      </c>
      <c r="B22" s="121" t="s">
        <v>177</v>
      </c>
      <c r="C22" s="121">
        <v>21</v>
      </c>
      <c r="D22" s="130">
        <f>Table112348[[#This Row],[a (mm)]]/Table112348[[#This Row],[d (mm)]]</f>
        <v>2.2857142857142856</v>
      </c>
      <c r="E22" s="2">
        <v>311.36</v>
      </c>
      <c r="F22" s="127">
        <f>Table112348[[#This Row],[d (mm)]]</f>
        <v>666.75</v>
      </c>
      <c r="G22" s="110">
        <f t="shared" si="0"/>
        <v>474512.64000000001</v>
      </c>
      <c r="H22" s="110">
        <f t="shared" si="1"/>
        <v>8.4766735696362831E-7</v>
      </c>
      <c r="I22" s="110">
        <f>G22/(Table112348[[#This Row],[b (mm)]]*Table112348[[#This Row],[h]]^2)</f>
        <v>1.420461894975387E-3</v>
      </c>
      <c r="J22" s="110">
        <f t="shared" si="2"/>
        <v>0.32734937772930134</v>
      </c>
      <c r="K22" s="110">
        <f t="shared" si="3"/>
        <v>2.0968926181794802E-7</v>
      </c>
      <c r="L22" s="132">
        <f>E22/(Table112348[[#This Row],[b (mm)]]*AE22)</f>
        <v>8.1494252823021036E-4</v>
      </c>
      <c r="M22" s="132">
        <f>Table112348[[#This Row],[M (KN.mm)]]/(Table112348[[#This Row],[b (mm)]]*Table112348[[#This Row],[d (mm)]])</f>
        <v>1.2419724130228404</v>
      </c>
      <c r="N22" s="132">
        <f>Table112348[[#This Row],[M (KN.mm)]]/(Table112348[[#This Row],[b (mm)]]*Table112348[[#This Row],[h (mm)]])</f>
        <v>1.0845567478991873</v>
      </c>
      <c r="O22" s="133">
        <f>Table112348[[#This Row],[M (KN.mm)]]/(Table112348[[#This Row],[b (mm)]]*Table112348[[#This Row],[h (mm)]]*Table112348[[#This Row],[L(mm)]])</f>
        <v>3.555923763603892E-4</v>
      </c>
      <c r="P22" s="133">
        <f>Table112348[[#This Row],[M (KN.mm)]]/(Table112348[[#This Row],[b (mm)]]*Table112348[[#This Row],[d (mm)]]*Table112348[[#This Row],[L(mm)]])</f>
        <v>4.0720406984355432E-4</v>
      </c>
      <c r="Q22" s="133">
        <f>Table112348[[#This Row],[M (KN.mm)]]/(Table112348[[#This Row],[b (mm)]]*Table112348[[#This Row],[h (mm)]]*Table112348[[#This Row],[L(mm)]]*Table112348[[#This Row],[fc (Mpa)]])</f>
        <v>1.1459631851768908E-5</v>
      </c>
      <c r="R22" s="133">
        <f>Table112348[[#This Row],[M (KN.mm)]]/(Table112348[[#This Row],[b (mm)]]*Table112348[[#This Row],[h (mm)]]*Table112348[[#This Row],[L(mm)]]/2)</f>
        <v>7.1118475272077841E-4</v>
      </c>
      <c r="S22" s="133">
        <f>Table112348[[#This Row],[M (KN.mm)]]/(Table112348[[#This Row],[a (mm)]]*Table112348[[#This Row],[b (mm)]]*Table112348[[#This Row],[h (mm)]]*Table112348[[#This Row],[L(mm)]]/2)</f>
        <v>4.6665666189027454E-7</v>
      </c>
      <c r="T22" s="133">
        <f>Table112348[[#This Row],[M (KN.mm)]]/(Table112348[[#This Row],[a (mm)]]^2*Table112348[[#This Row],[b (mm)]]*Table112348[[#This Row],[h (mm)]])</f>
        <v>4.6696286704899532E-7</v>
      </c>
      <c r="U22" s="133">
        <f>Table112348[[#This Row],[M (KN.mm)]]/(Table112348[[#This Row],[b (mm)]]*Table112348[[#This Row],[d (mm)]]*Table112348[[#This Row],[pho (%)]])</f>
        <v>1.5721169785099245</v>
      </c>
      <c r="V22" s="110">
        <f>E22*224.8/(2*SQRT(Table112348[[#This Row],[fc (Mpa)]]*145.037)*Table112348[[#This Row],[b (mm)]]*Table112348[[#This Row],[d (mm)]]*(1/25.4)^2)</f>
        <v>0.88090775837087898</v>
      </c>
      <c r="W22" s="110">
        <f>Table112348[[#This Row],[M (KN.mm)]]/$G$23</f>
        <v>0.76502732240437155</v>
      </c>
      <c r="X22" s="110">
        <f>Table112348[[#This Row],[V/(2*sqrt(fc) bd)]]</f>
        <v>0.88090775837087898</v>
      </c>
      <c r="Y22" s="110">
        <f>Table112348[[#This Row],[a (mm)]]</f>
        <v>1524</v>
      </c>
      <c r="Z22" s="110">
        <f>Table112348[[#This Row],[b (mm)]]*Table112348[[#This Row],[h (mm)]]^2</f>
        <v>334055170.13761365</v>
      </c>
      <c r="AA22" s="110">
        <f>Table112348[[#This Row],[b (mm)]]</f>
        <v>573.02399999999989</v>
      </c>
      <c r="AB22" s="110">
        <f>Table112348[[#This Row],[a]]/Table112348[[#This Row],[h (mm)]]</f>
        <v>1.9960079840319365</v>
      </c>
      <c r="AC22" s="110">
        <f>Table112348[[#This Row],[h (mm)]]</f>
        <v>763.52399999999989</v>
      </c>
      <c r="AD22" s="110">
        <f t="shared" si="4"/>
        <v>1524</v>
      </c>
      <c r="AE22" s="110">
        <f t="shared" si="6"/>
        <v>666.75</v>
      </c>
      <c r="AF22" s="110">
        <f t="shared" si="7"/>
        <v>763.52399999999989</v>
      </c>
      <c r="AG22" s="110">
        <f t="shared" si="5"/>
        <v>573.02399999999989</v>
      </c>
      <c r="AH22" s="7">
        <v>31.03</v>
      </c>
      <c r="AI22" s="110">
        <f>Table112348[[#This Row],[pho (%)]]/100*Table112348[[#This Row],[b (mm)]]*Table112348[[#This Row],[h (mm)]]</f>
        <v>3456.388854950399</v>
      </c>
      <c r="AJ22" s="111">
        <v>0.79</v>
      </c>
      <c r="AK22" s="110">
        <v>629</v>
      </c>
      <c r="AL22" s="132">
        <f>(1/3-0.21*(MIN(Table112348[[#This Row],[b (mm)]],AF22)/MAX(Table112348[[#This Row],[b (mm)]],AF22))*(MIN(Table112348[[#This Row],[b (mm)]],AF22)^4/(12*MAX(Table112348[[#This Row],[b (mm)]],AF22)^4)))*MAX(Table112348[[#This Row],[b (mm)]],AF22)*MIN(Table112348[[#This Row],[b (mm)]],AF22)^3</f>
        <v>47288656943.663506</v>
      </c>
      <c r="AM22" s="132">
        <f>Table112348[[#This Row],[b (mm)]]*AF22^3/12</f>
        <v>21254928310.34594</v>
      </c>
      <c r="AN22" s="110">
        <v>3050</v>
      </c>
      <c r="AO22" s="106"/>
      <c r="AP22" s="106"/>
      <c r="AQ22"/>
      <c r="AR22"/>
      <c r="AX22"/>
      <c r="AY22"/>
    </row>
    <row r="23" spans="1:51" s="129" customFormat="1" x14ac:dyDescent="0.3">
      <c r="A23" s="121" t="s">
        <v>173</v>
      </c>
      <c r="B23" s="121" t="s">
        <v>174</v>
      </c>
      <c r="C23" s="121">
        <v>22</v>
      </c>
      <c r="D23" s="130">
        <f>Table112348[[#This Row],[a (mm)]]/Table112348[[#This Row],[d (mm)]]</f>
        <v>2.2857142857142856</v>
      </c>
      <c r="E23" s="2">
        <v>406.99200000000002</v>
      </c>
      <c r="F23" s="127">
        <f>Table112348[[#This Row],[d (mm)]]</f>
        <v>666.75</v>
      </c>
      <c r="G23" s="110">
        <f t="shared" si="0"/>
        <v>620255.80800000008</v>
      </c>
      <c r="H23" s="110">
        <f t="shared" si="1"/>
        <v>1.1080223308881714E-6</v>
      </c>
      <c r="I23" s="110">
        <f>G23/(Table112348[[#This Row],[b (mm)]]*Table112348[[#This Row],[h]]^2)</f>
        <v>1.8567466198606847E-3</v>
      </c>
      <c r="J23" s="110">
        <f t="shared" si="2"/>
        <v>0.42789240088901537</v>
      </c>
      <c r="K23" s="110">
        <f t="shared" si="3"/>
        <v>2.7409382080488917E-7</v>
      </c>
      <c r="L23" s="132">
        <f>E23/(Table112348[[#This Row],[b (mm)]]*AE23)</f>
        <v>1.0652463047580607E-3</v>
      </c>
      <c r="M23" s="132">
        <f>Table112348[[#This Row],[M (KN.mm)]]/(Table112348[[#This Row],[b (mm)]]*Table112348[[#This Row],[d (mm)]])</f>
        <v>1.6234353684512846</v>
      </c>
      <c r="N23" s="132">
        <f>Table112348[[#This Row],[M (KN.mm)]]/(Table112348[[#This Row],[b (mm)]]*Table112348[[#This Row],[h (mm)]])</f>
        <v>1.4176706061825091</v>
      </c>
      <c r="O23" s="133">
        <f>Table112348[[#This Row],[M (KN.mm)]]/(Table112348[[#This Row],[b (mm)]]*Table112348[[#This Row],[h (mm)]]*Table112348[[#This Row],[L(mm)]])</f>
        <v>4.6481003481393739E-4</v>
      </c>
      <c r="P23" s="133">
        <f>Table112348[[#This Row],[M (KN.mm)]]/(Table112348[[#This Row],[b (mm)]]*Table112348[[#This Row],[d (mm)]]*Table112348[[#This Row],[L(mm)]])</f>
        <v>5.3227389129550321E-4</v>
      </c>
      <c r="Q23" s="133">
        <f>Table112348[[#This Row],[M (KN.mm)]]/(Table112348[[#This Row],[b (mm)]]*Table112348[[#This Row],[h (mm)]]*Table112348[[#This Row],[L(mm)]]*Table112348[[#This Row],[fc (Mpa)]])</f>
        <v>1.4979375920526502E-5</v>
      </c>
      <c r="R23" s="133">
        <f>Table112348[[#This Row],[M (KN.mm)]]/(Table112348[[#This Row],[b (mm)]]*Table112348[[#This Row],[h (mm)]]*Table112348[[#This Row],[L(mm)]]/2)</f>
        <v>9.2962006962787479E-4</v>
      </c>
      <c r="S23" s="133">
        <f>Table112348[[#This Row],[M (KN.mm)]]/(Table112348[[#This Row],[a (mm)]]*Table112348[[#This Row],[b (mm)]]*Table112348[[#This Row],[h (mm)]]*Table112348[[#This Row],[L(mm)]]/2)</f>
        <v>6.0998692232800184E-7</v>
      </c>
      <c r="T23" s="133">
        <f>Table112348[[#This Row],[M (KN.mm)]]/(Table112348[[#This Row],[a (mm)]]^2*Table112348[[#This Row],[b (mm)]]*Table112348[[#This Row],[h (mm)]])</f>
        <v>6.1038717621404393E-7</v>
      </c>
      <c r="U23" s="133">
        <f>Table112348[[#This Row],[M (KN.mm)]]/(Table112348[[#This Row],[b (mm)]]*Table112348[[#This Row],[d (mm)]]*Table112348[[#This Row],[pho (%)]])</f>
        <v>2.0549814790522589</v>
      </c>
      <c r="V23" s="110">
        <f>E23*224.8/(2*SQRT(Table112348[[#This Row],[fc (Mpa)]]*145.037)*Table112348[[#This Row],[b (mm)]]*Table112348[[#This Row],[d (mm)]]*(1/25.4)^2)</f>
        <v>1.1514722841562204</v>
      </c>
      <c r="W23" s="110">
        <f>Table112348[[#This Row],[M (KN.mm)]]/$G$23</f>
        <v>1</v>
      </c>
      <c r="X23" s="110">
        <f>Table112348[[#This Row],[V/(2*sqrt(fc) bd)]]</f>
        <v>1.1514722841562204</v>
      </c>
      <c r="Y23" s="110">
        <f>Table112348[[#This Row],[a (mm)]]</f>
        <v>1524</v>
      </c>
      <c r="Z23" s="110">
        <f>Table112348[[#This Row],[b (mm)]]*Table112348[[#This Row],[h (mm)]]^2</f>
        <v>334055170.13761365</v>
      </c>
      <c r="AA23" s="110">
        <f>Table112348[[#This Row],[b (mm)]]</f>
        <v>573.02399999999989</v>
      </c>
      <c r="AB23" s="110">
        <f>Table112348[[#This Row],[a]]/Table112348[[#This Row],[h (mm)]]</f>
        <v>1.9960079840319365</v>
      </c>
      <c r="AC23" s="110">
        <f>Table112348[[#This Row],[h (mm)]]</f>
        <v>763.52399999999989</v>
      </c>
      <c r="AD23" s="110">
        <f t="shared" si="4"/>
        <v>1524</v>
      </c>
      <c r="AE23" s="110">
        <f t="shared" si="6"/>
        <v>666.75</v>
      </c>
      <c r="AF23" s="110">
        <f t="shared" si="7"/>
        <v>763.52399999999989</v>
      </c>
      <c r="AG23" s="110">
        <f t="shared" si="5"/>
        <v>573.02399999999989</v>
      </c>
      <c r="AH23" s="7">
        <v>31.03</v>
      </c>
      <c r="AI23" s="110">
        <f>Table112348[[#This Row],[pho (%)]]/100*Table112348[[#This Row],[b (mm)]]*Table112348[[#This Row],[h (mm)]]</f>
        <v>3456.388854950399</v>
      </c>
      <c r="AJ23" s="111">
        <v>0.79</v>
      </c>
      <c r="AK23" s="110">
        <v>629</v>
      </c>
      <c r="AL23" s="132">
        <f>(1/3-0.21*(MIN(Table112348[[#This Row],[b (mm)]],AF23)/MAX(Table112348[[#This Row],[b (mm)]],AF23))*(MIN(Table112348[[#This Row],[b (mm)]],AF23)^4/(12*MAX(Table112348[[#This Row],[b (mm)]],AF23)^4)))*MAX(Table112348[[#This Row],[b (mm)]],AF23)*MIN(Table112348[[#This Row],[b (mm)]],AF23)^3</f>
        <v>47288656943.663506</v>
      </c>
      <c r="AM23" s="132">
        <f>Table112348[[#This Row],[b (mm)]]*AF23^3/12</f>
        <v>21254928310.34594</v>
      </c>
      <c r="AN23" s="110">
        <v>3050</v>
      </c>
      <c r="AO23" s="106"/>
      <c r="AP23" s="106"/>
      <c r="AQ23"/>
      <c r="AR23"/>
      <c r="AX23"/>
      <c r="AY23"/>
    </row>
    <row r="24" spans="1:51" s="129" customFormat="1" x14ac:dyDescent="0.3">
      <c r="A24" s="117" t="s">
        <v>178</v>
      </c>
      <c r="B24" s="117" t="s">
        <v>60</v>
      </c>
      <c r="C24" s="117">
        <v>23</v>
      </c>
      <c r="D24" s="130">
        <f>Table112348[[#This Row],[a (mm)]]/Table112348[[#This Row],[d (mm)]]</f>
        <v>2.2857142857142856</v>
      </c>
      <c r="E24" s="2">
        <v>20.016000000000002</v>
      </c>
      <c r="F24" s="127">
        <f>Table112348[[#This Row],[d (mm)]]</f>
        <v>266.7</v>
      </c>
      <c r="G24" s="110">
        <f t="shared" si="0"/>
        <v>12201.7536</v>
      </c>
      <c r="H24" s="110">
        <f t="shared" si="1"/>
        <v>1.4812883525603481E-6</v>
      </c>
      <c r="I24" s="110">
        <f>G24/(Table112348[[#This Row],[b (mm)]]*Table112348[[#This Row],[h]]^2)</f>
        <v>7.4814014275853286E-4</v>
      </c>
      <c r="J24" s="110">
        <f t="shared" si="2"/>
        <v>0.16290359250949166</v>
      </c>
      <c r="K24" s="110">
        <f t="shared" si="3"/>
        <v>5.1583573882848657E-7</v>
      </c>
      <c r="L24" s="132">
        <f>E24/(Table112348[[#This Row],[b (mm)]]*AE24)</f>
        <v>2.4369061992910444E-4</v>
      </c>
      <c r="M24" s="132">
        <f>Table112348[[#This Row],[M (KN.mm)]]/(Table112348[[#This Row],[b (mm)]]*Table112348[[#This Row],[d (mm)]])</f>
        <v>0.14855380190878206</v>
      </c>
      <c r="N24" s="132">
        <f>Table112348[[#This Row],[M (KN.mm)]]/(Table112348[[#This Row],[b (mm)]]*Table112348[[#This Row],[h (mm)]])</f>
        <v>0.1721650022121646</v>
      </c>
      <c r="O24" s="133">
        <f>Table112348[[#This Row],[M (KN.mm)]]/(Table112348[[#This Row],[b (mm)]]*Table112348[[#This Row],[h (mm)]]*Table112348[[#This Row],[L(mm)]])</f>
        <v>1.4111885427226607E-4</v>
      </c>
      <c r="P24" s="133">
        <f>Table112348[[#This Row],[M (KN.mm)]]/(Table112348[[#This Row],[b (mm)]]*Table112348[[#This Row],[d (mm)]]*Table112348[[#This Row],[L(mm)]])</f>
        <v>1.2176541140064104E-4</v>
      </c>
      <c r="Q24" s="133">
        <f>Table112348[[#This Row],[M (KN.mm)]]/(Table112348[[#This Row],[b (mm)]]*Table112348[[#This Row],[h (mm)]]*Table112348[[#This Row],[L(mm)]]*Table112348[[#This Row],[fc (Mpa)]])</f>
        <v>4.65124766882881E-6</v>
      </c>
      <c r="R24" s="133">
        <f>Table112348[[#This Row],[M (KN.mm)]]/(Table112348[[#This Row],[b (mm)]]*Table112348[[#This Row],[h (mm)]]*Table112348[[#This Row],[L(mm)]]/2)</f>
        <v>2.8223770854453214E-4</v>
      </c>
      <c r="S24" s="133">
        <f>Table112348[[#This Row],[M (KN.mm)]]/(Table112348[[#This Row],[a (mm)]]*Table112348[[#This Row],[b (mm)]]*Table112348[[#This Row],[h (mm)]]*Table112348[[#This Row],[L(mm)]]/2)</f>
        <v>4.6298836703499379E-7</v>
      </c>
      <c r="T24" s="133">
        <f>Table112348[[#This Row],[M (KN.mm)]]/(Table112348[[#This Row],[a (mm)]]^2*Table112348[[#This Row],[b (mm)]]*Table112348[[#This Row],[h (mm)]])</f>
        <v>4.6329216517609289E-7</v>
      </c>
      <c r="U24" s="133">
        <f>Table112348[[#This Row],[M (KN.mm)]]/(Table112348[[#This Row],[b (mm)]]*Table112348[[#This Row],[d (mm)]]*Table112348[[#This Row],[pho (%)]])</f>
        <v>0.23579968556949535</v>
      </c>
      <c r="V24" s="110">
        <f>E24*224.8/(2*SQRT(Table112348[[#This Row],[fc (Mpa)]]*145.037)*Table112348[[#This Row],[b (mm)]]*Table112348[[#This Row],[d (mm)]]*(1/25.4)^2)</f>
        <v>0.26639456800250316</v>
      </c>
      <c r="W24" s="110">
        <f>Table112348[[#This Row],[M (KN.mm)]]/$G$29</f>
        <v>0.33333333333333337</v>
      </c>
      <c r="X24" s="110">
        <f>Table112348[[#This Row],[V/(2*sqrt(fc) bd)]]</f>
        <v>0.26639456800250316</v>
      </c>
      <c r="Y24" s="110">
        <f>Table112348[[#This Row],[a (mm)]]</f>
        <v>609.59999999999991</v>
      </c>
      <c r="Z24" s="110">
        <f>Table112348[[#This Row],[b (mm)]]*Table112348[[#This Row],[h (mm)]]^2</f>
        <v>16309449.129423598</v>
      </c>
      <c r="AA24" s="110">
        <f>Table112348[[#This Row],[b (mm)]]</f>
        <v>307.97499999999997</v>
      </c>
      <c r="AB24" s="110">
        <f>Table112348[[#This Row],[a]]/Table112348[[#This Row],[h (mm)]]</f>
        <v>2.6490066225165561</v>
      </c>
      <c r="AC24" s="110">
        <f>Table112348[[#This Row],[h (mm)]]</f>
        <v>230.124</v>
      </c>
      <c r="AD24" s="110">
        <f t="shared" ref="AD24:AD30" si="8">24*25.4</f>
        <v>609.59999999999991</v>
      </c>
      <c r="AE24" s="110">
        <f t="shared" ref="AE24:AE30" si="9">10.5*25.4</f>
        <v>266.7</v>
      </c>
      <c r="AF24" s="110">
        <f t="shared" ref="AF24:AF29" si="10">9.06*25.4</f>
        <v>230.124</v>
      </c>
      <c r="AG24" s="134">
        <f t="shared" ref="AG24:AG29" si="11">12.125*25.4</f>
        <v>307.97499999999997</v>
      </c>
      <c r="AH24" s="7">
        <v>30.34</v>
      </c>
      <c r="AI24" s="110">
        <f>Table112348[[#This Row],[pho (%)]]/100*Table112348[[#This Row],[b (mm)]]*Table112348[[#This Row],[h (mm)]]</f>
        <v>446.49636506999997</v>
      </c>
      <c r="AJ24" s="135">
        <v>0.63</v>
      </c>
      <c r="AK24" s="110">
        <v>629</v>
      </c>
      <c r="AL24" s="132">
        <f>(1/3-0.21*(MIN(Table112348[[#This Row],[b (mm)]],AF24)/MAX(Table112348[[#This Row],[b (mm)]],AF24))*(MIN(Table112348[[#This Row],[b (mm)]],AF24)^4/(12*MAX(Table112348[[#This Row],[b (mm)]],AF24)^4)))*MAX(Table112348[[#This Row],[b (mm)]],AF24)*MIN(Table112348[[#This Row],[b (mm)]],AF24)^3</f>
        <v>1235765925.6938643</v>
      </c>
      <c r="AM24" s="132">
        <f>Table112348[[#This Row],[b (mm)]]*AF24^3/12</f>
        <v>312766305.95495635</v>
      </c>
      <c r="AN24" s="132">
        <v>1220</v>
      </c>
      <c r="AO24" s="106"/>
      <c r="AP24" s="106"/>
      <c r="AQ24"/>
      <c r="AR24"/>
      <c r="AX24"/>
      <c r="AY24"/>
    </row>
    <row r="25" spans="1:51" s="129" customFormat="1" x14ac:dyDescent="0.3">
      <c r="A25" s="117" t="s">
        <v>178</v>
      </c>
      <c r="B25" s="117" t="s">
        <v>61</v>
      </c>
      <c r="C25" s="117">
        <v>24</v>
      </c>
      <c r="D25" s="130">
        <f>Table112348[[#This Row],[a (mm)]]/Table112348[[#This Row],[d (mm)]]</f>
        <v>2.2857142857142856</v>
      </c>
      <c r="E25" s="2">
        <v>22.240000000000002</v>
      </c>
      <c r="F25" s="127">
        <f>Table112348[[#This Row],[d (mm)]]</f>
        <v>266.7</v>
      </c>
      <c r="G25" s="110">
        <f t="shared" si="0"/>
        <v>13557.503999999999</v>
      </c>
      <c r="H25" s="110">
        <f t="shared" si="1"/>
        <v>1.6458759472892754E-6</v>
      </c>
      <c r="I25" s="110">
        <f>G25/(Table112348[[#This Row],[b (mm)]]*Table112348[[#This Row],[h]]^2)</f>
        <v>8.3126682528725866E-4</v>
      </c>
      <c r="J25" s="110">
        <f t="shared" si="2"/>
        <v>0.17859060512151675</v>
      </c>
      <c r="K25" s="110">
        <f t="shared" si="3"/>
        <v>5.7315082092054056E-7</v>
      </c>
      <c r="L25" s="132">
        <f>E25/(Table112348[[#This Row],[b (mm)]]*AE25)</f>
        <v>2.7076735547678271E-4</v>
      </c>
      <c r="M25" s="132">
        <f>Table112348[[#This Row],[M (KN.mm)]]/(Table112348[[#This Row],[b (mm)]]*Table112348[[#This Row],[d (mm)]])</f>
        <v>0.1650597798986467</v>
      </c>
      <c r="N25" s="132">
        <f>Table112348[[#This Row],[M (KN.mm)]]/(Table112348[[#This Row],[b (mm)]]*Table112348[[#This Row],[h (mm)]])</f>
        <v>0.1912944469024051</v>
      </c>
      <c r="O25" s="133">
        <f>Table112348[[#This Row],[M (KN.mm)]]/(Table112348[[#This Row],[b (mm)]]*Table112348[[#This Row],[h (mm)]]*Table112348[[#This Row],[L(mm)]])</f>
        <v>1.5679872696918452E-4</v>
      </c>
      <c r="P25" s="133">
        <f>Table112348[[#This Row],[M (KN.mm)]]/(Table112348[[#This Row],[b (mm)]]*Table112348[[#This Row],[d (mm)]]*Table112348[[#This Row],[L(mm)]])</f>
        <v>1.3529490155626779E-4</v>
      </c>
      <c r="Q25" s="133">
        <f>Table112348[[#This Row],[M (KN.mm)]]/(Table112348[[#This Row],[b (mm)]]*Table112348[[#This Row],[h (mm)]]*Table112348[[#This Row],[L(mm)]]*Table112348[[#This Row],[fc (Mpa)]])</f>
        <v>5.168052965365344E-6</v>
      </c>
      <c r="R25" s="133">
        <f>Table112348[[#This Row],[M (KN.mm)]]/(Table112348[[#This Row],[b (mm)]]*Table112348[[#This Row],[h (mm)]]*Table112348[[#This Row],[L(mm)]]/2)</f>
        <v>3.1359745393836903E-4</v>
      </c>
      <c r="S25" s="133">
        <f>Table112348[[#This Row],[M (KN.mm)]]/(Table112348[[#This Row],[a (mm)]]*Table112348[[#This Row],[b (mm)]]*Table112348[[#This Row],[h (mm)]]*Table112348[[#This Row],[L(mm)]]/2)</f>
        <v>5.1443151892777084E-7</v>
      </c>
      <c r="T25" s="133">
        <f>Table112348[[#This Row],[M (KN.mm)]]/(Table112348[[#This Row],[a (mm)]]^2*Table112348[[#This Row],[b (mm)]]*Table112348[[#This Row],[h (mm)]])</f>
        <v>5.1476907241788092E-7</v>
      </c>
      <c r="U25" s="133">
        <f>Table112348[[#This Row],[M (KN.mm)]]/(Table112348[[#This Row],[b (mm)]]*Table112348[[#This Row],[d (mm)]]*Table112348[[#This Row],[pho (%)]])</f>
        <v>0.26199965063277258</v>
      </c>
      <c r="V25" s="110">
        <f>E25*224.8/(2*SQRT(Table112348[[#This Row],[fc (Mpa)]]*145.037)*Table112348[[#This Row],[b (mm)]]*Table112348[[#This Row],[d (mm)]]*(1/25.4)^2)</f>
        <v>0.29599396444722575</v>
      </c>
      <c r="W25" s="110">
        <f>Table112348[[#This Row],[M (KN.mm)]]/$G$29</f>
        <v>0.37037037037037041</v>
      </c>
      <c r="X25" s="110">
        <f>Table112348[[#This Row],[V/(2*sqrt(fc) bd)]]</f>
        <v>0.29599396444722575</v>
      </c>
      <c r="Y25" s="110">
        <f>Table112348[[#This Row],[a (mm)]]</f>
        <v>609.59999999999991</v>
      </c>
      <c r="Z25" s="110">
        <f>Table112348[[#This Row],[b (mm)]]*Table112348[[#This Row],[h (mm)]]^2</f>
        <v>16309449.129423598</v>
      </c>
      <c r="AA25" s="110">
        <f>Table112348[[#This Row],[b (mm)]]</f>
        <v>307.97499999999997</v>
      </c>
      <c r="AB25" s="110">
        <f>Table112348[[#This Row],[a]]/Table112348[[#This Row],[h (mm)]]</f>
        <v>2.6490066225165561</v>
      </c>
      <c r="AC25" s="110">
        <f>Table112348[[#This Row],[h (mm)]]</f>
        <v>230.124</v>
      </c>
      <c r="AD25" s="110">
        <f t="shared" si="8"/>
        <v>609.59999999999991</v>
      </c>
      <c r="AE25" s="110">
        <f t="shared" si="9"/>
        <v>266.7</v>
      </c>
      <c r="AF25" s="110">
        <f t="shared" si="10"/>
        <v>230.124</v>
      </c>
      <c r="AG25" s="134">
        <f t="shared" si="11"/>
        <v>307.97499999999997</v>
      </c>
      <c r="AH25" s="7">
        <v>30.34</v>
      </c>
      <c r="AI25" s="110">
        <f>Table112348[[#This Row],[pho (%)]]/100*Table112348[[#This Row],[b (mm)]]*Table112348[[#This Row],[h (mm)]]</f>
        <v>446.49636506999997</v>
      </c>
      <c r="AJ25" s="135">
        <v>0.63</v>
      </c>
      <c r="AK25" s="110">
        <v>637.5</v>
      </c>
      <c r="AL25" s="132">
        <f>(1/3-0.21*(MIN(Table112348[[#This Row],[b (mm)]],AF25)/MAX(Table112348[[#This Row],[b (mm)]],AF25))*(MIN(Table112348[[#This Row],[b (mm)]],AF25)^4/(12*MAX(Table112348[[#This Row],[b (mm)]],AF25)^4)))*MAX(Table112348[[#This Row],[b (mm)]],AF25)*MIN(Table112348[[#This Row],[b (mm)]],AF25)^3</f>
        <v>1235765925.6938643</v>
      </c>
      <c r="AM25" s="132">
        <f>Table112348[[#This Row],[b (mm)]]*AF25^3/12</f>
        <v>312766305.95495635</v>
      </c>
      <c r="AN25" s="132">
        <v>1220</v>
      </c>
      <c r="AO25" s="106"/>
      <c r="AP25" s="106"/>
      <c r="AQ25"/>
      <c r="AR25"/>
      <c r="AX25"/>
      <c r="AY25"/>
    </row>
    <row r="26" spans="1:51" s="129" customFormat="1" x14ac:dyDescent="0.3">
      <c r="A26" s="117" t="s">
        <v>178</v>
      </c>
      <c r="B26" s="117" t="s">
        <v>62</v>
      </c>
      <c r="C26" s="117">
        <v>25</v>
      </c>
      <c r="D26" s="130">
        <f>Table112348[[#This Row],[a (mm)]]/Table112348[[#This Row],[d (mm)]]</f>
        <v>2.2857142857142856</v>
      </c>
      <c r="E26" s="2">
        <v>40.032000000000004</v>
      </c>
      <c r="F26" s="127">
        <f>Table112348[[#This Row],[d (mm)]]</f>
        <v>266.7</v>
      </c>
      <c r="G26" s="110">
        <f t="shared" si="0"/>
        <v>24403.5072</v>
      </c>
      <c r="H26" s="110">
        <f t="shared" si="1"/>
        <v>2.9625767051206962E-6</v>
      </c>
      <c r="I26" s="110">
        <f>G26/(Table112348[[#This Row],[b (mm)]]*Table112348[[#This Row],[h]]^2)</f>
        <v>1.4962802855170657E-3</v>
      </c>
      <c r="J26" s="110">
        <f t="shared" si="2"/>
        <v>0.32146308921873018</v>
      </c>
      <c r="K26" s="110">
        <f t="shared" si="3"/>
        <v>1.0316714776569731E-6</v>
      </c>
      <c r="L26" s="132">
        <f>E26/(Table112348[[#This Row],[b (mm)]]*AE26)</f>
        <v>4.8738123985820887E-4</v>
      </c>
      <c r="M26" s="132">
        <f>Table112348[[#This Row],[M (KN.mm)]]/(Table112348[[#This Row],[b (mm)]]*Table112348[[#This Row],[d (mm)]])</f>
        <v>0.29710760381756413</v>
      </c>
      <c r="N26" s="132">
        <f>Table112348[[#This Row],[M (KN.mm)]]/(Table112348[[#This Row],[b (mm)]]*Table112348[[#This Row],[h (mm)]])</f>
        <v>0.34433000442432921</v>
      </c>
      <c r="O26" s="133">
        <f>Table112348[[#This Row],[M (KN.mm)]]/(Table112348[[#This Row],[b (mm)]]*Table112348[[#This Row],[h (mm)]]*Table112348[[#This Row],[L(mm)]])</f>
        <v>2.8223770854453214E-4</v>
      </c>
      <c r="P26" s="133">
        <f>Table112348[[#This Row],[M (KN.mm)]]/(Table112348[[#This Row],[b (mm)]]*Table112348[[#This Row],[d (mm)]]*Table112348[[#This Row],[L(mm)]])</f>
        <v>2.4353082280128207E-4</v>
      </c>
      <c r="Q26" s="133">
        <f>Table112348[[#This Row],[M (KN.mm)]]/(Table112348[[#This Row],[b (mm)]]*Table112348[[#This Row],[h (mm)]]*Table112348[[#This Row],[L(mm)]]*Table112348[[#This Row],[fc (Mpa)]])</f>
        <v>9.3024953376576201E-6</v>
      </c>
      <c r="R26" s="133">
        <f>Table112348[[#This Row],[M (KN.mm)]]/(Table112348[[#This Row],[b (mm)]]*Table112348[[#This Row],[h (mm)]]*Table112348[[#This Row],[L(mm)]]/2)</f>
        <v>5.6447541708906429E-4</v>
      </c>
      <c r="S26" s="133">
        <f>Table112348[[#This Row],[M (KN.mm)]]/(Table112348[[#This Row],[a (mm)]]*Table112348[[#This Row],[b (mm)]]*Table112348[[#This Row],[h (mm)]]*Table112348[[#This Row],[L(mm)]]/2)</f>
        <v>9.2597673406998757E-7</v>
      </c>
      <c r="T26" s="133">
        <f>Table112348[[#This Row],[M (KN.mm)]]/(Table112348[[#This Row],[a (mm)]]^2*Table112348[[#This Row],[b (mm)]]*Table112348[[#This Row],[h (mm)]])</f>
        <v>9.2658433035218578E-7</v>
      </c>
      <c r="U26" s="133">
        <f>Table112348[[#This Row],[M (KN.mm)]]/(Table112348[[#This Row],[b (mm)]]*Table112348[[#This Row],[d (mm)]]*Table112348[[#This Row],[pho (%)]])</f>
        <v>0.4715993711389907</v>
      </c>
      <c r="V26" s="110">
        <f>E26*224.8/(2*SQRT(Table112348[[#This Row],[fc (Mpa)]]*145.037)*Table112348[[#This Row],[b (mm)]]*Table112348[[#This Row],[d (mm)]]*(1/25.4)^2)</f>
        <v>0.53278913600500633</v>
      </c>
      <c r="W26" s="110">
        <f>Table112348[[#This Row],[M (KN.mm)]]/$G$29</f>
        <v>0.66666666666666674</v>
      </c>
      <c r="X26" s="110">
        <f>Table112348[[#This Row],[V/(2*sqrt(fc) bd)]]</f>
        <v>0.53278913600500633</v>
      </c>
      <c r="Y26" s="110">
        <f>Table112348[[#This Row],[a (mm)]]</f>
        <v>609.59999999999991</v>
      </c>
      <c r="Z26" s="110">
        <f>Table112348[[#This Row],[b (mm)]]*Table112348[[#This Row],[h (mm)]]^2</f>
        <v>16309449.129423598</v>
      </c>
      <c r="AA26" s="110">
        <f>Table112348[[#This Row],[b (mm)]]</f>
        <v>307.97499999999997</v>
      </c>
      <c r="AB26" s="110">
        <f>Table112348[[#This Row],[a]]/Table112348[[#This Row],[h (mm)]]</f>
        <v>2.6490066225165561</v>
      </c>
      <c r="AC26" s="110">
        <f>Table112348[[#This Row],[h (mm)]]</f>
        <v>230.124</v>
      </c>
      <c r="AD26" s="110">
        <f t="shared" si="8"/>
        <v>609.59999999999991</v>
      </c>
      <c r="AE26" s="110">
        <f t="shared" si="9"/>
        <v>266.7</v>
      </c>
      <c r="AF26" s="110">
        <f t="shared" si="10"/>
        <v>230.124</v>
      </c>
      <c r="AG26" s="134">
        <f t="shared" si="11"/>
        <v>307.97499999999997</v>
      </c>
      <c r="AH26" s="7">
        <v>30.34</v>
      </c>
      <c r="AI26" s="110">
        <f>Table112348[[#This Row],[pho (%)]]/100*Table112348[[#This Row],[b (mm)]]*Table112348[[#This Row],[h (mm)]]</f>
        <v>446.49636506999997</v>
      </c>
      <c r="AJ26" s="135">
        <v>0.63</v>
      </c>
      <c r="AK26" s="110">
        <v>637.5</v>
      </c>
      <c r="AL26" s="132">
        <f>(1/3-0.21*(MIN(Table112348[[#This Row],[b (mm)]],AF26)/MAX(Table112348[[#This Row],[b (mm)]],AF26))*(MIN(Table112348[[#This Row],[b (mm)]],AF26)^4/(12*MAX(Table112348[[#This Row],[b (mm)]],AF26)^4)))*MAX(Table112348[[#This Row],[b (mm)]],AF26)*MIN(Table112348[[#This Row],[b (mm)]],AF26)^3</f>
        <v>1235765925.6938643</v>
      </c>
      <c r="AM26" s="132">
        <f>Table112348[[#This Row],[b (mm)]]*AF26^3/12</f>
        <v>312766305.95495635</v>
      </c>
      <c r="AN26" s="132">
        <v>1220</v>
      </c>
      <c r="AO26" s="106"/>
      <c r="AP26" s="106"/>
      <c r="AQ26"/>
      <c r="AR26"/>
      <c r="AX26"/>
      <c r="AY26"/>
    </row>
    <row r="27" spans="1:51" s="129" customFormat="1" x14ac:dyDescent="0.3">
      <c r="A27" s="117" t="s">
        <v>178</v>
      </c>
      <c r="B27" s="117" t="s">
        <v>63</v>
      </c>
      <c r="C27" s="117">
        <v>26</v>
      </c>
      <c r="D27" s="130">
        <f>Table112348[[#This Row],[a (mm)]]/Table112348[[#This Row],[d (mm)]]</f>
        <v>2.2857142857142856</v>
      </c>
      <c r="E27" s="2">
        <v>46.704000000000008</v>
      </c>
      <c r="F27" s="127">
        <f>Table112348[[#This Row],[d (mm)]]</f>
        <v>266.7</v>
      </c>
      <c r="G27" s="110">
        <f t="shared" si="0"/>
        <v>28470.758399999999</v>
      </c>
      <c r="H27" s="110">
        <f t="shared" si="1"/>
        <v>3.4563394893074787E-6</v>
      </c>
      <c r="I27" s="110">
        <f>G27/(Table112348[[#This Row],[b (mm)]]*Table112348[[#This Row],[h]]^2)</f>
        <v>1.7456603331032433E-3</v>
      </c>
      <c r="J27" s="110">
        <f t="shared" si="2"/>
        <v>0.3750402707551852</v>
      </c>
      <c r="K27" s="110">
        <f t="shared" si="3"/>
        <v>1.2036167239331353E-6</v>
      </c>
      <c r="L27" s="132">
        <f>E27/(Table112348[[#This Row],[b (mm)]]*AE27)</f>
        <v>5.6861144650124376E-4</v>
      </c>
      <c r="M27" s="132">
        <f>Table112348[[#This Row],[M (KN.mm)]]/(Table112348[[#This Row],[b (mm)]]*Table112348[[#This Row],[d (mm)]])</f>
        <v>0.3466255377871581</v>
      </c>
      <c r="N27" s="132">
        <f>Table112348[[#This Row],[M (KN.mm)]]/(Table112348[[#This Row],[b (mm)]]*Table112348[[#This Row],[h (mm)]])</f>
        <v>0.40171833849505073</v>
      </c>
      <c r="O27" s="133">
        <f>Table112348[[#This Row],[M (KN.mm)]]/(Table112348[[#This Row],[b (mm)]]*Table112348[[#This Row],[h (mm)]]*Table112348[[#This Row],[L(mm)]])</f>
        <v>3.292773266352875E-4</v>
      </c>
      <c r="P27" s="133">
        <f>Table112348[[#This Row],[M (KN.mm)]]/(Table112348[[#This Row],[b (mm)]]*Table112348[[#This Row],[d (mm)]]*Table112348[[#This Row],[L(mm)]])</f>
        <v>2.8411929326816241E-4</v>
      </c>
      <c r="Q27" s="133">
        <f>Table112348[[#This Row],[M (KN.mm)]]/(Table112348[[#This Row],[b (mm)]]*Table112348[[#This Row],[h (mm)]]*Table112348[[#This Row],[L(mm)]]*Table112348[[#This Row],[fc (Mpa)]])</f>
        <v>1.0852911227267223E-5</v>
      </c>
      <c r="R27" s="133">
        <f>Table112348[[#This Row],[M (KN.mm)]]/(Table112348[[#This Row],[b (mm)]]*Table112348[[#This Row],[h (mm)]]*Table112348[[#This Row],[L(mm)]]/2)</f>
        <v>6.58554653270575E-4</v>
      </c>
      <c r="S27" s="133">
        <f>Table112348[[#This Row],[M (KN.mm)]]/(Table112348[[#This Row],[a (mm)]]*Table112348[[#This Row],[b (mm)]]*Table112348[[#This Row],[h (mm)]]*Table112348[[#This Row],[L(mm)]]/2)</f>
        <v>1.0803061897483188E-6</v>
      </c>
      <c r="T27" s="133">
        <f>Table112348[[#This Row],[M (KN.mm)]]/(Table112348[[#This Row],[a (mm)]]^2*Table112348[[#This Row],[b (mm)]]*Table112348[[#This Row],[h (mm)]])</f>
        <v>1.08101505207755E-6</v>
      </c>
      <c r="U27" s="133">
        <f>Table112348[[#This Row],[M (KN.mm)]]/(Table112348[[#This Row],[b (mm)]]*Table112348[[#This Row],[d (mm)]]*Table112348[[#This Row],[pho (%)]])</f>
        <v>0.55019926632882243</v>
      </c>
      <c r="V27" s="110">
        <f>E27*224.8/(2*SQRT(Table112348[[#This Row],[fc (Mpa)]]*145.037)*Table112348[[#This Row],[b (mm)]]*Table112348[[#This Row],[d (mm)]]*(1/25.4)^2)</f>
        <v>0.62158732533917405</v>
      </c>
      <c r="W27" s="110">
        <f>Table112348[[#This Row],[M (KN.mm)]]/$G$29</f>
        <v>0.77777777777777779</v>
      </c>
      <c r="X27" s="110">
        <f>Table112348[[#This Row],[V/(2*sqrt(fc) bd)]]</f>
        <v>0.62158732533917405</v>
      </c>
      <c r="Y27" s="110">
        <f>Table112348[[#This Row],[a (mm)]]</f>
        <v>609.59999999999991</v>
      </c>
      <c r="Z27" s="110">
        <f>Table112348[[#This Row],[b (mm)]]*Table112348[[#This Row],[h (mm)]]^2</f>
        <v>16309449.129423598</v>
      </c>
      <c r="AA27" s="110">
        <f>Table112348[[#This Row],[b (mm)]]</f>
        <v>307.97499999999997</v>
      </c>
      <c r="AB27" s="110">
        <f>Table112348[[#This Row],[a]]/Table112348[[#This Row],[h (mm)]]</f>
        <v>2.6490066225165561</v>
      </c>
      <c r="AC27" s="110">
        <f>Table112348[[#This Row],[h (mm)]]</f>
        <v>230.124</v>
      </c>
      <c r="AD27" s="110">
        <f t="shared" si="8"/>
        <v>609.59999999999991</v>
      </c>
      <c r="AE27" s="110">
        <f t="shared" si="9"/>
        <v>266.7</v>
      </c>
      <c r="AF27" s="110">
        <f t="shared" si="10"/>
        <v>230.124</v>
      </c>
      <c r="AG27" s="134">
        <f t="shared" si="11"/>
        <v>307.97499999999997</v>
      </c>
      <c r="AH27" s="7">
        <v>30.34</v>
      </c>
      <c r="AI27" s="110">
        <f>Table112348[[#This Row],[pho (%)]]/100*Table112348[[#This Row],[b (mm)]]*Table112348[[#This Row],[h (mm)]]</f>
        <v>446.49636506999997</v>
      </c>
      <c r="AJ27" s="135">
        <v>0.63</v>
      </c>
      <c r="AK27" s="110">
        <v>637.5</v>
      </c>
      <c r="AL27" s="132">
        <f>(1/3-0.21*(MIN(Table112348[[#This Row],[b (mm)]],AF27)/MAX(Table112348[[#This Row],[b (mm)]],AF27))*(MIN(Table112348[[#This Row],[b (mm)]],AF27)^4/(12*MAX(Table112348[[#This Row],[b (mm)]],AF27)^4)))*MAX(Table112348[[#This Row],[b (mm)]],AF27)*MIN(Table112348[[#This Row],[b (mm)]],AF27)^3</f>
        <v>1235765925.6938643</v>
      </c>
      <c r="AM27" s="132">
        <f>Table112348[[#This Row],[b (mm)]]*AF27^3/12</f>
        <v>312766305.95495635</v>
      </c>
      <c r="AN27" s="132">
        <v>1220</v>
      </c>
      <c r="AO27" s="106"/>
      <c r="AP27" s="106"/>
      <c r="AQ27"/>
      <c r="AR27"/>
      <c r="AX27"/>
      <c r="AY27"/>
    </row>
    <row r="28" spans="1:51" s="129" customFormat="1" x14ac:dyDescent="0.3">
      <c r="A28" s="117" t="s">
        <v>178</v>
      </c>
      <c r="B28" s="117" t="s">
        <v>64</v>
      </c>
      <c r="C28" s="117">
        <v>27</v>
      </c>
      <c r="D28" s="130">
        <f>Table112348[[#This Row],[a (mm)]]/Table112348[[#This Row],[d (mm)]]</f>
        <v>2.2857142857142856</v>
      </c>
      <c r="E28" s="2">
        <v>53.376000000000005</v>
      </c>
      <c r="F28" s="127">
        <f>Table112348[[#This Row],[d (mm)]]</f>
        <v>266.7</v>
      </c>
      <c r="G28" s="110">
        <f t="shared" si="0"/>
        <v>32538.009599999998</v>
      </c>
      <c r="H28" s="110">
        <f t="shared" si="1"/>
        <v>3.9501022734942613E-6</v>
      </c>
      <c r="I28" s="110">
        <f>G28/(Table112348[[#This Row],[b (mm)]]*Table112348[[#This Row],[h]]^2)</f>
        <v>1.995040380689421E-3</v>
      </c>
      <c r="J28" s="110">
        <f t="shared" si="2"/>
        <v>0.42861745229164017</v>
      </c>
      <c r="K28" s="110">
        <f t="shared" si="3"/>
        <v>1.3755619702092975E-6</v>
      </c>
      <c r="L28" s="132">
        <f>E28/(Table112348[[#This Row],[b (mm)]]*AE28)</f>
        <v>6.4984165314427853E-4</v>
      </c>
      <c r="M28" s="132">
        <f>Table112348[[#This Row],[M (KN.mm)]]/(Table112348[[#This Row],[b (mm)]]*Table112348[[#This Row],[d (mm)]])</f>
        <v>0.39614347175675213</v>
      </c>
      <c r="N28" s="132">
        <f>Table112348[[#This Row],[M (KN.mm)]]/(Table112348[[#This Row],[b (mm)]]*Table112348[[#This Row],[h (mm)]])</f>
        <v>0.45910667256577226</v>
      </c>
      <c r="O28" s="133">
        <f>Table112348[[#This Row],[M (KN.mm)]]/(Table112348[[#This Row],[b (mm)]]*Table112348[[#This Row],[h (mm)]]*Table112348[[#This Row],[L(mm)]])</f>
        <v>3.7631694472604286E-4</v>
      </c>
      <c r="P28" s="133">
        <f>Table112348[[#This Row],[M (KN.mm)]]/(Table112348[[#This Row],[b (mm)]]*Table112348[[#This Row],[d (mm)]]*Table112348[[#This Row],[L(mm)]])</f>
        <v>3.2470776373504274E-4</v>
      </c>
      <c r="Q28" s="133">
        <f>Table112348[[#This Row],[M (KN.mm)]]/(Table112348[[#This Row],[b (mm)]]*Table112348[[#This Row],[h (mm)]]*Table112348[[#This Row],[L(mm)]]*Table112348[[#This Row],[fc (Mpa)]])</f>
        <v>1.2403327116876826E-5</v>
      </c>
      <c r="R28" s="133">
        <f>Table112348[[#This Row],[M (KN.mm)]]/(Table112348[[#This Row],[b (mm)]]*Table112348[[#This Row],[h (mm)]]*Table112348[[#This Row],[L(mm)]]/2)</f>
        <v>7.5263388945208572E-4</v>
      </c>
      <c r="S28" s="133">
        <f>Table112348[[#This Row],[M (KN.mm)]]/(Table112348[[#This Row],[a (mm)]]*Table112348[[#This Row],[b (mm)]]*Table112348[[#This Row],[h (mm)]]*Table112348[[#This Row],[L(mm)]]/2)</f>
        <v>1.2346356454266499E-6</v>
      </c>
      <c r="T28" s="133">
        <f>Table112348[[#This Row],[M (KN.mm)]]/(Table112348[[#This Row],[a (mm)]]^2*Table112348[[#This Row],[b (mm)]]*Table112348[[#This Row],[h (mm)]])</f>
        <v>1.2354457738029142E-6</v>
      </c>
      <c r="U28" s="133">
        <f>Table112348[[#This Row],[M (KN.mm)]]/(Table112348[[#This Row],[b (mm)]]*Table112348[[#This Row],[d (mm)]]*Table112348[[#This Row],[pho (%)]])</f>
        <v>0.62879916151865423</v>
      </c>
      <c r="V28" s="110">
        <f>E28*224.8/(2*SQRT(Table112348[[#This Row],[fc (Mpa)]]*145.037)*Table112348[[#This Row],[b (mm)]]*Table112348[[#This Row],[d (mm)]]*(1/25.4)^2)</f>
        <v>0.71038551467334188</v>
      </c>
      <c r="W28" s="110">
        <f>Table112348[[#This Row],[M (KN.mm)]]/$G$29</f>
        <v>0.88888888888888895</v>
      </c>
      <c r="X28" s="110">
        <f>Table112348[[#This Row],[V/(2*sqrt(fc) bd)]]</f>
        <v>0.71038551467334188</v>
      </c>
      <c r="Y28" s="110">
        <f>Table112348[[#This Row],[a (mm)]]</f>
        <v>609.59999999999991</v>
      </c>
      <c r="Z28" s="110">
        <f>Table112348[[#This Row],[b (mm)]]*Table112348[[#This Row],[h (mm)]]^2</f>
        <v>16309449.129423598</v>
      </c>
      <c r="AA28" s="110">
        <f>Table112348[[#This Row],[b (mm)]]</f>
        <v>307.97499999999997</v>
      </c>
      <c r="AB28" s="110">
        <f>Table112348[[#This Row],[a]]/Table112348[[#This Row],[h (mm)]]</f>
        <v>2.6490066225165561</v>
      </c>
      <c r="AC28" s="110">
        <f>Table112348[[#This Row],[h (mm)]]</f>
        <v>230.124</v>
      </c>
      <c r="AD28" s="110">
        <f t="shared" si="8"/>
        <v>609.59999999999991</v>
      </c>
      <c r="AE28" s="110">
        <f t="shared" si="9"/>
        <v>266.7</v>
      </c>
      <c r="AF28" s="110">
        <f t="shared" si="10"/>
        <v>230.124</v>
      </c>
      <c r="AG28" s="134">
        <f t="shared" si="11"/>
        <v>307.97499999999997</v>
      </c>
      <c r="AH28" s="7">
        <v>30.34</v>
      </c>
      <c r="AI28" s="110">
        <f>Table112348[[#This Row],[pho (%)]]/100*Table112348[[#This Row],[b (mm)]]*Table112348[[#This Row],[h (mm)]]</f>
        <v>446.49636506999997</v>
      </c>
      <c r="AJ28" s="135">
        <v>0.63</v>
      </c>
      <c r="AK28" s="110">
        <v>637.5</v>
      </c>
      <c r="AL28" s="132">
        <f>(1/3-0.21*(MIN(Table112348[[#This Row],[b (mm)]],AF28)/MAX(Table112348[[#This Row],[b (mm)]],AF28))*(MIN(Table112348[[#This Row],[b (mm)]],AF28)^4/(12*MAX(Table112348[[#This Row],[b (mm)]],AF28)^4)))*MAX(Table112348[[#This Row],[b (mm)]],AF28)*MIN(Table112348[[#This Row],[b (mm)]],AF28)^3</f>
        <v>1235765925.6938643</v>
      </c>
      <c r="AM28" s="132">
        <f>Table112348[[#This Row],[b (mm)]]*AF28^3/12</f>
        <v>312766305.95495635</v>
      </c>
      <c r="AN28" s="132">
        <v>1220</v>
      </c>
      <c r="AO28" s="106"/>
      <c r="AP28" s="106"/>
      <c r="AQ28"/>
      <c r="AR28"/>
      <c r="AX28"/>
      <c r="AY28"/>
    </row>
    <row r="29" spans="1:51" s="129" customFormat="1" x14ac:dyDescent="0.3">
      <c r="A29" s="117" t="s">
        <v>178</v>
      </c>
      <c r="B29" s="117" t="s">
        <v>65</v>
      </c>
      <c r="C29" s="117">
        <v>28</v>
      </c>
      <c r="D29" s="130">
        <f>Table112348[[#This Row],[a (mm)]]/Table112348[[#This Row],[d (mm)]]</f>
        <v>2.2857142857142856</v>
      </c>
      <c r="E29" s="2">
        <v>60.048000000000002</v>
      </c>
      <c r="F29" s="127">
        <f>Table112348[[#This Row],[d (mm)]]</f>
        <v>266.7</v>
      </c>
      <c r="G29" s="110">
        <f t="shared" si="0"/>
        <v>36605.260799999996</v>
      </c>
      <c r="H29" s="110">
        <f t="shared" si="1"/>
        <v>4.4438650576810438E-6</v>
      </c>
      <c r="I29" s="110">
        <f>G29/(Table112348[[#This Row],[b (mm)]]*Table112348[[#This Row],[h]]^2)</f>
        <v>2.2444204282755982E-3</v>
      </c>
      <c r="J29" s="110">
        <f t="shared" si="2"/>
        <v>0.48219463382809519</v>
      </c>
      <c r="K29" s="110">
        <f t="shared" si="3"/>
        <v>1.5475072164854595E-6</v>
      </c>
      <c r="L29" s="132">
        <f>E29/(Table112348[[#This Row],[b (mm)]]*AE29)</f>
        <v>7.3107185978731331E-4</v>
      </c>
      <c r="M29" s="132">
        <f>Table112348[[#This Row],[M (KN.mm)]]/(Table112348[[#This Row],[b (mm)]]*Table112348[[#This Row],[d (mm)]])</f>
        <v>0.4456614057263461</v>
      </c>
      <c r="N29" s="132">
        <f>Table112348[[#This Row],[M (KN.mm)]]/(Table112348[[#This Row],[b (mm)]]*Table112348[[#This Row],[h (mm)]])</f>
        <v>0.51649500663649373</v>
      </c>
      <c r="O29" s="133">
        <f>Table112348[[#This Row],[M (KN.mm)]]/(Table112348[[#This Row],[b (mm)]]*Table112348[[#This Row],[h (mm)]]*Table112348[[#This Row],[L(mm)]])</f>
        <v>4.2335656281679822E-4</v>
      </c>
      <c r="P29" s="133">
        <f>Table112348[[#This Row],[M (KN.mm)]]/(Table112348[[#This Row],[b (mm)]]*Table112348[[#This Row],[d (mm)]]*Table112348[[#This Row],[L(mm)]])</f>
        <v>3.6529623420192303E-4</v>
      </c>
      <c r="Q29" s="133">
        <f>Table112348[[#This Row],[M (KN.mm)]]/(Table112348[[#This Row],[b (mm)]]*Table112348[[#This Row],[h (mm)]]*Table112348[[#This Row],[L(mm)]]*Table112348[[#This Row],[fc (Mpa)]])</f>
        <v>1.3953743006486428E-5</v>
      </c>
      <c r="R29" s="133">
        <f>Table112348[[#This Row],[M (KN.mm)]]/(Table112348[[#This Row],[b (mm)]]*Table112348[[#This Row],[h (mm)]]*Table112348[[#This Row],[L(mm)]]/2)</f>
        <v>8.4671312563359643E-4</v>
      </c>
      <c r="S29" s="133">
        <f>Table112348[[#This Row],[M (KN.mm)]]/(Table112348[[#This Row],[a (mm)]]*Table112348[[#This Row],[b (mm)]]*Table112348[[#This Row],[h (mm)]]*Table112348[[#This Row],[L(mm)]]/2)</f>
        <v>1.3889651011049812E-6</v>
      </c>
      <c r="T29" s="133">
        <f>Table112348[[#This Row],[M (KN.mm)]]/(Table112348[[#This Row],[a (mm)]]^2*Table112348[[#This Row],[b (mm)]]*Table112348[[#This Row],[h (mm)]])</f>
        <v>1.3898764955282786E-6</v>
      </c>
      <c r="U29" s="133">
        <f>Table112348[[#This Row],[M (KN.mm)]]/(Table112348[[#This Row],[b (mm)]]*Table112348[[#This Row],[d (mm)]]*Table112348[[#This Row],[pho (%)]])</f>
        <v>0.70739905670848591</v>
      </c>
      <c r="V29" s="110">
        <f>E29*224.8/(2*SQRT(Table112348[[#This Row],[fc (Mpa)]]*145.037)*Table112348[[#This Row],[b (mm)]]*Table112348[[#This Row],[d (mm)]]*(1/25.4)^2)</f>
        <v>0.79918370400750949</v>
      </c>
      <c r="W29" s="110">
        <f>Table112348[[#This Row],[M (KN.mm)]]/$G$29</f>
        <v>1</v>
      </c>
      <c r="X29" s="110">
        <f>Table112348[[#This Row],[V/(2*sqrt(fc) bd)]]</f>
        <v>0.79918370400750949</v>
      </c>
      <c r="Y29" s="110">
        <f>Table112348[[#This Row],[a (mm)]]</f>
        <v>609.59999999999991</v>
      </c>
      <c r="Z29" s="110">
        <f>Table112348[[#This Row],[b (mm)]]*Table112348[[#This Row],[h (mm)]]^2</f>
        <v>16309449.129423598</v>
      </c>
      <c r="AA29" s="110">
        <f>Table112348[[#This Row],[b (mm)]]</f>
        <v>307.97499999999997</v>
      </c>
      <c r="AB29" s="110">
        <f>Table112348[[#This Row],[a]]/Table112348[[#This Row],[h (mm)]]</f>
        <v>2.6490066225165561</v>
      </c>
      <c r="AC29" s="110">
        <f>Table112348[[#This Row],[h (mm)]]</f>
        <v>230.124</v>
      </c>
      <c r="AD29" s="110">
        <f t="shared" si="8"/>
        <v>609.59999999999991</v>
      </c>
      <c r="AE29" s="110">
        <f t="shared" si="9"/>
        <v>266.7</v>
      </c>
      <c r="AF29" s="110">
        <f t="shared" si="10"/>
        <v>230.124</v>
      </c>
      <c r="AG29" s="134">
        <f t="shared" si="11"/>
        <v>307.97499999999997</v>
      </c>
      <c r="AH29" s="7">
        <v>30.34</v>
      </c>
      <c r="AI29" s="110">
        <f>Table112348[[#This Row],[pho (%)]]/100*Table112348[[#This Row],[b (mm)]]*Table112348[[#This Row],[h (mm)]]</f>
        <v>446.49636506999997</v>
      </c>
      <c r="AJ29" s="135">
        <v>0.63</v>
      </c>
      <c r="AK29" s="110">
        <v>637.5</v>
      </c>
      <c r="AL29" s="132">
        <f>(1/3-0.21*(MIN(Table112348[[#This Row],[b (mm)]],AF29)/MAX(Table112348[[#This Row],[b (mm)]],AF29))*(MIN(Table112348[[#This Row],[b (mm)]],AF29)^4/(12*MAX(Table112348[[#This Row],[b (mm)]],AF29)^4)))*MAX(Table112348[[#This Row],[b (mm)]],AF29)*MIN(Table112348[[#This Row],[b (mm)]],AF29)^3</f>
        <v>1235765925.6938643</v>
      </c>
      <c r="AM29" s="132">
        <f>Table112348[[#This Row],[b (mm)]]*AF29^3/12</f>
        <v>312766305.95495635</v>
      </c>
      <c r="AN29" s="132">
        <v>1220</v>
      </c>
      <c r="AO29" s="106"/>
      <c r="AP29" s="106"/>
      <c r="AQ29"/>
      <c r="AR29"/>
      <c r="AX29"/>
      <c r="AY29"/>
    </row>
    <row r="30" spans="1:51" s="129" customFormat="1" x14ac:dyDescent="0.3">
      <c r="A30" s="119" t="s">
        <v>179</v>
      </c>
      <c r="B30" s="119" t="s">
        <v>60</v>
      </c>
      <c r="C30" s="119">
        <v>29</v>
      </c>
      <c r="D30" s="130">
        <f>Table112348[[#This Row],[a (mm)]]/Table112348[[#This Row],[d (mm)]]</f>
        <v>2.2857142857142856</v>
      </c>
      <c r="E30" s="2">
        <v>26.688000000000002</v>
      </c>
      <c r="F30" s="127">
        <f>Table112348[[#This Row],[d (mm)]]</f>
        <v>266.7</v>
      </c>
      <c r="G30" s="110">
        <f t="shared" si="0"/>
        <v>16269.004799999999</v>
      </c>
      <c r="H30" s="110">
        <f t="shared" si="1"/>
        <v>1.0930959603516933E-6</v>
      </c>
      <c r="I30" s="110">
        <f>G30/(Table112348[[#This Row],[b (mm)]]*Table112348[[#This Row],[h]]^2)</f>
        <v>7.4265664376167674E-4</v>
      </c>
      <c r="J30" s="110">
        <f t="shared" si="2"/>
        <v>0.2136258071682102</v>
      </c>
      <c r="K30" s="110">
        <f t="shared" si="3"/>
        <v>6.9753621774331681E-7</v>
      </c>
      <c r="L30" s="132">
        <f>E30/(Table112348[[#This Row],[b (mm)]]*AE30)</f>
        <v>4.3774055802079867E-4</v>
      </c>
      <c r="M30" s="132">
        <f>Table112348[[#This Row],[M (KN.mm)]]/(Table112348[[#This Row],[b (mm)]]*Table112348[[#This Row],[d (mm)]])</f>
        <v>0.26684664416947884</v>
      </c>
      <c r="N30" s="132">
        <f>Table112348[[#This Row],[M (KN.mm)]]/(Table112348[[#This Row],[b (mm)]]*Table112348[[#This Row],[h (mm)]])</f>
        <v>0.22989864728447404</v>
      </c>
      <c r="O30" s="133">
        <f>Table112348[[#This Row],[M (KN.mm)]]/(Table112348[[#This Row],[b (mm)]]*Table112348[[#This Row],[h (mm)]]*Table112348[[#This Row],[L(mm)]])</f>
        <v>1.8844151416760166E-4</v>
      </c>
      <c r="P30" s="133">
        <f>Table112348[[#This Row],[M (KN.mm)]]/(Table112348[[#This Row],[b (mm)]]*Table112348[[#This Row],[d (mm)]]*Table112348[[#This Row],[L(mm)]])</f>
        <v>2.1872675751596625E-4</v>
      </c>
      <c r="Q30" s="133">
        <f>Table112348[[#This Row],[M (KN.mm)]]/(Table112348[[#This Row],[b (mm)]]*Table112348[[#This Row],[h (mm)]]*Table112348[[#This Row],[L(mm)]]*Table112348[[#This Row],[fc (Mpa)]])</f>
        <v>6.0728815394006338E-6</v>
      </c>
      <c r="R30" s="133">
        <f>Table112348[[#This Row],[M (KN.mm)]]/(Table112348[[#This Row],[b (mm)]]*Table112348[[#This Row],[h (mm)]]*Table112348[[#This Row],[L(mm)]]/2)</f>
        <v>3.7688302833520333E-4</v>
      </c>
      <c r="S30" s="133">
        <f>Table112348[[#This Row],[M (KN.mm)]]/(Table112348[[#This Row],[a (mm)]]*Table112348[[#This Row],[b (mm)]]*Table112348[[#This Row],[h (mm)]]*Table112348[[#This Row],[L(mm)]]/2)</f>
        <v>6.182464375577485E-7</v>
      </c>
      <c r="T30" s="133">
        <f>Table112348[[#This Row],[M (KN.mm)]]/(Table112348[[#This Row],[a (mm)]]^2*Table112348[[#This Row],[b (mm)]]*Table112348[[#This Row],[h (mm)]])</f>
        <v>6.1865211107320623E-7</v>
      </c>
      <c r="U30" s="133">
        <f>Table112348[[#This Row],[M (KN.mm)]]/(Table112348[[#This Row],[b (mm)]]*Table112348[[#This Row],[d (mm)]]*Table112348[[#This Row],[pho (%)]])</f>
        <v>0.42356610185631555</v>
      </c>
      <c r="V30" s="110">
        <f>E30*224.8/(2*SQRT(Table112348[[#This Row],[fc (Mpa)]]*145.037)*Table112348[[#This Row],[b (mm)]]*Table112348[[#This Row],[d (mm)]]*(1/25.4)^2)</f>
        <v>0.47317331021064357</v>
      </c>
      <c r="W30" s="110">
        <f>Table112348[[#This Row],[M (KN.mm)]]/$G$36</f>
        <v>0.4</v>
      </c>
      <c r="X30" s="110">
        <f>Table112348[[#This Row],[V/(2*sqrt(fc) bd)]]</f>
        <v>0.47317331021064357</v>
      </c>
      <c r="Y30" s="110">
        <f>Table112348[[#This Row],[a (mm)]]</f>
        <v>609.59999999999991</v>
      </c>
      <c r="Z30" s="110">
        <f>Table112348[[#This Row],[b (mm)]]*Table112348[[#This Row],[h (mm)]]^2</f>
        <v>21906496.005468749</v>
      </c>
      <c r="AA30" s="110">
        <f>Table112348[[#This Row],[b (mm)]]</f>
        <v>228.6</v>
      </c>
      <c r="AB30" s="110">
        <f>Table112348[[#This Row],[a]]/Table112348[[#This Row],[h (mm)]]</f>
        <v>1.9692307692307689</v>
      </c>
      <c r="AC30" s="110">
        <f>Table112348[[#This Row],[h (mm)]]</f>
        <v>309.5625</v>
      </c>
      <c r="AD30" s="110">
        <f t="shared" si="8"/>
        <v>609.59999999999991</v>
      </c>
      <c r="AE30" s="110">
        <f t="shared" si="9"/>
        <v>266.7</v>
      </c>
      <c r="AF30" s="110">
        <f>12.1875*25.4</f>
        <v>309.5625</v>
      </c>
      <c r="AG30" s="134">
        <f>9*25.4</f>
        <v>228.6</v>
      </c>
      <c r="AH30" s="7">
        <v>31.03</v>
      </c>
      <c r="AI30" s="110">
        <f>Table112348[[#This Row],[pho (%)]]/100*Table112348[[#This Row],[b (mm)]]*Table112348[[#This Row],[h (mm)]]</f>
        <v>445.82572125000002</v>
      </c>
      <c r="AJ30" s="135">
        <v>0.63</v>
      </c>
      <c r="AK30" s="110">
        <v>640.5</v>
      </c>
      <c r="AL30" s="132">
        <f>(1/3-0.21*(MIN(Table112348[[#This Row],[b (mm)]],AF30)/MAX(Table112348[[#This Row],[b (mm)]],AF30))*(MIN(Table112348[[#This Row],[b (mm)]],AF30)^4/(12*MAX(Table112348[[#This Row],[b (mm)]],AF30)^4)))*MAX(Table112348[[#This Row],[b (mm)]],AF30)*MIN(Table112348[[#This Row],[b (mm)]],AF30)^3</f>
        <v>1218483405.0369673</v>
      </c>
      <c r="AM30" s="132">
        <f>Table112348[[#This Row],[b (mm)]]*AF30^3/12</f>
        <v>565119139.14107668</v>
      </c>
      <c r="AN30" s="132">
        <v>1220</v>
      </c>
      <c r="AO30" s="106"/>
      <c r="AP30" s="106"/>
      <c r="AQ30"/>
      <c r="AR30"/>
      <c r="AX30"/>
      <c r="AY30"/>
    </row>
    <row r="31" spans="1:51" x14ac:dyDescent="0.3">
      <c r="A31" s="119" t="s">
        <v>179</v>
      </c>
      <c r="B31" s="119" t="s">
        <v>61</v>
      </c>
      <c r="C31" s="119">
        <v>30</v>
      </c>
      <c r="D31" s="130">
        <f>Table112348[[#This Row],[a (mm)]]/Table112348[[#This Row],[d (mm)]]</f>
        <v>2.2857142857142856</v>
      </c>
      <c r="E31" s="2">
        <v>33.36</v>
      </c>
      <c r="F31" s="127">
        <f>Table112348[[#This Row],[d (mm)]]</f>
        <v>266.7</v>
      </c>
      <c r="G31" s="110">
        <f t="shared" si="0"/>
        <v>20336.255999999998</v>
      </c>
      <c r="H31" s="110">
        <f t="shared" si="1"/>
        <v>1.3663699504396165E-6</v>
      </c>
      <c r="I31" s="110">
        <f>G31/(Table112348[[#This Row],[b (mm)]]*Table112348[[#This Row],[h]]^2)</f>
        <v>9.2832080470209592E-4</v>
      </c>
      <c r="J31" s="110">
        <f t="shared" si="2"/>
        <v>0.26703225896026273</v>
      </c>
      <c r="K31" s="110">
        <f t="shared" si="3"/>
        <v>8.719202721791459E-7</v>
      </c>
      <c r="L31" s="132">
        <f>E31/(Table112348[[#This Row],[b (mm)]]*AE31)</f>
        <v>5.4717569752599823E-4</v>
      </c>
      <c r="M31" s="132">
        <f>Table112348[[#This Row],[M (KN.mm)]]/(Table112348[[#This Row],[b (mm)]]*Table112348[[#This Row],[d (mm)]])</f>
        <v>0.33355830521184848</v>
      </c>
      <c r="N31" s="132">
        <f>Table112348[[#This Row],[M (KN.mm)]]/(Table112348[[#This Row],[b (mm)]]*Table112348[[#This Row],[h (mm)]])</f>
        <v>0.2873733091055925</v>
      </c>
      <c r="O31" s="133">
        <f>Table112348[[#This Row],[M (KN.mm)]]/(Table112348[[#This Row],[b (mm)]]*Table112348[[#This Row],[h (mm)]]*Table112348[[#This Row],[L(mm)]])</f>
        <v>2.3555189270950207E-4</v>
      </c>
      <c r="P31" s="133">
        <f>Table112348[[#This Row],[M (KN.mm)]]/(Table112348[[#This Row],[b (mm)]]*Table112348[[#This Row],[d (mm)]]*Table112348[[#This Row],[L(mm)]])</f>
        <v>2.7340844689495783E-4</v>
      </c>
      <c r="Q31" s="133">
        <f>Table112348[[#This Row],[M (KN.mm)]]/(Table112348[[#This Row],[b (mm)]]*Table112348[[#This Row],[h (mm)]]*Table112348[[#This Row],[L(mm)]]*Table112348[[#This Row],[fc (Mpa)]])</f>
        <v>7.5911019242507927E-6</v>
      </c>
      <c r="R31" s="133">
        <f>Table112348[[#This Row],[M (KN.mm)]]/(Table112348[[#This Row],[b (mm)]]*Table112348[[#This Row],[h (mm)]]*Table112348[[#This Row],[L(mm)]]/2)</f>
        <v>4.7110378541900415E-4</v>
      </c>
      <c r="S31" s="133">
        <f>Table112348[[#This Row],[M (KN.mm)]]/(Table112348[[#This Row],[a (mm)]]*Table112348[[#This Row],[b (mm)]]*Table112348[[#This Row],[h (mm)]]*Table112348[[#This Row],[L(mm)]]/2)</f>
        <v>7.728080469471856E-7</v>
      </c>
      <c r="T31" s="133">
        <f>Table112348[[#This Row],[M (KN.mm)]]/(Table112348[[#This Row],[a (mm)]]^2*Table112348[[#This Row],[b (mm)]]*Table112348[[#This Row],[h (mm)]])</f>
        <v>7.7331513884150779E-7</v>
      </c>
      <c r="U31" s="133">
        <f>Table112348[[#This Row],[M (KN.mm)]]/(Table112348[[#This Row],[b (mm)]]*Table112348[[#This Row],[d (mm)]]*Table112348[[#This Row],[pho (%)]])</f>
        <v>0.52945762732039447</v>
      </c>
      <c r="V31" s="110">
        <f>E31*224.8/(2*SQRT(Table112348[[#This Row],[fc (Mpa)]]*145.037)*Table112348[[#This Row],[b (mm)]]*Table112348[[#This Row],[d (mm)]]*(1/25.4)^2)</f>
        <v>0.59146663776330444</v>
      </c>
      <c r="W31" s="110">
        <f>Table112348[[#This Row],[M (KN.mm)]]/$G$36</f>
        <v>0.5</v>
      </c>
      <c r="X31" s="110">
        <f>Table112348[[#This Row],[V/(2*sqrt(fc) bd)]]</f>
        <v>0.59146663776330444</v>
      </c>
      <c r="Y31" s="110">
        <f>Table112348[[#This Row],[a (mm)]]</f>
        <v>609.59999999999991</v>
      </c>
      <c r="Z31" s="110">
        <f>Table112348[[#This Row],[b (mm)]]*Table112348[[#This Row],[h (mm)]]^2</f>
        <v>21906496.005468749</v>
      </c>
      <c r="AA31" s="110">
        <f>Table112348[[#This Row],[b (mm)]]</f>
        <v>228.6</v>
      </c>
      <c r="AB31" s="110">
        <f>Table112348[[#This Row],[a]]/Table112348[[#This Row],[h (mm)]]</f>
        <v>1.9692307692307689</v>
      </c>
      <c r="AC31" s="110">
        <f>Table112348[[#This Row],[h (mm)]]</f>
        <v>309.5625</v>
      </c>
      <c r="AD31" s="110">
        <f t="shared" ref="AD31:AD50" si="12">24*25.4</f>
        <v>609.59999999999991</v>
      </c>
      <c r="AE31" s="110">
        <f t="shared" ref="AE31:AE36" si="13">10.5*25.4</f>
        <v>266.7</v>
      </c>
      <c r="AF31" s="110">
        <f t="shared" ref="AF31:AF36" si="14">12.1875*25.4</f>
        <v>309.5625</v>
      </c>
      <c r="AG31" s="134">
        <f t="shared" ref="AG31:AG36" si="15">9*25.4</f>
        <v>228.6</v>
      </c>
      <c r="AH31" s="7">
        <v>31.03</v>
      </c>
      <c r="AI31" s="110">
        <f>Table112348[[#This Row],[pho (%)]]/100*Table112348[[#This Row],[b (mm)]]*Table112348[[#This Row],[h (mm)]]</f>
        <v>445.82572125000002</v>
      </c>
      <c r="AJ31" s="135">
        <v>0.63</v>
      </c>
      <c r="AK31" s="110">
        <v>640.5</v>
      </c>
      <c r="AL31" s="132">
        <f>(1/3-0.21*(MIN(Table112348[[#This Row],[b (mm)]],AF31)/MAX(Table112348[[#This Row],[b (mm)]],AF31))*(MIN(Table112348[[#This Row],[b (mm)]],AF31)^4/(12*MAX(Table112348[[#This Row],[b (mm)]],AF31)^4)))*MAX(Table112348[[#This Row],[b (mm)]],AF31)*MIN(Table112348[[#This Row],[b (mm)]],AF31)^3</f>
        <v>1218483405.0369673</v>
      </c>
      <c r="AM31" s="132">
        <f>Table112348[[#This Row],[b (mm)]]*AF31^3/12</f>
        <v>565119139.14107668</v>
      </c>
      <c r="AN31" s="132">
        <v>1220</v>
      </c>
      <c r="AO31"/>
      <c r="AP31"/>
    </row>
    <row r="32" spans="1:51" x14ac:dyDescent="0.3">
      <c r="A32" s="119" t="s">
        <v>179</v>
      </c>
      <c r="B32" s="119" t="s">
        <v>62</v>
      </c>
      <c r="C32" s="119">
        <v>31</v>
      </c>
      <c r="D32" s="130">
        <f>Table112348[[#This Row],[a (mm)]]/Table112348[[#This Row],[d (mm)]]</f>
        <v>2.2857142857142856</v>
      </c>
      <c r="E32" s="2">
        <v>40.032000000000004</v>
      </c>
      <c r="F32" s="127">
        <f>Table112348[[#This Row],[d (mm)]]</f>
        <v>266.7</v>
      </c>
      <c r="G32" s="110">
        <f t="shared" si="0"/>
        <v>24403.5072</v>
      </c>
      <c r="H32" s="110">
        <f t="shared" si="1"/>
        <v>1.63964394052754E-6</v>
      </c>
      <c r="I32" s="110">
        <f>G32/(Table112348[[#This Row],[b (mm)]]*Table112348[[#This Row],[h]]^2)</f>
        <v>1.1139849656425151E-3</v>
      </c>
      <c r="J32" s="110">
        <f t="shared" si="2"/>
        <v>0.32043871075231534</v>
      </c>
      <c r="K32" s="110">
        <f t="shared" si="3"/>
        <v>1.0463043266149752E-6</v>
      </c>
      <c r="L32" s="132">
        <f>E32/(Table112348[[#This Row],[b (mm)]]*AE32)</f>
        <v>6.5661083703119801E-4</v>
      </c>
      <c r="M32" s="132">
        <f>Table112348[[#This Row],[M (KN.mm)]]/(Table112348[[#This Row],[b (mm)]]*Table112348[[#This Row],[d (mm)]])</f>
        <v>0.40026996625421823</v>
      </c>
      <c r="N32" s="132">
        <f>Table112348[[#This Row],[M (KN.mm)]]/(Table112348[[#This Row],[b (mm)]]*Table112348[[#This Row],[h (mm)]])</f>
        <v>0.34484797092671104</v>
      </c>
      <c r="O32" s="133">
        <f>Table112348[[#This Row],[M (KN.mm)]]/(Table112348[[#This Row],[b (mm)]]*Table112348[[#This Row],[h (mm)]]*Table112348[[#This Row],[L(mm)]])</f>
        <v>2.8266227125140251E-4</v>
      </c>
      <c r="P32" s="133">
        <f>Table112348[[#This Row],[M (KN.mm)]]/(Table112348[[#This Row],[b (mm)]]*Table112348[[#This Row],[d (mm)]]*Table112348[[#This Row],[L(mm)]])</f>
        <v>3.2809013627394938E-4</v>
      </c>
      <c r="Q32" s="133">
        <f>Table112348[[#This Row],[M (KN.mm)]]/(Table112348[[#This Row],[b (mm)]]*Table112348[[#This Row],[h (mm)]]*Table112348[[#This Row],[L(mm)]]*Table112348[[#This Row],[fc (Mpa)]])</f>
        <v>9.1093223091009516E-6</v>
      </c>
      <c r="R32" s="133">
        <f>Table112348[[#This Row],[M (KN.mm)]]/(Table112348[[#This Row],[b (mm)]]*Table112348[[#This Row],[h (mm)]]*Table112348[[#This Row],[L(mm)]]/2)</f>
        <v>5.6532454250280502E-4</v>
      </c>
      <c r="S32" s="133">
        <f>Table112348[[#This Row],[M (KN.mm)]]/(Table112348[[#This Row],[a (mm)]]*Table112348[[#This Row],[b (mm)]]*Table112348[[#This Row],[h (mm)]]*Table112348[[#This Row],[L(mm)]]/2)</f>
        <v>9.273696563366228E-7</v>
      </c>
      <c r="T32" s="133">
        <f>Table112348[[#This Row],[M (KN.mm)]]/(Table112348[[#This Row],[a (mm)]]^2*Table112348[[#This Row],[b (mm)]]*Table112348[[#This Row],[h (mm)]])</f>
        <v>9.2797816660980945E-7</v>
      </c>
      <c r="U32" s="133">
        <f>Table112348[[#This Row],[M (KN.mm)]]/(Table112348[[#This Row],[b (mm)]]*Table112348[[#This Row],[d (mm)]]*Table112348[[#This Row],[pho (%)]])</f>
        <v>0.63534915278447346</v>
      </c>
      <c r="V32" s="110">
        <f>E32*224.8/(2*SQRT(Table112348[[#This Row],[fc (Mpa)]]*145.037)*Table112348[[#This Row],[b (mm)]]*Table112348[[#This Row],[d (mm)]]*(1/25.4)^2)</f>
        <v>0.7097599653159653</v>
      </c>
      <c r="W32" s="110">
        <f>Table112348[[#This Row],[M (KN.mm)]]/$G$36</f>
        <v>0.60000000000000009</v>
      </c>
      <c r="X32" s="110">
        <f>Table112348[[#This Row],[V/(2*sqrt(fc) bd)]]</f>
        <v>0.7097599653159653</v>
      </c>
      <c r="Y32" s="110">
        <f>Table112348[[#This Row],[a (mm)]]</f>
        <v>609.59999999999991</v>
      </c>
      <c r="Z32" s="110">
        <f>Table112348[[#This Row],[b (mm)]]*Table112348[[#This Row],[h (mm)]]^2</f>
        <v>21906496.005468749</v>
      </c>
      <c r="AA32" s="110">
        <f>Table112348[[#This Row],[b (mm)]]</f>
        <v>228.6</v>
      </c>
      <c r="AB32" s="110">
        <f>Table112348[[#This Row],[a]]/Table112348[[#This Row],[h (mm)]]</f>
        <v>1.9692307692307689</v>
      </c>
      <c r="AC32" s="110">
        <f>Table112348[[#This Row],[h (mm)]]</f>
        <v>309.5625</v>
      </c>
      <c r="AD32" s="110">
        <f t="shared" si="12"/>
        <v>609.59999999999991</v>
      </c>
      <c r="AE32" s="110">
        <f t="shared" si="13"/>
        <v>266.7</v>
      </c>
      <c r="AF32" s="110">
        <f t="shared" si="14"/>
        <v>309.5625</v>
      </c>
      <c r="AG32" s="134">
        <f t="shared" si="15"/>
        <v>228.6</v>
      </c>
      <c r="AH32" s="7">
        <v>31.03</v>
      </c>
      <c r="AI32" s="110">
        <f>Table112348[[#This Row],[pho (%)]]/100*Table112348[[#This Row],[b (mm)]]*Table112348[[#This Row],[h (mm)]]</f>
        <v>445.82572125000002</v>
      </c>
      <c r="AJ32" s="135">
        <v>0.63</v>
      </c>
      <c r="AK32" s="110">
        <v>640.5</v>
      </c>
      <c r="AL32" s="132">
        <f>(1/3-0.21*(MIN(Table112348[[#This Row],[b (mm)]],AF32)/MAX(Table112348[[#This Row],[b (mm)]],AF32))*(MIN(Table112348[[#This Row],[b (mm)]],AF32)^4/(12*MAX(Table112348[[#This Row],[b (mm)]],AF32)^4)))*MAX(Table112348[[#This Row],[b (mm)]],AF32)*MIN(Table112348[[#This Row],[b (mm)]],AF32)^3</f>
        <v>1218483405.0369673</v>
      </c>
      <c r="AM32" s="132">
        <f>Table112348[[#This Row],[b (mm)]]*AF32^3/12</f>
        <v>565119139.14107668</v>
      </c>
      <c r="AN32" s="132">
        <v>1220</v>
      </c>
      <c r="AO32"/>
      <c r="AP32"/>
    </row>
    <row r="33" spans="1:49" x14ac:dyDescent="0.3">
      <c r="A33" s="119" t="s">
        <v>179</v>
      </c>
      <c r="B33" s="119" t="s">
        <v>63</v>
      </c>
      <c r="C33" s="119">
        <v>32</v>
      </c>
      <c r="D33" s="130">
        <f>Table112348[[#This Row],[a (mm)]]/Table112348[[#This Row],[d (mm)]]</f>
        <v>2.2857142857142856</v>
      </c>
      <c r="E33" s="2">
        <v>46.704000000000008</v>
      </c>
      <c r="F33" s="127">
        <f>Table112348[[#This Row],[d (mm)]]</f>
        <v>266.7</v>
      </c>
      <c r="G33" s="110">
        <f t="shared" si="0"/>
        <v>28470.758399999999</v>
      </c>
      <c r="H33" s="110">
        <f t="shared" si="1"/>
        <v>1.912917930615463E-6</v>
      </c>
      <c r="I33" s="110">
        <f>G33/(Table112348[[#This Row],[b (mm)]]*Table112348[[#This Row],[h]]^2)</f>
        <v>1.2996491265829344E-3</v>
      </c>
      <c r="J33" s="110">
        <f t="shared" si="2"/>
        <v>0.37384516254436789</v>
      </c>
      <c r="K33" s="110">
        <f t="shared" si="3"/>
        <v>1.2206883810508045E-6</v>
      </c>
      <c r="L33" s="132">
        <f>E33/(Table112348[[#This Row],[b (mm)]]*AE33)</f>
        <v>7.6604597653639767E-4</v>
      </c>
      <c r="M33" s="132">
        <f>Table112348[[#This Row],[M (KN.mm)]]/(Table112348[[#This Row],[b (mm)]]*Table112348[[#This Row],[d (mm)]])</f>
        <v>0.46698162729658793</v>
      </c>
      <c r="N33" s="132">
        <f>Table112348[[#This Row],[M (KN.mm)]]/(Table112348[[#This Row],[b (mm)]]*Table112348[[#This Row],[h (mm)]])</f>
        <v>0.40232263274782959</v>
      </c>
      <c r="O33" s="133">
        <f>Table112348[[#This Row],[M (KN.mm)]]/(Table112348[[#This Row],[b (mm)]]*Table112348[[#This Row],[h (mm)]]*Table112348[[#This Row],[L(mm)]])</f>
        <v>3.2977264979330292E-4</v>
      </c>
      <c r="P33" s="133">
        <f>Table112348[[#This Row],[M (KN.mm)]]/(Table112348[[#This Row],[b (mm)]]*Table112348[[#This Row],[d (mm)]]*Table112348[[#This Row],[L(mm)]])</f>
        <v>3.8277182565294094E-4</v>
      </c>
      <c r="Q33" s="133">
        <f>Table112348[[#This Row],[M (KN.mm)]]/(Table112348[[#This Row],[b (mm)]]*Table112348[[#This Row],[h (mm)]]*Table112348[[#This Row],[L(mm)]]*Table112348[[#This Row],[fc (Mpa)]])</f>
        <v>1.062754269395111E-5</v>
      </c>
      <c r="R33" s="133">
        <f>Table112348[[#This Row],[M (KN.mm)]]/(Table112348[[#This Row],[b (mm)]]*Table112348[[#This Row],[h (mm)]]*Table112348[[#This Row],[L(mm)]]/2)</f>
        <v>6.5954529958660584E-4</v>
      </c>
      <c r="S33" s="133">
        <f>Table112348[[#This Row],[M (KN.mm)]]/(Table112348[[#This Row],[a (mm)]]*Table112348[[#This Row],[b (mm)]]*Table112348[[#This Row],[h (mm)]]*Table112348[[#This Row],[L(mm)]]/2)</f>
        <v>1.0819312657260599E-6</v>
      </c>
      <c r="T33" s="133">
        <f>Table112348[[#This Row],[M (KN.mm)]]/(Table112348[[#This Row],[a (mm)]]^2*Table112348[[#This Row],[b (mm)]]*Table112348[[#This Row],[h (mm)]])</f>
        <v>1.082641194378111E-6</v>
      </c>
      <c r="U33" s="133">
        <f>Table112348[[#This Row],[M (KN.mm)]]/(Table112348[[#This Row],[b (mm)]]*Table112348[[#This Row],[d (mm)]]*Table112348[[#This Row],[pho (%)]])</f>
        <v>0.74124067824855222</v>
      </c>
      <c r="V33" s="110">
        <f>E33*224.8/(2*SQRT(Table112348[[#This Row],[fc (Mpa)]]*145.037)*Table112348[[#This Row],[b (mm)]]*Table112348[[#This Row],[d (mm)]]*(1/25.4)^2)</f>
        <v>0.82805329286862628</v>
      </c>
      <c r="W33" s="110">
        <f>Table112348[[#This Row],[M (KN.mm)]]/$G$36</f>
        <v>0.70000000000000007</v>
      </c>
      <c r="X33" s="110">
        <f>Table112348[[#This Row],[V/(2*sqrt(fc) bd)]]</f>
        <v>0.82805329286862628</v>
      </c>
      <c r="Y33" s="110">
        <f>Table112348[[#This Row],[a (mm)]]</f>
        <v>609.59999999999991</v>
      </c>
      <c r="Z33" s="110">
        <f>Table112348[[#This Row],[b (mm)]]*Table112348[[#This Row],[h (mm)]]^2</f>
        <v>21906496.005468749</v>
      </c>
      <c r="AA33" s="110">
        <f>Table112348[[#This Row],[b (mm)]]</f>
        <v>228.6</v>
      </c>
      <c r="AB33" s="110">
        <f>Table112348[[#This Row],[a]]/Table112348[[#This Row],[h (mm)]]</f>
        <v>1.9692307692307689</v>
      </c>
      <c r="AC33" s="110">
        <f>Table112348[[#This Row],[h (mm)]]</f>
        <v>309.5625</v>
      </c>
      <c r="AD33" s="110">
        <f t="shared" si="12"/>
        <v>609.59999999999991</v>
      </c>
      <c r="AE33" s="110">
        <f t="shared" si="13"/>
        <v>266.7</v>
      </c>
      <c r="AF33" s="110">
        <f t="shared" si="14"/>
        <v>309.5625</v>
      </c>
      <c r="AG33" s="134">
        <f t="shared" si="15"/>
        <v>228.6</v>
      </c>
      <c r="AH33" s="7">
        <v>31.03</v>
      </c>
      <c r="AI33" s="110">
        <f>Table112348[[#This Row],[pho (%)]]/100*Table112348[[#This Row],[b (mm)]]*Table112348[[#This Row],[h (mm)]]</f>
        <v>445.82572125000002</v>
      </c>
      <c r="AJ33" s="135">
        <v>0.63</v>
      </c>
      <c r="AK33" s="110">
        <v>640.5</v>
      </c>
      <c r="AL33" s="132">
        <f>(1/3-0.21*(MIN(Table112348[[#This Row],[b (mm)]],AF33)/MAX(Table112348[[#This Row],[b (mm)]],AF33))*(MIN(Table112348[[#This Row],[b (mm)]],AF33)^4/(12*MAX(Table112348[[#This Row],[b (mm)]],AF33)^4)))*MAX(Table112348[[#This Row],[b (mm)]],AF33)*MIN(Table112348[[#This Row],[b (mm)]],AF33)^3</f>
        <v>1218483405.0369673</v>
      </c>
      <c r="AM33" s="132">
        <f>Table112348[[#This Row],[b (mm)]]*AF33^3/12</f>
        <v>565119139.14107668</v>
      </c>
      <c r="AN33" s="132">
        <v>1220</v>
      </c>
      <c r="AO33"/>
      <c r="AP33"/>
    </row>
    <row r="34" spans="1:49" x14ac:dyDescent="0.3">
      <c r="A34" s="119" t="s">
        <v>179</v>
      </c>
      <c r="B34" s="119" t="s">
        <v>64</v>
      </c>
      <c r="C34" s="119">
        <v>33</v>
      </c>
      <c r="D34" s="130">
        <f>Table112348[[#This Row],[a (mm)]]/Table112348[[#This Row],[d (mm)]]</f>
        <v>2.2857142857142856</v>
      </c>
      <c r="E34" s="2">
        <v>53.376000000000005</v>
      </c>
      <c r="F34" s="127">
        <f>Table112348[[#This Row],[d (mm)]]</f>
        <v>266.7</v>
      </c>
      <c r="G34" s="110">
        <f t="shared" si="0"/>
        <v>32538.009599999998</v>
      </c>
      <c r="H34" s="110">
        <f t="shared" si="1"/>
        <v>2.1861919207033866E-6</v>
      </c>
      <c r="I34" s="110">
        <f>G34/(Table112348[[#This Row],[b (mm)]]*Table112348[[#This Row],[h]]^2)</f>
        <v>1.4853132875233535E-3</v>
      </c>
      <c r="J34" s="110">
        <f t="shared" si="2"/>
        <v>0.42725161433642039</v>
      </c>
      <c r="K34" s="110">
        <f t="shared" si="3"/>
        <v>1.3950724354866336E-6</v>
      </c>
      <c r="L34" s="132">
        <f>E34/(Table112348[[#This Row],[b (mm)]]*AE34)</f>
        <v>8.7548111604159734E-4</v>
      </c>
      <c r="M34" s="132">
        <f>Table112348[[#This Row],[M (KN.mm)]]/(Table112348[[#This Row],[b (mm)]]*Table112348[[#This Row],[d (mm)]])</f>
        <v>0.53369328833895768</v>
      </c>
      <c r="N34" s="132">
        <f>Table112348[[#This Row],[M (KN.mm)]]/(Table112348[[#This Row],[b (mm)]]*Table112348[[#This Row],[h (mm)]])</f>
        <v>0.45979729456894808</v>
      </c>
      <c r="O34" s="133">
        <f>Table112348[[#This Row],[M (KN.mm)]]/(Table112348[[#This Row],[b (mm)]]*Table112348[[#This Row],[h (mm)]]*Table112348[[#This Row],[L(mm)]])</f>
        <v>3.7688302833520333E-4</v>
      </c>
      <c r="P34" s="133">
        <f>Table112348[[#This Row],[M (KN.mm)]]/(Table112348[[#This Row],[b (mm)]]*Table112348[[#This Row],[d (mm)]]*Table112348[[#This Row],[L(mm)]])</f>
        <v>4.3745351503193249E-4</v>
      </c>
      <c r="Q34" s="133">
        <f>Table112348[[#This Row],[M (KN.mm)]]/(Table112348[[#This Row],[b (mm)]]*Table112348[[#This Row],[h (mm)]]*Table112348[[#This Row],[L(mm)]]*Table112348[[#This Row],[fc (Mpa)]])</f>
        <v>1.2145763078801268E-5</v>
      </c>
      <c r="R34" s="133">
        <f>Table112348[[#This Row],[M (KN.mm)]]/(Table112348[[#This Row],[b (mm)]]*Table112348[[#This Row],[h (mm)]]*Table112348[[#This Row],[L(mm)]]/2)</f>
        <v>7.5376605667040665E-4</v>
      </c>
      <c r="S34" s="133">
        <f>Table112348[[#This Row],[M (KN.mm)]]/(Table112348[[#This Row],[a (mm)]]*Table112348[[#This Row],[b (mm)]]*Table112348[[#This Row],[h (mm)]]*Table112348[[#This Row],[L(mm)]]/2)</f>
        <v>1.236492875115497E-6</v>
      </c>
      <c r="T34" s="133">
        <f>Table112348[[#This Row],[M (KN.mm)]]/(Table112348[[#This Row],[a (mm)]]^2*Table112348[[#This Row],[b (mm)]]*Table112348[[#This Row],[h (mm)]])</f>
        <v>1.2373042221464125E-6</v>
      </c>
      <c r="U34" s="133">
        <f>Table112348[[#This Row],[M (KN.mm)]]/(Table112348[[#This Row],[b (mm)]]*Table112348[[#This Row],[d (mm)]]*Table112348[[#This Row],[pho (%)]])</f>
        <v>0.84713220371263109</v>
      </c>
      <c r="V34" s="110">
        <f>E34*224.8/(2*SQRT(Table112348[[#This Row],[fc (Mpa)]]*145.037)*Table112348[[#This Row],[b (mm)]]*Table112348[[#This Row],[d (mm)]]*(1/25.4)^2)</f>
        <v>0.94634662042128714</v>
      </c>
      <c r="W34" s="110">
        <f>Table112348[[#This Row],[M (KN.mm)]]/$G$36</f>
        <v>0.8</v>
      </c>
      <c r="X34" s="110">
        <f>Table112348[[#This Row],[V/(2*sqrt(fc) bd)]]</f>
        <v>0.94634662042128714</v>
      </c>
      <c r="Y34" s="110">
        <f>Table112348[[#This Row],[a (mm)]]</f>
        <v>609.59999999999991</v>
      </c>
      <c r="Z34" s="110">
        <f>Table112348[[#This Row],[b (mm)]]*Table112348[[#This Row],[h (mm)]]^2</f>
        <v>21906496.005468749</v>
      </c>
      <c r="AA34" s="110">
        <f>Table112348[[#This Row],[b (mm)]]</f>
        <v>228.6</v>
      </c>
      <c r="AB34" s="110">
        <f>Table112348[[#This Row],[a]]/Table112348[[#This Row],[h (mm)]]</f>
        <v>1.9692307692307689</v>
      </c>
      <c r="AC34" s="110">
        <f>Table112348[[#This Row],[h (mm)]]</f>
        <v>309.5625</v>
      </c>
      <c r="AD34" s="110">
        <f t="shared" si="12"/>
        <v>609.59999999999991</v>
      </c>
      <c r="AE34" s="110">
        <f t="shared" si="13"/>
        <v>266.7</v>
      </c>
      <c r="AF34" s="110">
        <f t="shared" si="14"/>
        <v>309.5625</v>
      </c>
      <c r="AG34" s="134">
        <f t="shared" si="15"/>
        <v>228.6</v>
      </c>
      <c r="AH34" s="7">
        <v>31.03</v>
      </c>
      <c r="AI34" s="110">
        <f>Table112348[[#This Row],[pho (%)]]/100*Table112348[[#This Row],[b (mm)]]*Table112348[[#This Row],[h (mm)]]</f>
        <v>445.82572125000002</v>
      </c>
      <c r="AJ34" s="135">
        <v>0.63</v>
      </c>
      <c r="AK34" s="110">
        <v>640.5</v>
      </c>
      <c r="AL34" s="132">
        <f>(1/3-0.21*(MIN(Table112348[[#This Row],[b (mm)]],AF34)/MAX(Table112348[[#This Row],[b (mm)]],AF34))*(MIN(Table112348[[#This Row],[b (mm)]],AF34)^4/(12*MAX(Table112348[[#This Row],[b (mm)]],AF34)^4)))*MAX(Table112348[[#This Row],[b (mm)]],AF34)*MIN(Table112348[[#This Row],[b (mm)]],AF34)^3</f>
        <v>1218483405.0369673</v>
      </c>
      <c r="AM34" s="132">
        <f>Table112348[[#This Row],[b (mm)]]*AF34^3/12</f>
        <v>565119139.14107668</v>
      </c>
      <c r="AN34" s="132">
        <v>1220</v>
      </c>
      <c r="AO34"/>
      <c r="AP34"/>
    </row>
    <row r="35" spans="1:49" x14ac:dyDescent="0.3">
      <c r="A35" s="119" t="s">
        <v>179</v>
      </c>
      <c r="B35" s="119" t="s">
        <v>65</v>
      </c>
      <c r="C35" s="119">
        <v>34</v>
      </c>
      <c r="D35" s="130">
        <f>Table112348[[#This Row],[a (mm)]]/Table112348[[#This Row],[d (mm)]]</f>
        <v>2.2857142857142856</v>
      </c>
      <c r="E35" s="2">
        <v>60.048000000000002</v>
      </c>
      <c r="F35" s="127">
        <f>Table112348[[#This Row],[d (mm)]]</f>
        <v>266.7</v>
      </c>
      <c r="G35" s="110">
        <f t="shared" si="0"/>
        <v>36605.260799999996</v>
      </c>
      <c r="H35" s="110">
        <f t="shared" si="1"/>
        <v>2.4594659107913097E-6</v>
      </c>
      <c r="I35" s="110">
        <f>G35/(Table112348[[#This Row],[b (mm)]]*Table112348[[#This Row],[h]]^2)</f>
        <v>1.6709774484637726E-3</v>
      </c>
      <c r="J35" s="110">
        <f t="shared" si="2"/>
        <v>0.48065806612847295</v>
      </c>
      <c r="K35" s="110">
        <f t="shared" si="3"/>
        <v>1.5694564899224627E-6</v>
      </c>
      <c r="L35" s="132">
        <f>E35/(Table112348[[#This Row],[b (mm)]]*AE35)</f>
        <v>9.8491625554679701E-4</v>
      </c>
      <c r="M35" s="132">
        <f>Table112348[[#This Row],[M (KN.mm)]]/(Table112348[[#This Row],[b (mm)]]*Table112348[[#This Row],[d (mm)]])</f>
        <v>0.60040494938132727</v>
      </c>
      <c r="N35" s="132">
        <f>Table112348[[#This Row],[M (KN.mm)]]/(Table112348[[#This Row],[b (mm)]]*Table112348[[#This Row],[h (mm)]])</f>
        <v>0.51727195639006651</v>
      </c>
      <c r="O35" s="133">
        <f>Table112348[[#This Row],[M (KN.mm)]]/(Table112348[[#This Row],[b (mm)]]*Table112348[[#This Row],[h (mm)]]*Table112348[[#This Row],[L(mm)]])</f>
        <v>4.2399340687710374E-4</v>
      </c>
      <c r="P35" s="133">
        <f>Table112348[[#This Row],[M (KN.mm)]]/(Table112348[[#This Row],[b (mm)]]*Table112348[[#This Row],[d (mm)]]*Table112348[[#This Row],[L(mm)]])</f>
        <v>4.9213520441092405E-4</v>
      </c>
      <c r="Q35" s="133">
        <f>Table112348[[#This Row],[M (KN.mm)]]/(Table112348[[#This Row],[b (mm)]]*Table112348[[#This Row],[h (mm)]]*Table112348[[#This Row],[L(mm)]]*Table112348[[#This Row],[fc (Mpa)]])</f>
        <v>1.3663983463651426E-5</v>
      </c>
      <c r="R35" s="133">
        <f>Table112348[[#This Row],[M (KN.mm)]]/(Table112348[[#This Row],[b (mm)]]*Table112348[[#This Row],[h (mm)]]*Table112348[[#This Row],[L(mm)]]/2)</f>
        <v>8.4798681375420747E-4</v>
      </c>
      <c r="S35" s="133">
        <f>Table112348[[#This Row],[M (KN.mm)]]/(Table112348[[#This Row],[a (mm)]]*Table112348[[#This Row],[b (mm)]]*Table112348[[#This Row],[h (mm)]]*Table112348[[#This Row],[L(mm)]]/2)</f>
        <v>1.3910544845049341E-6</v>
      </c>
      <c r="T35" s="133">
        <f>Table112348[[#This Row],[M (KN.mm)]]/(Table112348[[#This Row],[a (mm)]]^2*Table112348[[#This Row],[b (mm)]]*Table112348[[#This Row],[h (mm)]])</f>
        <v>1.3919672499147141E-6</v>
      </c>
      <c r="U35" s="133">
        <f>Table112348[[#This Row],[M (KN.mm)]]/(Table112348[[#This Row],[b (mm)]]*Table112348[[#This Row],[d (mm)]]*Table112348[[#This Row],[pho (%)]])</f>
        <v>0.95302372917670997</v>
      </c>
      <c r="V35" s="110">
        <f>E35*224.8/(2*SQRT(Table112348[[#This Row],[fc (Mpa)]]*145.037)*Table112348[[#This Row],[b (mm)]]*Table112348[[#This Row],[d (mm)]]*(1/25.4)^2)</f>
        <v>1.0646399479739479</v>
      </c>
      <c r="W35" s="110">
        <f>Table112348[[#This Row],[M (KN.mm)]]/$G$36</f>
        <v>0.9</v>
      </c>
      <c r="X35" s="110">
        <f>Table112348[[#This Row],[V/(2*sqrt(fc) bd)]]</f>
        <v>1.0646399479739479</v>
      </c>
      <c r="Y35" s="110">
        <f>Table112348[[#This Row],[a (mm)]]</f>
        <v>609.59999999999991</v>
      </c>
      <c r="Z35" s="110">
        <f>Table112348[[#This Row],[b (mm)]]*Table112348[[#This Row],[h (mm)]]^2</f>
        <v>21906496.005468749</v>
      </c>
      <c r="AA35" s="110">
        <f>Table112348[[#This Row],[b (mm)]]</f>
        <v>228.6</v>
      </c>
      <c r="AB35" s="110">
        <f>Table112348[[#This Row],[a]]/Table112348[[#This Row],[h (mm)]]</f>
        <v>1.9692307692307689</v>
      </c>
      <c r="AC35" s="110">
        <f>Table112348[[#This Row],[h (mm)]]</f>
        <v>309.5625</v>
      </c>
      <c r="AD35" s="110">
        <f t="shared" si="12"/>
        <v>609.59999999999991</v>
      </c>
      <c r="AE35" s="110">
        <f t="shared" si="13"/>
        <v>266.7</v>
      </c>
      <c r="AF35" s="110">
        <f t="shared" si="14"/>
        <v>309.5625</v>
      </c>
      <c r="AG35" s="134">
        <f t="shared" si="15"/>
        <v>228.6</v>
      </c>
      <c r="AH35" s="7">
        <v>31.03</v>
      </c>
      <c r="AI35" s="110">
        <f>Table112348[[#This Row],[pho (%)]]/100*Table112348[[#This Row],[b (mm)]]*Table112348[[#This Row],[h (mm)]]</f>
        <v>445.82572125000002</v>
      </c>
      <c r="AJ35" s="135">
        <v>0.63</v>
      </c>
      <c r="AK35" s="110">
        <v>640.5</v>
      </c>
      <c r="AL35" s="132">
        <f>(1/3-0.21*(MIN(Table112348[[#This Row],[b (mm)]],AF35)/MAX(Table112348[[#This Row],[b (mm)]],AF35))*(MIN(Table112348[[#This Row],[b (mm)]],AF35)^4/(12*MAX(Table112348[[#This Row],[b (mm)]],AF35)^4)))*MAX(Table112348[[#This Row],[b (mm)]],AF35)*MIN(Table112348[[#This Row],[b (mm)]],AF35)^3</f>
        <v>1218483405.0369673</v>
      </c>
      <c r="AM35" s="132">
        <f>Table112348[[#This Row],[b (mm)]]*AF35^3/12</f>
        <v>565119139.14107668</v>
      </c>
      <c r="AN35" s="132">
        <v>1220</v>
      </c>
      <c r="AO35"/>
      <c r="AP35"/>
    </row>
    <row r="36" spans="1:49" x14ac:dyDescent="0.3">
      <c r="A36" s="119" t="s">
        <v>179</v>
      </c>
      <c r="B36" s="119" t="s">
        <v>66</v>
      </c>
      <c r="C36" s="119">
        <v>35</v>
      </c>
      <c r="D36" s="130">
        <f>Table112348[[#This Row],[a (mm)]]/Table112348[[#This Row],[d (mm)]]</f>
        <v>2.2857142857142856</v>
      </c>
      <c r="E36" s="2">
        <v>66.72</v>
      </c>
      <c r="F36" s="127">
        <f>Table112348[[#This Row],[d (mm)]]</f>
        <v>266.7</v>
      </c>
      <c r="G36" s="110">
        <f t="shared" si="0"/>
        <v>40672.511999999995</v>
      </c>
      <c r="H36" s="110">
        <f t="shared" si="1"/>
        <v>2.7327399008792329E-6</v>
      </c>
      <c r="I36" s="110">
        <f>G36/(Table112348[[#This Row],[b (mm)]]*Table112348[[#This Row],[h]]^2)</f>
        <v>1.8566416094041918E-3</v>
      </c>
      <c r="J36" s="110">
        <f t="shared" si="2"/>
        <v>0.53406451792052545</v>
      </c>
      <c r="K36" s="110">
        <f t="shared" si="3"/>
        <v>1.7438405443582918E-6</v>
      </c>
      <c r="L36" s="132">
        <f>E36/(Table112348[[#This Row],[b (mm)]]*AE36)</f>
        <v>1.0943513950519965E-3</v>
      </c>
      <c r="M36" s="132">
        <f>Table112348[[#This Row],[M (KN.mm)]]/(Table112348[[#This Row],[b (mm)]]*Table112348[[#This Row],[d (mm)]])</f>
        <v>0.66711661042369697</v>
      </c>
      <c r="N36" s="132">
        <f>Table112348[[#This Row],[M (KN.mm)]]/(Table112348[[#This Row],[b (mm)]]*Table112348[[#This Row],[h (mm)]])</f>
        <v>0.574746618211185</v>
      </c>
      <c r="O36" s="133">
        <f>Table112348[[#This Row],[M (KN.mm)]]/(Table112348[[#This Row],[b (mm)]]*Table112348[[#This Row],[h (mm)]]*Table112348[[#This Row],[L(mm)]])</f>
        <v>4.7110378541900415E-4</v>
      </c>
      <c r="P36" s="133">
        <f>Table112348[[#This Row],[M (KN.mm)]]/(Table112348[[#This Row],[b (mm)]]*Table112348[[#This Row],[d (mm)]]*Table112348[[#This Row],[L(mm)]])</f>
        <v>5.4681689378991566E-4</v>
      </c>
      <c r="Q36" s="133">
        <f>Table112348[[#This Row],[M (KN.mm)]]/(Table112348[[#This Row],[b (mm)]]*Table112348[[#This Row],[h (mm)]]*Table112348[[#This Row],[L(mm)]]*Table112348[[#This Row],[fc (Mpa)]])</f>
        <v>1.5182203848501585E-5</v>
      </c>
      <c r="R36" s="133">
        <f>Table112348[[#This Row],[M (KN.mm)]]/(Table112348[[#This Row],[b (mm)]]*Table112348[[#This Row],[h (mm)]]*Table112348[[#This Row],[L(mm)]]/2)</f>
        <v>9.4220757083800829E-4</v>
      </c>
      <c r="S36" s="133">
        <f>Table112348[[#This Row],[M (KN.mm)]]/(Table112348[[#This Row],[a (mm)]]*Table112348[[#This Row],[b (mm)]]*Table112348[[#This Row],[h (mm)]]*Table112348[[#This Row],[L(mm)]]/2)</f>
        <v>1.5456160938943712E-6</v>
      </c>
      <c r="T36" s="133">
        <f>Table112348[[#This Row],[M (KN.mm)]]/(Table112348[[#This Row],[a (mm)]]^2*Table112348[[#This Row],[b (mm)]]*Table112348[[#This Row],[h (mm)]])</f>
        <v>1.5466302776830156E-6</v>
      </c>
      <c r="U36" s="133">
        <f>Table112348[[#This Row],[M (KN.mm)]]/(Table112348[[#This Row],[b (mm)]]*Table112348[[#This Row],[d (mm)]]*Table112348[[#This Row],[pho (%)]])</f>
        <v>1.0589152546407889</v>
      </c>
      <c r="V36" s="110">
        <f>E36*224.8/(2*SQRT(Table112348[[#This Row],[fc (Mpa)]]*145.037)*Table112348[[#This Row],[b (mm)]]*Table112348[[#This Row],[d (mm)]]*(1/25.4)^2)</f>
        <v>1.1829332755266089</v>
      </c>
      <c r="W36" s="110">
        <f>Table112348[[#This Row],[M (KN.mm)]]/$G$36</f>
        <v>1</v>
      </c>
      <c r="X36" s="110">
        <f>Table112348[[#This Row],[V/(2*sqrt(fc) bd)]]</f>
        <v>1.1829332755266089</v>
      </c>
      <c r="Y36" s="110">
        <f>Table112348[[#This Row],[a (mm)]]</f>
        <v>609.59999999999991</v>
      </c>
      <c r="Z36" s="110">
        <f>Table112348[[#This Row],[b (mm)]]*Table112348[[#This Row],[h (mm)]]^2</f>
        <v>21906496.005468749</v>
      </c>
      <c r="AA36" s="110">
        <f>Table112348[[#This Row],[b (mm)]]</f>
        <v>228.6</v>
      </c>
      <c r="AB36" s="110">
        <f>Table112348[[#This Row],[a]]/Table112348[[#This Row],[h (mm)]]</f>
        <v>1.9692307692307689</v>
      </c>
      <c r="AC36" s="110">
        <f>Table112348[[#This Row],[h (mm)]]</f>
        <v>309.5625</v>
      </c>
      <c r="AD36" s="110">
        <f t="shared" si="12"/>
        <v>609.59999999999991</v>
      </c>
      <c r="AE36" s="110">
        <f t="shared" si="13"/>
        <v>266.7</v>
      </c>
      <c r="AF36" s="110">
        <f t="shared" si="14"/>
        <v>309.5625</v>
      </c>
      <c r="AG36" s="134">
        <f t="shared" si="15"/>
        <v>228.6</v>
      </c>
      <c r="AH36" s="7">
        <v>31.03</v>
      </c>
      <c r="AI36" s="110">
        <f>Table112348[[#This Row],[pho (%)]]/100*Table112348[[#This Row],[b (mm)]]*Table112348[[#This Row],[h (mm)]]</f>
        <v>445.82572125000002</v>
      </c>
      <c r="AJ36" s="135">
        <v>0.63</v>
      </c>
      <c r="AK36" s="110">
        <v>640.5</v>
      </c>
      <c r="AL36" s="132">
        <f>(1/3-0.21*(MIN(Table112348[[#This Row],[b (mm)]],AF36)/MAX(Table112348[[#This Row],[b (mm)]],AF36))*(MIN(Table112348[[#This Row],[b (mm)]],AF36)^4/(12*MAX(Table112348[[#This Row],[b (mm)]],AF36)^4)))*MAX(Table112348[[#This Row],[b (mm)]],AF36)*MIN(Table112348[[#This Row],[b (mm)]],AF36)^3</f>
        <v>1218483405.0369673</v>
      </c>
      <c r="AM36" s="132">
        <f>Table112348[[#This Row],[b (mm)]]*AF36^3/12</f>
        <v>565119139.14107668</v>
      </c>
      <c r="AN36" s="132">
        <v>1220</v>
      </c>
      <c r="AO36"/>
      <c r="AP36"/>
    </row>
    <row r="37" spans="1:49" x14ac:dyDescent="0.3">
      <c r="A37" s="122" t="s">
        <v>180</v>
      </c>
      <c r="B37" s="122" t="s">
        <v>60</v>
      </c>
      <c r="C37" s="122">
        <v>36</v>
      </c>
      <c r="D37" s="130">
        <f>Table112348[[#This Row],[a (mm)]]/Table112348[[#This Row],[d (mm)]]</f>
        <v>2.2857142857142856</v>
      </c>
      <c r="E37" s="2">
        <v>26.688000000000002</v>
      </c>
      <c r="F37" s="127">
        <f>Table112348[[#This Row],[d (mm)]]</f>
        <v>266.7</v>
      </c>
      <c r="G37" s="110">
        <f>E37*AD37</f>
        <v>16269.004799999999</v>
      </c>
      <c r="H37" s="110">
        <f t="shared" ref="H37:H50" si="16">G37/($AP$5*AM37*0.001)</f>
        <v>1.1027352193911145E-6</v>
      </c>
      <c r="I37" s="110">
        <f>G37/(Table112348[[#This Row],[b (mm)]]*Table112348[[#This Row],[h]]^2)</f>
        <v>7.4536354016685176E-4</v>
      </c>
      <c r="J37" s="110">
        <f t="shared" ref="J37:J50" si="17">G37/(AI37*AK37*AE37*0.001)</f>
        <v>0.21330493820134325</v>
      </c>
      <c r="K37" s="110">
        <f t="shared" ref="K37:K50" si="18">E37/($AP$4*AL37*0.001)</f>
        <v>6.8778098510464876E-7</v>
      </c>
      <c r="L37" s="132">
        <f>E37/(Table112348[[#This Row],[b (mm)]]*AE37)</f>
        <v>4.3484161392794569E-4</v>
      </c>
      <c r="M37" s="132">
        <f>Table112348[[#This Row],[M (KN.mm)]]/(Table112348[[#This Row],[b (mm)]]*Table112348[[#This Row],[d (mm)]])</f>
        <v>0.26507944785047566</v>
      </c>
      <c r="N37" s="132">
        <f>Table112348[[#This Row],[M (KN.mm)]]/(Table112348[[#This Row],[b (mm)]]*Table112348[[#This Row],[h (mm)]])</f>
        <v>0.22955333628288613</v>
      </c>
      <c r="O37" s="133">
        <f>Table112348[[#This Row],[M (KN.mm)]]/(Table112348[[#This Row],[b (mm)]]*Table112348[[#This Row],[h (mm)]]*Table112348[[#This Row],[L(mm)]])</f>
        <v>1.8815847236302143E-4</v>
      </c>
      <c r="P37" s="133">
        <f>Table112348[[#This Row],[M (KN.mm)]]/(Table112348[[#This Row],[b (mm)]]*Table112348[[#This Row],[d (mm)]]*Table112348[[#This Row],[L(mm)]])</f>
        <v>2.1727823594301285E-4</v>
      </c>
      <c r="Q37" s="133">
        <f>Table112348[[#This Row],[M (KN.mm)]]/(Table112348[[#This Row],[b (mm)]]*Table112348[[#This Row],[h (mm)]]*Table112348[[#This Row],[L(mm)]]*Table112348[[#This Row],[fc (Mpa)]])</f>
        <v>6.0637599859175453E-6</v>
      </c>
      <c r="R37" s="133">
        <f>Table112348[[#This Row],[M (KN.mm)]]/(Table112348[[#This Row],[b (mm)]]*Table112348[[#This Row],[h (mm)]]*Table112348[[#This Row],[L(mm)]]/2)</f>
        <v>3.7631694472604286E-4</v>
      </c>
      <c r="S37" s="133">
        <f>Table112348[[#This Row],[M (KN.mm)]]/(Table112348[[#This Row],[a (mm)]]*Table112348[[#This Row],[b (mm)]]*Table112348[[#This Row],[h (mm)]]*Table112348[[#This Row],[L(mm)]]/2)</f>
        <v>6.1731782271332484E-7</v>
      </c>
      <c r="T37" s="133">
        <f>Table112348[[#This Row],[M (KN.mm)]]/(Table112348[[#This Row],[a (mm)]]^2*Table112348[[#This Row],[b (mm)]]*Table112348[[#This Row],[h (mm)]])</f>
        <v>6.1772288690145708E-7</v>
      </c>
      <c r="U37" s="133">
        <f>Table112348[[#This Row],[M (KN.mm)]]/(Table112348[[#This Row],[b (mm)]]*Table112348[[#This Row],[d (mm)]]*Table112348[[#This Row],[pho (%)]])</f>
        <v>0.42076102833408829</v>
      </c>
      <c r="V37" s="110">
        <f>E37*224.8/(2*SQRT(Table112348[[#This Row],[fc (Mpa)]]*145.037)*Table112348[[#This Row],[b (mm)]]*Table112348[[#This Row],[d (mm)]]*(1/25.4)^2)</f>
        <v>0.47003971212977846</v>
      </c>
      <c r="W37" s="110">
        <f>Table112348[[#This Row],[M (KN.mm)]]/$G$43</f>
        <v>0.38709677419354843</v>
      </c>
      <c r="X37" s="110">
        <f>Table112348[[#This Row],[V/(2*sqrt(fc) bd)]]</f>
        <v>0.47003971212977846</v>
      </c>
      <c r="Y37" s="110">
        <f>Table112348[[#This Row],[a (mm)]]</f>
        <v>609.59999999999991</v>
      </c>
      <c r="Z37" s="110">
        <f>Table112348[[#This Row],[b (mm)]]*Table112348[[#This Row],[h (mm)]]^2</f>
        <v>21826939.370227493</v>
      </c>
      <c r="AA37" s="110">
        <f>Table112348[[#This Row],[b (mm)]]</f>
        <v>230.124</v>
      </c>
      <c r="AB37" s="110">
        <f>Table112348[[#This Row],[a]]/Table112348[[#This Row],[h (mm)]]</f>
        <v>1.9793814432989689</v>
      </c>
      <c r="AC37" s="110">
        <f>Table112348[[#This Row],[h (mm)]]</f>
        <v>307.97499999999997</v>
      </c>
      <c r="AD37" s="110">
        <f t="shared" si="12"/>
        <v>609.59999999999991</v>
      </c>
      <c r="AE37" s="110">
        <f>10.5*25.4</f>
        <v>266.7</v>
      </c>
      <c r="AF37" s="110">
        <f>12.125*25.4</f>
        <v>307.97499999999997</v>
      </c>
      <c r="AG37" s="134">
        <f>9.06*25.4</f>
        <v>230.124</v>
      </c>
      <c r="AH37" s="7">
        <v>31.03</v>
      </c>
      <c r="AI37" s="110">
        <f>Table112348[[#This Row],[pho (%)]]/100*Table112348[[#This Row],[b (mm)]]*Table112348[[#This Row],[h (mm)]]</f>
        <v>446.49636506999991</v>
      </c>
      <c r="AJ37" s="135">
        <v>0.63</v>
      </c>
      <c r="AK37" s="110">
        <v>640.5</v>
      </c>
      <c r="AL37" s="132">
        <f>(1/3-0.21*(MIN(Table112348[[#This Row],[b (mm)]],AF37)/MAX(Table112348[[#This Row],[b (mm)]],AF37))*(MIN(Table112348[[#This Row],[b (mm)]],AF37)^4/(12*MAX(Table112348[[#This Row],[b (mm)]],AF37)^4)))*MAX(Table112348[[#This Row],[b (mm)]],AF37)*MIN(Table112348[[#This Row],[b (mm)]],AF37)^3</f>
        <v>1235765925.6938643</v>
      </c>
      <c r="AM37" s="132">
        <f>Table112348[[#This Row],[b (mm)]]*AF37^3/12</f>
        <v>560179304.37881768</v>
      </c>
      <c r="AN37" s="132">
        <v>1220</v>
      </c>
      <c r="AO37"/>
      <c r="AP37"/>
    </row>
    <row r="38" spans="1:49" x14ac:dyDescent="0.3">
      <c r="A38" s="122" t="s">
        <v>180</v>
      </c>
      <c r="B38" s="122" t="s">
        <v>61</v>
      </c>
      <c r="C38" s="122">
        <v>37</v>
      </c>
      <c r="D38" s="130">
        <f>Table112348[[#This Row],[a (mm)]]/Table112348[[#This Row],[d (mm)]]</f>
        <v>2.2857142857142856</v>
      </c>
      <c r="E38" s="2">
        <v>33.36</v>
      </c>
      <c r="F38" s="127">
        <f>Table112348[[#This Row],[d (mm)]]</f>
        <v>266.7</v>
      </c>
      <c r="G38" s="110">
        <f t="shared" ref="G38:G50" si="19">E38*AD38</f>
        <v>20336.255999999998</v>
      </c>
      <c r="H38" s="110">
        <f t="shared" si="16"/>
        <v>1.3784190242388931E-6</v>
      </c>
      <c r="I38" s="110">
        <f>G38/(Table112348[[#This Row],[b (mm)]]*Table112348[[#This Row],[h]]^2)</f>
        <v>9.3170442520856464E-4</v>
      </c>
      <c r="J38" s="110">
        <f t="shared" si="17"/>
        <v>0.26663117275167902</v>
      </c>
      <c r="K38" s="110">
        <f t="shared" si="18"/>
        <v>8.5972623138081084E-7</v>
      </c>
      <c r="L38" s="132">
        <f>E38/(Table112348[[#This Row],[b (mm)]]*AE38)</f>
        <v>5.435520174099321E-4</v>
      </c>
      <c r="M38" s="132">
        <f>Table112348[[#This Row],[M (KN.mm)]]/(Table112348[[#This Row],[b (mm)]]*Table112348[[#This Row],[d (mm)]])</f>
        <v>0.33134930981309457</v>
      </c>
      <c r="N38" s="132">
        <f>Table112348[[#This Row],[M (KN.mm)]]/(Table112348[[#This Row],[b (mm)]]*Table112348[[#This Row],[h (mm)]])</f>
        <v>0.28694167035360763</v>
      </c>
      <c r="O38" s="133">
        <f>Table112348[[#This Row],[M (KN.mm)]]/(Table112348[[#This Row],[b (mm)]]*Table112348[[#This Row],[h (mm)]]*Table112348[[#This Row],[L(mm)]])</f>
        <v>2.3519809045377676E-4</v>
      </c>
      <c r="P38" s="133">
        <f>Table112348[[#This Row],[M (KN.mm)]]/(Table112348[[#This Row],[b (mm)]]*Table112348[[#This Row],[d (mm)]]*Table112348[[#This Row],[L(mm)]])</f>
        <v>2.7159779492876604E-4</v>
      </c>
      <c r="Q38" s="133">
        <f>Table112348[[#This Row],[M (KN.mm)]]/(Table112348[[#This Row],[b (mm)]]*Table112348[[#This Row],[h (mm)]]*Table112348[[#This Row],[L(mm)]]*Table112348[[#This Row],[fc (Mpa)]])</f>
        <v>7.5796999823969313E-6</v>
      </c>
      <c r="R38" s="133">
        <f>Table112348[[#This Row],[M (KN.mm)]]/(Table112348[[#This Row],[b (mm)]]*Table112348[[#This Row],[h (mm)]]*Table112348[[#This Row],[L(mm)]]/2)</f>
        <v>4.7039618090755352E-4</v>
      </c>
      <c r="S38" s="133">
        <f>Table112348[[#This Row],[M (KN.mm)]]/(Table112348[[#This Row],[a (mm)]]*Table112348[[#This Row],[b (mm)]]*Table112348[[#This Row],[h (mm)]]*Table112348[[#This Row],[L(mm)]]/2)</f>
        <v>7.716472783916561E-7</v>
      </c>
      <c r="T38" s="133">
        <f>Table112348[[#This Row],[M (KN.mm)]]/(Table112348[[#This Row],[a (mm)]]^2*Table112348[[#This Row],[b (mm)]]*Table112348[[#This Row],[h (mm)]])</f>
        <v>7.7215360862682138E-7</v>
      </c>
      <c r="U38" s="133">
        <f>Table112348[[#This Row],[M (KN.mm)]]/(Table112348[[#This Row],[b (mm)]]*Table112348[[#This Row],[d (mm)]]*Table112348[[#This Row],[pho (%)]])</f>
        <v>0.52595128541761038</v>
      </c>
      <c r="V38" s="110">
        <f>E38*224.8/(2*SQRT(Table112348[[#This Row],[fc (Mpa)]]*145.037)*Table112348[[#This Row],[b (mm)]]*Table112348[[#This Row],[d (mm)]]*(1/25.4)^2)</f>
        <v>0.587549640162223</v>
      </c>
      <c r="W38" s="110">
        <f>Table112348[[#This Row],[M (KN.mm)]]/$G$43</f>
        <v>0.4838709677419355</v>
      </c>
      <c r="X38" s="110">
        <f>Table112348[[#This Row],[V/(2*sqrt(fc) bd)]]</f>
        <v>0.587549640162223</v>
      </c>
      <c r="Y38" s="110">
        <f>Table112348[[#This Row],[a (mm)]]</f>
        <v>609.59999999999991</v>
      </c>
      <c r="Z38" s="110">
        <f>Table112348[[#This Row],[b (mm)]]*Table112348[[#This Row],[h (mm)]]^2</f>
        <v>21826939.370227493</v>
      </c>
      <c r="AA38" s="110">
        <f>Table112348[[#This Row],[b (mm)]]</f>
        <v>230.124</v>
      </c>
      <c r="AB38" s="110">
        <f>Table112348[[#This Row],[a]]/Table112348[[#This Row],[h (mm)]]</f>
        <v>1.9793814432989689</v>
      </c>
      <c r="AC38" s="110">
        <f>Table112348[[#This Row],[h (mm)]]</f>
        <v>307.97499999999997</v>
      </c>
      <c r="AD38" s="110">
        <f t="shared" si="12"/>
        <v>609.59999999999991</v>
      </c>
      <c r="AE38" s="110">
        <f t="shared" ref="AE38:AE50" si="20">10.5*25.4</f>
        <v>266.7</v>
      </c>
      <c r="AF38" s="110">
        <f t="shared" ref="AF38:AF50" si="21">12.125*25.4</f>
        <v>307.97499999999997</v>
      </c>
      <c r="AG38" s="134">
        <f t="shared" ref="AG38:AG43" si="22">9.06*25.4</f>
        <v>230.124</v>
      </c>
      <c r="AH38" s="7">
        <v>31.03</v>
      </c>
      <c r="AI38" s="110">
        <f>Table112348[[#This Row],[pho (%)]]/100*Table112348[[#This Row],[b (mm)]]*Table112348[[#This Row],[h (mm)]]</f>
        <v>446.49636506999991</v>
      </c>
      <c r="AJ38" s="135">
        <v>0.63</v>
      </c>
      <c r="AK38" s="110">
        <v>640.5</v>
      </c>
      <c r="AL38" s="132">
        <f>(1/3-0.21*(MIN(Table112348[[#This Row],[b (mm)]],AF38)/MAX(Table112348[[#This Row],[b (mm)]],AF38))*(MIN(Table112348[[#This Row],[b (mm)]],AF38)^4/(12*MAX(Table112348[[#This Row],[b (mm)]],AF38)^4)))*MAX(Table112348[[#This Row],[b (mm)]],AF38)*MIN(Table112348[[#This Row],[b (mm)]],AF38)^3</f>
        <v>1235765925.6938643</v>
      </c>
      <c r="AM38" s="132">
        <f>Table112348[[#This Row],[b (mm)]]*AF38^3/12</f>
        <v>560179304.37881768</v>
      </c>
      <c r="AN38" s="132">
        <v>1220</v>
      </c>
      <c r="AO38" s="136"/>
      <c r="AP38" s="136"/>
      <c r="AS38" s="136"/>
      <c r="AT38" s="136"/>
      <c r="AU38" s="136"/>
      <c r="AV38"/>
      <c r="AW38"/>
    </row>
    <row r="39" spans="1:49" x14ac:dyDescent="0.3">
      <c r="A39" s="122" t="s">
        <v>180</v>
      </c>
      <c r="B39" s="122" t="s">
        <v>62</v>
      </c>
      <c r="C39" s="122">
        <v>38</v>
      </c>
      <c r="D39" s="130">
        <f>Table112348[[#This Row],[a (mm)]]/Table112348[[#This Row],[d (mm)]]</f>
        <v>2.2857142857142856</v>
      </c>
      <c r="E39" s="2">
        <v>40.032000000000004</v>
      </c>
      <c r="F39" s="127">
        <f>Table112348[[#This Row],[d (mm)]]</f>
        <v>266.7</v>
      </c>
      <c r="G39" s="110">
        <f t="shared" si="19"/>
        <v>24403.5072</v>
      </c>
      <c r="H39" s="110">
        <f t="shared" si="16"/>
        <v>1.6541028290866718E-6</v>
      </c>
      <c r="I39" s="110">
        <f>G39/(Table112348[[#This Row],[b (mm)]]*Table112348[[#This Row],[h]]^2)</f>
        <v>1.1180453102502777E-3</v>
      </c>
      <c r="J39" s="110">
        <f t="shared" si="17"/>
        <v>0.31995740730201488</v>
      </c>
      <c r="K39" s="110">
        <f t="shared" si="18"/>
        <v>1.0316714776569731E-6</v>
      </c>
      <c r="L39" s="132">
        <f>E39/(Table112348[[#This Row],[b (mm)]]*AE39)</f>
        <v>6.5226242089191856E-4</v>
      </c>
      <c r="M39" s="132">
        <f>Table112348[[#This Row],[M (KN.mm)]]/(Table112348[[#This Row],[b (mm)]]*Table112348[[#This Row],[d (mm)]])</f>
        <v>0.39761917177571349</v>
      </c>
      <c r="N39" s="132">
        <f>Table112348[[#This Row],[M (KN.mm)]]/(Table112348[[#This Row],[b (mm)]]*Table112348[[#This Row],[h (mm)]])</f>
        <v>0.34433000442432921</v>
      </c>
      <c r="O39" s="133">
        <f>Table112348[[#This Row],[M (KN.mm)]]/(Table112348[[#This Row],[b (mm)]]*Table112348[[#This Row],[h (mm)]]*Table112348[[#This Row],[L(mm)]])</f>
        <v>2.8223770854453214E-4</v>
      </c>
      <c r="P39" s="133">
        <f>Table112348[[#This Row],[M (KN.mm)]]/(Table112348[[#This Row],[b (mm)]]*Table112348[[#This Row],[d (mm)]]*Table112348[[#This Row],[L(mm)]])</f>
        <v>3.2591735391451928E-4</v>
      </c>
      <c r="Q39" s="133">
        <f>Table112348[[#This Row],[M (KN.mm)]]/(Table112348[[#This Row],[b (mm)]]*Table112348[[#This Row],[h (mm)]]*Table112348[[#This Row],[L(mm)]]*Table112348[[#This Row],[fc (Mpa)]])</f>
        <v>9.0956399788763189E-6</v>
      </c>
      <c r="R39" s="133">
        <f>Table112348[[#This Row],[M (KN.mm)]]/(Table112348[[#This Row],[b (mm)]]*Table112348[[#This Row],[h (mm)]]*Table112348[[#This Row],[L(mm)]]/2)</f>
        <v>5.6447541708906429E-4</v>
      </c>
      <c r="S39" s="133">
        <f>Table112348[[#This Row],[M (KN.mm)]]/(Table112348[[#This Row],[a (mm)]]*Table112348[[#This Row],[b (mm)]]*Table112348[[#This Row],[h (mm)]]*Table112348[[#This Row],[L(mm)]]/2)</f>
        <v>9.2597673406998736E-7</v>
      </c>
      <c r="T39" s="133">
        <f>Table112348[[#This Row],[M (KN.mm)]]/(Table112348[[#This Row],[a (mm)]]^2*Table112348[[#This Row],[b (mm)]]*Table112348[[#This Row],[h (mm)]])</f>
        <v>9.2658433035218578E-7</v>
      </c>
      <c r="U39" s="133">
        <f>Table112348[[#This Row],[M (KN.mm)]]/(Table112348[[#This Row],[b (mm)]]*Table112348[[#This Row],[d (mm)]]*Table112348[[#This Row],[pho (%)]])</f>
        <v>0.63114154250113252</v>
      </c>
      <c r="V39" s="110">
        <f>E39*224.8/(2*SQRT(Table112348[[#This Row],[fc (Mpa)]]*145.037)*Table112348[[#This Row],[b (mm)]]*Table112348[[#This Row],[d (mm)]]*(1/25.4)^2)</f>
        <v>0.70505956819466753</v>
      </c>
      <c r="W39" s="110">
        <f>Table112348[[#This Row],[M (KN.mm)]]/$G$43</f>
        <v>0.58064516129032273</v>
      </c>
      <c r="X39" s="110">
        <f>Table112348[[#This Row],[V/(2*sqrt(fc) bd)]]</f>
        <v>0.70505956819466753</v>
      </c>
      <c r="Y39" s="110">
        <f>Table112348[[#This Row],[a (mm)]]</f>
        <v>609.59999999999991</v>
      </c>
      <c r="Z39" s="110">
        <f>Table112348[[#This Row],[b (mm)]]*Table112348[[#This Row],[h (mm)]]^2</f>
        <v>21826939.370227493</v>
      </c>
      <c r="AA39" s="110">
        <f>Table112348[[#This Row],[b (mm)]]</f>
        <v>230.124</v>
      </c>
      <c r="AB39" s="110">
        <f>Table112348[[#This Row],[a]]/Table112348[[#This Row],[h (mm)]]</f>
        <v>1.9793814432989689</v>
      </c>
      <c r="AC39" s="110">
        <f>Table112348[[#This Row],[h (mm)]]</f>
        <v>307.97499999999997</v>
      </c>
      <c r="AD39" s="110">
        <f t="shared" si="12"/>
        <v>609.59999999999991</v>
      </c>
      <c r="AE39" s="110">
        <f t="shared" si="20"/>
        <v>266.7</v>
      </c>
      <c r="AF39" s="110">
        <f t="shared" si="21"/>
        <v>307.97499999999997</v>
      </c>
      <c r="AG39" s="134">
        <f t="shared" si="22"/>
        <v>230.124</v>
      </c>
      <c r="AH39" s="7">
        <v>31.03</v>
      </c>
      <c r="AI39" s="110">
        <f>Table112348[[#This Row],[pho (%)]]/100*Table112348[[#This Row],[b (mm)]]*Table112348[[#This Row],[h (mm)]]</f>
        <v>446.49636506999991</v>
      </c>
      <c r="AJ39" s="135">
        <v>0.63</v>
      </c>
      <c r="AK39" s="110">
        <v>640.5</v>
      </c>
      <c r="AL39" s="132">
        <f>(1/3-0.21*(MIN(Table112348[[#This Row],[b (mm)]],AF39)/MAX(Table112348[[#This Row],[b (mm)]],AF39))*(MIN(Table112348[[#This Row],[b (mm)]],AF39)^4/(12*MAX(Table112348[[#This Row],[b (mm)]],AF39)^4)))*MAX(Table112348[[#This Row],[b (mm)]],AF39)*MIN(Table112348[[#This Row],[b (mm)]],AF39)^3</f>
        <v>1235765925.6938643</v>
      </c>
      <c r="AM39" s="132">
        <f>Table112348[[#This Row],[b (mm)]]*AF39^3/12</f>
        <v>560179304.37881768</v>
      </c>
      <c r="AN39" s="132">
        <v>1220</v>
      </c>
      <c r="AO39" s="136"/>
      <c r="AP39" s="136"/>
      <c r="AS39" s="136"/>
      <c r="AT39" s="136"/>
      <c r="AU39" s="136"/>
      <c r="AV39"/>
      <c r="AW39"/>
    </row>
    <row r="40" spans="1:49" x14ac:dyDescent="0.3">
      <c r="A40" s="122" t="s">
        <v>180</v>
      </c>
      <c r="B40" s="122" t="s">
        <v>63</v>
      </c>
      <c r="C40" s="122">
        <v>39</v>
      </c>
      <c r="D40" s="130">
        <f>Table112348[[#This Row],[a (mm)]]/Table112348[[#This Row],[d (mm)]]</f>
        <v>2.2857142857142856</v>
      </c>
      <c r="E40" s="2">
        <v>46.704000000000008</v>
      </c>
      <c r="F40" s="127">
        <f>Table112348[[#This Row],[d (mm)]]</f>
        <v>266.7</v>
      </c>
      <c r="G40" s="110">
        <f t="shared" si="19"/>
        <v>28470.758399999999</v>
      </c>
      <c r="H40" s="110">
        <f t="shared" si="16"/>
        <v>1.9297866339344504E-6</v>
      </c>
      <c r="I40" s="110">
        <f>G40/(Table112348[[#This Row],[b (mm)]]*Table112348[[#This Row],[h]]^2)</f>
        <v>1.3043861952919907E-3</v>
      </c>
      <c r="J40" s="110">
        <f t="shared" si="17"/>
        <v>0.37328364185235069</v>
      </c>
      <c r="K40" s="110">
        <f t="shared" si="18"/>
        <v>1.2036167239331353E-6</v>
      </c>
      <c r="L40" s="132">
        <f>E40/(Table112348[[#This Row],[b (mm)]]*AE40)</f>
        <v>7.6097282437390503E-4</v>
      </c>
      <c r="M40" s="132">
        <f>Table112348[[#This Row],[M (KN.mm)]]/(Table112348[[#This Row],[b (mm)]]*Table112348[[#This Row],[d (mm)]])</f>
        <v>0.4638890337383324</v>
      </c>
      <c r="N40" s="132">
        <f>Table112348[[#This Row],[M (KN.mm)]]/(Table112348[[#This Row],[b (mm)]]*Table112348[[#This Row],[h (mm)]])</f>
        <v>0.40171833849505073</v>
      </c>
      <c r="O40" s="133">
        <f>Table112348[[#This Row],[M (KN.mm)]]/(Table112348[[#This Row],[b (mm)]]*Table112348[[#This Row],[h (mm)]]*Table112348[[#This Row],[L(mm)]])</f>
        <v>3.292773266352875E-4</v>
      </c>
      <c r="P40" s="133">
        <f>Table112348[[#This Row],[M (KN.mm)]]/(Table112348[[#This Row],[b (mm)]]*Table112348[[#This Row],[d (mm)]]*Table112348[[#This Row],[L(mm)]])</f>
        <v>3.8023691290027252E-4</v>
      </c>
      <c r="Q40" s="133">
        <f>Table112348[[#This Row],[M (KN.mm)]]/(Table112348[[#This Row],[b (mm)]]*Table112348[[#This Row],[h (mm)]]*Table112348[[#This Row],[L(mm)]]*Table112348[[#This Row],[fc (Mpa)]])</f>
        <v>1.0611579975355704E-5</v>
      </c>
      <c r="R40" s="133">
        <f>Table112348[[#This Row],[M (KN.mm)]]/(Table112348[[#This Row],[b (mm)]]*Table112348[[#This Row],[h (mm)]]*Table112348[[#This Row],[L(mm)]]/2)</f>
        <v>6.58554653270575E-4</v>
      </c>
      <c r="S40" s="133">
        <f>Table112348[[#This Row],[M (KN.mm)]]/(Table112348[[#This Row],[a (mm)]]*Table112348[[#This Row],[b (mm)]]*Table112348[[#This Row],[h (mm)]]*Table112348[[#This Row],[L(mm)]]/2)</f>
        <v>1.0803061897483186E-6</v>
      </c>
      <c r="T40" s="133">
        <f>Table112348[[#This Row],[M (KN.mm)]]/(Table112348[[#This Row],[a (mm)]]^2*Table112348[[#This Row],[b (mm)]]*Table112348[[#This Row],[h (mm)]])</f>
        <v>1.08101505207755E-6</v>
      </c>
      <c r="U40" s="133">
        <f>Table112348[[#This Row],[M (KN.mm)]]/(Table112348[[#This Row],[b (mm)]]*Table112348[[#This Row],[d (mm)]]*Table112348[[#This Row],[pho (%)]])</f>
        <v>0.73633179958465456</v>
      </c>
      <c r="V40" s="110">
        <f>E40*224.8/(2*SQRT(Table112348[[#This Row],[fc (Mpa)]]*145.037)*Table112348[[#This Row],[b (mm)]]*Table112348[[#This Row],[d (mm)]]*(1/25.4)^2)</f>
        <v>0.82256949622711217</v>
      </c>
      <c r="W40" s="110">
        <f>Table112348[[#This Row],[M (KN.mm)]]/$G$43</f>
        <v>0.67741935483870974</v>
      </c>
      <c r="X40" s="110">
        <f>Table112348[[#This Row],[V/(2*sqrt(fc) bd)]]</f>
        <v>0.82256949622711217</v>
      </c>
      <c r="Y40" s="110">
        <f>Table112348[[#This Row],[a (mm)]]</f>
        <v>609.59999999999991</v>
      </c>
      <c r="Z40" s="110">
        <f>Table112348[[#This Row],[b (mm)]]*Table112348[[#This Row],[h (mm)]]^2</f>
        <v>21826939.370227493</v>
      </c>
      <c r="AA40" s="110">
        <f>Table112348[[#This Row],[b (mm)]]</f>
        <v>230.124</v>
      </c>
      <c r="AB40" s="110">
        <f>Table112348[[#This Row],[a]]/Table112348[[#This Row],[h (mm)]]</f>
        <v>1.9793814432989689</v>
      </c>
      <c r="AC40" s="110">
        <f>Table112348[[#This Row],[h (mm)]]</f>
        <v>307.97499999999997</v>
      </c>
      <c r="AD40" s="110">
        <f t="shared" si="12"/>
        <v>609.59999999999991</v>
      </c>
      <c r="AE40" s="110">
        <f t="shared" si="20"/>
        <v>266.7</v>
      </c>
      <c r="AF40" s="110">
        <f t="shared" si="21"/>
        <v>307.97499999999997</v>
      </c>
      <c r="AG40" s="134">
        <f t="shared" si="22"/>
        <v>230.124</v>
      </c>
      <c r="AH40" s="7">
        <v>31.03</v>
      </c>
      <c r="AI40" s="110">
        <f>Table112348[[#This Row],[pho (%)]]/100*Table112348[[#This Row],[b (mm)]]*Table112348[[#This Row],[h (mm)]]</f>
        <v>446.49636506999991</v>
      </c>
      <c r="AJ40" s="135">
        <v>0.63</v>
      </c>
      <c r="AK40" s="110">
        <v>640.5</v>
      </c>
      <c r="AL40" s="132">
        <f>(1/3-0.21*(MIN(Table112348[[#This Row],[b (mm)]],AF40)/MAX(Table112348[[#This Row],[b (mm)]],AF40))*(MIN(Table112348[[#This Row],[b (mm)]],AF40)^4/(12*MAX(Table112348[[#This Row],[b (mm)]],AF40)^4)))*MAX(Table112348[[#This Row],[b (mm)]],AF40)*MIN(Table112348[[#This Row],[b (mm)]],AF40)^3</f>
        <v>1235765925.6938643</v>
      </c>
      <c r="AM40" s="132">
        <f>Table112348[[#This Row],[b (mm)]]*AF40^3/12</f>
        <v>560179304.37881768</v>
      </c>
      <c r="AN40" s="132">
        <v>1220</v>
      </c>
      <c r="AO40" s="136"/>
      <c r="AP40" s="136"/>
      <c r="AS40" s="136"/>
      <c r="AT40" s="136"/>
      <c r="AU40" s="136"/>
      <c r="AV40"/>
      <c r="AW40"/>
    </row>
    <row r="41" spans="1:49" x14ac:dyDescent="0.3">
      <c r="A41" s="122" t="s">
        <v>180</v>
      </c>
      <c r="B41" s="122" t="s">
        <v>64</v>
      </c>
      <c r="C41" s="122">
        <v>40</v>
      </c>
      <c r="D41" s="130">
        <f>Table112348[[#This Row],[a (mm)]]/Table112348[[#This Row],[d (mm)]]</f>
        <v>2.2857142857142856</v>
      </c>
      <c r="E41" s="2">
        <v>53.376000000000005</v>
      </c>
      <c r="F41" s="127">
        <f>Table112348[[#This Row],[d (mm)]]</f>
        <v>266.7</v>
      </c>
      <c r="G41" s="110">
        <f t="shared" si="19"/>
        <v>32538.009599999998</v>
      </c>
      <c r="H41" s="110">
        <f t="shared" si="16"/>
        <v>2.205470438782229E-6</v>
      </c>
      <c r="I41" s="110">
        <f>G41/(Table112348[[#This Row],[b (mm)]]*Table112348[[#This Row],[h]]^2)</f>
        <v>1.4907270803337035E-3</v>
      </c>
      <c r="J41" s="110">
        <f t="shared" si="17"/>
        <v>0.42660987640268649</v>
      </c>
      <c r="K41" s="110">
        <f t="shared" si="18"/>
        <v>1.3755619702092975E-6</v>
      </c>
      <c r="L41" s="132">
        <f>E41/(Table112348[[#This Row],[b (mm)]]*AE41)</f>
        <v>8.6968322785589138E-4</v>
      </c>
      <c r="M41" s="132">
        <f>Table112348[[#This Row],[M (KN.mm)]]/(Table112348[[#This Row],[b (mm)]]*Table112348[[#This Row],[d (mm)]])</f>
        <v>0.53015889570095132</v>
      </c>
      <c r="N41" s="132">
        <f>Table112348[[#This Row],[M (KN.mm)]]/(Table112348[[#This Row],[b (mm)]]*Table112348[[#This Row],[h (mm)]])</f>
        <v>0.45910667256577226</v>
      </c>
      <c r="O41" s="133">
        <f>Table112348[[#This Row],[M (KN.mm)]]/(Table112348[[#This Row],[b (mm)]]*Table112348[[#This Row],[h (mm)]]*Table112348[[#This Row],[L(mm)]])</f>
        <v>3.7631694472604286E-4</v>
      </c>
      <c r="P41" s="133">
        <f>Table112348[[#This Row],[M (KN.mm)]]/(Table112348[[#This Row],[b (mm)]]*Table112348[[#This Row],[d (mm)]]*Table112348[[#This Row],[L(mm)]])</f>
        <v>4.345564718860257E-4</v>
      </c>
      <c r="Q41" s="133">
        <f>Table112348[[#This Row],[M (KN.mm)]]/(Table112348[[#This Row],[b (mm)]]*Table112348[[#This Row],[h (mm)]]*Table112348[[#This Row],[L(mm)]]*Table112348[[#This Row],[fc (Mpa)]])</f>
        <v>1.2127519971835091E-5</v>
      </c>
      <c r="R41" s="133">
        <f>Table112348[[#This Row],[M (KN.mm)]]/(Table112348[[#This Row],[b (mm)]]*Table112348[[#This Row],[h (mm)]]*Table112348[[#This Row],[L(mm)]]/2)</f>
        <v>7.5263388945208572E-4</v>
      </c>
      <c r="S41" s="133">
        <f>Table112348[[#This Row],[M (KN.mm)]]/(Table112348[[#This Row],[a (mm)]]*Table112348[[#This Row],[b (mm)]]*Table112348[[#This Row],[h (mm)]]*Table112348[[#This Row],[L(mm)]]/2)</f>
        <v>1.2346356454266497E-6</v>
      </c>
      <c r="T41" s="133">
        <f>Table112348[[#This Row],[M (KN.mm)]]/(Table112348[[#This Row],[a (mm)]]^2*Table112348[[#This Row],[b (mm)]]*Table112348[[#This Row],[h (mm)]])</f>
        <v>1.2354457738029142E-6</v>
      </c>
      <c r="U41" s="133">
        <f>Table112348[[#This Row],[M (KN.mm)]]/(Table112348[[#This Row],[b (mm)]]*Table112348[[#This Row],[d (mm)]]*Table112348[[#This Row],[pho (%)]])</f>
        <v>0.84152205666817659</v>
      </c>
      <c r="V41" s="110">
        <f>E41*224.8/(2*SQRT(Table112348[[#This Row],[fc (Mpa)]]*145.037)*Table112348[[#This Row],[b (mm)]]*Table112348[[#This Row],[d (mm)]]*(1/25.4)^2)</f>
        <v>0.94007942425955693</v>
      </c>
      <c r="W41" s="110">
        <f>Table112348[[#This Row],[M (KN.mm)]]/$G$43</f>
        <v>0.77419354838709686</v>
      </c>
      <c r="X41" s="110">
        <f>Table112348[[#This Row],[V/(2*sqrt(fc) bd)]]</f>
        <v>0.94007942425955693</v>
      </c>
      <c r="Y41" s="110">
        <f>Table112348[[#This Row],[a (mm)]]</f>
        <v>609.59999999999991</v>
      </c>
      <c r="Z41" s="110">
        <f>Table112348[[#This Row],[b (mm)]]*Table112348[[#This Row],[h (mm)]]^2</f>
        <v>21826939.370227493</v>
      </c>
      <c r="AA41" s="110">
        <f>Table112348[[#This Row],[b (mm)]]</f>
        <v>230.124</v>
      </c>
      <c r="AB41" s="110">
        <f>Table112348[[#This Row],[a]]/Table112348[[#This Row],[h (mm)]]</f>
        <v>1.9793814432989689</v>
      </c>
      <c r="AC41" s="110">
        <f>Table112348[[#This Row],[h (mm)]]</f>
        <v>307.97499999999997</v>
      </c>
      <c r="AD41" s="110">
        <f t="shared" si="12"/>
        <v>609.59999999999991</v>
      </c>
      <c r="AE41" s="110">
        <f t="shared" si="20"/>
        <v>266.7</v>
      </c>
      <c r="AF41" s="110">
        <f t="shared" si="21"/>
        <v>307.97499999999997</v>
      </c>
      <c r="AG41" s="134">
        <f t="shared" si="22"/>
        <v>230.124</v>
      </c>
      <c r="AH41" s="7">
        <v>31.03</v>
      </c>
      <c r="AI41" s="110">
        <f>Table112348[[#This Row],[pho (%)]]/100*Table112348[[#This Row],[b (mm)]]*Table112348[[#This Row],[h (mm)]]</f>
        <v>446.49636506999991</v>
      </c>
      <c r="AJ41" s="135">
        <v>0.63</v>
      </c>
      <c r="AK41" s="110">
        <v>640.5</v>
      </c>
      <c r="AL41" s="132">
        <f>(1/3-0.21*(MIN(Table112348[[#This Row],[b (mm)]],AF41)/MAX(Table112348[[#This Row],[b (mm)]],AF41))*(MIN(Table112348[[#This Row],[b (mm)]],AF41)^4/(12*MAX(Table112348[[#This Row],[b (mm)]],AF41)^4)))*MAX(Table112348[[#This Row],[b (mm)]],AF41)*MIN(Table112348[[#This Row],[b (mm)]],AF41)^3</f>
        <v>1235765925.6938643</v>
      </c>
      <c r="AM41" s="132">
        <f>Table112348[[#This Row],[b (mm)]]*AF41^3/12</f>
        <v>560179304.37881768</v>
      </c>
      <c r="AN41" s="132">
        <v>1220</v>
      </c>
      <c r="AO41" s="136"/>
      <c r="AP41" s="136"/>
      <c r="AS41" s="136"/>
      <c r="AT41" s="136"/>
      <c r="AU41" s="136"/>
      <c r="AV41"/>
      <c r="AW41"/>
    </row>
    <row r="42" spans="1:49" x14ac:dyDescent="0.3">
      <c r="A42" s="122" t="s">
        <v>180</v>
      </c>
      <c r="B42" s="122" t="s">
        <v>65</v>
      </c>
      <c r="C42" s="122">
        <v>41</v>
      </c>
      <c r="D42" s="130">
        <f>Table112348[[#This Row],[a (mm)]]/Table112348[[#This Row],[d (mm)]]</f>
        <v>2.2857142857142856</v>
      </c>
      <c r="E42" s="2">
        <v>60.048000000000002</v>
      </c>
      <c r="F42" s="127">
        <f>Table112348[[#This Row],[d (mm)]]</f>
        <v>266.7</v>
      </c>
      <c r="G42" s="110">
        <f t="shared" si="19"/>
        <v>36605.260799999996</v>
      </c>
      <c r="H42" s="110">
        <f t="shared" si="16"/>
        <v>2.4811542436300076E-6</v>
      </c>
      <c r="I42" s="110">
        <f>G42/(Table112348[[#This Row],[b (mm)]]*Table112348[[#This Row],[h]]^2)</f>
        <v>1.6770679653754165E-3</v>
      </c>
      <c r="J42" s="110">
        <f t="shared" si="17"/>
        <v>0.4799361109530223</v>
      </c>
      <c r="K42" s="110">
        <f t="shared" si="18"/>
        <v>1.5475072164854595E-6</v>
      </c>
      <c r="L42" s="132">
        <f>E42/(Table112348[[#This Row],[b (mm)]]*AE42)</f>
        <v>9.7839363133787774E-4</v>
      </c>
      <c r="M42" s="132">
        <f>Table112348[[#This Row],[M (KN.mm)]]/(Table112348[[#This Row],[b (mm)]]*Table112348[[#This Row],[d (mm)]])</f>
        <v>0.59642875766357017</v>
      </c>
      <c r="N42" s="132">
        <f>Table112348[[#This Row],[M (KN.mm)]]/(Table112348[[#This Row],[b (mm)]]*Table112348[[#This Row],[h (mm)]])</f>
        <v>0.51649500663649373</v>
      </c>
      <c r="O42" s="133">
        <f>Table112348[[#This Row],[M (KN.mm)]]/(Table112348[[#This Row],[b (mm)]]*Table112348[[#This Row],[h (mm)]]*Table112348[[#This Row],[L(mm)]])</f>
        <v>4.2335656281679822E-4</v>
      </c>
      <c r="P42" s="133">
        <f>Table112348[[#This Row],[M (KN.mm)]]/(Table112348[[#This Row],[b (mm)]]*Table112348[[#This Row],[d (mm)]]*Table112348[[#This Row],[L(mm)]])</f>
        <v>4.8887603087177883E-4</v>
      </c>
      <c r="Q42" s="133">
        <f>Table112348[[#This Row],[M (KN.mm)]]/(Table112348[[#This Row],[b (mm)]]*Table112348[[#This Row],[h (mm)]]*Table112348[[#This Row],[L(mm)]]*Table112348[[#This Row],[fc (Mpa)]])</f>
        <v>1.3643459968314477E-5</v>
      </c>
      <c r="R42" s="133">
        <f>Table112348[[#This Row],[M (KN.mm)]]/(Table112348[[#This Row],[b (mm)]]*Table112348[[#This Row],[h (mm)]]*Table112348[[#This Row],[L(mm)]]/2)</f>
        <v>8.4671312563359643E-4</v>
      </c>
      <c r="S42" s="133">
        <f>Table112348[[#This Row],[M (KN.mm)]]/(Table112348[[#This Row],[a (mm)]]*Table112348[[#This Row],[b (mm)]]*Table112348[[#This Row],[h (mm)]]*Table112348[[#This Row],[L(mm)]]/2)</f>
        <v>1.3889651011049809E-6</v>
      </c>
      <c r="T42" s="133">
        <f>Table112348[[#This Row],[M (KN.mm)]]/(Table112348[[#This Row],[a (mm)]]^2*Table112348[[#This Row],[b (mm)]]*Table112348[[#This Row],[h (mm)]])</f>
        <v>1.3898764955282786E-6</v>
      </c>
      <c r="U42" s="133">
        <f>Table112348[[#This Row],[M (KN.mm)]]/(Table112348[[#This Row],[b (mm)]]*Table112348[[#This Row],[d (mm)]]*Table112348[[#This Row],[pho (%)]])</f>
        <v>0.94671231375169873</v>
      </c>
      <c r="V42" s="110">
        <f>E42*224.8/(2*SQRT(Table112348[[#This Row],[fc (Mpa)]]*145.037)*Table112348[[#This Row],[b (mm)]]*Table112348[[#This Row],[d (mm)]]*(1/25.4)^2)</f>
        <v>1.0575893522920015</v>
      </c>
      <c r="W42" s="110">
        <f>Table112348[[#This Row],[M (KN.mm)]]/$G$43</f>
        <v>0.87096774193548399</v>
      </c>
      <c r="X42" s="110">
        <f>Table112348[[#This Row],[V/(2*sqrt(fc) bd)]]</f>
        <v>1.0575893522920015</v>
      </c>
      <c r="Y42" s="110">
        <f>Table112348[[#This Row],[a (mm)]]</f>
        <v>609.59999999999991</v>
      </c>
      <c r="Z42" s="110">
        <f>Table112348[[#This Row],[b (mm)]]*Table112348[[#This Row],[h (mm)]]^2</f>
        <v>21826939.370227493</v>
      </c>
      <c r="AA42" s="110">
        <f>Table112348[[#This Row],[b (mm)]]</f>
        <v>230.124</v>
      </c>
      <c r="AB42" s="110">
        <f>Table112348[[#This Row],[a]]/Table112348[[#This Row],[h (mm)]]</f>
        <v>1.9793814432989689</v>
      </c>
      <c r="AC42" s="110">
        <f>Table112348[[#This Row],[h (mm)]]</f>
        <v>307.97499999999997</v>
      </c>
      <c r="AD42" s="110">
        <f t="shared" si="12"/>
        <v>609.59999999999991</v>
      </c>
      <c r="AE42" s="110">
        <f>10.5*25.4</f>
        <v>266.7</v>
      </c>
      <c r="AF42" s="110">
        <f>12.125*25.4</f>
        <v>307.97499999999997</v>
      </c>
      <c r="AG42" s="134">
        <f>9.06*25.4</f>
        <v>230.124</v>
      </c>
      <c r="AH42" s="7">
        <v>31.03</v>
      </c>
      <c r="AI42" s="110">
        <f>Table112348[[#This Row],[pho (%)]]/100*Table112348[[#This Row],[b (mm)]]*Table112348[[#This Row],[h (mm)]]</f>
        <v>446.49636506999991</v>
      </c>
      <c r="AJ42" s="135">
        <v>0.63</v>
      </c>
      <c r="AK42" s="110">
        <v>640.5</v>
      </c>
      <c r="AL42" s="132">
        <f>(1/3-0.21*(MIN(Table112348[[#This Row],[b (mm)]],AF42)/MAX(Table112348[[#This Row],[b (mm)]],AF42))*(MIN(Table112348[[#This Row],[b (mm)]],AF42)^4/(12*MAX(Table112348[[#This Row],[b (mm)]],AF42)^4)))*MAX(Table112348[[#This Row],[b (mm)]],AF42)*MIN(Table112348[[#This Row],[b (mm)]],AF42)^3</f>
        <v>1235765925.6938643</v>
      </c>
      <c r="AM42" s="132">
        <f>Table112348[[#This Row],[b (mm)]]*AF42^3/12</f>
        <v>560179304.37881768</v>
      </c>
      <c r="AN42" s="132">
        <v>1220</v>
      </c>
      <c r="AO42" s="136"/>
      <c r="AP42" s="136"/>
      <c r="AS42" s="136"/>
      <c r="AT42" s="136"/>
      <c r="AU42" s="136"/>
      <c r="AV42"/>
      <c r="AW42"/>
    </row>
    <row r="43" spans="1:49" x14ac:dyDescent="0.3">
      <c r="A43" s="122" t="s">
        <v>180</v>
      </c>
      <c r="B43" s="122" t="s">
        <v>66</v>
      </c>
      <c r="C43" s="122">
        <v>42</v>
      </c>
      <c r="D43" s="130">
        <f>Table112348[[#This Row],[a (mm)]]/Table112348[[#This Row],[d (mm)]]</f>
        <v>2.2857142857142856</v>
      </c>
      <c r="E43" s="2">
        <v>68.944000000000003</v>
      </c>
      <c r="F43" s="127">
        <f>Table112348[[#This Row],[d (mm)]]</f>
        <v>266.7</v>
      </c>
      <c r="G43" s="110">
        <f t="shared" si="19"/>
        <v>42028.262399999992</v>
      </c>
      <c r="H43" s="110">
        <f t="shared" si="16"/>
        <v>2.8487326500937119E-6</v>
      </c>
      <c r="I43" s="110">
        <f>G43/(Table112348[[#This Row],[b (mm)]]*Table112348[[#This Row],[h]]^2)</f>
        <v>1.925522478764367E-3</v>
      </c>
      <c r="J43" s="110">
        <f t="shared" si="17"/>
        <v>0.55103775702013669</v>
      </c>
      <c r="K43" s="110">
        <f t="shared" si="18"/>
        <v>1.7767675448536759E-6</v>
      </c>
      <c r="L43" s="132">
        <f>E43/(Table112348[[#This Row],[b (mm)]]*AE43)</f>
        <v>1.1233408359805264E-3</v>
      </c>
      <c r="M43" s="132">
        <f>Table112348[[#This Row],[M (KN.mm)]]/(Table112348[[#This Row],[b (mm)]]*Table112348[[#This Row],[d (mm)]])</f>
        <v>0.68478857361372869</v>
      </c>
      <c r="N43" s="132">
        <f>Table112348[[#This Row],[M (KN.mm)]]/(Table112348[[#This Row],[b (mm)]]*Table112348[[#This Row],[h (mm)]])</f>
        <v>0.59301278539745572</v>
      </c>
      <c r="O43" s="133">
        <f>Table112348[[#This Row],[M (KN.mm)]]/(Table112348[[#This Row],[b (mm)]]*Table112348[[#This Row],[h (mm)]]*Table112348[[#This Row],[L(mm)]])</f>
        <v>4.8607605360447193E-4</v>
      </c>
      <c r="P43" s="133">
        <f>Table112348[[#This Row],[M (KN.mm)]]/(Table112348[[#This Row],[b (mm)]]*Table112348[[#This Row],[d (mm)]]*Table112348[[#This Row],[L(mm)]])</f>
        <v>5.6130210951944978E-4</v>
      </c>
      <c r="Q43" s="133">
        <f>Table112348[[#This Row],[M (KN.mm)]]/(Table112348[[#This Row],[b (mm)]]*Table112348[[#This Row],[h (mm)]]*Table112348[[#This Row],[L(mm)]]*Table112348[[#This Row],[fc (Mpa)]])</f>
        <v>1.5664713296953656E-5</v>
      </c>
      <c r="R43" s="133">
        <f>Table112348[[#This Row],[M (KN.mm)]]/(Table112348[[#This Row],[b (mm)]]*Table112348[[#This Row],[h (mm)]]*Table112348[[#This Row],[L(mm)]]/2)</f>
        <v>9.7215210720894387E-4</v>
      </c>
      <c r="S43" s="133">
        <f>Table112348[[#This Row],[M (KN.mm)]]/(Table112348[[#This Row],[a (mm)]]*Table112348[[#This Row],[b (mm)]]*Table112348[[#This Row],[h (mm)]]*Table112348[[#This Row],[L(mm)]]/2)</f>
        <v>1.5947377086760891E-6</v>
      </c>
      <c r="T43" s="133">
        <f>Table112348[[#This Row],[M (KN.mm)]]/(Table112348[[#This Row],[a (mm)]]^2*Table112348[[#This Row],[b (mm)]]*Table112348[[#This Row],[h (mm)]])</f>
        <v>1.5957841244954307E-6</v>
      </c>
      <c r="U43" s="133">
        <f>Table112348[[#This Row],[M (KN.mm)]]/(Table112348[[#This Row],[b (mm)]]*Table112348[[#This Row],[d (mm)]]*Table112348[[#This Row],[pho (%)]])</f>
        <v>1.0869659898630615</v>
      </c>
      <c r="V43" s="110">
        <f>E43*224.8/(2*SQRT(Table112348[[#This Row],[fc (Mpa)]]*145.037)*Table112348[[#This Row],[b (mm)]]*Table112348[[#This Row],[d (mm)]]*(1/25.4)^2)</f>
        <v>1.2142692563352608</v>
      </c>
      <c r="W43" s="110">
        <f>Table112348[[#This Row],[M (KN.mm)]]/$G$43</f>
        <v>1</v>
      </c>
      <c r="X43" s="110">
        <f>Table112348[[#This Row],[V/(2*sqrt(fc) bd)]]</f>
        <v>1.2142692563352608</v>
      </c>
      <c r="Y43" s="110">
        <f>Table112348[[#This Row],[a (mm)]]</f>
        <v>609.59999999999991</v>
      </c>
      <c r="Z43" s="110">
        <f>Table112348[[#This Row],[b (mm)]]*Table112348[[#This Row],[h (mm)]]^2</f>
        <v>21826939.370227493</v>
      </c>
      <c r="AA43" s="110">
        <f>Table112348[[#This Row],[b (mm)]]</f>
        <v>230.124</v>
      </c>
      <c r="AB43" s="110">
        <f>Table112348[[#This Row],[a]]/Table112348[[#This Row],[h (mm)]]</f>
        <v>1.9793814432989689</v>
      </c>
      <c r="AC43" s="110">
        <f>Table112348[[#This Row],[h (mm)]]</f>
        <v>307.97499999999997</v>
      </c>
      <c r="AD43" s="110">
        <f t="shared" si="12"/>
        <v>609.59999999999991</v>
      </c>
      <c r="AE43" s="110">
        <f t="shared" si="20"/>
        <v>266.7</v>
      </c>
      <c r="AF43" s="110">
        <f t="shared" si="21"/>
        <v>307.97499999999997</v>
      </c>
      <c r="AG43" s="134">
        <f t="shared" si="22"/>
        <v>230.124</v>
      </c>
      <c r="AH43" s="7">
        <v>31.03</v>
      </c>
      <c r="AI43" s="110">
        <f>Table112348[[#This Row],[pho (%)]]/100*Table112348[[#This Row],[b (mm)]]*Table112348[[#This Row],[h (mm)]]</f>
        <v>446.49636506999991</v>
      </c>
      <c r="AJ43" s="135">
        <v>0.63</v>
      </c>
      <c r="AK43" s="110">
        <v>640.5</v>
      </c>
      <c r="AL43" s="132">
        <f>(1/3-0.21*(MIN(Table112348[[#This Row],[b (mm)]],AF43)/MAX(Table112348[[#This Row],[b (mm)]],AF43))*(MIN(Table112348[[#This Row],[b (mm)]],AF43)^4/(12*MAX(Table112348[[#This Row],[b (mm)]],AF43)^4)))*MAX(Table112348[[#This Row],[b (mm)]],AF43)*MIN(Table112348[[#This Row],[b (mm)]],AF43)^3</f>
        <v>1235765925.6938643</v>
      </c>
      <c r="AM43" s="132">
        <f>Table112348[[#This Row],[b (mm)]]*AF43^3/12</f>
        <v>560179304.37881768</v>
      </c>
      <c r="AN43" s="132">
        <v>1220</v>
      </c>
      <c r="AO43" s="136"/>
      <c r="AP43" s="136"/>
      <c r="AS43" s="136"/>
      <c r="AT43" s="136"/>
      <c r="AU43" s="136"/>
      <c r="AV43"/>
      <c r="AW43"/>
    </row>
    <row r="44" spans="1:49" x14ac:dyDescent="0.3">
      <c r="A44" s="224" t="s">
        <v>181</v>
      </c>
      <c r="B44" s="224" t="s">
        <v>60</v>
      </c>
      <c r="C44" s="181">
        <v>43</v>
      </c>
      <c r="D44" s="130">
        <f>Table112348[[#This Row],[a (mm)]]/Table112348[[#This Row],[d (mm)]]</f>
        <v>2.2857142857142856</v>
      </c>
      <c r="E44" s="2">
        <v>26.688000000000002</v>
      </c>
      <c r="F44" s="127">
        <f>Table112348[[#This Row],[d (mm)]]</f>
        <v>266.7</v>
      </c>
      <c r="G44" s="110">
        <f t="shared" si="19"/>
        <v>16269.004799999999</v>
      </c>
      <c r="H44" s="110">
        <f t="shared" si="16"/>
        <v>1.1100867875203885E-6</v>
      </c>
      <c r="I44" s="110">
        <f>G44/(Table112348[[#This Row],[b (mm)]]*Table112348[[#This Row],[h]]^2)</f>
        <v>7.5033263043463075E-4</v>
      </c>
      <c r="J44" s="110">
        <f t="shared" si="17"/>
        <v>0.21472697112268552</v>
      </c>
      <c r="K44" s="110">
        <f t="shared" si="18"/>
        <v>7.0134478111954132E-7</v>
      </c>
      <c r="L44" s="132">
        <f>E44/(Table112348[[#This Row],[b (mm)]]*AE44)</f>
        <v>4.3774055802079867E-4</v>
      </c>
      <c r="M44" s="132">
        <f>Table112348[[#This Row],[M (KN.mm)]]/(Table112348[[#This Row],[b (mm)]]*Table112348[[#This Row],[d (mm)]])</f>
        <v>0.26684664416947884</v>
      </c>
      <c r="N44" s="132">
        <f>Table112348[[#This Row],[M (KN.mm)]]/(Table112348[[#This Row],[b (mm)]]*Table112348[[#This Row],[h (mm)]])</f>
        <v>0.23108369185810537</v>
      </c>
      <c r="O44" s="133">
        <f>Table112348[[#This Row],[M (KN.mm)]]/(Table112348[[#This Row],[b (mm)]]*Table112348[[#This Row],[h (mm)]]*Table112348[[#This Row],[L(mm)]])</f>
        <v>1.894128621787749E-4</v>
      </c>
      <c r="P44" s="133">
        <f>Table112348[[#This Row],[M (KN.mm)]]/(Table112348[[#This Row],[b (mm)]]*Table112348[[#This Row],[d (mm)]]*Table112348[[#This Row],[L(mm)]])</f>
        <v>2.1872675751596625E-4</v>
      </c>
      <c r="Q44" s="133">
        <f>Table112348[[#This Row],[M (KN.mm)]]/(Table112348[[#This Row],[b (mm)]]*Table112348[[#This Row],[h (mm)]]*Table112348[[#This Row],[L(mm)]]*Table112348[[#This Row],[fc (Mpa)]])</f>
        <v>5.9732848369213149E-6</v>
      </c>
      <c r="R44" s="133">
        <f>Table112348[[#This Row],[M (KN.mm)]]/(Table112348[[#This Row],[b (mm)]]*Table112348[[#This Row],[h (mm)]]*Table112348[[#This Row],[L(mm)]]/2)</f>
        <v>3.788257243575498E-4</v>
      </c>
      <c r="S44" s="133">
        <f>Table112348[[#This Row],[M (KN.mm)]]/(Table112348[[#This Row],[a (mm)]]*Table112348[[#This Row],[b (mm)]]*Table112348[[#This Row],[h (mm)]]*Table112348[[#This Row],[L(mm)]]/2)</f>
        <v>6.2143327486474715E-7</v>
      </c>
      <c r="T44" s="133">
        <f>Table112348[[#This Row],[M (KN.mm)]]/(Table112348[[#This Row],[a (mm)]]^2*Table112348[[#This Row],[b (mm)]]*Table112348[[#This Row],[h (mm)]])</f>
        <v>6.2184103948080017E-7</v>
      </c>
      <c r="U44" s="133">
        <f>Table112348[[#This Row],[M (KN.mm)]]/(Table112348[[#This Row],[b (mm)]]*Table112348[[#This Row],[d (mm)]]*Table112348[[#This Row],[pho (%)]])</f>
        <v>0.42356610185631555</v>
      </c>
      <c r="V44" s="110">
        <f>E44*224.8/(2*SQRT(Table112348[[#This Row],[fc (Mpa)]]*145.037)*Table112348[[#This Row],[b (mm)]]*Table112348[[#This Row],[d (mm)]]*(1/25.4)^2)</f>
        <v>0.4680723709299538</v>
      </c>
      <c r="W44" s="110">
        <f>Table112348[[#This Row],[M (KN.mm)]]/$G$50</f>
        <v>0.41379310344827586</v>
      </c>
      <c r="X44" s="110">
        <f>Table112348[[#This Row],[V/(2*sqrt(fc) bd)]]</f>
        <v>0.4680723709299538</v>
      </c>
      <c r="Y44" s="110">
        <f>Table112348[[#This Row],[a (mm)]]</f>
        <v>609.59999999999991</v>
      </c>
      <c r="Z44" s="110">
        <f>Table112348[[#This Row],[b (mm)]]*Table112348[[#This Row],[h (mm)]]^2</f>
        <v>21682390.102874994</v>
      </c>
      <c r="AA44" s="110">
        <f>Table112348[[#This Row],[b (mm)]]</f>
        <v>228.6</v>
      </c>
      <c r="AB44" s="110">
        <f>Table112348[[#This Row],[a]]/Table112348[[#This Row],[h (mm)]]</f>
        <v>1.9793814432989689</v>
      </c>
      <c r="AC44" s="110">
        <f>Table112348[[#This Row],[h (mm)]]</f>
        <v>307.97499999999997</v>
      </c>
      <c r="AD44" s="110">
        <f t="shared" si="12"/>
        <v>609.59999999999991</v>
      </c>
      <c r="AE44" s="110">
        <f t="shared" si="20"/>
        <v>266.7</v>
      </c>
      <c r="AF44" s="110">
        <f t="shared" si="21"/>
        <v>307.97499999999997</v>
      </c>
      <c r="AG44" s="134">
        <f>9*25.4</f>
        <v>228.6</v>
      </c>
      <c r="AH44" s="7">
        <v>31.71</v>
      </c>
      <c r="AI44" s="110">
        <f>Table112348[[#This Row],[pho (%)]]/100*Table112348[[#This Row],[b (mm)]]*Table112348[[#This Row],[h (mm)]]</f>
        <v>443.53943549999997</v>
      </c>
      <c r="AJ44" s="135">
        <v>0.63</v>
      </c>
      <c r="AK44" s="110">
        <v>640.5</v>
      </c>
      <c r="AL44" s="132">
        <f>(1/3-0.21*(MIN(Table112348[[#This Row],[b (mm)]],AF44)/MAX(Table112348[[#This Row],[b (mm)]],AF44))*(MIN(Table112348[[#This Row],[b (mm)]],AF44)^4/(12*MAX(Table112348[[#This Row],[b (mm)]],AF44)^4)))*MAX(Table112348[[#This Row],[b (mm)]],AF44)*MIN(Table112348[[#This Row],[b (mm)]],AF44)^3</f>
        <v>1211866586.3254154</v>
      </c>
      <c r="AM44" s="132">
        <f>Table112348[[#This Row],[b (mm)]]*AF44^3/12</f>
        <v>556469507.66107714</v>
      </c>
      <c r="AN44" s="132">
        <v>1220</v>
      </c>
      <c r="AO44" s="136"/>
      <c r="AP44" s="136"/>
      <c r="AS44" s="136"/>
      <c r="AT44" s="136"/>
      <c r="AU44" s="136"/>
      <c r="AV44"/>
      <c r="AW44"/>
    </row>
    <row r="45" spans="1:49" x14ac:dyDescent="0.3">
      <c r="A45" s="224" t="s">
        <v>181</v>
      </c>
      <c r="B45" s="224" t="s">
        <v>61</v>
      </c>
      <c r="C45" s="181">
        <v>44</v>
      </c>
      <c r="D45" s="130">
        <f>Table112348[[#This Row],[a (mm)]]/Table112348[[#This Row],[d (mm)]]</f>
        <v>2.2857142857142856</v>
      </c>
      <c r="E45" s="2">
        <v>33.36</v>
      </c>
      <c r="F45" s="127">
        <f>Table112348[[#This Row],[d (mm)]]</f>
        <v>266.7</v>
      </c>
      <c r="G45" s="110">
        <f t="shared" si="19"/>
        <v>20336.255999999998</v>
      </c>
      <c r="H45" s="110">
        <f t="shared" si="16"/>
        <v>1.3876084844004856E-6</v>
      </c>
      <c r="I45" s="110">
        <f>G45/(Table112348[[#This Row],[b (mm)]]*Table112348[[#This Row],[h]]^2)</f>
        <v>9.3791578804328839E-4</v>
      </c>
      <c r="J45" s="110">
        <f t="shared" si="17"/>
        <v>0.26840871390335685</v>
      </c>
      <c r="K45" s="110">
        <f t="shared" si="18"/>
        <v>8.7668097639942657E-7</v>
      </c>
      <c r="L45" s="132">
        <f>E45/(Table112348[[#This Row],[b (mm)]]*AE45)</f>
        <v>5.4717569752599823E-4</v>
      </c>
      <c r="M45" s="132">
        <f>Table112348[[#This Row],[M (KN.mm)]]/(Table112348[[#This Row],[b (mm)]]*Table112348[[#This Row],[d (mm)]])</f>
        <v>0.33355830521184848</v>
      </c>
      <c r="N45" s="132">
        <f>Table112348[[#This Row],[M (KN.mm)]]/(Table112348[[#This Row],[b (mm)]]*Table112348[[#This Row],[h (mm)]])</f>
        <v>0.28885461482263169</v>
      </c>
      <c r="O45" s="133">
        <f>Table112348[[#This Row],[M (KN.mm)]]/(Table112348[[#This Row],[b (mm)]]*Table112348[[#This Row],[h (mm)]]*Table112348[[#This Row],[L(mm)]])</f>
        <v>2.3676607772346863E-4</v>
      </c>
      <c r="P45" s="133">
        <f>Table112348[[#This Row],[M (KN.mm)]]/(Table112348[[#This Row],[b (mm)]]*Table112348[[#This Row],[d (mm)]]*Table112348[[#This Row],[L(mm)]])</f>
        <v>2.7340844689495783E-4</v>
      </c>
      <c r="Q45" s="133">
        <f>Table112348[[#This Row],[M (KN.mm)]]/(Table112348[[#This Row],[b (mm)]]*Table112348[[#This Row],[h (mm)]]*Table112348[[#This Row],[L(mm)]]*Table112348[[#This Row],[fc (Mpa)]])</f>
        <v>7.4666060461516434E-6</v>
      </c>
      <c r="R45" s="133">
        <f>Table112348[[#This Row],[M (KN.mm)]]/(Table112348[[#This Row],[b (mm)]]*Table112348[[#This Row],[h (mm)]]*Table112348[[#This Row],[L(mm)]]/2)</f>
        <v>4.7353215544693726E-4</v>
      </c>
      <c r="S45" s="133">
        <f>Table112348[[#This Row],[M (KN.mm)]]/(Table112348[[#This Row],[a (mm)]]*Table112348[[#This Row],[b (mm)]]*Table112348[[#This Row],[h (mm)]]*Table112348[[#This Row],[L(mm)]]/2)</f>
        <v>7.7679159358093386E-7</v>
      </c>
      <c r="T45" s="133">
        <f>Table112348[[#This Row],[M (KN.mm)]]/(Table112348[[#This Row],[a (mm)]]^2*Table112348[[#This Row],[b (mm)]]*Table112348[[#This Row],[h (mm)]])</f>
        <v>7.7730129935100019E-7</v>
      </c>
      <c r="U45" s="133">
        <f>Table112348[[#This Row],[M (KN.mm)]]/(Table112348[[#This Row],[b (mm)]]*Table112348[[#This Row],[d (mm)]]*Table112348[[#This Row],[pho (%)]])</f>
        <v>0.52945762732039447</v>
      </c>
      <c r="V45" s="110">
        <f>E45*224.8/(2*SQRT(Table112348[[#This Row],[fc (Mpa)]]*145.037)*Table112348[[#This Row],[b (mm)]]*Table112348[[#This Row],[d (mm)]]*(1/25.4)^2)</f>
        <v>0.58509046366244211</v>
      </c>
      <c r="W45" s="110">
        <f>Table112348[[#This Row],[M (KN.mm)]]/$G$50</f>
        <v>0.51724137931034475</v>
      </c>
      <c r="X45" s="110">
        <f>Table112348[[#This Row],[V/(2*sqrt(fc) bd)]]</f>
        <v>0.58509046366244211</v>
      </c>
      <c r="Y45" s="110">
        <f>Table112348[[#This Row],[a (mm)]]</f>
        <v>609.59999999999991</v>
      </c>
      <c r="Z45" s="110">
        <f>Table112348[[#This Row],[b (mm)]]*Table112348[[#This Row],[h (mm)]]^2</f>
        <v>21682390.102874994</v>
      </c>
      <c r="AA45" s="110">
        <f>Table112348[[#This Row],[b (mm)]]</f>
        <v>228.6</v>
      </c>
      <c r="AB45" s="110">
        <f>Table112348[[#This Row],[a]]/Table112348[[#This Row],[h (mm)]]</f>
        <v>1.9793814432989689</v>
      </c>
      <c r="AC45" s="110">
        <f>Table112348[[#This Row],[h (mm)]]</f>
        <v>307.97499999999997</v>
      </c>
      <c r="AD45" s="110">
        <f t="shared" si="12"/>
        <v>609.59999999999991</v>
      </c>
      <c r="AE45" s="110">
        <f t="shared" si="20"/>
        <v>266.7</v>
      </c>
      <c r="AF45" s="110">
        <f t="shared" si="21"/>
        <v>307.97499999999997</v>
      </c>
      <c r="AG45" s="134">
        <f t="shared" ref="AG45:AG50" si="23">9*25.4</f>
        <v>228.6</v>
      </c>
      <c r="AH45" s="7">
        <v>31.71</v>
      </c>
      <c r="AI45" s="110">
        <f>Table112348[[#This Row],[pho (%)]]/100*Table112348[[#This Row],[b (mm)]]*Table112348[[#This Row],[h (mm)]]</f>
        <v>443.53943549999997</v>
      </c>
      <c r="AJ45" s="135">
        <v>0.63</v>
      </c>
      <c r="AK45" s="110">
        <v>640.5</v>
      </c>
      <c r="AL45" s="132">
        <f>(1/3-0.21*(MIN(Table112348[[#This Row],[b (mm)]],AF45)/MAX(Table112348[[#This Row],[b (mm)]],AF45))*(MIN(Table112348[[#This Row],[b (mm)]],AF45)^4/(12*MAX(Table112348[[#This Row],[b (mm)]],AF45)^4)))*MAX(Table112348[[#This Row],[b (mm)]],AF45)*MIN(Table112348[[#This Row],[b (mm)]],AF45)^3</f>
        <v>1211866586.3254154</v>
      </c>
      <c r="AM45" s="132">
        <f>Table112348[[#This Row],[b (mm)]]*AF45^3/12</f>
        <v>556469507.66107714</v>
      </c>
      <c r="AN45" s="132">
        <v>1220</v>
      </c>
      <c r="AO45" s="136"/>
      <c r="AP45" s="136"/>
      <c r="AS45" s="136"/>
      <c r="AT45" s="136"/>
      <c r="AU45" s="136"/>
      <c r="AV45"/>
      <c r="AW45"/>
    </row>
    <row r="46" spans="1:49" x14ac:dyDescent="0.3">
      <c r="A46" s="224" t="s">
        <v>181</v>
      </c>
      <c r="B46" s="224" t="s">
        <v>62</v>
      </c>
      <c r="C46" s="181">
        <v>45</v>
      </c>
      <c r="D46" s="130">
        <f>Table112348[[#This Row],[a (mm)]]/Table112348[[#This Row],[d (mm)]]</f>
        <v>2.2857142857142856</v>
      </c>
      <c r="E46" s="2">
        <v>40.032000000000004</v>
      </c>
      <c r="F46" s="127">
        <f>Table112348[[#This Row],[d (mm)]]</f>
        <v>266.7</v>
      </c>
      <c r="G46" s="110">
        <f t="shared" si="19"/>
        <v>24403.5072</v>
      </c>
      <c r="H46" s="110">
        <f t="shared" si="16"/>
        <v>1.6651301812805829E-6</v>
      </c>
      <c r="I46" s="110">
        <f>G46/(Table112348[[#This Row],[b (mm)]]*Table112348[[#This Row],[h]]^2)</f>
        <v>1.1254989456519462E-3</v>
      </c>
      <c r="J46" s="110">
        <f t="shared" si="17"/>
        <v>0.3220904566840283</v>
      </c>
      <c r="K46" s="110">
        <f t="shared" si="18"/>
        <v>1.0520171716793119E-6</v>
      </c>
      <c r="L46" s="132">
        <f>E46/(Table112348[[#This Row],[b (mm)]]*AE46)</f>
        <v>6.5661083703119801E-4</v>
      </c>
      <c r="M46" s="132">
        <f>Table112348[[#This Row],[M (KN.mm)]]/(Table112348[[#This Row],[b (mm)]]*Table112348[[#This Row],[d (mm)]])</f>
        <v>0.40026996625421823</v>
      </c>
      <c r="N46" s="132">
        <f>Table112348[[#This Row],[M (KN.mm)]]/(Table112348[[#This Row],[b (mm)]]*Table112348[[#This Row],[h (mm)]])</f>
        <v>0.3466255377871581</v>
      </c>
      <c r="O46" s="133">
        <f>Table112348[[#This Row],[M (KN.mm)]]/(Table112348[[#This Row],[b (mm)]]*Table112348[[#This Row],[h (mm)]]*Table112348[[#This Row],[L(mm)]])</f>
        <v>2.8411929326816235E-4</v>
      </c>
      <c r="P46" s="133">
        <f>Table112348[[#This Row],[M (KN.mm)]]/(Table112348[[#This Row],[b (mm)]]*Table112348[[#This Row],[d (mm)]]*Table112348[[#This Row],[L(mm)]])</f>
        <v>3.2809013627394938E-4</v>
      </c>
      <c r="Q46" s="133">
        <f>Table112348[[#This Row],[M (KN.mm)]]/(Table112348[[#This Row],[b (mm)]]*Table112348[[#This Row],[h (mm)]]*Table112348[[#This Row],[L(mm)]]*Table112348[[#This Row],[fc (Mpa)]])</f>
        <v>8.9599272553819727E-6</v>
      </c>
      <c r="R46" s="133">
        <f>Table112348[[#This Row],[M (KN.mm)]]/(Table112348[[#This Row],[b (mm)]]*Table112348[[#This Row],[h (mm)]]*Table112348[[#This Row],[L(mm)]]/2)</f>
        <v>5.6823858653632471E-4</v>
      </c>
      <c r="S46" s="133">
        <f>Table112348[[#This Row],[M (KN.mm)]]/(Table112348[[#This Row],[a (mm)]]*Table112348[[#This Row],[b (mm)]]*Table112348[[#This Row],[h (mm)]]*Table112348[[#This Row],[L(mm)]]/2)</f>
        <v>9.3214991229712067E-7</v>
      </c>
      <c r="T46" s="133">
        <f>Table112348[[#This Row],[M (KN.mm)]]/(Table112348[[#This Row],[a (mm)]]^2*Table112348[[#This Row],[b (mm)]]*Table112348[[#This Row],[h (mm)]])</f>
        <v>9.3276155922120031E-7</v>
      </c>
      <c r="U46" s="133">
        <f>Table112348[[#This Row],[M (KN.mm)]]/(Table112348[[#This Row],[b (mm)]]*Table112348[[#This Row],[d (mm)]]*Table112348[[#This Row],[pho (%)]])</f>
        <v>0.63534915278447346</v>
      </c>
      <c r="V46" s="110">
        <f>E46*224.8/(2*SQRT(Table112348[[#This Row],[fc (Mpa)]]*145.037)*Table112348[[#This Row],[b (mm)]]*Table112348[[#This Row],[d (mm)]]*(1/25.4)^2)</f>
        <v>0.70210855639493053</v>
      </c>
      <c r="W46" s="110">
        <f>Table112348[[#This Row],[M (KN.mm)]]/$G$50</f>
        <v>0.62068965517241381</v>
      </c>
      <c r="X46" s="110">
        <f>Table112348[[#This Row],[V/(2*sqrt(fc) bd)]]</f>
        <v>0.70210855639493053</v>
      </c>
      <c r="Y46" s="110">
        <f>Table112348[[#This Row],[a (mm)]]</f>
        <v>609.59999999999991</v>
      </c>
      <c r="Z46" s="110">
        <f>Table112348[[#This Row],[b (mm)]]*Table112348[[#This Row],[h (mm)]]^2</f>
        <v>21682390.102874994</v>
      </c>
      <c r="AA46" s="110">
        <f>Table112348[[#This Row],[b (mm)]]</f>
        <v>228.6</v>
      </c>
      <c r="AB46" s="110">
        <f>Table112348[[#This Row],[a]]/Table112348[[#This Row],[h (mm)]]</f>
        <v>1.9793814432989689</v>
      </c>
      <c r="AC46" s="110">
        <f>Table112348[[#This Row],[h (mm)]]</f>
        <v>307.97499999999997</v>
      </c>
      <c r="AD46" s="110">
        <f t="shared" si="12"/>
        <v>609.59999999999991</v>
      </c>
      <c r="AE46" s="110">
        <f t="shared" si="20"/>
        <v>266.7</v>
      </c>
      <c r="AF46" s="110">
        <f t="shared" si="21"/>
        <v>307.97499999999997</v>
      </c>
      <c r="AG46" s="134">
        <f t="shared" si="23"/>
        <v>228.6</v>
      </c>
      <c r="AH46" s="7">
        <v>31.71</v>
      </c>
      <c r="AI46" s="110">
        <f>Table112348[[#This Row],[pho (%)]]/100*Table112348[[#This Row],[b (mm)]]*Table112348[[#This Row],[h (mm)]]</f>
        <v>443.53943549999997</v>
      </c>
      <c r="AJ46" s="135">
        <v>0.63</v>
      </c>
      <c r="AK46" s="110">
        <v>640.5</v>
      </c>
      <c r="AL46" s="132">
        <f>(1/3-0.21*(MIN(Table112348[[#This Row],[b (mm)]],AF46)/MAX(Table112348[[#This Row],[b (mm)]],AF46))*(MIN(Table112348[[#This Row],[b (mm)]],AF46)^4/(12*MAX(Table112348[[#This Row],[b (mm)]],AF46)^4)))*MAX(Table112348[[#This Row],[b (mm)]],AF46)*MIN(Table112348[[#This Row],[b (mm)]],AF46)^3</f>
        <v>1211866586.3254154</v>
      </c>
      <c r="AM46" s="132">
        <f>Table112348[[#This Row],[b (mm)]]*AF46^3/12</f>
        <v>556469507.66107714</v>
      </c>
      <c r="AN46" s="132">
        <v>1220</v>
      </c>
      <c r="AO46" s="136"/>
      <c r="AP46" s="136"/>
      <c r="AS46" s="136"/>
      <c r="AT46" s="136"/>
      <c r="AU46" s="136"/>
      <c r="AV46"/>
      <c r="AW46"/>
    </row>
    <row r="47" spans="1:49" x14ac:dyDescent="0.3">
      <c r="A47" s="224" t="s">
        <v>181</v>
      </c>
      <c r="B47" s="224" t="s">
        <v>63</v>
      </c>
      <c r="C47" s="181">
        <v>46</v>
      </c>
      <c r="D47" s="130">
        <f>Table112348[[#This Row],[a (mm)]]/Table112348[[#This Row],[d (mm)]]</f>
        <v>2.2857142857142856</v>
      </c>
      <c r="E47" s="2">
        <v>46.704000000000008</v>
      </c>
      <c r="F47" s="127">
        <f>Table112348[[#This Row],[d (mm)]]</f>
        <v>266.7</v>
      </c>
      <c r="G47" s="110">
        <f t="shared" si="19"/>
        <v>28470.758399999999</v>
      </c>
      <c r="H47" s="110">
        <f t="shared" si="16"/>
        <v>1.9426518781606798E-6</v>
      </c>
      <c r="I47" s="110">
        <f>G47/(Table112348[[#This Row],[b (mm)]]*Table112348[[#This Row],[h]]^2)</f>
        <v>1.313082103260604E-3</v>
      </c>
      <c r="J47" s="110">
        <f t="shared" si="17"/>
        <v>0.37577219946469964</v>
      </c>
      <c r="K47" s="110">
        <f t="shared" si="18"/>
        <v>1.2273533669591974E-6</v>
      </c>
      <c r="L47" s="132">
        <f>E47/(Table112348[[#This Row],[b (mm)]]*AE47)</f>
        <v>7.6604597653639767E-4</v>
      </c>
      <c r="M47" s="132">
        <f>Table112348[[#This Row],[M (KN.mm)]]/(Table112348[[#This Row],[b (mm)]]*Table112348[[#This Row],[d (mm)]])</f>
        <v>0.46698162729658793</v>
      </c>
      <c r="N47" s="132">
        <f>Table112348[[#This Row],[M (KN.mm)]]/(Table112348[[#This Row],[b (mm)]]*Table112348[[#This Row],[h (mm)]])</f>
        <v>0.40439646075168439</v>
      </c>
      <c r="O47" s="133">
        <f>Table112348[[#This Row],[M (KN.mm)]]/(Table112348[[#This Row],[b (mm)]]*Table112348[[#This Row],[h (mm)]]*Table112348[[#This Row],[L(mm)]])</f>
        <v>3.3147250881285608E-4</v>
      </c>
      <c r="P47" s="133">
        <f>Table112348[[#This Row],[M (KN.mm)]]/(Table112348[[#This Row],[b (mm)]]*Table112348[[#This Row],[d (mm)]]*Table112348[[#This Row],[L(mm)]])</f>
        <v>3.8277182565294094E-4</v>
      </c>
      <c r="Q47" s="133">
        <f>Table112348[[#This Row],[M (KN.mm)]]/(Table112348[[#This Row],[b (mm)]]*Table112348[[#This Row],[h (mm)]]*Table112348[[#This Row],[L(mm)]]*Table112348[[#This Row],[fc (Mpa)]])</f>
        <v>1.0453248464612301E-5</v>
      </c>
      <c r="R47" s="133">
        <f>Table112348[[#This Row],[M (KN.mm)]]/(Table112348[[#This Row],[b (mm)]]*Table112348[[#This Row],[h (mm)]]*Table112348[[#This Row],[L(mm)]]/2)</f>
        <v>6.6294501762571216E-4</v>
      </c>
      <c r="S47" s="133">
        <f>Table112348[[#This Row],[M (KN.mm)]]/(Table112348[[#This Row],[a (mm)]]*Table112348[[#This Row],[b (mm)]]*Table112348[[#This Row],[h (mm)]]*Table112348[[#This Row],[L(mm)]]/2)</f>
        <v>1.0875082310133074E-6</v>
      </c>
      <c r="T47" s="133">
        <f>Table112348[[#This Row],[M (KN.mm)]]/(Table112348[[#This Row],[a (mm)]]^2*Table112348[[#This Row],[b (mm)]]*Table112348[[#This Row],[h (mm)]])</f>
        <v>1.0882218190914002E-6</v>
      </c>
      <c r="U47" s="133">
        <f>Table112348[[#This Row],[M (KN.mm)]]/(Table112348[[#This Row],[b (mm)]]*Table112348[[#This Row],[d (mm)]]*Table112348[[#This Row],[pho (%)]])</f>
        <v>0.74124067824855222</v>
      </c>
      <c r="V47" s="110">
        <f>E47*224.8/(2*SQRT(Table112348[[#This Row],[fc (Mpa)]]*145.037)*Table112348[[#This Row],[b (mm)]]*Table112348[[#This Row],[d (mm)]]*(1/25.4)^2)</f>
        <v>0.81912664912741906</v>
      </c>
      <c r="W47" s="110">
        <f>Table112348[[#This Row],[M (KN.mm)]]/$G$50</f>
        <v>0.72413793103448276</v>
      </c>
      <c r="X47" s="110">
        <f>Table112348[[#This Row],[V/(2*sqrt(fc) bd)]]</f>
        <v>0.81912664912741906</v>
      </c>
      <c r="Y47" s="110">
        <f>Table112348[[#This Row],[a (mm)]]</f>
        <v>609.59999999999991</v>
      </c>
      <c r="Z47" s="110">
        <f>Table112348[[#This Row],[b (mm)]]*Table112348[[#This Row],[h (mm)]]^2</f>
        <v>21682390.102874994</v>
      </c>
      <c r="AA47" s="110">
        <f>Table112348[[#This Row],[b (mm)]]</f>
        <v>228.6</v>
      </c>
      <c r="AB47" s="110">
        <f>Table112348[[#This Row],[a]]/Table112348[[#This Row],[h (mm)]]</f>
        <v>1.9793814432989689</v>
      </c>
      <c r="AC47" s="110">
        <f>Table112348[[#This Row],[h (mm)]]</f>
        <v>307.97499999999997</v>
      </c>
      <c r="AD47" s="110">
        <f t="shared" si="12"/>
        <v>609.59999999999991</v>
      </c>
      <c r="AE47" s="110">
        <f t="shared" si="20"/>
        <v>266.7</v>
      </c>
      <c r="AF47" s="110">
        <f t="shared" si="21"/>
        <v>307.97499999999997</v>
      </c>
      <c r="AG47" s="134">
        <f t="shared" si="23"/>
        <v>228.6</v>
      </c>
      <c r="AH47" s="7">
        <v>31.71</v>
      </c>
      <c r="AI47" s="110">
        <f>Table112348[[#This Row],[pho (%)]]/100*Table112348[[#This Row],[b (mm)]]*Table112348[[#This Row],[h (mm)]]</f>
        <v>443.53943549999997</v>
      </c>
      <c r="AJ47" s="135">
        <v>0.63</v>
      </c>
      <c r="AK47" s="110">
        <v>640.5</v>
      </c>
      <c r="AL47" s="132">
        <f>(1/3-0.21*(MIN(Table112348[[#This Row],[b (mm)]],AF47)/MAX(Table112348[[#This Row],[b (mm)]],AF47))*(MIN(Table112348[[#This Row],[b (mm)]],AF47)^4/(12*MAX(Table112348[[#This Row],[b (mm)]],AF47)^4)))*MAX(Table112348[[#This Row],[b (mm)]],AF47)*MIN(Table112348[[#This Row],[b (mm)]],AF47)^3</f>
        <v>1211866586.3254154</v>
      </c>
      <c r="AM47" s="132">
        <f>Table112348[[#This Row],[b (mm)]]*AF47^3/12</f>
        <v>556469507.66107714</v>
      </c>
      <c r="AN47" s="132">
        <v>1220</v>
      </c>
      <c r="AO47" s="136"/>
      <c r="AP47" s="136"/>
      <c r="AS47" s="136"/>
      <c r="AT47" s="136"/>
      <c r="AU47" s="136"/>
      <c r="AV47"/>
      <c r="AW47"/>
    </row>
    <row r="48" spans="1:49" x14ac:dyDescent="0.3">
      <c r="A48" s="224" t="s">
        <v>181</v>
      </c>
      <c r="B48" s="224" t="s">
        <v>64</v>
      </c>
      <c r="C48" s="181">
        <v>47</v>
      </c>
      <c r="D48" s="130">
        <f>Table112348[[#This Row],[a (mm)]]/Table112348[[#This Row],[d (mm)]]</f>
        <v>2.2857142857142856</v>
      </c>
      <c r="E48" s="2">
        <v>53.376000000000005</v>
      </c>
      <c r="F48" s="127">
        <f>Table112348[[#This Row],[d (mm)]]</f>
        <v>266.7</v>
      </c>
      <c r="G48" s="110">
        <f t="shared" si="19"/>
        <v>32538.009599999998</v>
      </c>
      <c r="H48" s="110">
        <f t="shared" si="16"/>
        <v>2.2201735750407769E-6</v>
      </c>
      <c r="I48" s="110">
        <f>G48/(Table112348[[#This Row],[b (mm)]]*Table112348[[#This Row],[h]]^2)</f>
        <v>1.5006652608692615E-3</v>
      </c>
      <c r="J48" s="110">
        <f t="shared" si="17"/>
        <v>0.42945394224537103</v>
      </c>
      <c r="K48" s="110">
        <f t="shared" si="18"/>
        <v>1.4026895622390826E-6</v>
      </c>
      <c r="L48" s="132">
        <f>E48/(Table112348[[#This Row],[b (mm)]]*AE48)</f>
        <v>8.7548111604159734E-4</v>
      </c>
      <c r="M48" s="132">
        <f>Table112348[[#This Row],[M (KN.mm)]]/(Table112348[[#This Row],[b (mm)]]*Table112348[[#This Row],[d (mm)]])</f>
        <v>0.53369328833895768</v>
      </c>
      <c r="N48" s="132">
        <f>Table112348[[#This Row],[M (KN.mm)]]/(Table112348[[#This Row],[b (mm)]]*Table112348[[#This Row],[h (mm)]])</f>
        <v>0.46216738371621074</v>
      </c>
      <c r="O48" s="133">
        <f>Table112348[[#This Row],[M (KN.mm)]]/(Table112348[[#This Row],[b (mm)]]*Table112348[[#This Row],[h (mm)]]*Table112348[[#This Row],[L(mm)]])</f>
        <v>3.788257243575498E-4</v>
      </c>
      <c r="P48" s="133">
        <f>Table112348[[#This Row],[M (KN.mm)]]/(Table112348[[#This Row],[b (mm)]]*Table112348[[#This Row],[d (mm)]]*Table112348[[#This Row],[L(mm)]])</f>
        <v>4.3745351503193249E-4</v>
      </c>
      <c r="Q48" s="133">
        <f>Table112348[[#This Row],[M (KN.mm)]]/(Table112348[[#This Row],[b (mm)]]*Table112348[[#This Row],[h (mm)]]*Table112348[[#This Row],[L(mm)]]*Table112348[[#This Row],[fc (Mpa)]])</f>
        <v>1.194656967384263E-5</v>
      </c>
      <c r="R48" s="133">
        <f>Table112348[[#This Row],[M (KN.mm)]]/(Table112348[[#This Row],[b (mm)]]*Table112348[[#This Row],[h (mm)]]*Table112348[[#This Row],[L(mm)]]/2)</f>
        <v>7.5765144871509961E-4</v>
      </c>
      <c r="S48" s="133">
        <f>Table112348[[#This Row],[M (KN.mm)]]/(Table112348[[#This Row],[a (mm)]]*Table112348[[#This Row],[b (mm)]]*Table112348[[#This Row],[h (mm)]]*Table112348[[#This Row],[L(mm)]]/2)</f>
        <v>1.2428665497294943E-6</v>
      </c>
      <c r="T48" s="133">
        <f>Table112348[[#This Row],[M (KN.mm)]]/(Table112348[[#This Row],[a (mm)]]^2*Table112348[[#This Row],[b (mm)]]*Table112348[[#This Row],[h (mm)]])</f>
        <v>1.2436820789616003E-6</v>
      </c>
      <c r="U48" s="133">
        <f>Table112348[[#This Row],[M (KN.mm)]]/(Table112348[[#This Row],[b (mm)]]*Table112348[[#This Row],[d (mm)]]*Table112348[[#This Row],[pho (%)]])</f>
        <v>0.84713220371263109</v>
      </c>
      <c r="V48" s="110">
        <f>E48*224.8/(2*SQRT(Table112348[[#This Row],[fc (Mpa)]]*145.037)*Table112348[[#This Row],[b (mm)]]*Table112348[[#This Row],[d (mm)]]*(1/25.4)^2)</f>
        <v>0.93614474185990759</v>
      </c>
      <c r="W48" s="110">
        <f>Table112348[[#This Row],[M (KN.mm)]]/$G$50</f>
        <v>0.82758620689655171</v>
      </c>
      <c r="X48" s="110">
        <f>Table112348[[#This Row],[V/(2*sqrt(fc) bd)]]</f>
        <v>0.93614474185990759</v>
      </c>
      <c r="Y48" s="110">
        <f>Table112348[[#This Row],[a (mm)]]</f>
        <v>609.59999999999991</v>
      </c>
      <c r="Z48" s="110">
        <f>Table112348[[#This Row],[b (mm)]]*Table112348[[#This Row],[h (mm)]]^2</f>
        <v>21682390.102874994</v>
      </c>
      <c r="AA48" s="110">
        <f>Table112348[[#This Row],[b (mm)]]</f>
        <v>228.6</v>
      </c>
      <c r="AB48" s="110">
        <f>Table112348[[#This Row],[a]]/Table112348[[#This Row],[h (mm)]]</f>
        <v>1.9793814432989689</v>
      </c>
      <c r="AC48" s="110">
        <f>Table112348[[#This Row],[h (mm)]]</f>
        <v>307.97499999999997</v>
      </c>
      <c r="AD48" s="110">
        <f t="shared" si="12"/>
        <v>609.59999999999991</v>
      </c>
      <c r="AE48" s="110">
        <f t="shared" si="20"/>
        <v>266.7</v>
      </c>
      <c r="AF48" s="110">
        <f t="shared" si="21"/>
        <v>307.97499999999997</v>
      </c>
      <c r="AG48" s="134">
        <f t="shared" si="23"/>
        <v>228.6</v>
      </c>
      <c r="AH48" s="7">
        <v>31.71</v>
      </c>
      <c r="AI48" s="110">
        <f>Table112348[[#This Row],[pho (%)]]/100*Table112348[[#This Row],[b (mm)]]*Table112348[[#This Row],[h (mm)]]</f>
        <v>443.53943549999997</v>
      </c>
      <c r="AJ48" s="135">
        <v>0.63</v>
      </c>
      <c r="AK48" s="110">
        <v>640.5</v>
      </c>
      <c r="AL48" s="132">
        <f>(1/3-0.21*(MIN(Table112348[[#This Row],[b (mm)]],AF48)/MAX(Table112348[[#This Row],[b (mm)]],AF48))*(MIN(Table112348[[#This Row],[b (mm)]],AF48)^4/(12*MAX(Table112348[[#This Row],[b (mm)]],AF48)^4)))*MAX(Table112348[[#This Row],[b (mm)]],AF48)*MIN(Table112348[[#This Row],[b (mm)]],AF48)^3</f>
        <v>1211866586.3254154</v>
      </c>
      <c r="AM48" s="132">
        <f>Table112348[[#This Row],[b (mm)]]*AF48^3/12</f>
        <v>556469507.66107714</v>
      </c>
      <c r="AN48" s="132">
        <v>1220</v>
      </c>
      <c r="AO48" s="136"/>
      <c r="AP48" s="136"/>
      <c r="AS48" s="136"/>
      <c r="AT48" s="136"/>
      <c r="AU48" s="136"/>
      <c r="AV48"/>
      <c r="AW48"/>
    </row>
    <row r="49" spans="1:49" x14ac:dyDescent="0.3">
      <c r="A49" s="224" t="s">
        <v>181</v>
      </c>
      <c r="B49" s="224" t="s">
        <v>65</v>
      </c>
      <c r="C49" s="181">
        <v>48</v>
      </c>
      <c r="D49" s="130">
        <f>Table112348[[#This Row],[a (mm)]]/Table112348[[#This Row],[d (mm)]]</f>
        <v>2.2857142857142856</v>
      </c>
      <c r="E49" s="2">
        <v>60.048000000000002</v>
      </c>
      <c r="F49" s="127">
        <f>Table112348[[#This Row],[d (mm)]]</f>
        <v>266.7</v>
      </c>
      <c r="G49" s="110">
        <f t="shared" si="19"/>
        <v>36605.260799999996</v>
      </c>
      <c r="H49" s="110">
        <f t="shared" si="16"/>
        <v>2.497695271920874E-6</v>
      </c>
      <c r="I49" s="110">
        <f>G49/(Table112348[[#This Row],[b (mm)]]*Table112348[[#This Row],[h]]^2)</f>
        <v>1.6882484184779193E-3</v>
      </c>
      <c r="J49" s="110">
        <f t="shared" si="17"/>
        <v>0.48313568502604237</v>
      </c>
      <c r="K49" s="110">
        <f t="shared" si="18"/>
        <v>1.5780257575189679E-6</v>
      </c>
      <c r="L49" s="132">
        <f>E49/(Table112348[[#This Row],[b (mm)]]*AE49)</f>
        <v>9.8491625554679701E-4</v>
      </c>
      <c r="M49" s="132">
        <f>Table112348[[#This Row],[M (KN.mm)]]/(Table112348[[#This Row],[b (mm)]]*Table112348[[#This Row],[d (mm)]])</f>
        <v>0.60040494938132727</v>
      </c>
      <c r="N49" s="132">
        <f>Table112348[[#This Row],[M (KN.mm)]]/(Table112348[[#This Row],[b (mm)]]*Table112348[[#This Row],[h (mm)]])</f>
        <v>0.51993830668073704</v>
      </c>
      <c r="O49" s="133">
        <f>Table112348[[#This Row],[M (KN.mm)]]/(Table112348[[#This Row],[b (mm)]]*Table112348[[#This Row],[h (mm)]]*Table112348[[#This Row],[L(mm)]])</f>
        <v>4.2617893990224353E-4</v>
      </c>
      <c r="P49" s="133">
        <f>Table112348[[#This Row],[M (KN.mm)]]/(Table112348[[#This Row],[b (mm)]]*Table112348[[#This Row],[d (mm)]]*Table112348[[#This Row],[L(mm)]])</f>
        <v>4.9213520441092405E-4</v>
      </c>
      <c r="Q49" s="133">
        <f>Table112348[[#This Row],[M (KN.mm)]]/(Table112348[[#This Row],[b (mm)]]*Table112348[[#This Row],[h (mm)]]*Table112348[[#This Row],[L(mm)]]*Table112348[[#This Row],[fc (Mpa)]])</f>
        <v>1.3439890883072958E-5</v>
      </c>
      <c r="R49" s="133">
        <f>Table112348[[#This Row],[M (KN.mm)]]/(Table112348[[#This Row],[b (mm)]]*Table112348[[#This Row],[h (mm)]]*Table112348[[#This Row],[L(mm)]]/2)</f>
        <v>8.5235787980448706E-4</v>
      </c>
      <c r="S49" s="133">
        <f>Table112348[[#This Row],[M (KN.mm)]]/(Table112348[[#This Row],[a (mm)]]*Table112348[[#This Row],[b (mm)]]*Table112348[[#This Row],[h (mm)]]*Table112348[[#This Row],[L(mm)]]/2)</f>
        <v>1.398224868445681E-6</v>
      </c>
      <c r="T49" s="133">
        <f>Table112348[[#This Row],[M (KN.mm)]]/(Table112348[[#This Row],[a (mm)]]^2*Table112348[[#This Row],[b (mm)]]*Table112348[[#This Row],[h (mm)]])</f>
        <v>1.3991423388318003E-6</v>
      </c>
      <c r="U49" s="133">
        <f>Table112348[[#This Row],[M (KN.mm)]]/(Table112348[[#This Row],[b (mm)]]*Table112348[[#This Row],[d (mm)]]*Table112348[[#This Row],[pho (%)]])</f>
        <v>0.95302372917670997</v>
      </c>
      <c r="V49" s="110">
        <f>E49*224.8/(2*SQRT(Table112348[[#This Row],[fc (Mpa)]]*145.037)*Table112348[[#This Row],[b (mm)]]*Table112348[[#This Row],[d (mm)]]*(1/25.4)^2)</f>
        <v>1.053162834592396</v>
      </c>
      <c r="W49" s="110">
        <f>Table112348[[#This Row],[M (KN.mm)]]/$G$50</f>
        <v>0.93103448275862066</v>
      </c>
      <c r="X49" s="110">
        <f>Table112348[[#This Row],[V/(2*sqrt(fc) bd)]]</f>
        <v>1.053162834592396</v>
      </c>
      <c r="Y49" s="110">
        <f>Table112348[[#This Row],[a (mm)]]</f>
        <v>609.59999999999991</v>
      </c>
      <c r="Z49" s="110">
        <f>Table112348[[#This Row],[b (mm)]]*Table112348[[#This Row],[h (mm)]]^2</f>
        <v>21682390.102874994</v>
      </c>
      <c r="AA49" s="110">
        <f>Table112348[[#This Row],[b (mm)]]</f>
        <v>228.6</v>
      </c>
      <c r="AB49" s="110">
        <f>Table112348[[#This Row],[a]]/Table112348[[#This Row],[h (mm)]]</f>
        <v>1.9793814432989689</v>
      </c>
      <c r="AC49" s="110">
        <f>Table112348[[#This Row],[h (mm)]]</f>
        <v>307.97499999999997</v>
      </c>
      <c r="AD49" s="110">
        <f t="shared" si="12"/>
        <v>609.59999999999991</v>
      </c>
      <c r="AE49" s="110">
        <f t="shared" si="20"/>
        <v>266.7</v>
      </c>
      <c r="AF49" s="110">
        <f t="shared" si="21"/>
        <v>307.97499999999997</v>
      </c>
      <c r="AG49" s="134">
        <f t="shared" si="23"/>
        <v>228.6</v>
      </c>
      <c r="AH49" s="7">
        <v>31.71</v>
      </c>
      <c r="AI49" s="110">
        <f>Table112348[[#This Row],[pho (%)]]/100*Table112348[[#This Row],[b (mm)]]*Table112348[[#This Row],[h (mm)]]</f>
        <v>443.53943549999997</v>
      </c>
      <c r="AJ49" s="135">
        <v>0.63</v>
      </c>
      <c r="AK49" s="110">
        <v>640.5</v>
      </c>
      <c r="AL49" s="132">
        <f>(1/3-0.21*(MIN(Table112348[[#This Row],[b (mm)]],AF49)/MAX(Table112348[[#This Row],[b (mm)]],AF49))*(MIN(Table112348[[#This Row],[b (mm)]],AF49)^4/(12*MAX(Table112348[[#This Row],[b (mm)]],AF49)^4)))*MAX(Table112348[[#This Row],[b (mm)]],AF49)*MIN(Table112348[[#This Row],[b (mm)]],AF49)^3</f>
        <v>1211866586.3254154</v>
      </c>
      <c r="AM49" s="132">
        <f>Table112348[[#This Row],[b (mm)]]*AF49^3/12</f>
        <v>556469507.66107714</v>
      </c>
      <c r="AN49" s="132">
        <v>1220</v>
      </c>
      <c r="AO49" s="136"/>
      <c r="AP49" s="136"/>
      <c r="AS49" s="136"/>
      <c r="AT49" s="136"/>
      <c r="AU49" s="136"/>
      <c r="AV49"/>
      <c r="AW49"/>
    </row>
    <row r="50" spans="1:49" x14ac:dyDescent="0.3">
      <c r="A50" s="224" t="s">
        <v>181</v>
      </c>
      <c r="B50" s="224" t="s">
        <v>66</v>
      </c>
      <c r="C50" s="181">
        <v>49</v>
      </c>
      <c r="D50" s="130">
        <f>Table112348[[#This Row],[a (mm)]]/Table112348[[#This Row],[d (mm)]]</f>
        <v>2.2857142857142856</v>
      </c>
      <c r="E50" s="2">
        <v>64.496000000000009</v>
      </c>
      <c r="F50" s="127">
        <f>Table112348[[#This Row],[d (mm)]]</f>
        <v>266.7</v>
      </c>
      <c r="G50" s="110">
        <f t="shared" si="19"/>
        <v>39316.761599999998</v>
      </c>
      <c r="H50" s="110">
        <f t="shared" si="16"/>
        <v>2.6827097365076056E-6</v>
      </c>
      <c r="I50" s="110">
        <f>G50/(Table112348[[#This Row],[b (mm)]]*Table112348[[#This Row],[h]]^2)</f>
        <v>1.813303856883691E-3</v>
      </c>
      <c r="J50" s="110">
        <f t="shared" si="17"/>
        <v>0.51892351354649002</v>
      </c>
      <c r="K50" s="110">
        <f t="shared" si="18"/>
        <v>1.694916554372225E-6</v>
      </c>
      <c r="L50" s="132">
        <f>E50/(Table112348[[#This Row],[b (mm)]]*AE50)</f>
        <v>1.0578730152169301E-3</v>
      </c>
      <c r="M50" s="132">
        <f>Table112348[[#This Row],[M (KN.mm)]]/(Table112348[[#This Row],[b (mm)]]*Table112348[[#This Row],[d (mm)]])</f>
        <v>0.64487939007624051</v>
      </c>
      <c r="N50" s="132">
        <f>Table112348[[#This Row],[M (KN.mm)]]/(Table112348[[#This Row],[b (mm)]]*Table112348[[#This Row],[h (mm)]])</f>
        <v>0.55845225532375464</v>
      </c>
      <c r="O50" s="133">
        <f>Table112348[[#This Row],[M (KN.mm)]]/(Table112348[[#This Row],[b (mm)]]*Table112348[[#This Row],[h (mm)]]*Table112348[[#This Row],[L(mm)]])</f>
        <v>4.5774775026537272E-4</v>
      </c>
      <c r="P50" s="133">
        <f>Table112348[[#This Row],[M (KN.mm)]]/(Table112348[[#This Row],[b (mm)]]*Table112348[[#This Row],[d (mm)]]*Table112348[[#This Row],[L(mm)]])</f>
        <v>5.2858966399691842E-4</v>
      </c>
      <c r="Q50" s="133">
        <f>Table112348[[#This Row],[M (KN.mm)]]/(Table112348[[#This Row],[b (mm)]]*Table112348[[#This Row],[h (mm)]]*Table112348[[#This Row],[L(mm)]]*Table112348[[#This Row],[fc (Mpa)]])</f>
        <v>1.443543835589318E-5</v>
      </c>
      <c r="R50" s="133">
        <f>Table112348[[#This Row],[M (KN.mm)]]/(Table112348[[#This Row],[b (mm)]]*Table112348[[#This Row],[h (mm)]]*Table112348[[#This Row],[L(mm)]]/2)</f>
        <v>9.1549550053074543E-4</v>
      </c>
      <c r="S50" s="133">
        <f>Table112348[[#This Row],[M (KN.mm)]]/(Table112348[[#This Row],[a (mm)]]*Table112348[[#This Row],[b (mm)]]*Table112348[[#This Row],[h (mm)]]*Table112348[[#This Row],[L(mm)]]/2)</f>
        <v>1.5017970809231388E-6</v>
      </c>
      <c r="T50" s="133">
        <f>Table112348[[#This Row],[M (KN.mm)]]/(Table112348[[#This Row],[a (mm)]]^2*Table112348[[#This Row],[b (mm)]]*Table112348[[#This Row],[h (mm)]])</f>
        <v>1.5027825120786003E-6</v>
      </c>
      <c r="U50" s="133">
        <f>Table112348[[#This Row],[M (KN.mm)]]/(Table112348[[#This Row],[b (mm)]]*Table112348[[#This Row],[d (mm)]]*Table112348[[#This Row],[pho (%)]])</f>
        <v>1.0236180794860961</v>
      </c>
      <c r="V50" s="110">
        <f>E50*224.8/(2*SQRT(Table112348[[#This Row],[fc (Mpa)]]*145.037)*Table112348[[#This Row],[b (mm)]]*Table112348[[#This Row],[d (mm)]]*(1/25.4)^2)</f>
        <v>1.1311748964140549</v>
      </c>
      <c r="W50" s="110">
        <f>Table112348[[#This Row],[M (KN.mm)]]/$G$50</f>
        <v>1</v>
      </c>
      <c r="X50" s="110">
        <f>Table112348[[#This Row],[V/(2*sqrt(fc) bd)]]</f>
        <v>1.1311748964140549</v>
      </c>
      <c r="Y50" s="110">
        <f>Table112348[[#This Row],[a (mm)]]</f>
        <v>609.59999999999991</v>
      </c>
      <c r="Z50" s="110">
        <f>Table112348[[#This Row],[b (mm)]]*Table112348[[#This Row],[h (mm)]]^2</f>
        <v>21682390.102874994</v>
      </c>
      <c r="AA50" s="110">
        <f>Table112348[[#This Row],[b (mm)]]</f>
        <v>228.6</v>
      </c>
      <c r="AB50" s="110">
        <f>Table112348[[#This Row],[a]]/Table112348[[#This Row],[h (mm)]]</f>
        <v>1.9793814432989689</v>
      </c>
      <c r="AC50" s="110">
        <f>Table112348[[#This Row],[h (mm)]]</f>
        <v>307.97499999999997</v>
      </c>
      <c r="AD50" s="110">
        <f t="shared" si="12"/>
        <v>609.59999999999991</v>
      </c>
      <c r="AE50" s="110">
        <f t="shared" si="20"/>
        <v>266.7</v>
      </c>
      <c r="AF50" s="110">
        <f t="shared" si="21"/>
        <v>307.97499999999997</v>
      </c>
      <c r="AG50" s="134">
        <f t="shared" si="23"/>
        <v>228.6</v>
      </c>
      <c r="AH50" s="7">
        <v>31.71</v>
      </c>
      <c r="AI50" s="110">
        <f>Table112348[[#This Row],[pho (%)]]/100*Table112348[[#This Row],[b (mm)]]*Table112348[[#This Row],[h (mm)]]</f>
        <v>443.53943549999997</v>
      </c>
      <c r="AJ50" s="135">
        <v>0.63</v>
      </c>
      <c r="AK50" s="110">
        <v>640.5</v>
      </c>
      <c r="AL50" s="132">
        <f>(1/3-0.21*(MIN(Table112348[[#This Row],[b (mm)]],AF50)/MAX(Table112348[[#This Row],[b (mm)]],AF50))*(MIN(Table112348[[#This Row],[b (mm)]],AF50)^4/(12*MAX(Table112348[[#This Row],[b (mm)]],AF50)^4)))*MAX(Table112348[[#This Row],[b (mm)]],AF50)*MIN(Table112348[[#This Row],[b (mm)]],AF50)^3</f>
        <v>1211866586.3254154</v>
      </c>
      <c r="AM50" s="132">
        <f>Table112348[[#This Row],[b (mm)]]*AF50^3/12</f>
        <v>556469507.66107714</v>
      </c>
      <c r="AN50" s="132">
        <v>1220</v>
      </c>
      <c r="AO50" s="136"/>
      <c r="AP50" s="136"/>
      <c r="AS50" s="136"/>
      <c r="AT50" s="136"/>
      <c r="AU50" s="136"/>
      <c r="AV50"/>
      <c r="AW50"/>
    </row>
    <row r="51" spans="1:49" x14ac:dyDescent="0.3">
      <c r="A51" s="184" t="s">
        <v>182</v>
      </c>
      <c r="B51" s="184" t="s">
        <v>60</v>
      </c>
      <c r="C51" s="183">
        <v>50</v>
      </c>
      <c r="D51" s="130">
        <f>Table112348[[#This Row],[a (mm)]]/Table112348[[#This Row],[d (mm)]]</f>
        <v>2.8571428571428572</v>
      </c>
      <c r="E51" s="2">
        <v>66.72</v>
      </c>
      <c r="F51" s="127">
        <f>Table112348[[#This Row],[d (mm)]]</f>
        <v>666.75</v>
      </c>
      <c r="G51" s="110">
        <f t="shared" ref="G51:G60" si="24">E51*AD51</f>
        <v>127101.59999999999</v>
      </c>
      <c r="H51" s="110">
        <f t="shared" ref="H51:H60" si="25">G51/($AP$5*AM51*0.001)</f>
        <v>2.2765923301308871E-7</v>
      </c>
      <c r="I51" s="110">
        <f>G51/(Table112348[[#This Row],[b (mm)]]*Table112348[[#This Row],[h]]^2)</f>
        <v>3.8149548036481811E-4</v>
      </c>
      <c r="J51" s="110">
        <f t="shared" ref="J51:J60" si="26">G51/(AI51*AK51*AE51*0.001)</f>
        <v>8.6338170213550419E-2</v>
      </c>
      <c r="K51" s="110">
        <f t="shared" ref="K51:K60" si="27">E51/($AP$4*AL51*0.001)</f>
        <v>4.5286257503596396E-8</v>
      </c>
      <c r="L51" s="132">
        <f>E51/(Table112348[[#This Row],[b (mm)]]*AE51)</f>
        <v>1.7509622320831944E-4</v>
      </c>
      <c r="M51" s="132">
        <f>Table112348[[#This Row],[M (KN.mm)]]/(Table112348[[#This Row],[b (mm)]]*Table112348[[#This Row],[d (mm)]])</f>
        <v>0.33355830521184848</v>
      </c>
      <c r="N51" s="132">
        <f>Table112348[[#This Row],[M (KN.mm)]]/(Table112348[[#This Row],[b (mm)]]*Table112348[[#This Row],[h (mm)]])</f>
        <v>0.29128095515006736</v>
      </c>
      <c r="O51" s="133">
        <f>Table112348[[#This Row],[M (KN.mm)]]/(Table112348[[#This Row],[b (mm)]]*Table112348[[#This Row],[h (mm)]]*Table112348[[#This Row],[L(mm)]])</f>
        <v>7.6451694265109531E-5</v>
      </c>
      <c r="P51" s="133">
        <f>Table112348[[#This Row],[M (KN.mm)]]/(Table112348[[#This Row],[b (mm)]]*Table112348[[#This Row],[d (mm)]]*Table112348[[#This Row],[L(mm)]])</f>
        <v>8.7548111604159707E-5</v>
      </c>
      <c r="Q51" s="133">
        <f>Table112348[[#This Row],[M (KN.mm)]]/(Table112348[[#This Row],[b (mm)]]*Table112348[[#This Row],[h (mm)]]*Table112348[[#This Row],[L(mm)]]*Table112348[[#This Row],[fc (Mpa)]])</f>
        <v>2.5784719819598495E-6</v>
      </c>
      <c r="R51" s="133">
        <f>Table112348[[#This Row],[M (KN.mm)]]/(Table112348[[#This Row],[b (mm)]]*Table112348[[#This Row],[h (mm)]]*Table112348[[#This Row],[L(mm)]]/2)</f>
        <v>1.5290338853021906E-4</v>
      </c>
      <c r="S51" s="133">
        <f>Table112348[[#This Row],[M (KN.mm)]]/(Table112348[[#This Row],[a (mm)]]*Table112348[[#This Row],[b (mm)]]*Table112348[[#This Row],[h (mm)]]*Table112348[[#This Row],[L(mm)]]/2)</f>
        <v>8.0264245947621549E-8</v>
      </c>
      <c r="T51" s="133">
        <f>Table112348[[#This Row],[M (KN.mm)]]/(Table112348[[#This Row],[a (mm)]]^2*Table112348[[#This Row],[b (mm)]]*Table112348[[#This Row],[h (mm)]])</f>
        <v>8.0264245947621563E-8</v>
      </c>
      <c r="U51" s="133">
        <f>Table112348[[#This Row],[M (KN.mm)]]/(Table112348[[#This Row],[b (mm)]]*Table112348[[#This Row],[d (mm)]]*Table112348[[#This Row],[pho (%)]])</f>
        <v>0.4222257027998082</v>
      </c>
      <c r="V51" s="110">
        <f>E51*224.8/(2*SQRT(Table112348[[#This Row],[fc (Mpa)]]*145.037)*Table112348[[#This Row],[b (mm)]]*Table112348[[#This Row],[d (mm)]]*(1/25.4)^2)</f>
        <v>0.19362381378787558</v>
      </c>
      <c r="W51" s="110">
        <f>Table112348[[#This Row],[M (KN.mm)]]/$G$60</f>
        <v>0.23076923076923075</v>
      </c>
      <c r="X51" s="110">
        <f>Table112348[[#This Row],[V/(2*sqrt(fc) bd)]]</f>
        <v>0.19362381378787558</v>
      </c>
      <c r="Y51" s="110">
        <f>Table112348[[#This Row],[a (mm)]]</f>
        <v>1905</v>
      </c>
      <c r="Z51" s="110">
        <f>Table112348[[#This Row],[b (mm)]]*Table112348[[#This Row],[h (mm)]]^2</f>
        <v>333166725.53618389</v>
      </c>
      <c r="AA51" s="110">
        <f>Table112348[[#This Row],[b (mm)]]</f>
        <v>571.5</v>
      </c>
      <c r="AB51" s="110">
        <f>Table112348[[#This Row],[a]]/Table112348[[#This Row],[h (mm)]]</f>
        <v>2.4950099800399204</v>
      </c>
      <c r="AC51" s="110">
        <f>Table112348[[#This Row],[h (mm)]]</f>
        <v>763.52399999999989</v>
      </c>
      <c r="AD51" s="110">
        <f>75*25.4</f>
        <v>1905</v>
      </c>
      <c r="AE51" s="110">
        <f>26.25*25.4</f>
        <v>666.75</v>
      </c>
      <c r="AF51" s="110">
        <f>30.06*25.4</f>
        <v>763.52399999999989</v>
      </c>
      <c r="AG51" s="134">
        <f>22.5*25.4</f>
        <v>571.5</v>
      </c>
      <c r="AH51" s="7">
        <v>29.65</v>
      </c>
      <c r="AI51" s="110">
        <f>Table112348[[#This Row],[pho (%)]]/100*Table112348[[#This Row],[b (mm)]]*Table112348[[#This Row],[h (mm)]]</f>
        <v>3447.1963313999995</v>
      </c>
      <c r="AJ51" s="135">
        <v>0.79</v>
      </c>
      <c r="AK51" s="110">
        <v>640.5</v>
      </c>
      <c r="AL51" s="132">
        <f>(1/3-0.21*(MIN(Table112348[[#This Row],[b (mm)]],AF51)/MAX(Table112348[[#This Row],[b (mm)]],AF51))*(MIN(Table112348[[#This Row],[b (mm)]],AF51)^4/(12*MAX(Table112348[[#This Row],[b (mm)]],AF51)^4)))*MAX(Table112348[[#This Row],[b (mm)]],AF51)*MIN(Table112348[[#This Row],[b (mm)]],AF51)^3</f>
        <v>46920211151.527954</v>
      </c>
      <c r="AM51" s="132">
        <f>Table112348[[#This Row],[b (mm)]]*AF51^3/12</f>
        <v>21198399245.690769</v>
      </c>
      <c r="AN51" s="132">
        <f>1905*2</f>
        <v>3810</v>
      </c>
      <c r="AO51" s="136"/>
      <c r="AP51" s="136"/>
      <c r="AS51" s="136"/>
      <c r="AT51" s="136"/>
      <c r="AU51" s="136"/>
      <c r="AV51"/>
      <c r="AW51"/>
    </row>
    <row r="52" spans="1:49" x14ac:dyDescent="0.3">
      <c r="A52" s="184" t="s">
        <v>182</v>
      </c>
      <c r="B52" s="184" t="s">
        <v>61</v>
      </c>
      <c r="C52" s="183">
        <v>51</v>
      </c>
      <c r="D52" s="130">
        <f>Table112348[[#This Row],[a (mm)]]/Table112348[[#This Row],[d (mm)]]</f>
        <v>2.8571428571428572</v>
      </c>
      <c r="E52" s="2">
        <v>88.960000000000008</v>
      </c>
      <c r="F52" s="127">
        <f>Table112348[[#This Row],[d (mm)]]</f>
        <v>666.75</v>
      </c>
      <c r="G52" s="110">
        <f t="shared" si="24"/>
        <v>169468.80000000002</v>
      </c>
      <c r="H52" s="110">
        <f t="shared" si="25"/>
        <v>3.0354564401745165E-7</v>
      </c>
      <c r="I52" s="110">
        <f>G52/(Table112348[[#This Row],[b (mm)]]*Table112348[[#This Row],[h]]^2)</f>
        <v>5.0866064048642429E-4</v>
      </c>
      <c r="J52" s="110">
        <f t="shared" si="26"/>
        <v>0.11511756028473391</v>
      </c>
      <c r="K52" s="110">
        <f t="shared" si="27"/>
        <v>6.0381676671461871E-8</v>
      </c>
      <c r="L52" s="132">
        <f>E52/(Table112348[[#This Row],[b (mm)]]*AE52)</f>
        <v>2.3346163094442593E-4</v>
      </c>
      <c r="M52" s="132">
        <f>Table112348[[#This Row],[M (KN.mm)]]/(Table112348[[#This Row],[b (mm)]]*Table112348[[#This Row],[d (mm)]])</f>
        <v>0.44474440694913142</v>
      </c>
      <c r="N52" s="132">
        <f>Table112348[[#This Row],[M (KN.mm)]]/(Table112348[[#This Row],[b (mm)]]*Table112348[[#This Row],[h (mm)]])</f>
        <v>0.38837460686675651</v>
      </c>
      <c r="O52" s="133">
        <f>Table112348[[#This Row],[M (KN.mm)]]/(Table112348[[#This Row],[b (mm)]]*Table112348[[#This Row],[h (mm)]]*Table112348[[#This Row],[L(mm)]])</f>
        <v>1.019355923534794E-4</v>
      </c>
      <c r="P52" s="133">
        <f>Table112348[[#This Row],[M (KN.mm)]]/(Table112348[[#This Row],[b (mm)]]*Table112348[[#This Row],[d (mm)]]*Table112348[[#This Row],[L(mm)]])</f>
        <v>1.1673081547221297E-4</v>
      </c>
      <c r="Q52" s="133">
        <f>Table112348[[#This Row],[M (KN.mm)]]/(Table112348[[#This Row],[b (mm)]]*Table112348[[#This Row],[h (mm)]]*Table112348[[#This Row],[L(mm)]]*Table112348[[#This Row],[fc (Mpa)]])</f>
        <v>3.4379626426131334E-6</v>
      </c>
      <c r="R52" s="133">
        <f>Table112348[[#This Row],[M (KN.mm)]]/(Table112348[[#This Row],[b (mm)]]*Table112348[[#This Row],[h (mm)]]*Table112348[[#This Row],[L(mm)]]/2)</f>
        <v>2.0387118470695879E-4</v>
      </c>
      <c r="S52" s="133">
        <f>Table112348[[#This Row],[M (KN.mm)]]/(Table112348[[#This Row],[a (mm)]]*Table112348[[#This Row],[b (mm)]]*Table112348[[#This Row],[h (mm)]]*Table112348[[#This Row],[L(mm)]]/2)</f>
        <v>1.0701899459682876E-7</v>
      </c>
      <c r="T52" s="133">
        <f>Table112348[[#This Row],[M (KN.mm)]]/(Table112348[[#This Row],[a (mm)]]^2*Table112348[[#This Row],[b (mm)]]*Table112348[[#This Row],[h (mm)]])</f>
        <v>1.0701899459682878E-7</v>
      </c>
      <c r="U52" s="133">
        <f>Table112348[[#This Row],[M (KN.mm)]]/(Table112348[[#This Row],[b (mm)]]*Table112348[[#This Row],[d (mm)]]*Table112348[[#This Row],[pho (%)]])</f>
        <v>0.56296760373307764</v>
      </c>
      <c r="V52" s="110">
        <f>E52*224.8/(2*SQRT(Table112348[[#This Row],[fc (Mpa)]]*145.037)*Table112348[[#This Row],[b (mm)]]*Table112348[[#This Row],[d (mm)]]*(1/25.4)^2)</f>
        <v>0.25816508505050079</v>
      </c>
      <c r="W52" s="110">
        <f>Table112348[[#This Row],[M (KN.mm)]]/$G$60</f>
        <v>0.30769230769230771</v>
      </c>
      <c r="X52" s="110">
        <f>Table112348[[#This Row],[V/(2*sqrt(fc) bd)]]</f>
        <v>0.25816508505050079</v>
      </c>
      <c r="Y52" s="110">
        <f>Table112348[[#This Row],[a (mm)]]</f>
        <v>1905</v>
      </c>
      <c r="Z52" s="110">
        <f>Table112348[[#This Row],[b (mm)]]*Table112348[[#This Row],[h (mm)]]^2</f>
        <v>333166725.53618389</v>
      </c>
      <c r="AA52" s="110">
        <f>Table112348[[#This Row],[b (mm)]]</f>
        <v>571.5</v>
      </c>
      <c r="AB52" s="110">
        <f>Table112348[[#This Row],[a]]/Table112348[[#This Row],[h (mm)]]</f>
        <v>2.4950099800399204</v>
      </c>
      <c r="AC52" s="110">
        <f>Table112348[[#This Row],[h (mm)]]</f>
        <v>763.52399999999989</v>
      </c>
      <c r="AD52" s="110">
        <f t="shared" ref="AD52:AD70" si="28">75*25.4</f>
        <v>1905</v>
      </c>
      <c r="AE52" s="110">
        <f t="shared" ref="AE52:AE70" si="29">26.25*25.4</f>
        <v>666.75</v>
      </c>
      <c r="AF52" s="110">
        <f t="shared" ref="AF52:AF70" si="30">30.06*25.4</f>
        <v>763.52399999999989</v>
      </c>
      <c r="AG52" s="134">
        <f t="shared" ref="AG52:AG70" si="31">22.5*25.4</f>
        <v>571.5</v>
      </c>
      <c r="AH52" s="7">
        <v>29.65</v>
      </c>
      <c r="AI52" s="110">
        <f>Table112348[[#This Row],[pho (%)]]/100*Table112348[[#This Row],[b (mm)]]*Table112348[[#This Row],[h (mm)]]</f>
        <v>3447.1963313999995</v>
      </c>
      <c r="AJ52" s="135">
        <v>0.79</v>
      </c>
      <c r="AK52" s="110">
        <v>640.5</v>
      </c>
      <c r="AL52" s="132">
        <f>(1/3-0.21*(MIN(Table112348[[#This Row],[b (mm)]],AF52)/MAX(Table112348[[#This Row],[b (mm)]],AF52))*(MIN(Table112348[[#This Row],[b (mm)]],AF52)^4/(12*MAX(Table112348[[#This Row],[b (mm)]],AF52)^4)))*MAX(Table112348[[#This Row],[b (mm)]],AF52)*MIN(Table112348[[#This Row],[b (mm)]],AF52)^3</f>
        <v>46920211151.527954</v>
      </c>
      <c r="AM52" s="132">
        <f>Table112348[[#This Row],[b (mm)]]*AF52^3/12</f>
        <v>21198399245.690769</v>
      </c>
      <c r="AN52" s="132">
        <f t="shared" ref="AN52:AN70" si="32">1905*2</f>
        <v>3810</v>
      </c>
      <c r="AO52" s="136"/>
      <c r="AP52" s="136"/>
      <c r="AS52" s="136"/>
      <c r="AT52" s="136"/>
      <c r="AU52" s="136"/>
      <c r="AV52"/>
      <c r="AW52"/>
    </row>
    <row r="53" spans="1:49" x14ac:dyDescent="0.3">
      <c r="A53" s="184" t="s">
        <v>182</v>
      </c>
      <c r="B53" s="184" t="s">
        <v>62</v>
      </c>
      <c r="C53" s="183">
        <v>52</v>
      </c>
      <c r="D53" s="130">
        <f>Table112348[[#This Row],[a (mm)]]/Table112348[[#This Row],[d (mm)]]</f>
        <v>2.8571428571428572</v>
      </c>
      <c r="E53" s="2">
        <v>111.20000000000002</v>
      </c>
      <c r="F53" s="127">
        <f>Table112348[[#This Row],[d (mm)]]</f>
        <v>666.75</v>
      </c>
      <c r="G53" s="110">
        <f t="shared" si="24"/>
        <v>211836.00000000003</v>
      </c>
      <c r="H53" s="110">
        <f t="shared" si="25"/>
        <v>3.7943205502181459E-7</v>
      </c>
      <c r="I53" s="110">
        <f>G53/(Table112348[[#This Row],[b (mm)]]*Table112348[[#This Row],[h]]^2)</f>
        <v>6.358258006080303E-4</v>
      </c>
      <c r="J53" s="110">
        <f t="shared" si="26"/>
        <v>0.1438969503559174</v>
      </c>
      <c r="K53" s="110">
        <f t="shared" si="27"/>
        <v>7.5477095839327338E-8</v>
      </c>
      <c r="L53" s="132">
        <f>E53/(Table112348[[#This Row],[b (mm)]]*AE53)</f>
        <v>2.9182703868053245E-4</v>
      </c>
      <c r="M53" s="132">
        <f>Table112348[[#This Row],[M (KN.mm)]]/(Table112348[[#This Row],[b (mm)]]*Table112348[[#This Row],[d (mm)]])</f>
        <v>0.55593050868641425</v>
      </c>
      <c r="N53" s="132">
        <f>Table112348[[#This Row],[M (KN.mm)]]/(Table112348[[#This Row],[b (mm)]]*Table112348[[#This Row],[h (mm)]])</f>
        <v>0.48546825858344567</v>
      </c>
      <c r="O53" s="133">
        <f>Table112348[[#This Row],[M (KN.mm)]]/(Table112348[[#This Row],[b (mm)]]*Table112348[[#This Row],[h (mm)]]*Table112348[[#This Row],[L(mm)]])</f>
        <v>1.2741949044184925E-4</v>
      </c>
      <c r="P53" s="133">
        <f>Table112348[[#This Row],[M (KN.mm)]]/(Table112348[[#This Row],[b (mm)]]*Table112348[[#This Row],[d (mm)]]*Table112348[[#This Row],[L(mm)]])</f>
        <v>1.4591351934026622E-4</v>
      </c>
      <c r="Q53" s="133">
        <f>Table112348[[#This Row],[M (KN.mm)]]/(Table112348[[#This Row],[b (mm)]]*Table112348[[#This Row],[h (mm)]]*Table112348[[#This Row],[L(mm)]]*Table112348[[#This Row],[fc (Mpa)]])</f>
        <v>4.2974533032664169E-6</v>
      </c>
      <c r="R53" s="133">
        <f>Table112348[[#This Row],[M (KN.mm)]]/(Table112348[[#This Row],[b (mm)]]*Table112348[[#This Row],[h (mm)]]*Table112348[[#This Row],[L(mm)]]/2)</f>
        <v>2.548389808836985E-4</v>
      </c>
      <c r="S53" s="133">
        <f>Table112348[[#This Row],[M (KN.mm)]]/(Table112348[[#This Row],[a (mm)]]*Table112348[[#This Row],[b (mm)]]*Table112348[[#This Row],[h (mm)]]*Table112348[[#This Row],[L(mm)]]/2)</f>
        <v>1.3377374324603595E-7</v>
      </c>
      <c r="T53" s="133">
        <f>Table112348[[#This Row],[M (KN.mm)]]/(Table112348[[#This Row],[a (mm)]]^2*Table112348[[#This Row],[b (mm)]]*Table112348[[#This Row],[h (mm)]])</f>
        <v>1.3377374324603598E-7</v>
      </c>
      <c r="U53" s="133">
        <f>Table112348[[#This Row],[M (KN.mm)]]/(Table112348[[#This Row],[b (mm)]]*Table112348[[#This Row],[d (mm)]]*Table112348[[#This Row],[pho (%)]])</f>
        <v>0.70370950466634707</v>
      </c>
      <c r="V53" s="110">
        <f>E53*224.8/(2*SQRT(Table112348[[#This Row],[fc (Mpa)]]*145.037)*Table112348[[#This Row],[b (mm)]]*Table112348[[#This Row],[d (mm)]]*(1/25.4)^2)</f>
        <v>0.32270635631312605</v>
      </c>
      <c r="W53" s="110">
        <f>Table112348[[#This Row],[M (KN.mm)]]/$G$60</f>
        <v>0.38461538461538469</v>
      </c>
      <c r="X53" s="110">
        <f>Table112348[[#This Row],[V/(2*sqrt(fc) bd)]]</f>
        <v>0.32270635631312605</v>
      </c>
      <c r="Y53" s="110">
        <f>Table112348[[#This Row],[a (mm)]]</f>
        <v>1905</v>
      </c>
      <c r="Z53" s="110">
        <f>Table112348[[#This Row],[b (mm)]]*Table112348[[#This Row],[h (mm)]]^2</f>
        <v>333166725.53618389</v>
      </c>
      <c r="AA53" s="110">
        <f>Table112348[[#This Row],[b (mm)]]</f>
        <v>571.5</v>
      </c>
      <c r="AB53" s="110">
        <f>Table112348[[#This Row],[a]]/Table112348[[#This Row],[h (mm)]]</f>
        <v>2.4950099800399204</v>
      </c>
      <c r="AC53" s="110">
        <f>Table112348[[#This Row],[h (mm)]]</f>
        <v>763.52399999999989</v>
      </c>
      <c r="AD53" s="110">
        <f t="shared" si="28"/>
        <v>1905</v>
      </c>
      <c r="AE53" s="110">
        <f t="shared" si="29"/>
        <v>666.75</v>
      </c>
      <c r="AF53" s="110">
        <f t="shared" si="30"/>
        <v>763.52399999999989</v>
      </c>
      <c r="AG53" s="134">
        <f t="shared" si="31"/>
        <v>571.5</v>
      </c>
      <c r="AH53" s="7">
        <v>29.65</v>
      </c>
      <c r="AI53" s="110">
        <f>Table112348[[#This Row],[pho (%)]]/100*Table112348[[#This Row],[b (mm)]]*Table112348[[#This Row],[h (mm)]]</f>
        <v>3447.1963313999995</v>
      </c>
      <c r="AJ53" s="135">
        <v>0.79</v>
      </c>
      <c r="AK53" s="110">
        <v>640.5</v>
      </c>
      <c r="AL53" s="132">
        <f>(1/3-0.21*(MIN(Table112348[[#This Row],[b (mm)]],AF53)/MAX(Table112348[[#This Row],[b (mm)]],AF53))*(MIN(Table112348[[#This Row],[b (mm)]],AF53)^4/(12*MAX(Table112348[[#This Row],[b (mm)]],AF53)^4)))*MAX(Table112348[[#This Row],[b (mm)]],AF53)*MIN(Table112348[[#This Row],[b (mm)]],AF53)^3</f>
        <v>46920211151.527954</v>
      </c>
      <c r="AM53" s="132">
        <f>Table112348[[#This Row],[b (mm)]]*AF53^3/12</f>
        <v>21198399245.690769</v>
      </c>
      <c r="AN53" s="132">
        <f t="shared" si="32"/>
        <v>3810</v>
      </c>
      <c r="AO53" s="136"/>
      <c r="AP53" s="136"/>
      <c r="AS53" s="136"/>
      <c r="AT53" s="136"/>
      <c r="AU53" s="136"/>
      <c r="AV53"/>
      <c r="AW53"/>
    </row>
    <row r="54" spans="1:49" x14ac:dyDescent="0.3">
      <c r="A54" s="184" t="s">
        <v>182</v>
      </c>
      <c r="B54" s="184" t="s">
        <v>63</v>
      </c>
      <c r="C54" s="183">
        <v>53</v>
      </c>
      <c r="D54" s="130">
        <f>Table112348[[#This Row],[a (mm)]]/Table112348[[#This Row],[d (mm)]]</f>
        <v>2.8571428571428572</v>
      </c>
      <c r="E54" s="2">
        <v>133.44</v>
      </c>
      <c r="F54" s="127">
        <f>Table112348[[#This Row],[d (mm)]]</f>
        <v>666.75</v>
      </c>
      <c r="G54" s="110">
        <f t="shared" si="24"/>
        <v>254203.19999999998</v>
      </c>
      <c r="H54" s="110">
        <f t="shared" si="25"/>
        <v>4.5531846602617742E-7</v>
      </c>
      <c r="I54" s="110">
        <f>G54/(Table112348[[#This Row],[b (mm)]]*Table112348[[#This Row],[h]]^2)</f>
        <v>7.6299096072963621E-4</v>
      </c>
      <c r="J54" s="110">
        <f t="shared" si="26"/>
        <v>0.17267634042710084</v>
      </c>
      <c r="K54" s="110">
        <f t="shared" si="27"/>
        <v>9.0572515007192793E-8</v>
      </c>
      <c r="L54" s="132">
        <f>E54/(Table112348[[#This Row],[b (mm)]]*AE54)</f>
        <v>3.5019244641663888E-4</v>
      </c>
      <c r="M54" s="132">
        <f>Table112348[[#This Row],[M (KN.mm)]]/(Table112348[[#This Row],[b (mm)]]*Table112348[[#This Row],[d (mm)]])</f>
        <v>0.66711661042369697</v>
      </c>
      <c r="N54" s="132">
        <f>Table112348[[#This Row],[M (KN.mm)]]/(Table112348[[#This Row],[b (mm)]]*Table112348[[#This Row],[h (mm)]])</f>
        <v>0.58256191030013471</v>
      </c>
      <c r="O54" s="133">
        <f>Table112348[[#This Row],[M (KN.mm)]]/(Table112348[[#This Row],[b (mm)]]*Table112348[[#This Row],[h (mm)]]*Table112348[[#This Row],[L(mm)]])</f>
        <v>1.5290338853021906E-4</v>
      </c>
      <c r="P54" s="133">
        <f>Table112348[[#This Row],[M (KN.mm)]]/(Table112348[[#This Row],[b (mm)]]*Table112348[[#This Row],[d (mm)]]*Table112348[[#This Row],[L(mm)]])</f>
        <v>1.7509622320831941E-4</v>
      </c>
      <c r="Q54" s="133">
        <f>Table112348[[#This Row],[M (KN.mm)]]/(Table112348[[#This Row],[b (mm)]]*Table112348[[#This Row],[h (mm)]]*Table112348[[#This Row],[L(mm)]]*Table112348[[#This Row],[fc (Mpa)]])</f>
        <v>5.1569439639196991E-6</v>
      </c>
      <c r="R54" s="133">
        <f>Table112348[[#This Row],[M (KN.mm)]]/(Table112348[[#This Row],[b (mm)]]*Table112348[[#This Row],[h (mm)]]*Table112348[[#This Row],[L(mm)]]/2)</f>
        <v>3.0580677706043812E-4</v>
      </c>
      <c r="S54" s="133">
        <f>Table112348[[#This Row],[M (KN.mm)]]/(Table112348[[#This Row],[a (mm)]]*Table112348[[#This Row],[b (mm)]]*Table112348[[#This Row],[h (mm)]]*Table112348[[#This Row],[L(mm)]]/2)</f>
        <v>1.605284918952431E-7</v>
      </c>
      <c r="T54" s="133">
        <f>Table112348[[#This Row],[M (KN.mm)]]/(Table112348[[#This Row],[a (mm)]]^2*Table112348[[#This Row],[b (mm)]]*Table112348[[#This Row],[h (mm)]])</f>
        <v>1.6052849189524313E-7</v>
      </c>
      <c r="U54" s="133">
        <f>Table112348[[#This Row],[M (KN.mm)]]/(Table112348[[#This Row],[b (mm)]]*Table112348[[#This Row],[d (mm)]]*Table112348[[#This Row],[pho (%)]])</f>
        <v>0.8444514055996164</v>
      </c>
      <c r="V54" s="110">
        <f>E54*224.8/(2*SQRT(Table112348[[#This Row],[fc (Mpa)]]*145.037)*Table112348[[#This Row],[b (mm)]]*Table112348[[#This Row],[d (mm)]]*(1/25.4)^2)</f>
        <v>0.38724762757575115</v>
      </c>
      <c r="W54" s="110">
        <f>Table112348[[#This Row],[M (KN.mm)]]/$G$60</f>
        <v>0.46153846153846151</v>
      </c>
      <c r="X54" s="110">
        <f>Table112348[[#This Row],[V/(2*sqrt(fc) bd)]]</f>
        <v>0.38724762757575115</v>
      </c>
      <c r="Y54" s="110">
        <f>Table112348[[#This Row],[a (mm)]]</f>
        <v>1905</v>
      </c>
      <c r="Z54" s="110">
        <f>Table112348[[#This Row],[b (mm)]]*Table112348[[#This Row],[h (mm)]]^2</f>
        <v>333166725.53618389</v>
      </c>
      <c r="AA54" s="110">
        <f>Table112348[[#This Row],[b (mm)]]</f>
        <v>571.5</v>
      </c>
      <c r="AB54" s="110">
        <f>Table112348[[#This Row],[a]]/Table112348[[#This Row],[h (mm)]]</f>
        <v>2.4950099800399204</v>
      </c>
      <c r="AC54" s="110">
        <f>Table112348[[#This Row],[h (mm)]]</f>
        <v>763.52399999999989</v>
      </c>
      <c r="AD54" s="110">
        <f t="shared" si="28"/>
        <v>1905</v>
      </c>
      <c r="AE54" s="110">
        <f t="shared" si="29"/>
        <v>666.75</v>
      </c>
      <c r="AF54" s="110">
        <f t="shared" si="30"/>
        <v>763.52399999999989</v>
      </c>
      <c r="AG54" s="134">
        <f t="shared" si="31"/>
        <v>571.5</v>
      </c>
      <c r="AH54" s="7">
        <v>29.65</v>
      </c>
      <c r="AI54" s="110">
        <f>Table112348[[#This Row],[pho (%)]]/100*Table112348[[#This Row],[b (mm)]]*Table112348[[#This Row],[h (mm)]]</f>
        <v>3447.1963313999995</v>
      </c>
      <c r="AJ54" s="135">
        <v>0.79</v>
      </c>
      <c r="AK54" s="110">
        <v>640.5</v>
      </c>
      <c r="AL54" s="132">
        <f>(1/3-0.21*(MIN(Table112348[[#This Row],[b (mm)]],AF54)/MAX(Table112348[[#This Row],[b (mm)]],AF54))*(MIN(Table112348[[#This Row],[b (mm)]],AF54)^4/(12*MAX(Table112348[[#This Row],[b (mm)]],AF54)^4)))*MAX(Table112348[[#This Row],[b (mm)]],AF54)*MIN(Table112348[[#This Row],[b (mm)]],AF54)^3</f>
        <v>46920211151.527954</v>
      </c>
      <c r="AM54" s="132">
        <f>Table112348[[#This Row],[b (mm)]]*AF54^3/12</f>
        <v>21198399245.690769</v>
      </c>
      <c r="AN54" s="132">
        <f t="shared" si="32"/>
        <v>3810</v>
      </c>
      <c r="AO54" s="106"/>
      <c r="AP54" s="107"/>
      <c r="AS54" s="105"/>
      <c r="AT54" s="105"/>
      <c r="AU54" s="105"/>
    </row>
    <row r="55" spans="1:49" x14ac:dyDescent="0.3">
      <c r="A55" s="184" t="s">
        <v>182</v>
      </c>
      <c r="B55" s="184" t="s">
        <v>64</v>
      </c>
      <c r="C55" s="183">
        <v>54</v>
      </c>
      <c r="D55" s="130">
        <f>Table112348[[#This Row],[a (mm)]]/Table112348[[#This Row],[d (mm)]]</f>
        <v>2.8571428571428572</v>
      </c>
      <c r="E55" s="2">
        <v>155.68</v>
      </c>
      <c r="F55" s="127">
        <f>Table112348[[#This Row],[d (mm)]]</f>
        <v>666.75</v>
      </c>
      <c r="G55" s="110">
        <f t="shared" si="24"/>
        <v>296570.40000000002</v>
      </c>
      <c r="H55" s="110">
        <f t="shared" si="25"/>
        <v>5.3120487703054041E-7</v>
      </c>
      <c r="I55" s="110">
        <f>G55/(Table112348[[#This Row],[b (mm)]]*Table112348[[#This Row],[h]]^2)</f>
        <v>8.9015612085124244E-4</v>
      </c>
      <c r="J55" s="110">
        <f t="shared" si="26"/>
        <v>0.20145573049828436</v>
      </c>
      <c r="K55" s="110">
        <f t="shared" si="27"/>
        <v>1.0566793417505826E-7</v>
      </c>
      <c r="L55" s="132">
        <f>E55/(Table112348[[#This Row],[b (mm)]]*AE55)</f>
        <v>4.0855785415274537E-4</v>
      </c>
      <c r="M55" s="132">
        <f>Table112348[[#This Row],[M (KN.mm)]]/(Table112348[[#This Row],[b (mm)]]*Table112348[[#This Row],[d (mm)]])</f>
        <v>0.7783027121609799</v>
      </c>
      <c r="N55" s="132">
        <f>Table112348[[#This Row],[M (KN.mm)]]/(Table112348[[#This Row],[b (mm)]]*Table112348[[#This Row],[h (mm)]])</f>
        <v>0.67965556201682387</v>
      </c>
      <c r="O55" s="133">
        <f>Table112348[[#This Row],[M (KN.mm)]]/(Table112348[[#This Row],[b (mm)]]*Table112348[[#This Row],[h (mm)]]*Table112348[[#This Row],[L(mm)]])</f>
        <v>1.7838728661858895E-4</v>
      </c>
      <c r="P55" s="133">
        <f>Table112348[[#This Row],[M (KN.mm)]]/(Table112348[[#This Row],[b (mm)]]*Table112348[[#This Row],[d (mm)]]*Table112348[[#This Row],[L(mm)]])</f>
        <v>2.0427892707637269E-4</v>
      </c>
      <c r="Q55" s="133">
        <f>Table112348[[#This Row],[M (KN.mm)]]/(Table112348[[#This Row],[b (mm)]]*Table112348[[#This Row],[h (mm)]]*Table112348[[#This Row],[L(mm)]]*Table112348[[#This Row],[fc (Mpa)]])</f>
        <v>6.016434624572983E-6</v>
      </c>
      <c r="R55" s="133">
        <f>Table112348[[#This Row],[M (KN.mm)]]/(Table112348[[#This Row],[b (mm)]]*Table112348[[#This Row],[h (mm)]]*Table112348[[#This Row],[L(mm)]]/2)</f>
        <v>3.5677457323717791E-4</v>
      </c>
      <c r="S55" s="133">
        <f>Table112348[[#This Row],[M (KN.mm)]]/(Table112348[[#This Row],[a (mm)]]*Table112348[[#This Row],[b (mm)]]*Table112348[[#This Row],[h (mm)]]*Table112348[[#This Row],[L(mm)]]/2)</f>
        <v>1.8728324054445033E-7</v>
      </c>
      <c r="T55" s="133">
        <f>Table112348[[#This Row],[M (KN.mm)]]/(Table112348[[#This Row],[a (mm)]]^2*Table112348[[#This Row],[b (mm)]]*Table112348[[#This Row],[h (mm)]])</f>
        <v>1.8728324054445035E-7</v>
      </c>
      <c r="U55" s="133">
        <f>Table112348[[#This Row],[M (KN.mm)]]/(Table112348[[#This Row],[b (mm)]]*Table112348[[#This Row],[d (mm)]]*Table112348[[#This Row],[pho (%)]])</f>
        <v>0.98519330653288595</v>
      </c>
      <c r="V55" s="110">
        <f>E55*224.8/(2*SQRT(Table112348[[#This Row],[fc (Mpa)]]*145.037)*Table112348[[#This Row],[b (mm)]]*Table112348[[#This Row],[d (mm)]]*(1/25.4)^2)</f>
        <v>0.45178889883837636</v>
      </c>
      <c r="W55" s="110">
        <f>Table112348[[#This Row],[M (KN.mm)]]/$G$60</f>
        <v>0.53846153846153855</v>
      </c>
      <c r="X55" s="110">
        <f>Table112348[[#This Row],[V/(2*sqrt(fc) bd)]]</f>
        <v>0.45178889883837636</v>
      </c>
      <c r="Y55" s="110">
        <f>Table112348[[#This Row],[a (mm)]]</f>
        <v>1905</v>
      </c>
      <c r="Z55" s="110">
        <f>Table112348[[#This Row],[b (mm)]]*Table112348[[#This Row],[h (mm)]]^2</f>
        <v>333166725.53618389</v>
      </c>
      <c r="AA55" s="110">
        <f>Table112348[[#This Row],[b (mm)]]</f>
        <v>571.5</v>
      </c>
      <c r="AB55" s="110">
        <f>Table112348[[#This Row],[a]]/Table112348[[#This Row],[h (mm)]]</f>
        <v>2.4950099800399204</v>
      </c>
      <c r="AC55" s="110">
        <f>Table112348[[#This Row],[h (mm)]]</f>
        <v>763.52399999999989</v>
      </c>
      <c r="AD55" s="110">
        <f t="shared" si="28"/>
        <v>1905</v>
      </c>
      <c r="AE55" s="110">
        <f t="shared" si="29"/>
        <v>666.75</v>
      </c>
      <c r="AF55" s="110">
        <f t="shared" si="30"/>
        <v>763.52399999999989</v>
      </c>
      <c r="AG55" s="134">
        <f t="shared" si="31"/>
        <v>571.5</v>
      </c>
      <c r="AH55" s="7">
        <v>29.65</v>
      </c>
      <c r="AI55" s="110">
        <f>Table112348[[#This Row],[pho (%)]]/100*Table112348[[#This Row],[b (mm)]]*Table112348[[#This Row],[h (mm)]]</f>
        <v>3447.1963313999995</v>
      </c>
      <c r="AJ55" s="135">
        <v>0.79</v>
      </c>
      <c r="AK55" s="110">
        <v>640.5</v>
      </c>
      <c r="AL55" s="132">
        <f>(1/3-0.21*(MIN(Table112348[[#This Row],[b (mm)]],AF55)/MAX(Table112348[[#This Row],[b (mm)]],AF55))*(MIN(Table112348[[#This Row],[b (mm)]],AF55)^4/(12*MAX(Table112348[[#This Row],[b (mm)]],AF55)^4)))*MAX(Table112348[[#This Row],[b (mm)]],AF55)*MIN(Table112348[[#This Row],[b (mm)]],AF55)^3</f>
        <v>46920211151.527954</v>
      </c>
      <c r="AM55" s="132">
        <f>Table112348[[#This Row],[b (mm)]]*AF55^3/12</f>
        <v>21198399245.690769</v>
      </c>
      <c r="AN55" s="132">
        <f t="shared" si="32"/>
        <v>3810</v>
      </c>
      <c r="AO55" s="106"/>
      <c r="AP55" s="107"/>
      <c r="AS55" s="105"/>
      <c r="AT55" s="105"/>
      <c r="AU55" s="105"/>
    </row>
    <row r="56" spans="1:49" x14ac:dyDescent="0.3">
      <c r="A56" s="184" t="s">
        <v>182</v>
      </c>
      <c r="B56" s="184" t="s">
        <v>65</v>
      </c>
      <c r="C56" s="183">
        <v>55</v>
      </c>
      <c r="D56" s="130">
        <f>Table112348[[#This Row],[a (mm)]]/Table112348[[#This Row],[d (mm)]]</f>
        <v>2.8571428571428572</v>
      </c>
      <c r="E56" s="2">
        <v>177.92000000000002</v>
      </c>
      <c r="F56" s="127">
        <f>Table112348[[#This Row],[d (mm)]]</f>
        <v>666.75</v>
      </c>
      <c r="G56" s="110">
        <f t="shared" si="24"/>
        <v>338937.60000000003</v>
      </c>
      <c r="H56" s="110">
        <f t="shared" si="25"/>
        <v>6.070912880349033E-7</v>
      </c>
      <c r="I56" s="110">
        <f>G56/(Table112348[[#This Row],[b (mm)]]*Table112348[[#This Row],[h]]^2)</f>
        <v>1.0173212809728486E-3</v>
      </c>
      <c r="J56" s="110">
        <f t="shared" si="26"/>
        <v>0.23023512056946782</v>
      </c>
      <c r="K56" s="110">
        <f t="shared" si="27"/>
        <v>1.2076335334292374E-7</v>
      </c>
      <c r="L56" s="132">
        <f>E56/(Table112348[[#This Row],[b (mm)]]*AE56)</f>
        <v>4.6692326188885186E-4</v>
      </c>
      <c r="M56" s="132">
        <f>Table112348[[#This Row],[M (KN.mm)]]/(Table112348[[#This Row],[b (mm)]]*Table112348[[#This Row],[d (mm)]])</f>
        <v>0.88948881389826284</v>
      </c>
      <c r="N56" s="132">
        <f>Table112348[[#This Row],[M (KN.mm)]]/(Table112348[[#This Row],[b (mm)]]*Table112348[[#This Row],[h (mm)]])</f>
        <v>0.77674921373351302</v>
      </c>
      <c r="O56" s="133">
        <f>Table112348[[#This Row],[M (KN.mm)]]/(Table112348[[#This Row],[b (mm)]]*Table112348[[#This Row],[h (mm)]]*Table112348[[#This Row],[L(mm)]])</f>
        <v>2.0387118470695879E-4</v>
      </c>
      <c r="P56" s="133">
        <f>Table112348[[#This Row],[M (KN.mm)]]/(Table112348[[#This Row],[b (mm)]]*Table112348[[#This Row],[d (mm)]]*Table112348[[#This Row],[L(mm)]])</f>
        <v>2.3346163094442593E-4</v>
      </c>
      <c r="Q56" s="133">
        <f>Table112348[[#This Row],[M (KN.mm)]]/(Table112348[[#This Row],[b (mm)]]*Table112348[[#This Row],[h (mm)]]*Table112348[[#This Row],[L(mm)]]*Table112348[[#This Row],[fc (Mpa)]])</f>
        <v>6.8759252852262669E-6</v>
      </c>
      <c r="R56" s="133">
        <f>Table112348[[#This Row],[M (KN.mm)]]/(Table112348[[#This Row],[b (mm)]]*Table112348[[#This Row],[h (mm)]]*Table112348[[#This Row],[L(mm)]]/2)</f>
        <v>4.0774236941391759E-4</v>
      </c>
      <c r="S56" s="133">
        <f>Table112348[[#This Row],[M (KN.mm)]]/(Table112348[[#This Row],[a (mm)]]*Table112348[[#This Row],[b (mm)]]*Table112348[[#This Row],[h (mm)]]*Table112348[[#This Row],[L(mm)]]/2)</f>
        <v>2.1403798919365753E-7</v>
      </c>
      <c r="T56" s="133">
        <f>Table112348[[#This Row],[M (KN.mm)]]/(Table112348[[#This Row],[a (mm)]]^2*Table112348[[#This Row],[b (mm)]]*Table112348[[#This Row],[h (mm)]])</f>
        <v>2.1403798919365755E-7</v>
      </c>
      <c r="U56" s="133">
        <f>Table112348[[#This Row],[M (KN.mm)]]/(Table112348[[#This Row],[b (mm)]]*Table112348[[#This Row],[d (mm)]]*Table112348[[#This Row],[pho (%)]])</f>
        <v>1.1259352074661553</v>
      </c>
      <c r="V56" s="110">
        <f>E56*224.8/(2*SQRT(Table112348[[#This Row],[fc (Mpa)]]*145.037)*Table112348[[#This Row],[b (mm)]]*Table112348[[#This Row],[d (mm)]]*(1/25.4)^2)</f>
        <v>0.51633017010100157</v>
      </c>
      <c r="W56" s="110">
        <f>Table112348[[#This Row],[M (KN.mm)]]/$G$60</f>
        <v>0.61538461538461542</v>
      </c>
      <c r="X56" s="110">
        <f>Table112348[[#This Row],[V/(2*sqrt(fc) bd)]]</f>
        <v>0.51633017010100157</v>
      </c>
      <c r="Y56" s="110">
        <f>Table112348[[#This Row],[a (mm)]]</f>
        <v>1905</v>
      </c>
      <c r="Z56" s="110">
        <f>Table112348[[#This Row],[b (mm)]]*Table112348[[#This Row],[h (mm)]]^2</f>
        <v>333166725.53618389</v>
      </c>
      <c r="AA56" s="110">
        <f>Table112348[[#This Row],[b (mm)]]</f>
        <v>571.5</v>
      </c>
      <c r="AB56" s="110">
        <f>Table112348[[#This Row],[a]]/Table112348[[#This Row],[h (mm)]]</f>
        <v>2.4950099800399204</v>
      </c>
      <c r="AC56" s="110">
        <f>Table112348[[#This Row],[h (mm)]]</f>
        <v>763.52399999999989</v>
      </c>
      <c r="AD56" s="110">
        <f t="shared" si="28"/>
        <v>1905</v>
      </c>
      <c r="AE56" s="110">
        <f t="shared" si="29"/>
        <v>666.75</v>
      </c>
      <c r="AF56" s="110">
        <f t="shared" si="30"/>
        <v>763.52399999999989</v>
      </c>
      <c r="AG56" s="134">
        <f t="shared" si="31"/>
        <v>571.5</v>
      </c>
      <c r="AH56" s="7">
        <v>29.65</v>
      </c>
      <c r="AI56" s="110">
        <f>Table112348[[#This Row],[pho (%)]]/100*Table112348[[#This Row],[b (mm)]]*Table112348[[#This Row],[h (mm)]]</f>
        <v>3447.1963313999995</v>
      </c>
      <c r="AJ56" s="135">
        <v>0.79</v>
      </c>
      <c r="AK56" s="110">
        <v>640.5</v>
      </c>
      <c r="AL56" s="132">
        <f>(1/3-0.21*(MIN(Table112348[[#This Row],[b (mm)]],AF56)/MAX(Table112348[[#This Row],[b (mm)]],AF56))*(MIN(Table112348[[#This Row],[b (mm)]],AF56)^4/(12*MAX(Table112348[[#This Row],[b (mm)]],AF56)^4)))*MAX(Table112348[[#This Row],[b (mm)]],AF56)*MIN(Table112348[[#This Row],[b (mm)]],AF56)^3</f>
        <v>46920211151.527954</v>
      </c>
      <c r="AM56" s="132">
        <f>Table112348[[#This Row],[b (mm)]]*AF56^3/12</f>
        <v>21198399245.690769</v>
      </c>
      <c r="AN56" s="132">
        <f t="shared" si="32"/>
        <v>3810</v>
      </c>
      <c r="AO56" s="182"/>
      <c r="AP56" s="179"/>
      <c r="AS56" s="105"/>
      <c r="AT56" s="105"/>
      <c r="AU56" s="105"/>
    </row>
    <row r="57" spans="1:49" x14ac:dyDescent="0.3">
      <c r="A57" s="184" t="s">
        <v>182</v>
      </c>
      <c r="B57" s="184" t="s">
        <v>66</v>
      </c>
      <c r="C57" s="183">
        <v>56</v>
      </c>
      <c r="D57" s="130">
        <f>Table112348[[#This Row],[a (mm)]]/Table112348[[#This Row],[d (mm)]]</f>
        <v>2.8571428571428572</v>
      </c>
      <c r="E57" s="2">
        <v>200.16000000000003</v>
      </c>
      <c r="F57" s="127">
        <f>Table112348[[#This Row],[d (mm)]]</f>
        <v>666.75</v>
      </c>
      <c r="G57" s="110">
        <f t="shared" si="24"/>
        <v>381304.80000000005</v>
      </c>
      <c r="H57" s="110">
        <f t="shared" si="25"/>
        <v>6.8297769903926618E-7</v>
      </c>
      <c r="I57" s="110">
        <f>G57/(Table112348[[#This Row],[b (mm)]]*Table112348[[#This Row],[h]]^2)</f>
        <v>1.1444864410944545E-3</v>
      </c>
      <c r="J57" s="110">
        <f t="shared" si="26"/>
        <v>0.25901451064065134</v>
      </c>
      <c r="K57" s="110">
        <f t="shared" si="27"/>
        <v>1.3585877251078921E-7</v>
      </c>
      <c r="L57" s="132">
        <f>E57/(Table112348[[#This Row],[b (mm)]]*AE57)</f>
        <v>5.252886696249584E-4</v>
      </c>
      <c r="M57" s="132">
        <f>Table112348[[#This Row],[M (KN.mm)]]/(Table112348[[#This Row],[b (mm)]]*Table112348[[#This Row],[d (mm)]])</f>
        <v>1.0006749156355457</v>
      </c>
      <c r="N57" s="132">
        <f>Table112348[[#This Row],[M (KN.mm)]]/(Table112348[[#This Row],[b (mm)]]*Table112348[[#This Row],[h (mm)]])</f>
        <v>0.87384286545020218</v>
      </c>
      <c r="O57" s="133">
        <f>Table112348[[#This Row],[M (KN.mm)]]/(Table112348[[#This Row],[b (mm)]]*Table112348[[#This Row],[h (mm)]]*Table112348[[#This Row],[L(mm)]])</f>
        <v>2.2935508279532866E-4</v>
      </c>
      <c r="P57" s="133">
        <f>Table112348[[#This Row],[M (KN.mm)]]/(Table112348[[#This Row],[b (mm)]]*Table112348[[#This Row],[d (mm)]]*Table112348[[#This Row],[L(mm)]])</f>
        <v>2.626443348124792E-4</v>
      </c>
      <c r="Q57" s="133">
        <f>Table112348[[#This Row],[M (KN.mm)]]/(Table112348[[#This Row],[b (mm)]]*Table112348[[#This Row],[h (mm)]]*Table112348[[#This Row],[L(mm)]]*Table112348[[#This Row],[fc (Mpa)]])</f>
        <v>7.7354159458795508E-6</v>
      </c>
      <c r="R57" s="133">
        <f>Table112348[[#This Row],[M (KN.mm)]]/(Table112348[[#This Row],[b (mm)]]*Table112348[[#This Row],[h (mm)]]*Table112348[[#This Row],[L(mm)]]/2)</f>
        <v>4.5871016559065732E-4</v>
      </c>
      <c r="S57" s="133">
        <f>Table112348[[#This Row],[M (KN.mm)]]/(Table112348[[#This Row],[a (mm)]]*Table112348[[#This Row],[b (mm)]]*Table112348[[#This Row],[h (mm)]]*Table112348[[#This Row],[L(mm)]]/2)</f>
        <v>2.407927378428647E-7</v>
      </c>
      <c r="T57" s="133">
        <f>Table112348[[#This Row],[M (KN.mm)]]/(Table112348[[#This Row],[a (mm)]]^2*Table112348[[#This Row],[b (mm)]]*Table112348[[#This Row],[h (mm)]])</f>
        <v>2.4079273784286475E-7</v>
      </c>
      <c r="U57" s="133">
        <f>Table112348[[#This Row],[M (KN.mm)]]/(Table112348[[#This Row],[b (mm)]]*Table112348[[#This Row],[d (mm)]]*Table112348[[#This Row],[pho (%)]])</f>
        <v>1.2666771083994248</v>
      </c>
      <c r="V57" s="110">
        <f>E57*224.8/(2*SQRT(Table112348[[#This Row],[fc (Mpa)]]*145.037)*Table112348[[#This Row],[b (mm)]]*Table112348[[#This Row],[d (mm)]]*(1/25.4)^2)</f>
        <v>0.58087144136362678</v>
      </c>
      <c r="W57" s="110">
        <f>Table112348[[#This Row],[M (KN.mm)]]/$G$60</f>
        <v>0.6923076923076924</v>
      </c>
      <c r="X57" s="110">
        <f>Table112348[[#This Row],[V/(2*sqrt(fc) bd)]]</f>
        <v>0.58087144136362678</v>
      </c>
      <c r="Y57" s="110">
        <f>Table112348[[#This Row],[a (mm)]]</f>
        <v>1905</v>
      </c>
      <c r="Z57" s="110">
        <f>Table112348[[#This Row],[b (mm)]]*Table112348[[#This Row],[h (mm)]]^2</f>
        <v>333166725.53618389</v>
      </c>
      <c r="AA57" s="110">
        <f>Table112348[[#This Row],[b (mm)]]</f>
        <v>571.5</v>
      </c>
      <c r="AB57" s="110">
        <f>Table112348[[#This Row],[a]]/Table112348[[#This Row],[h (mm)]]</f>
        <v>2.4950099800399204</v>
      </c>
      <c r="AC57" s="110">
        <f>Table112348[[#This Row],[h (mm)]]</f>
        <v>763.52399999999989</v>
      </c>
      <c r="AD57" s="110">
        <f t="shared" si="28"/>
        <v>1905</v>
      </c>
      <c r="AE57" s="110">
        <f t="shared" si="29"/>
        <v>666.75</v>
      </c>
      <c r="AF57" s="110">
        <f t="shared" si="30"/>
        <v>763.52399999999989</v>
      </c>
      <c r="AG57" s="134">
        <f t="shared" si="31"/>
        <v>571.5</v>
      </c>
      <c r="AH57" s="7">
        <v>29.65</v>
      </c>
      <c r="AI57" s="110">
        <f>Table112348[[#This Row],[pho (%)]]/100*Table112348[[#This Row],[b (mm)]]*Table112348[[#This Row],[h (mm)]]</f>
        <v>3447.1963313999995</v>
      </c>
      <c r="AJ57" s="135">
        <v>0.79</v>
      </c>
      <c r="AK57" s="110">
        <v>640.5</v>
      </c>
      <c r="AL57" s="132">
        <f>(1/3-0.21*(MIN(Table112348[[#This Row],[b (mm)]],AF57)/MAX(Table112348[[#This Row],[b (mm)]],AF57))*(MIN(Table112348[[#This Row],[b (mm)]],AF57)^4/(12*MAX(Table112348[[#This Row],[b (mm)]],AF57)^4)))*MAX(Table112348[[#This Row],[b (mm)]],AF57)*MIN(Table112348[[#This Row],[b (mm)]],AF57)^3</f>
        <v>46920211151.527954</v>
      </c>
      <c r="AM57" s="132">
        <f>Table112348[[#This Row],[b (mm)]]*AF57^3/12</f>
        <v>21198399245.690769</v>
      </c>
      <c r="AN57" s="132">
        <f t="shared" si="32"/>
        <v>3810</v>
      </c>
      <c r="AO57" s="182"/>
      <c r="AP57" s="179"/>
    </row>
    <row r="58" spans="1:49" x14ac:dyDescent="0.3">
      <c r="A58" s="184" t="s">
        <v>182</v>
      </c>
      <c r="B58" s="184" t="s">
        <v>67</v>
      </c>
      <c r="C58" s="183">
        <v>57</v>
      </c>
      <c r="D58" s="130">
        <f>Table112348[[#This Row],[a (mm)]]/Table112348[[#This Row],[d (mm)]]</f>
        <v>2.8571428571428572</v>
      </c>
      <c r="E58" s="2">
        <v>222.40000000000003</v>
      </c>
      <c r="F58" s="127">
        <f>Table112348[[#This Row],[d (mm)]]</f>
        <v>666.75</v>
      </c>
      <c r="G58" s="110">
        <f t="shared" si="24"/>
        <v>423672.00000000006</v>
      </c>
      <c r="H58" s="110">
        <f t="shared" si="25"/>
        <v>7.5886411004362917E-7</v>
      </c>
      <c r="I58" s="110">
        <f>G58/(Table112348[[#This Row],[b (mm)]]*Table112348[[#This Row],[h]]^2)</f>
        <v>1.2716516012160606E-3</v>
      </c>
      <c r="J58" s="110">
        <f t="shared" si="26"/>
        <v>0.2877939007118348</v>
      </c>
      <c r="K58" s="110">
        <f t="shared" si="27"/>
        <v>1.5095419167865468E-7</v>
      </c>
      <c r="L58" s="132">
        <f>E58/(Table112348[[#This Row],[b (mm)]]*AE58)</f>
        <v>5.8365407736106489E-4</v>
      </c>
      <c r="M58" s="132">
        <f>Table112348[[#This Row],[M (KN.mm)]]/(Table112348[[#This Row],[b (mm)]]*Table112348[[#This Row],[d (mm)]])</f>
        <v>1.1118610173728285</v>
      </c>
      <c r="N58" s="132">
        <f>Table112348[[#This Row],[M (KN.mm)]]/(Table112348[[#This Row],[b (mm)]]*Table112348[[#This Row],[h (mm)]])</f>
        <v>0.97093651716689133</v>
      </c>
      <c r="O58" s="133">
        <f>Table112348[[#This Row],[M (KN.mm)]]/(Table112348[[#This Row],[b (mm)]]*Table112348[[#This Row],[h (mm)]]*Table112348[[#This Row],[L(mm)]])</f>
        <v>2.548389808836985E-4</v>
      </c>
      <c r="P58" s="133">
        <f>Table112348[[#This Row],[M (KN.mm)]]/(Table112348[[#This Row],[b (mm)]]*Table112348[[#This Row],[d (mm)]]*Table112348[[#This Row],[L(mm)]])</f>
        <v>2.9182703868053245E-4</v>
      </c>
      <c r="Q58" s="133">
        <f>Table112348[[#This Row],[M (KN.mm)]]/(Table112348[[#This Row],[b (mm)]]*Table112348[[#This Row],[h (mm)]]*Table112348[[#This Row],[L(mm)]]*Table112348[[#This Row],[fc (Mpa)]])</f>
        <v>8.5949066065328338E-6</v>
      </c>
      <c r="R58" s="133">
        <f>Table112348[[#This Row],[M (KN.mm)]]/(Table112348[[#This Row],[b (mm)]]*Table112348[[#This Row],[h (mm)]]*Table112348[[#This Row],[L(mm)]]/2)</f>
        <v>5.09677961767397E-4</v>
      </c>
      <c r="S58" s="133">
        <f>Table112348[[#This Row],[M (KN.mm)]]/(Table112348[[#This Row],[a (mm)]]*Table112348[[#This Row],[b (mm)]]*Table112348[[#This Row],[h (mm)]]*Table112348[[#This Row],[L(mm)]]/2)</f>
        <v>2.675474864920719E-7</v>
      </c>
      <c r="T58" s="133">
        <f>Table112348[[#This Row],[M (KN.mm)]]/(Table112348[[#This Row],[a (mm)]]^2*Table112348[[#This Row],[b (mm)]]*Table112348[[#This Row],[h (mm)]])</f>
        <v>2.6754748649207195E-7</v>
      </c>
      <c r="U58" s="133">
        <f>Table112348[[#This Row],[M (KN.mm)]]/(Table112348[[#This Row],[b (mm)]]*Table112348[[#This Row],[d (mm)]]*Table112348[[#This Row],[pho (%)]])</f>
        <v>1.4074190093326941</v>
      </c>
      <c r="V58" s="110">
        <f>E58*224.8/(2*SQRT(Table112348[[#This Row],[fc (Mpa)]]*145.037)*Table112348[[#This Row],[b (mm)]]*Table112348[[#This Row],[d (mm)]]*(1/25.4)^2)</f>
        <v>0.64541271262625211</v>
      </c>
      <c r="W58" s="110">
        <f>Table112348[[#This Row],[M (KN.mm)]]/$G$60</f>
        <v>0.76923076923076938</v>
      </c>
      <c r="X58" s="110">
        <f>Table112348[[#This Row],[V/(2*sqrt(fc) bd)]]</f>
        <v>0.64541271262625211</v>
      </c>
      <c r="Y58" s="110">
        <f>Table112348[[#This Row],[a (mm)]]</f>
        <v>1905</v>
      </c>
      <c r="Z58" s="110">
        <f>Table112348[[#This Row],[b (mm)]]*Table112348[[#This Row],[h (mm)]]^2</f>
        <v>333166725.53618389</v>
      </c>
      <c r="AA58" s="110">
        <f>Table112348[[#This Row],[b (mm)]]</f>
        <v>571.5</v>
      </c>
      <c r="AB58" s="110">
        <f>Table112348[[#This Row],[a]]/Table112348[[#This Row],[h (mm)]]</f>
        <v>2.4950099800399204</v>
      </c>
      <c r="AC58" s="110">
        <f>Table112348[[#This Row],[h (mm)]]</f>
        <v>763.52399999999989</v>
      </c>
      <c r="AD58" s="110">
        <f t="shared" si="28"/>
        <v>1905</v>
      </c>
      <c r="AE58" s="110">
        <f t="shared" si="29"/>
        <v>666.75</v>
      </c>
      <c r="AF58" s="110">
        <f t="shared" si="30"/>
        <v>763.52399999999989</v>
      </c>
      <c r="AG58" s="134">
        <f t="shared" si="31"/>
        <v>571.5</v>
      </c>
      <c r="AH58" s="7">
        <v>29.65</v>
      </c>
      <c r="AI58" s="110">
        <f>Table112348[[#This Row],[pho (%)]]/100*Table112348[[#This Row],[b (mm)]]*Table112348[[#This Row],[h (mm)]]</f>
        <v>3447.1963313999995</v>
      </c>
      <c r="AJ58" s="135">
        <v>0.79</v>
      </c>
      <c r="AK58" s="110">
        <v>640.5</v>
      </c>
      <c r="AL58" s="132">
        <f>(1/3-0.21*(MIN(Table112348[[#This Row],[b (mm)]],AF58)/MAX(Table112348[[#This Row],[b (mm)]],AF58))*(MIN(Table112348[[#This Row],[b (mm)]],AF58)^4/(12*MAX(Table112348[[#This Row],[b (mm)]],AF58)^4)))*MAX(Table112348[[#This Row],[b (mm)]],AF58)*MIN(Table112348[[#This Row],[b (mm)]],AF58)^3</f>
        <v>46920211151.527954</v>
      </c>
      <c r="AM58" s="132">
        <f>Table112348[[#This Row],[b (mm)]]*AF58^3/12</f>
        <v>21198399245.690769</v>
      </c>
      <c r="AN58" s="132">
        <f t="shared" si="32"/>
        <v>3810</v>
      </c>
      <c r="AO58" s="182"/>
      <c r="AP58" s="179"/>
    </row>
    <row r="59" spans="1:49" x14ac:dyDescent="0.3">
      <c r="A59" s="184" t="s">
        <v>182</v>
      </c>
      <c r="B59" s="184" t="s">
        <v>68</v>
      </c>
      <c r="C59" s="183">
        <v>58</v>
      </c>
      <c r="D59" s="130">
        <f>Table112348[[#This Row],[a (mm)]]/Table112348[[#This Row],[d (mm)]]</f>
        <v>2.8571428571428572</v>
      </c>
      <c r="E59" s="2">
        <v>244.64000000000001</v>
      </c>
      <c r="F59" s="127">
        <f>Table112348[[#This Row],[d (mm)]]</f>
        <v>666.75</v>
      </c>
      <c r="G59" s="110">
        <f t="shared" si="24"/>
        <v>466039.2</v>
      </c>
      <c r="H59" s="110">
        <f t="shared" si="25"/>
        <v>8.3475052104799195E-7</v>
      </c>
      <c r="I59" s="110">
        <f>G59/(Table112348[[#This Row],[b (mm)]]*Table112348[[#This Row],[h]]^2)</f>
        <v>1.3988167613376665E-3</v>
      </c>
      <c r="J59" s="110">
        <f t="shared" si="26"/>
        <v>0.31657329078301827</v>
      </c>
      <c r="K59" s="110">
        <f t="shared" si="27"/>
        <v>1.6604961084652012E-7</v>
      </c>
      <c r="L59" s="132">
        <f>E59/(Table112348[[#This Row],[b (mm)]]*AE59)</f>
        <v>6.4201948509717127E-4</v>
      </c>
      <c r="M59" s="132">
        <f>Table112348[[#This Row],[M (KN.mm)]]/(Table112348[[#This Row],[b (mm)]]*Table112348[[#This Row],[d (mm)]])</f>
        <v>1.2230471191101113</v>
      </c>
      <c r="N59" s="132">
        <f>Table112348[[#This Row],[M (KN.mm)]]/(Table112348[[#This Row],[b (mm)]]*Table112348[[#This Row],[h (mm)]])</f>
        <v>1.0680301688835803</v>
      </c>
      <c r="O59" s="133">
        <f>Table112348[[#This Row],[M (KN.mm)]]/(Table112348[[#This Row],[b (mm)]]*Table112348[[#This Row],[h (mm)]]*Table112348[[#This Row],[L(mm)]])</f>
        <v>2.8032287897206831E-4</v>
      </c>
      <c r="P59" s="133">
        <f>Table112348[[#This Row],[M (KN.mm)]]/(Table112348[[#This Row],[b (mm)]]*Table112348[[#This Row],[d (mm)]]*Table112348[[#This Row],[L(mm)]])</f>
        <v>3.2100974254858564E-4</v>
      </c>
      <c r="Q59" s="133">
        <f>Table112348[[#This Row],[M (KN.mm)]]/(Table112348[[#This Row],[b (mm)]]*Table112348[[#This Row],[h (mm)]]*Table112348[[#This Row],[L(mm)]]*Table112348[[#This Row],[fc (Mpa)]])</f>
        <v>9.4543972671861152E-6</v>
      </c>
      <c r="R59" s="133">
        <f>Table112348[[#This Row],[M (KN.mm)]]/(Table112348[[#This Row],[b (mm)]]*Table112348[[#This Row],[h (mm)]]*Table112348[[#This Row],[L(mm)]]/2)</f>
        <v>5.6064575794413662E-4</v>
      </c>
      <c r="S59" s="133">
        <f>Table112348[[#This Row],[M (KN.mm)]]/(Table112348[[#This Row],[a (mm)]]*Table112348[[#This Row],[b (mm)]]*Table112348[[#This Row],[h (mm)]]*Table112348[[#This Row],[L(mm)]]/2)</f>
        <v>2.9430223514127905E-7</v>
      </c>
      <c r="T59" s="133">
        <f>Table112348[[#This Row],[M (KN.mm)]]/(Table112348[[#This Row],[a (mm)]]^2*Table112348[[#This Row],[b (mm)]]*Table112348[[#This Row],[h (mm)]])</f>
        <v>2.943022351412791E-7</v>
      </c>
      <c r="U59" s="133">
        <f>Table112348[[#This Row],[M (KN.mm)]]/(Table112348[[#This Row],[b (mm)]]*Table112348[[#This Row],[d (mm)]]*Table112348[[#This Row],[pho (%)]])</f>
        <v>1.5481609102659635</v>
      </c>
      <c r="V59" s="110">
        <f>E59*224.8/(2*SQRT(Table112348[[#This Row],[fc (Mpa)]]*145.037)*Table112348[[#This Row],[b (mm)]]*Table112348[[#This Row],[d (mm)]]*(1/25.4)^2)</f>
        <v>0.7099539838888772</v>
      </c>
      <c r="W59" s="110">
        <f>Table112348[[#This Row],[M (KN.mm)]]/$G$60</f>
        <v>0.84615384615384626</v>
      </c>
      <c r="X59" s="110">
        <f>Table112348[[#This Row],[V/(2*sqrt(fc) bd)]]</f>
        <v>0.7099539838888772</v>
      </c>
      <c r="Y59" s="110">
        <f>Table112348[[#This Row],[a (mm)]]</f>
        <v>1905</v>
      </c>
      <c r="Z59" s="110">
        <f>Table112348[[#This Row],[b (mm)]]*Table112348[[#This Row],[h (mm)]]^2</f>
        <v>333166725.53618389</v>
      </c>
      <c r="AA59" s="110">
        <f>Table112348[[#This Row],[b (mm)]]</f>
        <v>571.5</v>
      </c>
      <c r="AB59" s="110">
        <f>Table112348[[#This Row],[a]]/Table112348[[#This Row],[h (mm)]]</f>
        <v>2.4950099800399204</v>
      </c>
      <c r="AC59" s="110">
        <f>Table112348[[#This Row],[h (mm)]]</f>
        <v>763.52399999999989</v>
      </c>
      <c r="AD59" s="110">
        <f t="shared" si="28"/>
        <v>1905</v>
      </c>
      <c r="AE59" s="110">
        <f t="shared" si="29"/>
        <v>666.75</v>
      </c>
      <c r="AF59" s="110">
        <f t="shared" si="30"/>
        <v>763.52399999999989</v>
      </c>
      <c r="AG59" s="134">
        <f t="shared" si="31"/>
        <v>571.5</v>
      </c>
      <c r="AH59" s="7">
        <v>29.65</v>
      </c>
      <c r="AI59" s="110">
        <f>Table112348[[#This Row],[pho (%)]]/100*Table112348[[#This Row],[b (mm)]]*Table112348[[#This Row],[h (mm)]]</f>
        <v>3447.1963313999995</v>
      </c>
      <c r="AJ59" s="135">
        <v>0.79</v>
      </c>
      <c r="AK59" s="110">
        <v>640.5</v>
      </c>
      <c r="AL59" s="132">
        <f>(1/3-0.21*(MIN(Table112348[[#This Row],[b (mm)]],AF59)/MAX(Table112348[[#This Row],[b (mm)]],AF59))*(MIN(Table112348[[#This Row],[b (mm)]],AF59)^4/(12*MAX(Table112348[[#This Row],[b (mm)]],AF59)^4)))*MAX(Table112348[[#This Row],[b (mm)]],AF59)*MIN(Table112348[[#This Row],[b (mm)]],AF59)^3</f>
        <v>46920211151.527954</v>
      </c>
      <c r="AM59" s="132">
        <f>Table112348[[#This Row],[b (mm)]]*AF59^3/12</f>
        <v>21198399245.690769</v>
      </c>
      <c r="AN59" s="132">
        <f t="shared" si="32"/>
        <v>3810</v>
      </c>
      <c r="AO59" s="182"/>
      <c r="AP59" s="179"/>
    </row>
    <row r="60" spans="1:49" x14ac:dyDescent="0.3">
      <c r="A60" s="184" t="s">
        <v>182</v>
      </c>
      <c r="B60" s="184" t="s">
        <v>175</v>
      </c>
      <c r="C60" s="183">
        <v>59</v>
      </c>
      <c r="D60" s="130">
        <f>Table112348[[#This Row],[a (mm)]]/Table112348[[#This Row],[d (mm)]]</f>
        <v>2.8571428571428572</v>
      </c>
      <c r="E60" s="2">
        <v>289.12</v>
      </c>
      <c r="F60" s="127">
        <f>Table112348[[#This Row],[d (mm)]]</f>
        <v>666.75</v>
      </c>
      <c r="G60" s="110">
        <f t="shared" si="24"/>
        <v>550773.6</v>
      </c>
      <c r="H60" s="110">
        <f t="shared" si="25"/>
        <v>9.8652334305671762E-7</v>
      </c>
      <c r="I60" s="110">
        <f>G60/(Table112348[[#This Row],[b (mm)]]*Table112348[[#This Row],[h]]^2)</f>
        <v>1.6531470815808785E-3</v>
      </c>
      <c r="J60" s="110">
        <f t="shared" si="26"/>
        <v>0.3741320709253852</v>
      </c>
      <c r="K60" s="110">
        <f t="shared" si="27"/>
        <v>1.9624044918225105E-7</v>
      </c>
      <c r="L60" s="132">
        <f>E60/(Table112348[[#This Row],[b (mm)]]*AE60)</f>
        <v>7.5875030056938425E-4</v>
      </c>
      <c r="M60" s="132">
        <f>Table112348[[#This Row],[M (KN.mm)]]/(Table112348[[#This Row],[b (mm)]]*Table112348[[#This Row],[d (mm)]])</f>
        <v>1.4454193225846768</v>
      </c>
      <c r="N60" s="132">
        <f>Table112348[[#This Row],[M (KN.mm)]]/(Table112348[[#This Row],[b (mm)]]*Table112348[[#This Row],[h (mm)]])</f>
        <v>1.2622174723169584</v>
      </c>
      <c r="O60" s="133">
        <f>Table112348[[#This Row],[M (KN.mm)]]/(Table112348[[#This Row],[b (mm)]]*Table112348[[#This Row],[h (mm)]]*Table112348[[#This Row],[L(mm)]])</f>
        <v>3.3129067514880799E-4</v>
      </c>
      <c r="P60" s="133">
        <f>Table112348[[#This Row],[M (KN.mm)]]/(Table112348[[#This Row],[b (mm)]]*Table112348[[#This Row],[d (mm)]]*Table112348[[#This Row],[L(mm)]])</f>
        <v>3.7937515028469207E-4</v>
      </c>
      <c r="Q60" s="133">
        <f>Table112348[[#This Row],[M (KN.mm)]]/(Table112348[[#This Row],[b (mm)]]*Table112348[[#This Row],[h (mm)]]*Table112348[[#This Row],[L(mm)]]*Table112348[[#This Row],[fc (Mpa)]])</f>
        <v>1.1173378588492681E-5</v>
      </c>
      <c r="R60" s="133">
        <f>Table112348[[#This Row],[M (KN.mm)]]/(Table112348[[#This Row],[b (mm)]]*Table112348[[#This Row],[h (mm)]]*Table112348[[#This Row],[L(mm)]]/2)</f>
        <v>6.6258135029761598E-4</v>
      </c>
      <c r="S60" s="133">
        <f>Table112348[[#This Row],[M (KN.mm)]]/(Table112348[[#This Row],[a (mm)]]*Table112348[[#This Row],[b (mm)]]*Table112348[[#This Row],[h (mm)]]*Table112348[[#This Row],[L(mm)]]/2)</f>
        <v>3.478117324396934E-7</v>
      </c>
      <c r="T60" s="133">
        <f>Table112348[[#This Row],[M (KN.mm)]]/(Table112348[[#This Row],[a (mm)]]^2*Table112348[[#This Row],[b (mm)]]*Table112348[[#This Row],[h (mm)]])</f>
        <v>3.4781173243969345E-7</v>
      </c>
      <c r="U60" s="133">
        <f>Table112348[[#This Row],[M (KN.mm)]]/(Table112348[[#This Row],[b (mm)]]*Table112348[[#This Row],[d (mm)]]*Table112348[[#This Row],[pho (%)]])</f>
        <v>1.8296447121325021</v>
      </c>
      <c r="V60" s="110">
        <f>E60*224.8/(2*SQRT(Table112348[[#This Row],[fc (Mpa)]]*145.037)*Table112348[[#This Row],[b (mm)]]*Table112348[[#This Row],[d (mm)]]*(1/25.4)^2)</f>
        <v>0.83903652641412751</v>
      </c>
      <c r="W60" s="110">
        <f>Table112348[[#This Row],[M (KN.mm)]]/$G$60</f>
        <v>1</v>
      </c>
      <c r="X60" s="110">
        <f>Table112348[[#This Row],[V/(2*sqrt(fc) bd)]]</f>
        <v>0.83903652641412751</v>
      </c>
      <c r="Y60" s="110">
        <f>Table112348[[#This Row],[a (mm)]]</f>
        <v>1905</v>
      </c>
      <c r="Z60" s="110">
        <f>Table112348[[#This Row],[b (mm)]]*Table112348[[#This Row],[h (mm)]]^2</f>
        <v>333166725.53618389</v>
      </c>
      <c r="AA60" s="110">
        <f>Table112348[[#This Row],[b (mm)]]</f>
        <v>571.5</v>
      </c>
      <c r="AB60" s="110">
        <f>Table112348[[#This Row],[a]]/Table112348[[#This Row],[h (mm)]]</f>
        <v>2.4950099800399204</v>
      </c>
      <c r="AC60" s="110">
        <f>Table112348[[#This Row],[h (mm)]]</f>
        <v>763.52399999999989</v>
      </c>
      <c r="AD60" s="110">
        <f t="shared" si="28"/>
        <v>1905</v>
      </c>
      <c r="AE60" s="110">
        <f t="shared" si="29"/>
        <v>666.75</v>
      </c>
      <c r="AF60" s="110">
        <f t="shared" si="30"/>
        <v>763.52399999999989</v>
      </c>
      <c r="AG60" s="134">
        <f t="shared" si="31"/>
        <v>571.5</v>
      </c>
      <c r="AH60" s="7">
        <v>29.65</v>
      </c>
      <c r="AI60" s="110">
        <f>Table112348[[#This Row],[pho (%)]]/100*Table112348[[#This Row],[b (mm)]]*Table112348[[#This Row],[h (mm)]]</f>
        <v>3447.1963313999995</v>
      </c>
      <c r="AJ60" s="135">
        <v>0.79</v>
      </c>
      <c r="AK60" s="110">
        <v>640.5</v>
      </c>
      <c r="AL60" s="132">
        <f>(1/3-0.21*(MIN(Table112348[[#This Row],[b (mm)]],AF60)/MAX(Table112348[[#This Row],[b (mm)]],AF60))*(MIN(Table112348[[#This Row],[b (mm)]],AF60)^4/(12*MAX(Table112348[[#This Row],[b (mm)]],AF60)^4)))*MAX(Table112348[[#This Row],[b (mm)]],AF60)*MIN(Table112348[[#This Row],[b (mm)]],AF60)^3</f>
        <v>46920211151.527954</v>
      </c>
      <c r="AM60" s="132">
        <f>Table112348[[#This Row],[b (mm)]]*AF60^3/12</f>
        <v>21198399245.690769</v>
      </c>
      <c r="AN60" s="132">
        <f t="shared" si="32"/>
        <v>3810</v>
      </c>
      <c r="AO60" s="182"/>
      <c r="AP60" s="179"/>
    </row>
    <row r="61" spans="1:49" x14ac:dyDescent="0.3">
      <c r="A61" s="225" t="s">
        <v>183</v>
      </c>
      <c r="B61" s="226" t="s">
        <v>60</v>
      </c>
      <c r="C61" s="185">
        <v>60</v>
      </c>
      <c r="D61" s="130">
        <f>Table112348[[#This Row],[a (mm)]]/Table112348[[#This Row],[d (mm)]]</f>
        <v>2.8571428571428572</v>
      </c>
      <c r="E61" s="2">
        <v>66.72</v>
      </c>
      <c r="F61" s="127">
        <f>Table112348[[#This Row],[d (mm)]]</f>
        <v>666.75</v>
      </c>
      <c r="G61" s="132">
        <f t="shared" ref="G61:G77" si="33">E61*AD61</f>
        <v>127101.59999999999</v>
      </c>
      <c r="H61" s="132">
        <f t="shared" ref="H61:H77" si="34">G61/($AP$5*AM61*0.001)</f>
        <v>2.2765923301308871E-7</v>
      </c>
      <c r="I61" s="110">
        <f>G61/(Table112348[[#This Row],[b (mm)]]*Table112348[[#This Row],[h]]^2)</f>
        <v>3.8149548036481811E-4</v>
      </c>
      <c r="J61" s="132">
        <f t="shared" ref="J61:J77" si="35">G61/(AI61*AK61*AE61*0.001)</f>
        <v>8.6338170213550419E-2</v>
      </c>
      <c r="K61" s="132">
        <f t="shared" ref="K61:K77" si="36">E61/($AP$4*AL61*0.001)</f>
        <v>4.5286257503596396E-8</v>
      </c>
      <c r="L61" s="132">
        <f>E61/(Table112348[[#This Row],[b (mm)]]*AE61)</f>
        <v>1.7509622320831944E-4</v>
      </c>
      <c r="M61" s="132">
        <f>Table112348[[#This Row],[M (KN.mm)]]/(Table112348[[#This Row],[b (mm)]]*Table112348[[#This Row],[d (mm)]])</f>
        <v>0.33355830521184848</v>
      </c>
      <c r="N61" s="132">
        <f>Table112348[[#This Row],[M (KN.mm)]]/(Table112348[[#This Row],[b (mm)]]*Table112348[[#This Row],[h (mm)]])</f>
        <v>0.29128095515006736</v>
      </c>
      <c r="O61" s="145">
        <f>Table112348[[#This Row],[M (KN.mm)]]/(Table112348[[#This Row],[b (mm)]]*Table112348[[#This Row],[h (mm)]]*Table112348[[#This Row],[L(mm)]])</f>
        <v>7.6451694265109531E-5</v>
      </c>
      <c r="P61" s="145">
        <f>Table112348[[#This Row],[M (KN.mm)]]/(Table112348[[#This Row],[b (mm)]]*Table112348[[#This Row],[d (mm)]]*Table112348[[#This Row],[L(mm)]])</f>
        <v>8.7548111604159707E-5</v>
      </c>
      <c r="Q61" s="145">
        <f>Table112348[[#This Row],[M (KN.mm)]]/(Table112348[[#This Row],[b (mm)]]*Table112348[[#This Row],[h (mm)]]*Table112348[[#This Row],[L(mm)]]*Table112348[[#This Row],[fc (Mpa)]])</f>
        <v>2.5784719819598495E-6</v>
      </c>
      <c r="R61" s="145">
        <f>Table112348[[#This Row],[M (KN.mm)]]/(Table112348[[#This Row],[b (mm)]]*Table112348[[#This Row],[h (mm)]]*Table112348[[#This Row],[L(mm)]]/2)</f>
        <v>1.5290338853021906E-4</v>
      </c>
      <c r="S61" s="133">
        <f>Table112348[[#This Row],[M (KN.mm)]]/(Table112348[[#This Row],[a (mm)]]*Table112348[[#This Row],[b (mm)]]*Table112348[[#This Row],[h (mm)]]*Table112348[[#This Row],[L(mm)]]/2)</f>
        <v>8.0264245947621549E-8</v>
      </c>
      <c r="T61" s="133">
        <f>Table112348[[#This Row],[M (KN.mm)]]/(Table112348[[#This Row],[a (mm)]]^2*Table112348[[#This Row],[b (mm)]]*Table112348[[#This Row],[h (mm)]])</f>
        <v>8.0264245947621563E-8</v>
      </c>
      <c r="U61" s="133">
        <f>Table112348[[#This Row],[M (KN.mm)]]/(Table112348[[#This Row],[b (mm)]]*Table112348[[#This Row],[d (mm)]]*Table112348[[#This Row],[pho (%)]])</f>
        <v>0.4222257027998082</v>
      </c>
      <c r="V61" s="110">
        <f>E61*224.8/(2*SQRT(Table112348[[#This Row],[fc (Mpa)]]*145.037)*Table112348[[#This Row],[b (mm)]]*Table112348[[#This Row],[d (mm)]]*(1/25.4)^2)</f>
        <v>0.19362381378787558</v>
      </c>
      <c r="W61" s="145">
        <f>Table112348[[#This Row],[M (KN.mm)]]/$G$70</f>
        <v>0.22222222222222218</v>
      </c>
      <c r="X61" s="145">
        <f>Table112348[[#This Row],[V/(2*sqrt(fc) bd)]]</f>
        <v>0.19362381378787558</v>
      </c>
      <c r="Y61" s="110">
        <f>Table112348[[#This Row],[a (mm)]]</f>
        <v>1905</v>
      </c>
      <c r="Z61" s="110">
        <f>Table112348[[#This Row],[b (mm)]]*Table112348[[#This Row],[h (mm)]]^2</f>
        <v>333166725.53618389</v>
      </c>
      <c r="AA61" s="110">
        <f>Table112348[[#This Row],[b (mm)]]</f>
        <v>571.5</v>
      </c>
      <c r="AB61" s="110">
        <f>Table112348[[#This Row],[a]]/Table112348[[#This Row],[h (mm)]]</f>
        <v>2.4950099800399204</v>
      </c>
      <c r="AC61" s="110">
        <f>Table112348[[#This Row],[h (mm)]]</f>
        <v>763.52399999999989</v>
      </c>
      <c r="AD61" s="110">
        <f t="shared" si="28"/>
        <v>1905</v>
      </c>
      <c r="AE61" s="110">
        <f t="shared" si="29"/>
        <v>666.75</v>
      </c>
      <c r="AF61" s="110">
        <f t="shared" si="30"/>
        <v>763.52399999999989</v>
      </c>
      <c r="AG61" s="134">
        <f t="shared" si="31"/>
        <v>571.5</v>
      </c>
      <c r="AH61" s="7">
        <v>29.65</v>
      </c>
      <c r="AI61" s="110">
        <f>Table112348[[#This Row],[pho (%)]]/100*Table112348[[#This Row],[b (mm)]]*Table112348[[#This Row],[h (mm)]]</f>
        <v>3447.1963313999995</v>
      </c>
      <c r="AJ61" s="135">
        <v>0.79</v>
      </c>
      <c r="AK61" s="110">
        <v>640.5</v>
      </c>
      <c r="AL61" s="132">
        <f>(1/3-0.21*(MIN(Table112348[[#This Row],[b (mm)]],AF61)/MAX(Table112348[[#This Row],[b (mm)]],AF61))*(MIN(Table112348[[#This Row],[b (mm)]],AF61)^4/(12*MAX(Table112348[[#This Row],[b (mm)]],AF61)^4)))*MAX(Table112348[[#This Row],[b (mm)]],AF61)*MIN(Table112348[[#This Row],[b (mm)]],AF61)^3</f>
        <v>46920211151.527954</v>
      </c>
      <c r="AM61" s="132">
        <f>Table112348[[#This Row],[b (mm)]]*AF61^3/12</f>
        <v>21198399245.690769</v>
      </c>
      <c r="AN61" s="132">
        <f t="shared" si="32"/>
        <v>3810</v>
      </c>
      <c r="AO61" s="182"/>
      <c r="AP61" s="179"/>
    </row>
    <row r="62" spans="1:49" x14ac:dyDescent="0.3">
      <c r="A62" s="225" t="s">
        <v>183</v>
      </c>
      <c r="B62" s="226" t="s">
        <v>61</v>
      </c>
      <c r="C62" s="185">
        <v>61</v>
      </c>
      <c r="D62" s="130">
        <f>Table112348[[#This Row],[a (mm)]]/Table112348[[#This Row],[d (mm)]]</f>
        <v>2.8571428571428572</v>
      </c>
      <c r="E62" s="2">
        <v>88.960000000000008</v>
      </c>
      <c r="F62" s="127">
        <f>Table112348[[#This Row],[d (mm)]]</f>
        <v>666.75</v>
      </c>
      <c r="G62" s="132">
        <f t="shared" si="33"/>
        <v>169468.80000000002</v>
      </c>
      <c r="H62" s="132">
        <f t="shared" si="34"/>
        <v>3.0354564401745165E-7</v>
      </c>
      <c r="I62" s="110">
        <f>G62/(Table112348[[#This Row],[b (mm)]]*Table112348[[#This Row],[h]]^2)</f>
        <v>5.0866064048642429E-4</v>
      </c>
      <c r="J62" s="132">
        <f t="shared" si="35"/>
        <v>0.11511756028473391</v>
      </c>
      <c r="K62" s="132">
        <f t="shared" si="36"/>
        <v>6.0381676671461871E-8</v>
      </c>
      <c r="L62" s="132">
        <f>E62/(Table112348[[#This Row],[b (mm)]]*AE62)</f>
        <v>2.3346163094442593E-4</v>
      </c>
      <c r="M62" s="132">
        <f>Table112348[[#This Row],[M (KN.mm)]]/(Table112348[[#This Row],[b (mm)]]*Table112348[[#This Row],[d (mm)]])</f>
        <v>0.44474440694913142</v>
      </c>
      <c r="N62" s="132">
        <f>Table112348[[#This Row],[M (KN.mm)]]/(Table112348[[#This Row],[b (mm)]]*Table112348[[#This Row],[h (mm)]])</f>
        <v>0.38837460686675651</v>
      </c>
      <c r="O62" s="145">
        <f>Table112348[[#This Row],[M (KN.mm)]]/(Table112348[[#This Row],[b (mm)]]*Table112348[[#This Row],[h (mm)]]*Table112348[[#This Row],[L(mm)]])</f>
        <v>1.019355923534794E-4</v>
      </c>
      <c r="P62" s="145">
        <f>Table112348[[#This Row],[M (KN.mm)]]/(Table112348[[#This Row],[b (mm)]]*Table112348[[#This Row],[d (mm)]]*Table112348[[#This Row],[L(mm)]])</f>
        <v>1.1673081547221297E-4</v>
      </c>
      <c r="Q62" s="145">
        <f>Table112348[[#This Row],[M (KN.mm)]]/(Table112348[[#This Row],[b (mm)]]*Table112348[[#This Row],[h (mm)]]*Table112348[[#This Row],[L(mm)]]*Table112348[[#This Row],[fc (Mpa)]])</f>
        <v>3.4379626426131334E-6</v>
      </c>
      <c r="R62" s="145">
        <f>Table112348[[#This Row],[M (KN.mm)]]/(Table112348[[#This Row],[b (mm)]]*Table112348[[#This Row],[h (mm)]]*Table112348[[#This Row],[L(mm)]]/2)</f>
        <v>2.0387118470695879E-4</v>
      </c>
      <c r="S62" s="133">
        <f>Table112348[[#This Row],[M (KN.mm)]]/(Table112348[[#This Row],[a (mm)]]*Table112348[[#This Row],[b (mm)]]*Table112348[[#This Row],[h (mm)]]*Table112348[[#This Row],[L(mm)]]/2)</f>
        <v>1.0701899459682876E-7</v>
      </c>
      <c r="T62" s="133">
        <f>Table112348[[#This Row],[M (KN.mm)]]/(Table112348[[#This Row],[a (mm)]]^2*Table112348[[#This Row],[b (mm)]]*Table112348[[#This Row],[h (mm)]])</f>
        <v>1.0701899459682878E-7</v>
      </c>
      <c r="U62" s="133">
        <f>Table112348[[#This Row],[M (KN.mm)]]/(Table112348[[#This Row],[b (mm)]]*Table112348[[#This Row],[d (mm)]]*Table112348[[#This Row],[pho (%)]])</f>
        <v>0.56296760373307764</v>
      </c>
      <c r="V62" s="110">
        <f>E62*224.8/(2*SQRT(Table112348[[#This Row],[fc (Mpa)]]*145.037)*Table112348[[#This Row],[b (mm)]]*Table112348[[#This Row],[d (mm)]]*(1/25.4)^2)</f>
        <v>0.25816508505050079</v>
      </c>
      <c r="W62" s="145">
        <f>Table112348[[#This Row],[M (KN.mm)]]/$G$70</f>
        <v>0.29629629629629628</v>
      </c>
      <c r="X62" s="145">
        <f>Table112348[[#This Row],[V/(2*sqrt(fc) bd)]]</f>
        <v>0.25816508505050079</v>
      </c>
      <c r="Y62" s="110">
        <f>Table112348[[#This Row],[a (mm)]]</f>
        <v>1905</v>
      </c>
      <c r="Z62" s="110">
        <f>Table112348[[#This Row],[b (mm)]]*Table112348[[#This Row],[h (mm)]]^2</f>
        <v>333166725.53618389</v>
      </c>
      <c r="AA62" s="110">
        <f>Table112348[[#This Row],[b (mm)]]</f>
        <v>571.5</v>
      </c>
      <c r="AB62" s="110">
        <f>Table112348[[#This Row],[a]]/Table112348[[#This Row],[h (mm)]]</f>
        <v>2.4950099800399204</v>
      </c>
      <c r="AC62" s="110">
        <f>Table112348[[#This Row],[h (mm)]]</f>
        <v>763.52399999999989</v>
      </c>
      <c r="AD62" s="110">
        <f t="shared" si="28"/>
        <v>1905</v>
      </c>
      <c r="AE62" s="110">
        <f t="shared" si="29"/>
        <v>666.75</v>
      </c>
      <c r="AF62" s="110">
        <f t="shared" si="30"/>
        <v>763.52399999999989</v>
      </c>
      <c r="AG62" s="134">
        <f t="shared" si="31"/>
        <v>571.5</v>
      </c>
      <c r="AH62" s="7">
        <v>29.65</v>
      </c>
      <c r="AI62" s="110">
        <f>Table112348[[#This Row],[pho (%)]]/100*Table112348[[#This Row],[b (mm)]]*Table112348[[#This Row],[h (mm)]]</f>
        <v>3447.1963313999995</v>
      </c>
      <c r="AJ62" s="135">
        <v>0.79</v>
      </c>
      <c r="AK62" s="110">
        <v>640.5</v>
      </c>
      <c r="AL62" s="132">
        <f>(1/3-0.21*(MIN(Table112348[[#This Row],[b (mm)]],AF62)/MAX(Table112348[[#This Row],[b (mm)]],AF62))*(MIN(Table112348[[#This Row],[b (mm)]],AF62)^4/(12*MAX(Table112348[[#This Row],[b (mm)]],AF62)^4)))*MAX(Table112348[[#This Row],[b (mm)]],AF62)*MIN(Table112348[[#This Row],[b (mm)]],AF62)^3</f>
        <v>46920211151.527954</v>
      </c>
      <c r="AM62" s="132">
        <f>Table112348[[#This Row],[b (mm)]]*AF62^3/12</f>
        <v>21198399245.690769</v>
      </c>
      <c r="AN62" s="132">
        <f t="shared" si="32"/>
        <v>3810</v>
      </c>
      <c r="AO62" s="182"/>
      <c r="AP62" s="179"/>
    </row>
    <row r="63" spans="1:49" x14ac:dyDescent="0.3">
      <c r="A63" s="225" t="s">
        <v>183</v>
      </c>
      <c r="B63" s="226" t="s">
        <v>62</v>
      </c>
      <c r="C63" s="185">
        <v>62</v>
      </c>
      <c r="D63" s="130">
        <f>Table112348[[#This Row],[a (mm)]]/Table112348[[#This Row],[d (mm)]]</f>
        <v>2.8571428571428572</v>
      </c>
      <c r="E63" s="2">
        <v>111.20000000000002</v>
      </c>
      <c r="F63" s="127">
        <f>Table112348[[#This Row],[d (mm)]]</f>
        <v>666.75</v>
      </c>
      <c r="G63" s="132">
        <f t="shared" si="33"/>
        <v>211836.00000000003</v>
      </c>
      <c r="H63" s="132">
        <f t="shared" si="34"/>
        <v>3.7943205502181459E-7</v>
      </c>
      <c r="I63" s="110">
        <f>G63/(Table112348[[#This Row],[b (mm)]]*Table112348[[#This Row],[h]]^2)</f>
        <v>6.358258006080303E-4</v>
      </c>
      <c r="J63" s="132">
        <f t="shared" si="35"/>
        <v>0.1438969503559174</v>
      </c>
      <c r="K63" s="132">
        <f t="shared" si="36"/>
        <v>7.5477095839327338E-8</v>
      </c>
      <c r="L63" s="132">
        <f>E63/(Table112348[[#This Row],[b (mm)]]*AE63)</f>
        <v>2.9182703868053245E-4</v>
      </c>
      <c r="M63" s="132">
        <f>Table112348[[#This Row],[M (KN.mm)]]/(Table112348[[#This Row],[b (mm)]]*Table112348[[#This Row],[d (mm)]])</f>
        <v>0.55593050868641425</v>
      </c>
      <c r="N63" s="132">
        <f>Table112348[[#This Row],[M (KN.mm)]]/(Table112348[[#This Row],[b (mm)]]*Table112348[[#This Row],[h (mm)]])</f>
        <v>0.48546825858344567</v>
      </c>
      <c r="O63" s="145">
        <f>Table112348[[#This Row],[M (KN.mm)]]/(Table112348[[#This Row],[b (mm)]]*Table112348[[#This Row],[h (mm)]]*Table112348[[#This Row],[L(mm)]])</f>
        <v>1.2741949044184925E-4</v>
      </c>
      <c r="P63" s="145">
        <f>Table112348[[#This Row],[M (KN.mm)]]/(Table112348[[#This Row],[b (mm)]]*Table112348[[#This Row],[d (mm)]]*Table112348[[#This Row],[L(mm)]])</f>
        <v>1.4591351934026622E-4</v>
      </c>
      <c r="Q63" s="145">
        <f>Table112348[[#This Row],[M (KN.mm)]]/(Table112348[[#This Row],[b (mm)]]*Table112348[[#This Row],[h (mm)]]*Table112348[[#This Row],[L(mm)]]*Table112348[[#This Row],[fc (Mpa)]])</f>
        <v>4.2974533032664169E-6</v>
      </c>
      <c r="R63" s="145">
        <f>Table112348[[#This Row],[M (KN.mm)]]/(Table112348[[#This Row],[b (mm)]]*Table112348[[#This Row],[h (mm)]]*Table112348[[#This Row],[L(mm)]]/2)</f>
        <v>2.548389808836985E-4</v>
      </c>
      <c r="S63" s="133">
        <f>Table112348[[#This Row],[M (KN.mm)]]/(Table112348[[#This Row],[a (mm)]]*Table112348[[#This Row],[b (mm)]]*Table112348[[#This Row],[h (mm)]]*Table112348[[#This Row],[L(mm)]]/2)</f>
        <v>1.3377374324603595E-7</v>
      </c>
      <c r="T63" s="133">
        <f>Table112348[[#This Row],[M (KN.mm)]]/(Table112348[[#This Row],[a (mm)]]^2*Table112348[[#This Row],[b (mm)]]*Table112348[[#This Row],[h (mm)]])</f>
        <v>1.3377374324603598E-7</v>
      </c>
      <c r="U63" s="133">
        <f>Table112348[[#This Row],[M (KN.mm)]]/(Table112348[[#This Row],[b (mm)]]*Table112348[[#This Row],[d (mm)]]*Table112348[[#This Row],[pho (%)]])</f>
        <v>0.70370950466634707</v>
      </c>
      <c r="V63" s="110">
        <f>E63*224.8/(2*SQRT(Table112348[[#This Row],[fc (Mpa)]]*145.037)*Table112348[[#This Row],[b (mm)]]*Table112348[[#This Row],[d (mm)]]*(1/25.4)^2)</f>
        <v>0.32270635631312605</v>
      </c>
      <c r="W63" s="145">
        <f>Table112348[[#This Row],[M (KN.mm)]]/$G$70</f>
        <v>0.37037037037037035</v>
      </c>
      <c r="X63" s="145">
        <f>Table112348[[#This Row],[V/(2*sqrt(fc) bd)]]</f>
        <v>0.32270635631312605</v>
      </c>
      <c r="Y63" s="110">
        <f>Table112348[[#This Row],[a (mm)]]</f>
        <v>1905</v>
      </c>
      <c r="Z63" s="110">
        <f>Table112348[[#This Row],[b (mm)]]*Table112348[[#This Row],[h (mm)]]^2</f>
        <v>333166725.53618389</v>
      </c>
      <c r="AA63" s="110">
        <f>Table112348[[#This Row],[b (mm)]]</f>
        <v>571.5</v>
      </c>
      <c r="AB63" s="110">
        <f>Table112348[[#This Row],[a]]/Table112348[[#This Row],[h (mm)]]</f>
        <v>2.4950099800399204</v>
      </c>
      <c r="AC63" s="110">
        <f>Table112348[[#This Row],[h (mm)]]</f>
        <v>763.52399999999989</v>
      </c>
      <c r="AD63" s="110">
        <f t="shared" si="28"/>
        <v>1905</v>
      </c>
      <c r="AE63" s="110">
        <f t="shared" si="29"/>
        <v>666.75</v>
      </c>
      <c r="AF63" s="110">
        <f t="shared" si="30"/>
        <v>763.52399999999989</v>
      </c>
      <c r="AG63" s="134">
        <f t="shared" si="31"/>
        <v>571.5</v>
      </c>
      <c r="AH63" s="7">
        <v>29.65</v>
      </c>
      <c r="AI63" s="110">
        <f>Table112348[[#This Row],[pho (%)]]/100*Table112348[[#This Row],[b (mm)]]*Table112348[[#This Row],[h (mm)]]</f>
        <v>3447.1963313999995</v>
      </c>
      <c r="AJ63" s="135">
        <v>0.79</v>
      </c>
      <c r="AK63" s="110">
        <v>640.5</v>
      </c>
      <c r="AL63" s="132">
        <f>(1/3-0.21*(MIN(Table112348[[#This Row],[b (mm)]],AF63)/MAX(Table112348[[#This Row],[b (mm)]],AF63))*(MIN(Table112348[[#This Row],[b (mm)]],AF63)^4/(12*MAX(Table112348[[#This Row],[b (mm)]],AF63)^4)))*MAX(Table112348[[#This Row],[b (mm)]],AF63)*MIN(Table112348[[#This Row],[b (mm)]],AF63)^3</f>
        <v>46920211151.527954</v>
      </c>
      <c r="AM63" s="132">
        <f>Table112348[[#This Row],[b (mm)]]*AF63^3/12</f>
        <v>21198399245.690769</v>
      </c>
      <c r="AN63" s="132">
        <f t="shared" si="32"/>
        <v>3810</v>
      </c>
      <c r="AO63" s="182"/>
      <c r="AP63" s="179"/>
    </row>
    <row r="64" spans="1:49" x14ac:dyDescent="0.3">
      <c r="A64" s="225" t="s">
        <v>183</v>
      </c>
      <c r="B64" s="226" t="s">
        <v>63</v>
      </c>
      <c r="C64" s="185">
        <v>63</v>
      </c>
      <c r="D64" s="130">
        <f>Table112348[[#This Row],[a (mm)]]/Table112348[[#This Row],[d (mm)]]</f>
        <v>2.8571428571428572</v>
      </c>
      <c r="E64" s="2">
        <v>133.44</v>
      </c>
      <c r="F64" s="127">
        <f>Table112348[[#This Row],[d (mm)]]</f>
        <v>666.75</v>
      </c>
      <c r="G64" s="132">
        <f t="shared" si="33"/>
        <v>254203.19999999998</v>
      </c>
      <c r="H64" s="132">
        <f t="shared" si="34"/>
        <v>4.5531846602617742E-7</v>
      </c>
      <c r="I64" s="110">
        <f>G64/(Table112348[[#This Row],[b (mm)]]*Table112348[[#This Row],[h]]^2)</f>
        <v>7.6299096072963621E-4</v>
      </c>
      <c r="J64" s="132">
        <f t="shared" si="35"/>
        <v>0.17267634042710084</v>
      </c>
      <c r="K64" s="132">
        <f t="shared" si="36"/>
        <v>9.0572515007192793E-8</v>
      </c>
      <c r="L64" s="132">
        <f>E64/(Table112348[[#This Row],[b (mm)]]*AE64)</f>
        <v>3.5019244641663888E-4</v>
      </c>
      <c r="M64" s="132">
        <f>Table112348[[#This Row],[M (KN.mm)]]/(Table112348[[#This Row],[b (mm)]]*Table112348[[#This Row],[d (mm)]])</f>
        <v>0.66711661042369697</v>
      </c>
      <c r="N64" s="132">
        <f>Table112348[[#This Row],[M (KN.mm)]]/(Table112348[[#This Row],[b (mm)]]*Table112348[[#This Row],[h (mm)]])</f>
        <v>0.58256191030013471</v>
      </c>
      <c r="O64" s="145">
        <f>Table112348[[#This Row],[M (KN.mm)]]/(Table112348[[#This Row],[b (mm)]]*Table112348[[#This Row],[h (mm)]]*Table112348[[#This Row],[L(mm)]])</f>
        <v>1.5290338853021906E-4</v>
      </c>
      <c r="P64" s="145">
        <f>Table112348[[#This Row],[M (KN.mm)]]/(Table112348[[#This Row],[b (mm)]]*Table112348[[#This Row],[d (mm)]]*Table112348[[#This Row],[L(mm)]])</f>
        <v>1.7509622320831941E-4</v>
      </c>
      <c r="Q64" s="145">
        <f>Table112348[[#This Row],[M (KN.mm)]]/(Table112348[[#This Row],[b (mm)]]*Table112348[[#This Row],[h (mm)]]*Table112348[[#This Row],[L(mm)]]*Table112348[[#This Row],[fc (Mpa)]])</f>
        <v>5.1569439639196991E-6</v>
      </c>
      <c r="R64" s="145">
        <f>Table112348[[#This Row],[M (KN.mm)]]/(Table112348[[#This Row],[b (mm)]]*Table112348[[#This Row],[h (mm)]]*Table112348[[#This Row],[L(mm)]]/2)</f>
        <v>3.0580677706043812E-4</v>
      </c>
      <c r="S64" s="133">
        <f>Table112348[[#This Row],[M (KN.mm)]]/(Table112348[[#This Row],[a (mm)]]*Table112348[[#This Row],[b (mm)]]*Table112348[[#This Row],[h (mm)]]*Table112348[[#This Row],[L(mm)]]/2)</f>
        <v>1.605284918952431E-7</v>
      </c>
      <c r="T64" s="133">
        <f>Table112348[[#This Row],[M (KN.mm)]]/(Table112348[[#This Row],[a (mm)]]^2*Table112348[[#This Row],[b (mm)]]*Table112348[[#This Row],[h (mm)]])</f>
        <v>1.6052849189524313E-7</v>
      </c>
      <c r="U64" s="133">
        <f>Table112348[[#This Row],[M (KN.mm)]]/(Table112348[[#This Row],[b (mm)]]*Table112348[[#This Row],[d (mm)]]*Table112348[[#This Row],[pho (%)]])</f>
        <v>0.8444514055996164</v>
      </c>
      <c r="V64" s="110">
        <f>E64*224.8/(2*SQRT(Table112348[[#This Row],[fc (Mpa)]]*145.037)*Table112348[[#This Row],[b (mm)]]*Table112348[[#This Row],[d (mm)]]*(1/25.4)^2)</f>
        <v>0.38724762757575115</v>
      </c>
      <c r="W64" s="145">
        <f>Table112348[[#This Row],[M (KN.mm)]]/$G$70</f>
        <v>0.44444444444444436</v>
      </c>
      <c r="X64" s="145">
        <f>Table112348[[#This Row],[V/(2*sqrt(fc) bd)]]</f>
        <v>0.38724762757575115</v>
      </c>
      <c r="Y64" s="110">
        <f>Table112348[[#This Row],[a (mm)]]</f>
        <v>1905</v>
      </c>
      <c r="Z64" s="110">
        <f>Table112348[[#This Row],[b (mm)]]*Table112348[[#This Row],[h (mm)]]^2</f>
        <v>333166725.53618389</v>
      </c>
      <c r="AA64" s="110">
        <f>Table112348[[#This Row],[b (mm)]]</f>
        <v>571.5</v>
      </c>
      <c r="AB64" s="110">
        <f>Table112348[[#This Row],[a]]/Table112348[[#This Row],[h (mm)]]</f>
        <v>2.4950099800399204</v>
      </c>
      <c r="AC64" s="110">
        <f>Table112348[[#This Row],[h (mm)]]</f>
        <v>763.52399999999989</v>
      </c>
      <c r="AD64" s="110">
        <f t="shared" si="28"/>
        <v>1905</v>
      </c>
      <c r="AE64" s="110">
        <f t="shared" si="29"/>
        <v>666.75</v>
      </c>
      <c r="AF64" s="110">
        <f t="shared" si="30"/>
        <v>763.52399999999989</v>
      </c>
      <c r="AG64" s="134">
        <f t="shared" si="31"/>
        <v>571.5</v>
      </c>
      <c r="AH64" s="7">
        <v>29.65</v>
      </c>
      <c r="AI64" s="110">
        <f>Table112348[[#This Row],[pho (%)]]/100*Table112348[[#This Row],[b (mm)]]*Table112348[[#This Row],[h (mm)]]</f>
        <v>3447.1963313999995</v>
      </c>
      <c r="AJ64" s="135">
        <v>0.79</v>
      </c>
      <c r="AK64" s="110">
        <v>640.5</v>
      </c>
      <c r="AL64" s="132">
        <f>(1/3-0.21*(MIN(Table112348[[#This Row],[b (mm)]],AF64)/MAX(Table112348[[#This Row],[b (mm)]],AF64))*(MIN(Table112348[[#This Row],[b (mm)]],AF64)^4/(12*MAX(Table112348[[#This Row],[b (mm)]],AF64)^4)))*MAX(Table112348[[#This Row],[b (mm)]],AF64)*MIN(Table112348[[#This Row],[b (mm)]],AF64)^3</f>
        <v>46920211151.527954</v>
      </c>
      <c r="AM64" s="132">
        <f>Table112348[[#This Row],[b (mm)]]*AF64^3/12</f>
        <v>21198399245.690769</v>
      </c>
      <c r="AN64" s="132">
        <f t="shared" si="32"/>
        <v>3810</v>
      </c>
      <c r="AO64" s="182"/>
      <c r="AP64" s="179"/>
    </row>
    <row r="65" spans="1:42" x14ac:dyDescent="0.3">
      <c r="A65" s="225" t="s">
        <v>183</v>
      </c>
      <c r="B65" s="226" t="s">
        <v>64</v>
      </c>
      <c r="C65" s="185">
        <v>64</v>
      </c>
      <c r="D65" s="130">
        <f>Table112348[[#This Row],[a (mm)]]/Table112348[[#This Row],[d (mm)]]</f>
        <v>2.8571428571428572</v>
      </c>
      <c r="E65" s="2">
        <v>155.68</v>
      </c>
      <c r="F65" s="127">
        <f>Table112348[[#This Row],[d (mm)]]</f>
        <v>666.75</v>
      </c>
      <c r="G65" s="132">
        <f t="shared" si="33"/>
        <v>296570.40000000002</v>
      </c>
      <c r="H65" s="132">
        <f t="shared" si="34"/>
        <v>5.3120487703054041E-7</v>
      </c>
      <c r="I65" s="110">
        <f>G65/(Table112348[[#This Row],[b (mm)]]*Table112348[[#This Row],[h]]^2)</f>
        <v>8.9015612085124244E-4</v>
      </c>
      <c r="J65" s="132">
        <f t="shared" si="35"/>
        <v>0.20145573049828436</v>
      </c>
      <c r="K65" s="132">
        <f t="shared" si="36"/>
        <v>1.0566793417505826E-7</v>
      </c>
      <c r="L65" s="132">
        <f>E65/(Table112348[[#This Row],[b (mm)]]*AE65)</f>
        <v>4.0855785415274537E-4</v>
      </c>
      <c r="M65" s="132">
        <f>Table112348[[#This Row],[M (KN.mm)]]/(Table112348[[#This Row],[b (mm)]]*Table112348[[#This Row],[d (mm)]])</f>
        <v>0.7783027121609799</v>
      </c>
      <c r="N65" s="132">
        <f>Table112348[[#This Row],[M (KN.mm)]]/(Table112348[[#This Row],[b (mm)]]*Table112348[[#This Row],[h (mm)]])</f>
        <v>0.67965556201682387</v>
      </c>
      <c r="O65" s="145">
        <f>Table112348[[#This Row],[M (KN.mm)]]/(Table112348[[#This Row],[b (mm)]]*Table112348[[#This Row],[h (mm)]]*Table112348[[#This Row],[L(mm)]])</f>
        <v>1.7838728661858895E-4</v>
      </c>
      <c r="P65" s="145">
        <f>Table112348[[#This Row],[M (KN.mm)]]/(Table112348[[#This Row],[b (mm)]]*Table112348[[#This Row],[d (mm)]]*Table112348[[#This Row],[L(mm)]])</f>
        <v>2.0427892707637269E-4</v>
      </c>
      <c r="Q65" s="145">
        <f>Table112348[[#This Row],[M (KN.mm)]]/(Table112348[[#This Row],[b (mm)]]*Table112348[[#This Row],[h (mm)]]*Table112348[[#This Row],[L(mm)]]*Table112348[[#This Row],[fc (Mpa)]])</f>
        <v>6.016434624572983E-6</v>
      </c>
      <c r="R65" s="145">
        <f>Table112348[[#This Row],[M (KN.mm)]]/(Table112348[[#This Row],[b (mm)]]*Table112348[[#This Row],[h (mm)]]*Table112348[[#This Row],[L(mm)]]/2)</f>
        <v>3.5677457323717791E-4</v>
      </c>
      <c r="S65" s="133">
        <f>Table112348[[#This Row],[M (KN.mm)]]/(Table112348[[#This Row],[a (mm)]]*Table112348[[#This Row],[b (mm)]]*Table112348[[#This Row],[h (mm)]]*Table112348[[#This Row],[L(mm)]]/2)</f>
        <v>1.8728324054445033E-7</v>
      </c>
      <c r="T65" s="133">
        <f>Table112348[[#This Row],[M (KN.mm)]]/(Table112348[[#This Row],[a (mm)]]^2*Table112348[[#This Row],[b (mm)]]*Table112348[[#This Row],[h (mm)]])</f>
        <v>1.8728324054445035E-7</v>
      </c>
      <c r="U65" s="133">
        <f>Table112348[[#This Row],[M (KN.mm)]]/(Table112348[[#This Row],[b (mm)]]*Table112348[[#This Row],[d (mm)]]*Table112348[[#This Row],[pho (%)]])</f>
        <v>0.98519330653288595</v>
      </c>
      <c r="V65" s="110">
        <f>E65*224.8/(2*SQRT(Table112348[[#This Row],[fc (Mpa)]]*145.037)*Table112348[[#This Row],[b (mm)]]*Table112348[[#This Row],[d (mm)]]*(1/25.4)^2)</f>
        <v>0.45178889883837636</v>
      </c>
      <c r="W65" s="145">
        <f>Table112348[[#This Row],[M (KN.mm)]]/$G$70</f>
        <v>0.51851851851851849</v>
      </c>
      <c r="X65" s="145">
        <f>Table112348[[#This Row],[V/(2*sqrt(fc) bd)]]</f>
        <v>0.45178889883837636</v>
      </c>
      <c r="Y65" s="110">
        <f>Table112348[[#This Row],[a (mm)]]</f>
        <v>1905</v>
      </c>
      <c r="Z65" s="110">
        <f>Table112348[[#This Row],[b (mm)]]*Table112348[[#This Row],[h (mm)]]^2</f>
        <v>333166725.53618389</v>
      </c>
      <c r="AA65" s="110">
        <f>Table112348[[#This Row],[b (mm)]]</f>
        <v>571.5</v>
      </c>
      <c r="AB65" s="110">
        <f>Table112348[[#This Row],[a]]/Table112348[[#This Row],[h (mm)]]</f>
        <v>2.4950099800399204</v>
      </c>
      <c r="AC65" s="110">
        <f>Table112348[[#This Row],[h (mm)]]</f>
        <v>763.52399999999989</v>
      </c>
      <c r="AD65" s="110">
        <f t="shared" si="28"/>
        <v>1905</v>
      </c>
      <c r="AE65" s="110">
        <f t="shared" si="29"/>
        <v>666.75</v>
      </c>
      <c r="AF65" s="110">
        <f t="shared" si="30"/>
        <v>763.52399999999989</v>
      </c>
      <c r="AG65" s="134">
        <f t="shared" si="31"/>
        <v>571.5</v>
      </c>
      <c r="AH65" s="7">
        <v>29.65</v>
      </c>
      <c r="AI65" s="110">
        <f>Table112348[[#This Row],[pho (%)]]/100*Table112348[[#This Row],[b (mm)]]*Table112348[[#This Row],[h (mm)]]</f>
        <v>3447.1963313999995</v>
      </c>
      <c r="AJ65" s="135">
        <v>0.79</v>
      </c>
      <c r="AK65" s="110">
        <v>640.5</v>
      </c>
      <c r="AL65" s="132">
        <f>(1/3-0.21*(MIN(Table112348[[#This Row],[b (mm)]],AF65)/MAX(Table112348[[#This Row],[b (mm)]],AF65))*(MIN(Table112348[[#This Row],[b (mm)]],AF65)^4/(12*MAX(Table112348[[#This Row],[b (mm)]],AF65)^4)))*MAX(Table112348[[#This Row],[b (mm)]],AF65)*MIN(Table112348[[#This Row],[b (mm)]],AF65)^3</f>
        <v>46920211151.527954</v>
      </c>
      <c r="AM65" s="132">
        <f>Table112348[[#This Row],[b (mm)]]*AF65^3/12</f>
        <v>21198399245.690769</v>
      </c>
      <c r="AN65" s="132">
        <f t="shared" si="32"/>
        <v>3810</v>
      </c>
      <c r="AO65" s="182"/>
      <c r="AP65" s="179"/>
    </row>
    <row r="66" spans="1:42" x14ac:dyDescent="0.3">
      <c r="A66" s="225" t="s">
        <v>183</v>
      </c>
      <c r="B66" s="226" t="s">
        <v>65</v>
      </c>
      <c r="C66" s="185">
        <v>65</v>
      </c>
      <c r="D66" s="130">
        <f>Table112348[[#This Row],[a (mm)]]/Table112348[[#This Row],[d (mm)]]</f>
        <v>2.8571428571428572</v>
      </c>
      <c r="E66" s="2">
        <v>177.92000000000002</v>
      </c>
      <c r="F66" s="127">
        <f>Table112348[[#This Row],[d (mm)]]</f>
        <v>666.75</v>
      </c>
      <c r="G66" s="132">
        <f t="shared" si="33"/>
        <v>338937.60000000003</v>
      </c>
      <c r="H66" s="132">
        <f t="shared" si="34"/>
        <v>6.070912880349033E-7</v>
      </c>
      <c r="I66" s="110">
        <f>G66/(Table112348[[#This Row],[b (mm)]]*Table112348[[#This Row],[h]]^2)</f>
        <v>1.0173212809728486E-3</v>
      </c>
      <c r="J66" s="132">
        <f t="shared" si="35"/>
        <v>0.23023512056946782</v>
      </c>
      <c r="K66" s="132">
        <f t="shared" si="36"/>
        <v>1.2076335334292374E-7</v>
      </c>
      <c r="L66" s="132">
        <f>E66/(Table112348[[#This Row],[b (mm)]]*AE66)</f>
        <v>4.6692326188885186E-4</v>
      </c>
      <c r="M66" s="132">
        <f>Table112348[[#This Row],[M (KN.mm)]]/(Table112348[[#This Row],[b (mm)]]*Table112348[[#This Row],[d (mm)]])</f>
        <v>0.88948881389826284</v>
      </c>
      <c r="N66" s="132">
        <f>Table112348[[#This Row],[M (KN.mm)]]/(Table112348[[#This Row],[b (mm)]]*Table112348[[#This Row],[h (mm)]])</f>
        <v>0.77674921373351302</v>
      </c>
      <c r="O66" s="145">
        <f>Table112348[[#This Row],[M (KN.mm)]]/(Table112348[[#This Row],[b (mm)]]*Table112348[[#This Row],[h (mm)]]*Table112348[[#This Row],[L(mm)]])</f>
        <v>2.0387118470695879E-4</v>
      </c>
      <c r="P66" s="145">
        <f>Table112348[[#This Row],[M (KN.mm)]]/(Table112348[[#This Row],[b (mm)]]*Table112348[[#This Row],[d (mm)]]*Table112348[[#This Row],[L(mm)]])</f>
        <v>2.3346163094442593E-4</v>
      </c>
      <c r="Q66" s="145">
        <f>Table112348[[#This Row],[M (KN.mm)]]/(Table112348[[#This Row],[b (mm)]]*Table112348[[#This Row],[h (mm)]]*Table112348[[#This Row],[L(mm)]]*Table112348[[#This Row],[fc (Mpa)]])</f>
        <v>6.8759252852262669E-6</v>
      </c>
      <c r="R66" s="145">
        <f>Table112348[[#This Row],[M (KN.mm)]]/(Table112348[[#This Row],[b (mm)]]*Table112348[[#This Row],[h (mm)]]*Table112348[[#This Row],[L(mm)]]/2)</f>
        <v>4.0774236941391759E-4</v>
      </c>
      <c r="S66" s="133">
        <f>Table112348[[#This Row],[M (KN.mm)]]/(Table112348[[#This Row],[a (mm)]]*Table112348[[#This Row],[b (mm)]]*Table112348[[#This Row],[h (mm)]]*Table112348[[#This Row],[L(mm)]]/2)</f>
        <v>2.1403798919365753E-7</v>
      </c>
      <c r="T66" s="133">
        <f>Table112348[[#This Row],[M (KN.mm)]]/(Table112348[[#This Row],[a (mm)]]^2*Table112348[[#This Row],[b (mm)]]*Table112348[[#This Row],[h (mm)]])</f>
        <v>2.1403798919365755E-7</v>
      </c>
      <c r="U66" s="133">
        <f>Table112348[[#This Row],[M (KN.mm)]]/(Table112348[[#This Row],[b (mm)]]*Table112348[[#This Row],[d (mm)]]*Table112348[[#This Row],[pho (%)]])</f>
        <v>1.1259352074661553</v>
      </c>
      <c r="V66" s="110">
        <f>E66*224.8/(2*SQRT(Table112348[[#This Row],[fc (Mpa)]]*145.037)*Table112348[[#This Row],[b (mm)]]*Table112348[[#This Row],[d (mm)]]*(1/25.4)^2)</f>
        <v>0.51633017010100157</v>
      </c>
      <c r="W66" s="145">
        <f>Table112348[[#This Row],[M (KN.mm)]]/$G$70</f>
        <v>0.59259259259259256</v>
      </c>
      <c r="X66" s="145">
        <f>Table112348[[#This Row],[V/(2*sqrt(fc) bd)]]</f>
        <v>0.51633017010100157</v>
      </c>
      <c r="Y66" s="110">
        <f>Table112348[[#This Row],[a (mm)]]</f>
        <v>1905</v>
      </c>
      <c r="Z66" s="110">
        <f>Table112348[[#This Row],[b (mm)]]*Table112348[[#This Row],[h (mm)]]^2</f>
        <v>333166725.53618389</v>
      </c>
      <c r="AA66" s="110">
        <f>Table112348[[#This Row],[b (mm)]]</f>
        <v>571.5</v>
      </c>
      <c r="AB66" s="110">
        <f>Table112348[[#This Row],[a]]/Table112348[[#This Row],[h (mm)]]</f>
        <v>2.4950099800399204</v>
      </c>
      <c r="AC66" s="110">
        <f>Table112348[[#This Row],[h (mm)]]</f>
        <v>763.52399999999989</v>
      </c>
      <c r="AD66" s="110">
        <f t="shared" si="28"/>
        <v>1905</v>
      </c>
      <c r="AE66" s="110">
        <f t="shared" si="29"/>
        <v>666.75</v>
      </c>
      <c r="AF66" s="110">
        <f t="shared" si="30"/>
        <v>763.52399999999989</v>
      </c>
      <c r="AG66" s="134">
        <f t="shared" si="31"/>
        <v>571.5</v>
      </c>
      <c r="AH66" s="7">
        <v>29.65</v>
      </c>
      <c r="AI66" s="110">
        <f>Table112348[[#This Row],[pho (%)]]/100*Table112348[[#This Row],[b (mm)]]*Table112348[[#This Row],[h (mm)]]</f>
        <v>3447.1963313999995</v>
      </c>
      <c r="AJ66" s="135">
        <v>0.79</v>
      </c>
      <c r="AK66" s="110">
        <v>640.5</v>
      </c>
      <c r="AL66" s="132">
        <f>(1/3-0.21*(MIN(Table112348[[#This Row],[b (mm)]],AF66)/MAX(Table112348[[#This Row],[b (mm)]],AF66))*(MIN(Table112348[[#This Row],[b (mm)]],AF66)^4/(12*MAX(Table112348[[#This Row],[b (mm)]],AF66)^4)))*MAX(Table112348[[#This Row],[b (mm)]],AF66)*MIN(Table112348[[#This Row],[b (mm)]],AF66)^3</f>
        <v>46920211151.527954</v>
      </c>
      <c r="AM66" s="132">
        <f>Table112348[[#This Row],[b (mm)]]*AF66^3/12</f>
        <v>21198399245.690769</v>
      </c>
      <c r="AN66" s="132">
        <f t="shared" si="32"/>
        <v>3810</v>
      </c>
      <c r="AO66" s="182"/>
      <c r="AP66" s="179"/>
    </row>
    <row r="67" spans="1:42" x14ac:dyDescent="0.3">
      <c r="A67" s="225" t="s">
        <v>183</v>
      </c>
      <c r="B67" s="226" t="s">
        <v>66</v>
      </c>
      <c r="C67" s="185">
        <v>66</v>
      </c>
      <c r="D67" s="130">
        <f>Table112348[[#This Row],[a (mm)]]/Table112348[[#This Row],[d (mm)]]</f>
        <v>2.8571428571428572</v>
      </c>
      <c r="E67" s="2">
        <v>200.16000000000003</v>
      </c>
      <c r="F67" s="127">
        <f>Table112348[[#This Row],[d (mm)]]</f>
        <v>666.75</v>
      </c>
      <c r="G67" s="132">
        <f t="shared" si="33"/>
        <v>381304.80000000005</v>
      </c>
      <c r="H67" s="132">
        <f t="shared" si="34"/>
        <v>6.8297769903926618E-7</v>
      </c>
      <c r="I67" s="110">
        <f>G67/(Table112348[[#This Row],[b (mm)]]*Table112348[[#This Row],[h]]^2)</f>
        <v>1.1444864410944545E-3</v>
      </c>
      <c r="J67" s="132">
        <f t="shared" si="35"/>
        <v>0.25901451064065134</v>
      </c>
      <c r="K67" s="132">
        <f t="shared" si="36"/>
        <v>1.3585877251078921E-7</v>
      </c>
      <c r="L67" s="132">
        <f>E67/(Table112348[[#This Row],[b (mm)]]*AE67)</f>
        <v>5.252886696249584E-4</v>
      </c>
      <c r="M67" s="132">
        <f>Table112348[[#This Row],[M (KN.mm)]]/(Table112348[[#This Row],[b (mm)]]*Table112348[[#This Row],[d (mm)]])</f>
        <v>1.0006749156355457</v>
      </c>
      <c r="N67" s="132">
        <f>Table112348[[#This Row],[M (KN.mm)]]/(Table112348[[#This Row],[b (mm)]]*Table112348[[#This Row],[h (mm)]])</f>
        <v>0.87384286545020218</v>
      </c>
      <c r="O67" s="145">
        <f>Table112348[[#This Row],[M (KN.mm)]]/(Table112348[[#This Row],[b (mm)]]*Table112348[[#This Row],[h (mm)]]*Table112348[[#This Row],[L(mm)]])</f>
        <v>2.2935508279532866E-4</v>
      </c>
      <c r="P67" s="145">
        <f>Table112348[[#This Row],[M (KN.mm)]]/(Table112348[[#This Row],[b (mm)]]*Table112348[[#This Row],[d (mm)]]*Table112348[[#This Row],[L(mm)]])</f>
        <v>2.626443348124792E-4</v>
      </c>
      <c r="Q67" s="145">
        <f>Table112348[[#This Row],[M (KN.mm)]]/(Table112348[[#This Row],[b (mm)]]*Table112348[[#This Row],[h (mm)]]*Table112348[[#This Row],[L(mm)]]*Table112348[[#This Row],[fc (Mpa)]])</f>
        <v>7.7354159458795508E-6</v>
      </c>
      <c r="R67" s="145">
        <f>Table112348[[#This Row],[M (KN.mm)]]/(Table112348[[#This Row],[b (mm)]]*Table112348[[#This Row],[h (mm)]]*Table112348[[#This Row],[L(mm)]]/2)</f>
        <v>4.5871016559065732E-4</v>
      </c>
      <c r="S67" s="133">
        <f>Table112348[[#This Row],[M (KN.mm)]]/(Table112348[[#This Row],[a (mm)]]*Table112348[[#This Row],[b (mm)]]*Table112348[[#This Row],[h (mm)]]*Table112348[[#This Row],[L(mm)]]/2)</f>
        <v>2.407927378428647E-7</v>
      </c>
      <c r="T67" s="133">
        <f>Table112348[[#This Row],[M (KN.mm)]]/(Table112348[[#This Row],[a (mm)]]^2*Table112348[[#This Row],[b (mm)]]*Table112348[[#This Row],[h (mm)]])</f>
        <v>2.4079273784286475E-7</v>
      </c>
      <c r="U67" s="133">
        <f>Table112348[[#This Row],[M (KN.mm)]]/(Table112348[[#This Row],[b (mm)]]*Table112348[[#This Row],[d (mm)]]*Table112348[[#This Row],[pho (%)]])</f>
        <v>1.2666771083994248</v>
      </c>
      <c r="V67" s="110">
        <f>E67*224.8/(2*SQRT(Table112348[[#This Row],[fc (Mpa)]]*145.037)*Table112348[[#This Row],[b (mm)]]*Table112348[[#This Row],[d (mm)]]*(1/25.4)^2)</f>
        <v>0.58087144136362678</v>
      </c>
      <c r="W67" s="145">
        <f>Table112348[[#This Row],[M (KN.mm)]]/$G$70</f>
        <v>0.66666666666666663</v>
      </c>
      <c r="X67" s="145">
        <f>Table112348[[#This Row],[V/(2*sqrt(fc) bd)]]</f>
        <v>0.58087144136362678</v>
      </c>
      <c r="Y67" s="110">
        <f>Table112348[[#This Row],[a (mm)]]</f>
        <v>1905</v>
      </c>
      <c r="Z67" s="110">
        <f>Table112348[[#This Row],[b (mm)]]*Table112348[[#This Row],[h (mm)]]^2</f>
        <v>333166725.53618389</v>
      </c>
      <c r="AA67" s="110">
        <f>Table112348[[#This Row],[b (mm)]]</f>
        <v>571.5</v>
      </c>
      <c r="AB67" s="110">
        <f>Table112348[[#This Row],[a]]/Table112348[[#This Row],[h (mm)]]</f>
        <v>2.4950099800399204</v>
      </c>
      <c r="AC67" s="110">
        <f>Table112348[[#This Row],[h (mm)]]</f>
        <v>763.52399999999989</v>
      </c>
      <c r="AD67" s="110">
        <f t="shared" si="28"/>
        <v>1905</v>
      </c>
      <c r="AE67" s="110">
        <f t="shared" si="29"/>
        <v>666.75</v>
      </c>
      <c r="AF67" s="110">
        <f t="shared" si="30"/>
        <v>763.52399999999989</v>
      </c>
      <c r="AG67" s="134">
        <f t="shared" si="31"/>
        <v>571.5</v>
      </c>
      <c r="AH67" s="7">
        <v>29.65</v>
      </c>
      <c r="AI67" s="110">
        <f>Table112348[[#This Row],[pho (%)]]/100*Table112348[[#This Row],[b (mm)]]*Table112348[[#This Row],[h (mm)]]</f>
        <v>3447.1963313999995</v>
      </c>
      <c r="AJ67" s="135">
        <v>0.79</v>
      </c>
      <c r="AK67" s="110">
        <v>640.5</v>
      </c>
      <c r="AL67" s="132">
        <f>(1/3-0.21*(MIN(Table112348[[#This Row],[b (mm)]],AF67)/MAX(Table112348[[#This Row],[b (mm)]],AF67))*(MIN(Table112348[[#This Row],[b (mm)]],AF67)^4/(12*MAX(Table112348[[#This Row],[b (mm)]],AF67)^4)))*MAX(Table112348[[#This Row],[b (mm)]],AF67)*MIN(Table112348[[#This Row],[b (mm)]],AF67)^3</f>
        <v>46920211151.527954</v>
      </c>
      <c r="AM67" s="132">
        <f>Table112348[[#This Row],[b (mm)]]*AF67^3/12</f>
        <v>21198399245.690769</v>
      </c>
      <c r="AN67" s="132">
        <f t="shared" si="32"/>
        <v>3810</v>
      </c>
      <c r="AO67" s="182"/>
      <c r="AP67" s="179"/>
    </row>
    <row r="68" spans="1:42" x14ac:dyDescent="0.3">
      <c r="A68" s="225" t="s">
        <v>183</v>
      </c>
      <c r="B68" s="226" t="s">
        <v>67</v>
      </c>
      <c r="C68" s="185">
        <v>67</v>
      </c>
      <c r="D68" s="130">
        <f>Table112348[[#This Row],[a (mm)]]/Table112348[[#This Row],[d (mm)]]</f>
        <v>2.8571428571428572</v>
      </c>
      <c r="E68" s="2">
        <v>222.40000000000003</v>
      </c>
      <c r="F68" s="127">
        <f>Table112348[[#This Row],[d (mm)]]</f>
        <v>666.75</v>
      </c>
      <c r="G68" s="132">
        <f t="shared" si="33"/>
        <v>423672.00000000006</v>
      </c>
      <c r="H68" s="132">
        <f t="shared" si="34"/>
        <v>7.5886411004362917E-7</v>
      </c>
      <c r="I68" s="110">
        <f>G68/(Table112348[[#This Row],[b (mm)]]*Table112348[[#This Row],[h]]^2)</f>
        <v>1.2716516012160606E-3</v>
      </c>
      <c r="J68" s="132">
        <f t="shared" si="35"/>
        <v>0.2877939007118348</v>
      </c>
      <c r="K68" s="132">
        <f t="shared" si="36"/>
        <v>1.5095419167865468E-7</v>
      </c>
      <c r="L68" s="132">
        <f>E68/(Table112348[[#This Row],[b (mm)]]*AE68)</f>
        <v>5.8365407736106489E-4</v>
      </c>
      <c r="M68" s="132">
        <f>Table112348[[#This Row],[M (KN.mm)]]/(Table112348[[#This Row],[b (mm)]]*Table112348[[#This Row],[d (mm)]])</f>
        <v>1.1118610173728285</v>
      </c>
      <c r="N68" s="132">
        <f>Table112348[[#This Row],[M (KN.mm)]]/(Table112348[[#This Row],[b (mm)]]*Table112348[[#This Row],[h (mm)]])</f>
        <v>0.97093651716689133</v>
      </c>
      <c r="O68" s="145">
        <f>Table112348[[#This Row],[M (KN.mm)]]/(Table112348[[#This Row],[b (mm)]]*Table112348[[#This Row],[h (mm)]]*Table112348[[#This Row],[L(mm)]])</f>
        <v>2.548389808836985E-4</v>
      </c>
      <c r="P68" s="145">
        <f>Table112348[[#This Row],[M (KN.mm)]]/(Table112348[[#This Row],[b (mm)]]*Table112348[[#This Row],[d (mm)]]*Table112348[[#This Row],[L(mm)]])</f>
        <v>2.9182703868053245E-4</v>
      </c>
      <c r="Q68" s="145">
        <f>Table112348[[#This Row],[M (KN.mm)]]/(Table112348[[#This Row],[b (mm)]]*Table112348[[#This Row],[h (mm)]]*Table112348[[#This Row],[L(mm)]]*Table112348[[#This Row],[fc (Mpa)]])</f>
        <v>8.5949066065328338E-6</v>
      </c>
      <c r="R68" s="145">
        <f>Table112348[[#This Row],[M (KN.mm)]]/(Table112348[[#This Row],[b (mm)]]*Table112348[[#This Row],[h (mm)]]*Table112348[[#This Row],[L(mm)]]/2)</f>
        <v>5.09677961767397E-4</v>
      </c>
      <c r="S68" s="133">
        <f>Table112348[[#This Row],[M (KN.mm)]]/(Table112348[[#This Row],[a (mm)]]*Table112348[[#This Row],[b (mm)]]*Table112348[[#This Row],[h (mm)]]*Table112348[[#This Row],[L(mm)]]/2)</f>
        <v>2.675474864920719E-7</v>
      </c>
      <c r="T68" s="133">
        <f>Table112348[[#This Row],[M (KN.mm)]]/(Table112348[[#This Row],[a (mm)]]^2*Table112348[[#This Row],[b (mm)]]*Table112348[[#This Row],[h (mm)]])</f>
        <v>2.6754748649207195E-7</v>
      </c>
      <c r="U68" s="133">
        <f>Table112348[[#This Row],[M (KN.mm)]]/(Table112348[[#This Row],[b (mm)]]*Table112348[[#This Row],[d (mm)]]*Table112348[[#This Row],[pho (%)]])</f>
        <v>1.4074190093326941</v>
      </c>
      <c r="V68" s="110">
        <f>E68*224.8/(2*SQRT(Table112348[[#This Row],[fc (Mpa)]]*145.037)*Table112348[[#This Row],[b (mm)]]*Table112348[[#This Row],[d (mm)]]*(1/25.4)^2)</f>
        <v>0.64541271262625211</v>
      </c>
      <c r="W68" s="145">
        <f>Table112348[[#This Row],[M (KN.mm)]]/$G$70</f>
        <v>0.7407407407407407</v>
      </c>
      <c r="X68" s="145">
        <f>Table112348[[#This Row],[V/(2*sqrt(fc) bd)]]</f>
        <v>0.64541271262625211</v>
      </c>
      <c r="Y68" s="110">
        <f>Table112348[[#This Row],[a (mm)]]</f>
        <v>1905</v>
      </c>
      <c r="Z68" s="110">
        <f>Table112348[[#This Row],[b (mm)]]*Table112348[[#This Row],[h (mm)]]^2</f>
        <v>333166725.53618389</v>
      </c>
      <c r="AA68" s="110">
        <f>Table112348[[#This Row],[b (mm)]]</f>
        <v>571.5</v>
      </c>
      <c r="AB68" s="110">
        <f>Table112348[[#This Row],[a]]/Table112348[[#This Row],[h (mm)]]</f>
        <v>2.4950099800399204</v>
      </c>
      <c r="AC68" s="110">
        <f>Table112348[[#This Row],[h (mm)]]</f>
        <v>763.52399999999989</v>
      </c>
      <c r="AD68" s="110">
        <f t="shared" si="28"/>
        <v>1905</v>
      </c>
      <c r="AE68" s="110">
        <f t="shared" si="29"/>
        <v>666.75</v>
      </c>
      <c r="AF68" s="110">
        <f t="shared" si="30"/>
        <v>763.52399999999989</v>
      </c>
      <c r="AG68" s="134">
        <f t="shared" si="31"/>
        <v>571.5</v>
      </c>
      <c r="AH68" s="7">
        <v>29.65</v>
      </c>
      <c r="AI68" s="110">
        <f>Table112348[[#This Row],[pho (%)]]/100*Table112348[[#This Row],[b (mm)]]*Table112348[[#This Row],[h (mm)]]</f>
        <v>3447.1963313999995</v>
      </c>
      <c r="AJ68" s="135">
        <v>0.79</v>
      </c>
      <c r="AK68" s="110">
        <v>640.5</v>
      </c>
      <c r="AL68" s="132">
        <f>(1/3-0.21*(MIN(Table112348[[#This Row],[b (mm)]],AF68)/MAX(Table112348[[#This Row],[b (mm)]],AF68))*(MIN(Table112348[[#This Row],[b (mm)]],AF68)^4/(12*MAX(Table112348[[#This Row],[b (mm)]],AF68)^4)))*MAX(Table112348[[#This Row],[b (mm)]],AF68)*MIN(Table112348[[#This Row],[b (mm)]],AF68)^3</f>
        <v>46920211151.527954</v>
      </c>
      <c r="AM68" s="132">
        <f>Table112348[[#This Row],[b (mm)]]*AF68^3/12</f>
        <v>21198399245.690769</v>
      </c>
      <c r="AN68" s="132">
        <f t="shared" si="32"/>
        <v>3810</v>
      </c>
      <c r="AO68" s="182"/>
      <c r="AP68" s="179"/>
    </row>
    <row r="69" spans="1:42" x14ac:dyDescent="0.3">
      <c r="A69" s="225" t="s">
        <v>183</v>
      </c>
      <c r="B69" s="226" t="s">
        <v>68</v>
      </c>
      <c r="C69" s="185">
        <v>68</v>
      </c>
      <c r="D69" s="130">
        <f>Table112348[[#This Row],[a (mm)]]/Table112348[[#This Row],[d (mm)]]</f>
        <v>2.8571428571428572</v>
      </c>
      <c r="E69" s="2">
        <v>244.64000000000001</v>
      </c>
      <c r="F69" s="127">
        <f>Table112348[[#This Row],[d (mm)]]</f>
        <v>666.75</v>
      </c>
      <c r="G69" s="132">
        <f t="shared" si="33"/>
        <v>466039.2</v>
      </c>
      <c r="H69" s="132">
        <f t="shared" si="34"/>
        <v>8.3475052104799195E-7</v>
      </c>
      <c r="I69" s="110">
        <f>G69/(Table112348[[#This Row],[b (mm)]]*Table112348[[#This Row],[h]]^2)</f>
        <v>1.3988167613376665E-3</v>
      </c>
      <c r="J69" s="132">
        <f t="shared" si="35"/>
        <v>0.31657329078301827</v>
      </c>
      <c r="K69" s="132">
        <f t="shared" si="36"/>
        <v>1.6604961084652012E-7</v>
      </c>
      <c r="L69" s="132">
        <f>E69/(Table112348[[#This Row],[b (mm)]]*AE69)</f>
        <v>6.4201948509717127E-4</v>
      </c>
      <c r="M69" s="132">
        <f>Table112348[[#This Row],[M (KN.mm)]]/(Table112348[[#This Row],[b (mm)]]*Table112348[[#This Row],[d (mm)]])</f>
        <v>1.2230471191101113</v>
      </c>
      <c r="N69" s="132">
        <f>Table112348[[#This Row],[M (KN.mm)]]/(Table112348[[#This Row],[b (mm)]]*Table112348[[#This Row],[h (mm)]])</f>
        <v>1.0680301688835803</v>
      </c>
      <c r="O69" s="145">
        <f>Table112348[[#This Row],[M (KN.mm)]]/(Table112348[[#This Row],[b (mm)]]*Table112348[[#This Row],[h (mm)]]*Table112348[[#This Row],[L(mm)]])</f>
        <v>2.8032287897206831E-4</v>
      </c>
      <c r="P69" s="145">
        <f>Table112348[[#This Row],[M (KN.mm)]]/(Table112348[[#This Row],[b (mm)]]*Table112348[[#This Row],[d (mm)]]*Table112348[[#This Row],[L(mm)]])</f>
        <v>3.2100974254858564E-4</v>
      </c>
      <c r="Q69" s="145">
        <f>Table112348[[#This Row],[M (KN.mm)]]/(Table112348[[#This Row],[b (mm)]]*Table112348[[#This Row],[h (mm)]]*Table112348[[#This Row],[L(mm)]]*Table112348[[#This Row],[fc (Mpa)]])</f>
        <v>9.4543972671861152E-6</v>
      </c>
      <c r="R69" s="145">
        <f>Table112348[[#This Row],[M (KN.mm)]]/(Table112348[[#This Row],[b (mm)]]*Table112348[[#This Row],[h (mm)]]*Table112348[[#This Row],[L(mm)]]/2)</f>
        <v>5.6064575794413662E-4</v>
      </c>
      <c r="S69" s="133">
        <f>Table112348[[#This Row],[M (KN.mm)]]/(Table112348[[#This Row],[a (mm)]]*Table112348[[#This Row],[b (mm)]]*Table112348[[#This Row],[h (mm)]]*Table112348[[#This Row],[L(mm)]]/2)</f>
        <v>2.9430223514127905E-7</v>
      </c>
      <c r="T69" s="133">
        <f>Table112348[[#This Row],[M (KN.mm)]]/(Table112348[[#This Row],[a (mm)]]^2*Table112348[[#This Row],[b (mm)]]*Table112348[[#This Row],[h (mm)]])</f>
        <v>2.943022351412791E-7</v>
      </c>
      <c r="U69" s="133">
        <f>Table112348[[#This Row],[M (KN.mm)]]/(Table112348[[#This Row],[b (mm)]]*Table112348[[#This Row],[d (mm)]]*Table112348[[#This Row],[pho (%)]])</f>
        <v>1.5481609102659635</v>
      </c>
      <c r="V69" s="110">
        <f>E69*224.8/(2*SQRT(Table112348[[#This Row],[fc (Mpa)]]*145.037)*Table112348[[#This Row],[b (mm)]]*Table112348[[#This Row],[d (mm)]]*(1/25.4)^2)</f>
        <v>0.7099539838888772</v>
      </c>
      <c r="W69" s="145">
        <f>Table112348[[#This Row],[M (KN.mm)]]/$G$70</f>
        <v>0.81481481481481477</v>
      </c>
      <c r="X69" s="145">
        <f>Table112348[[#This Row],[V/(2*sqrt(fc) bd)]]</f>
        <v>0.7099539838888772</v>
      </c>
      <c r="Y69" s="110">
        <f>Table112348[[#This Row],[a (mm)]]</f>
        <v>1905</v>
      </c>
      <c r="Z69" s="110">
        <f>Table112348[[#This Row],[b (mm)]]*Table112348[[#This Row],[h (mm)]]^2</f>
        <v>333166725.53618389</v>
      </c>
      <c r="AA69" s="110">
        <f>Table112348[[#This Row],[b (mm)]]</f>
        <v>571.5</v>
      </c>
      <c r="AB69" s="110">
        <f>Table112348[[#This Row],[a]]/Table112348[[#This Row],[h (mm)]]</f>
        <v>2.4950099800399204</v>
      </c>
      <c r="AC69" s="110">
        <f>Table112348[[#This Row],[h (mm)]]</f>
        <v>763.52399999999989</v>
      </c>
      <c r="AD69" s="110">
        <f t="shared" si="28"/>
        <v>1905</v>
      </c>
      <c r="AE69" s="110">
        <f t="shared" si="29"/>
        <v>666.75</v>
      </c>
      <c r="AF69" s="110">
        <f t="shared" si="30"/>
        <v>763.52399999999989</v>
      </c>
      <c r="AG69" s="134">
        <f t="shared" si="31"/>
        <v>571.5</v>
      </c>
      <c r="AH69" s="7">
        <v>29.65</v>
      </c>
      <c r="AI69" s="110">
        <f>Table112348[[#This Row],[pho (%)]]/100*Table112348[[#This Row],[b (mm)]]*Table112348[[#This Row],[h (mm)]]</f>
        <v>3447.1963313999995</v>
      </c>
      <c r="AJ69" s="135">
        <v>0.79</v>
      </c>
      <c r="AK69" s="110">
        <v>640.5</v>
      </c>
      <c r="AL69" s="132">
        <f>(1/3-0.21*(MIN(Table112348[[#This Row],[b (mm)]],AF69)/MAX(Table112348[[#This Row],[b (mm)]],AF69))*(MIN(Table112348[[#This Row],[b (mm)]],AF69)^4/(12*MAX(Table112348[[#This Row],[b (mm)]],AF69)^4)))*MAX(Table112348[[#This Row],[b (mm)]],AF69)*MIN(Table112348[[#This Row],[b (mm)]],AF69)^3</f>
        <v>46920211151.527954</v>
      </c>
      <c r="AM69" s="132">
        <f>Table112348[[#This Row],[b (mm)]]*AF69^3/12</f>
        <v>21198399245.690769</v>
      </c>
      <c r="AN69" s="132">
        <f t="shared" si="32"/>
        <v>3810</v>
      </c>
      <c r="AO69" s="182"/>
      <c r="AP69" s="179"/>
    </row>
    <row r="70" spans="1:42" x14ac:dyDescent="0.3">
      <c r="A70" s="225" t="s">
        <v>183</v>
      </c>
      <c r="B70" s="226" t="s">
        <v>175</v>
      </c>
      <c r="C70" s="185">
        <v>69</v>
      </c>
      <c r="D70" s="130">
        <f>Table112348[[#This Row],[a (mm)]]/Table112348[[#This Row],[d (mm)]]</f>
        <v>2.8571428571428572</v>
      </c>
      <c r="E70" s="2">
        <v>300.24</v>
      </c>
      <c r="F70" s="127">
        <f>Table112348[[#This Row],[d (mm)]]</f>
        <v>666.75</v>
      </c>
      <c r="G70" s="132">
        <f t="shared" si="33"/>
        <v>571957.20000000007</v>
      </c>
      <c r="H70" s="132">
        <f t="shared" si="34"/>
        <v>1.0244665485588993E-6</v>
      </c>
      <c r="I70" s="110">
        <f>G70/(Table112348[[#This Row],[b (mm)]]*Table112348[[#This Row],[h]]^2)</f>
        <v>1.7167296616416819E-3</v>
      </c>
      <c r="J70" s="132">
        <f t="shared" si="35"/>
        <v>0.38852176596097698</v>
      </c>
      <c r="K70" s="132">
        <f t="shared" si="36"/>
        <v>2.037881587661838E-7</v>
      </c>
      <c r="L70" s="132">
        <f>E70/(Table112348[[#This Row],[b (mm)]]*AE70)</f>
        <v>7.879330044374375E-4</v>
      </c>
      <c r="M70" s="132">
        <f>Table112348[[#This Row],[M (KN.mm)]]/(Table112348[[#This Row],[b (mm)]]*Table112348[[#This Row],[d (mm)]])</f>
        <v>1.5010123734533185</v>
      </c>
      <c r="N70" s="132">
        <f>Table112348[[#This Row],[M (KN.mm)]]/(Table112348[[#This Row],[b (mm)]]*Table112348[[#This Row],[h (mm)]])</f>
        <v>1.3107642981753032</v>
      </c>
      <c r="O70" s="145">
        <f>Table112348[[#This Row],[M (KN.mm)]]/(Table112348[[#This Row],[b (mm)]]*Table112348[[#This Row],[h (mm)]]*Table112348[[#This Row],[L(mm)]])</f>
        <v>3.44032624192993E-4</v>
      </c>
      <c r="P70" s="145">
        <f>Table112348[[#This Row],[M (KN.mm)]]/(Table112348[[#This Row],[b (mm)]]*Table112348[[#This Row],[d (mm)]]*Table112348[[#This Row],[L(mm)]])</f>
        <v>3.9396650221871875E-4</v>
      </c>
      <c r="Q70" s="145">
        <f>Table112348[[#This Row],[M (KN.mm)]]/(Table112348[[#This Row],[b (mm)]]*Table112348[[#This Row],[h (mm)]]*Table112348[[#This Row],[L(mm)]]*Table112348[[#This Row],[fc (Mpa)]])</f>
        <v>1.1603123918819325E-5</v>
      </c>
      <c r="R70" s="145">
        <f>Table112348[[#This Row],[M (KN.mm)]]/(Table112348[[#This Row],[b (mm)]]*Table112348[[#This Row],[h (mm)]]*Table112348[[#This Row],[L(mm)]]/2)</f>
        <v>6.8806524838598601E-4</v>
      </c>
      <c r="S70" s="133">
        <f>Table112348[[#This Row],[M (KN.mm)]]/(Table112348[[#This Row],[a (mm)]]*Table112348[[#This Row],[b (mm)]]*Table112348[[#This Row],[h (mm)]]*Table112348[[#This Row],[L(mm)]]/2)</f>
        <v>3.6118910676429705E-7</v>
      </c>
      <c r="T70" s="133">
        <f>Table112348[[#This Row],[M (KN.mm)]]/(Table112348[[#This Row],[a (mm)]]^2*Table112348[[#This Row],[b (mm)]]*Table112348[[#This Row],[h (mm)]])</f>
        <v>3.611891067642971E-7</v>
      </c>
      <c r="U70" s="133">
        <f>Table112348[[#This Row],[M (KN.mm)]]/(Table112348[[#This Row],[b (mm)]]*Table112348[[#This Row],[d (mm)]]*Table112348[[#This Row],[pho (%)]])</f>
        <v>1.9000156625991371</v>
      </c>
      <c r="V70" s="110">
        <f>E70*224.8/(2*SQRT(Table112348[[#This Row],[fc (Mpa)]]*145.037)*Table112348[[#This Row],[b (mm)]]*Table112348[[#This Row],[d (mm)]]*(1/25.4)^2)</f>
        <v>0.87130716204544012</v>
      </c>
      <c r="W70" s="145">
        <f>Table112348[[#This Row],[M (KN.mm)]]/$G$70</f>
        <v>1</v>
      </c>
      <c r="X70" s="145">
        <f>Table112348[[#This Row],[V/(2*sqrt(fc) bd)]]</f>
        <v>0.87130716204544012</v>
      </c>
      <c r="Y70" s="110">
        <f>Table112348[[#This Row],[a (mm)]]</f>
        <v>1905</v>
      </c>
      <c r="Z70" s="110">
        <f>Table112348[[#This Row],[b (mm)]]*Table112348[[#This Row],[h (mm)]]^2</f>
        <v>333166725.53618389</v>
      </c>
      <c r="AA70" s="110">
        <f>Table112348[[#This Row],[b (mm)]]</f>
        <v>571.5</v>
      </c>
      <c r="AB70" s="110">
        <f>Table112348[[#This Row],[a]]/Table112348[[#This Row],[h (mm)]]</f>
        <v>2.4950099800399204</v>
      </c>
      <c r="AC70" s="110">
        <f>Table112348[[#This Row],[h (mm)]]</f>
        <v>763.52399999999989</v>
      </c>
      <c r="AD70" s="110">
        <f t="shared" si="28"/>
        <v>1905</v>
      </c>
      <c r="AE70" s="110">
        <f t="shared" si="29"/>
        <v>666.75</v>
      </c>
      <c r="AF70" s="110">
        <f t="shared" si="30"/>
        <v>763.52399999999989</v>
      </c>
      <c r="AG70" s="134">
        <f t="shared" si="31"/>
        <v>571.5</v>
      </c>
      <c r="AH70" s="7">
        <v>29.65</v>
      </c>
      <c r="AI70" s="110">
        <f>Table112348[[#This Row],[pho (%)]]/100*Table112348[[#This Row],[b (mm)]]*Table112348[[#This Row],[h (mm)]]</f>
        <v>3447.1963313999995</v>
      </c>
      <c r="AJ70" s="135">
        <v>0.79</v>
      </c>
      <c r="AK70" s="110">
        <v>640.5</v>
      </c>
      <c r="AL70" s="132">
        <f>(1/3-0.21*(MIN(Table112348[[#This Row],[b (mm)]],AF70)/MAX(Table112348[[#This Row],[b (mm)]],AF70))*(MIN(Table112348[[#This Row],[b (mm)]],AF70)^4/(12*MAX(Table112348[[#This Row],[b (mm)]],AF70)^4)))*MAX(Table112348[[#This Row],[b (mm)]],AF70)*MIN(Table112348[[#This Row],[b (mm)]],AF70)^3</f>
        <v>46920211151.527954</v>
      </c>
      <c r="AM70" s="132">
        <f>Table112348[[#This Row],[b (mm)]]*AF70^3/12</f>
        <v>21198399245.690769</v>
      </c>
      <c r="AN70" s="132">
        <f t="shared" si="32"/>
        <v>3810</v>
      </c>
      <c r="AO70" s="182"/>
      <c r="AP70" s="179"/>
    </row>
    <row r="71" spans="1:42" x14ac:dyDescent="0.3">
      <c r="A71" s="227" t="s">
        <v>184</v>
      </c>
      <c r="B71" s="228" t="s">
        <v>60</v>
      </c>
      <c r="C71" s="186">
        <v>70</v>
      </c>
      <c r="D71" s="130">
        <f>Table112348[[#This Row],[a (mm)]]/Table112348[[#This Row],[d (mm)]]</f>
        <v>2.8571428571428572</v>
      </c>
      <c r="E71" s="2">
        <v>26.688000000000002</v>
      </c>
      <c r="F71" s="127">
        <f>Table112348[[#This Row],[d (mm)]]</f>
        <v>266.7</v>
      </c>
      <c r="G71" s="132">
        <f t="shared" si="33"/>
        <v>20336.256000000001</v>
      </c>
      <c r="H71" s="132">
        <f t="shared" si="34"/>
        <v>1.3784190242388933E-6</v>
      </c>
      <c r="I71" s="110">
        <f>G71/(Table112348[[#This Row],[b (mm)]]*Table112348[[#This Row],[h]]^2)</f>
        <v>9.3170442520856486E-4</v>
      </c>
      <c r="J71" s="132">
        <f t="shared" si="35"/>
        <v>0.17140575391179369</v>
      </c>
      <c r="K71" s="132">
        <f t="shared" si="36"/>
        <v>6.8778098510464876E-7</v>
      </c>
      <c r="L71" s="132">
        <f>E71/(Table112348[[#This Row],[b (mm)]]*AE71)</f>
        <v>4.3484161392794569E-4</v>
      </c>
      <c r="M71" s="132">
        <f>Table112348[[#This Row],[M (KN.mm)]]/(Table112348[[#This Row],[b (mm)]]*Table112348[[#This Row],[d (mm)]])</f>
        <v>0.33134930981309463</v>
      </c>
      <c r="N71" s="132">
        <f>Table112348[[#This Row],[M (KN.mm)]]/(Table112348[[#This Row],[b (mm)]]*Table112348[[#This Row],[h (mm)]])</f>
        <v>0.28694167035360768</v>
      </c>
      <c r="O71" s="145">
        <f>Table112348[[#This Row],[M (KN.mm)]]/(Table112348[[#This Row],[b (mm)]]*Table112348[[#This Row],[h (mm)]]*Table112348[[#This Row],[L(mm)]])</f>
        <v>1.882819359275641E-4</v>
      </c>
      <c r="P71" s="145">
        <f>Table112348[[#This Row],[M (KN.mm)]]/(Table112348[[#This Row],[b (mm)]]*Table112348[[#This Row],[d (mm)]]*Table112348[[#This Row],[L(mm)]])</f>
        <v>2.1742080696397285E-4</v>
      </c>
      <c r="Q71" s="145">
        <f>Table112348[[#This Row],[M (KN.mm)]]/(Table112348[[#This Row],[b (mm)]]*Table112348[[#This Row],[h (mm)]]*Table112348[[#This Row],[L(mm)]]*Table112348[[#This Row],[fc (Mpa)]])</f>
        <v>5.5704714771468671E-6</v>
      </c>
      <c r="R71" s="145">
        <f>Table112348[[#This Row],[M (KN.mm)]]/(Table112348[[#This Row],[b (mm)]]*Table112348[[#This Row],[h (mm)]]*Table112348[[#This Row],[L(mm)]]/2)</f>
        <v>3.7656387185512819E-4</v>
      </c>
      <c r="S71" s="133">
        <f>Table112348[[#This Row],[M (KN.mm)]]/(Table112348[[#This Row],[a (mm)]]*Table112348[[#This Row],[b (mm)]]*Table112348[[#This Row],[h (mm)]]*Table112348[[#This Row],[L(mm)]]/2)</f>
        <v>4.9417830952116566E-7</v>
      </c>
      <c r="T71" s="133">
        <f>Table112348[[#This Row],[M (KN.mm)]]/(Table112348[[#This Row],[a (mm)]]^2*Table112348[[#This Row],[b (mm)]]*Table112348[[#This Row],[h (mm)]])</f>
        <v>4.9417830952116566E-7</v>
      </c>
      <c r="U71" s="133">
        <f>Table112348[[#This Row],[M (KN.mm)]]/(Table112348[[#This Row],[b (mm)]]*Table112348[[#This Row],[d (mm)]]*Table112348[[#This Row],[pho (%)]])</f>
        <v>0.33811154062560678</v>
      </c>
      <c r="V71" s="110">
        <f>E71*224.8/(2*SQRT(Table112348[[#This Row],[fc (Mpa)]]*145.037)*Table112348[[#This Row],[b (mm)]]*Table112348[[#This Row],[d (mm)]]*(1/25.4)^2)</f>
        <v>0.45036754813223839</v>
      </c>
      <c r="W71" s="145">
        <f>Table112348[[#This Row],[M (KN.mm)]]/$G$76</f>
        <v>0.44444444444444448</v>
      </c>
      <c r="X71" s="145">
        <f>Table112348[[#This Row],[V/(2*sqrt(fc) bd)]]</f>
        <v>0.45036754813223839</v>
      </c>
      <c r="Y71" s="110">
        <f>Table112348[[#This Row],[a (mm)]]</f>
        <v>762</v>
      </c>
      <c r="Z71" s="110">
        <f>Table112348[[#This Row],[b (mm)]]*Table112348[[#This Row],[h (mm)]]^2</f>
        <v>21826939.370227493</v>
      </c>
      <c r="AA71" s="110">
        <f>Table112348[[#This Row],[b (mm)]]</f>
        <v>230.124</v>
      </c>
      <c r="AB71" s="110">
        <f>Table112348[[#This Row],[a]]/Table112348[[#This Row],[h (mm)]]</f>
        <v>2.4742268041237114</v>
      </c>
      <c r="AC71" s="110">
        <f>Table112348[[#This Row],[h (mm)]]</f>
        <v>307.97499999999997</v>
      </c>
      <c r="AD71" s="110">
        <f>30*25.4</f>
        <v>762</v>
      </c>
      <c r="AE71" s="110">
        <f>10.5*25.4</f>
        <v>266.7</v>
      </c>
      <c r="AF71" s="132">
        <f>12.125*25.4</f>
        <v>307.97499999999997</v>
      </c>
      <c r="AG71" s="134">
        <f>9.06*25.4</f>
        <v>230.124</v>
      </c>
      <c r="AH71" s="7">
        <v>33.799999999999997</v>
      </c>
      <c r="AI71" s="132">
        <f>Table112348[[#This Row],[pho (%)]]/100*Table112348[[#This Row],[b (mm)]]*Table112348[[#This Row],[h (mm)]]</f>
        <v>694.54990121999992</v>
      </c>
      <c r="AJ71" s="135">
        <v>0.98</v>
      </c>
      <c r="AK71" s="110">
        <v>640.5</v>
      </c>
      <c r="AL71" s="132">
        <f>(1/3-0.21*(MIN(Table112348[[#This Row],[b (mm)]],AF71)/MAX(Table112348[[#This Row],[b (mm)]],AF71))*(MIN(Table112348[[#This Row],[b (mm)]],AF71)^4/(12*MAX(Table112348[[#This Row],[b (mm)]],AF71)^4)))*MAX(Table112348[[#This Row],[b (mm)]],AF71)*MIN(Table112348[[#This Row],[b (mm)]],AF71)^3</f>
        <v>1235765925.6938643</v>
      </c>
      <c r="AM71" s="132">
        <f>Table112348[[#This Row],[b (mm)]]*AF71^3/12</f>
        <v>560179304.37881768</v>
      </c>
      <c r="AN71" s="132">
        <f>762*2</f>
        <v>1524</v>
      </c>
      <c r="AO71" s="182"/>
      <c r="AP71" s="179"/>
    </row>
    <row r="72" spans="1:42" ht="11.25" customHeight="1" x14ac:dyDescent="0.3">
      <c r="A72" s="227" t="s">
        <v>184</v>
      </c>
      <c r="B72" s="228" t="s">
        <v>61</v>
      </c>
      <c r="C72" s="186">
        <v>71</v>
      </c>
      <c r="D72" s="130">
        <f>Table112348[[#This Row],[a (mm)]]/Table112348[[#This Row],[d (mm)]]</f>
        <v>2.8571428571428572</v>
      </c>
      <c r="E72" s="2">
        <v>33.36</v>
      </c>
      <c r="F72" s="127">
        <f>Table112348[[#This Row],[d (mm)]]</f>
        <v>266.7</v>
      </c>
      <c r="G72" s="132">
        <f t="shared" si="33"/>
        <v>25420.32</v>
      </c>
      <c r="H72" s="132">
        <f t="shared" si="34"/>
        <v>1.7230237802986165E-6</v>
      </c>
      <c r="I72" s="110">
        <f>G72/(Table112348[[#This Row],[b (mm)]]*Table112348[[#This Row],[h]]^2)</f>
        <v>1.1646305315107059E-3</v>
      </c>
      <c r="J72" s="132">
        <f t="shared" si="35"/>
        <v>0.21425719238974208</v>
      </c>
      <c r="K72" s="132">
        <f t="shared" si="36"/>
        <v>8.5972623138081084E-7</v>
      </c>
      <c r="L72" s="132">
        <f>E72/(Table112348[[#This Row],[b (mm)]]*AE72)</f>
        <v>5.435520174099321E-4</v>
      </c>
      <c r="M72" s="132">
        <f>Table112348[[#This Row],[M (KN.mm)]]/(Table112348[[#This Row],[b (mm)]]*Table112348[[#This Row],[d (mm)]])</f>
        <v>0.41418663726636823</v>
      </c>
      <c r="N72" s="132">
        <f>Table112348[[#This Row],[M (KN.mm)]]/(Table112348[[#This Row],[b (mm)]]*Table112348[[#This Row],[h (mm)]])</f>
        <v>0.35867708794200959</v>
      </c>
      <c r="O72" s="145">
        <f>Table112348[[#This Row],[M (KN.mm)]]/(Table112348[[#This Row],[b (mm)]]*Table112348[[#This Row],[h (mm)]]*Table112348[[#This Row],[L(mm)]])</f>
        <v>2.3535241990945511E-4</v>
      </c>
      <c r="P72" s="145">
        <f>Table112348[[#This Row],[M (KN.mm)]]/(Table112348[[#This Row],[b (mm)]]*Table112348[[#This Row],[d (mm)]]*Table112348[[#This Row],[L(mm)]])</f>
        <v>2.7177600870496605E-4</v>
      </c>
      <c r="Q72" s="145">
        <f>Table112348[[#This Row],[M (KN.mm)]]/(Table112348[[#This Row],[b (mm)]]*Table112348[[#This Row],[h (mm)]]*Table112348[[#This Row],[L(mm)]]*Table112348[[#This Row],[fc (Mpa)]])</f>
        <v>6.9630893464335839E-6</v>
      </c>
      <c r="R72" s="145">
        <f>Table112348[[#This Row],[M (KN.mm)]]/(Table112348[[#This Row],[b (mm)]]*Table112348[[#This Row],[h (mm)]]*Table112348[[#This Row],[L(mm)]]/2)</f>
        <v>4.7070483981891023E-4</v>
      </c>
      <c r="S72" s="133">
        <f>Table112348[[#This Row],[M (KN.mm)]]/(Table112348[[#This Row],[a (mm)]]*Table112348[[#This Row],[b (mm)]]*Table112348[[#This Row],[h (mm)]]*Table112348[[#This Row],[L(mm)]]/2)</f>
        <v>6.1772288690145697E-7</v>
      </c>
      <c r="T72" s="133">
        <f>Table112348[[#This Row],[M (KN.mm)]]/(Table112348[[#This Row],[a (mm)]]^2*Table112348[[#This Row],[b (mm)]]*Table112348[[#This Row],[h (mm)]])</f>
        <v>6.1772288690145697E-7</v>
      </c>
      <c r="U72" s="133">
        <f>Table112348[[#This Row],[M (KN.mm)]]/(Table112348[[#This Row],[b (mm)]]*Table112348[[#This Row],[d (mm)]]*Table112348[[#This Row],[pho (%)]])</f>
        <v>0.42263942578200842</v>
      </c>
      <c r="V72" s="110">
        <f>E72*224.8/(2*SQRT(Table112348[[#This Row],[fc (Mpa)]]*145.037)*Table112348[[#This Row],[b (mm)]]*Table112348[[#This Row],[d (mm)]]*(1/25.4)^2)</f>
        <v>0.56295943516529789</v>
      </c>
      <c r="W72" s="145">
        <f>Table112348[[#This Row],[M (KN.mm)]]/$G$76</f>
        <v>0.55555555555555558</v>
      </c>
      <c r="X72" s="145">
        <f>Table112348[[#This Row],[V/(2*sqrt(fc) bd)]]</f>
        <v>0.56295943516529789</v>
      </c>
      <c r="Y72" s="110">
        <f>Table112348[[#This Row],[a (mm)]]</f>
        <v>762</v>
      </c>
      <c r="Z72" s="110">
        <f>Table112348[[#This Row],[b (mm)]]*Table112348[[#This Row],[h (mm)]]^2</f>
        <v>21826939.370227493</v>
      </c>
      <c r="AA72" s="110">
        <f>Table112348[[#This Row],[b (mm)]]</f>
        <v>230.124</v>
      </c>
      <c r="AB72" s="110">
        <f>Table112348[[#This Row],[a]]/Table112348[[#This Row],[h (mm)]]</f>
        <v>2.4742268041237114</v>
      </c>
      <c r="AC72" s="110">
        <f>Table112348[[#This Row],[h (mm)]]</f>
        <v>307.97499999999997</v>
      </c>
      <c r="AD72" s="110">
        <f t="shared" ref="AD72:AD83" si="37">30*25.4</f>
        <v>762</v>
      </c>
      <c r="AE72" s="110">
        <f t="shared" ref="AE72:AE83" si="38">10.5*25.4</f>
        <v>266.7</v>
      </c>
      <c r="AF72" s="132">
        <f t="shared" ref="AF72:AF83" si="39">12.125*25.4</f>
        <v>307.97499999999997</v>
      </c>
      <c r="AG72" s="134">
        <f t="shared" ref="AG72:AG83" si="40">9.06*25.4</f>
        <v>230.124</v>
      </c>
      <c r="AH72" s="7">
        <v>33.799999999999997</v>
      </c>
      <c r="AI72" s="132">
        <f>Table112348[[#This Row],[pho (%)]]/100*Table112348[[#This Row],[b (mm)]]*Table112348[[#This Row],[h (mm)]]</f>
        <v>694.54990121999992</v>
      </c>
      <c r="AJ72" s="135">
        <v>0.98</v>
      </c>
      <c r="AK72" s="110">
        <v>640.5</v>
      </c>
      <c r="AL72" s="132">
        <f>(1/3-0.21*(MIN(Table112348[[#This Row],[b (mm)]],AF72)/MAX(Table112348[[#This Row],[b (mm)]],AF72))*(MIN(Table112348[[#This Row],[b (mm)]],AF72)^4/(12*MAX(Table112348[[#This Row],[b (mm)]],AF72)^4)))*MAX(Table112348[[#This Row],[b (mm)]],AF72)*MIN(Table112348[[#This Row],[b (mm)]],AF72)^3</f>
        <v>1235765925.6938643</v>
      </c>
      <c r="AM72" s="132">
        <f>Table112348[[#This Row],[b (mm)]]*AF72^3/12</f>
        <v>560179304.37881768</v>
      </c>
      <c r="AN72" s="132">
        <f t="shared" ref="AN72:AN83" si="41">762*2</f>
        <v>1524</v>
      </c>
      <c r="AO72" s="182"/>
      <c r="AP72" s="179"/>
    </row>
    <row r="73" spans="1:42" hidden="1" x14ac:dyDescent="0.3">
      <c r="A73" s="227" t="s">
        <v>184</v>
      </c>
      <c r="B73" s="228" t="s">
        <v>62</v>
      </c>
      <c r="C73" s="186">
        <v>72</v>
      </c>
      <c r="D73" s="130">
        <f>Table112348[[#This Row],[a (mm)]]/Table112348[[#This Row],[d (mm)]]</f>
        <v>2.8571428571428572</v>
      </c>
      <c r="E73" s="2">
        <v>40.032000000000004</v>
      </c>
      <c r="F73" s="127">
        <f>Table112348[[#This Row],[d (mm)]]</f>
        <v>266.7</v>
      </c>
      <c r="G73" s="132">
        <f t="shared" si="33"/>
        <v>30504.384000000002</v>
      </c>
      <c r="H73" s="132">
        <f t="shared" si="34"/>
        <v>2.0676285363583399E-6</v>
      </c>
      <c r="I73" s="110">
        <f>G73/(Table112348[[#This Row],[b (mm)]]*Table112348[[#This Row],[h]]^2)</f>
        <v>1.3975566378128473E-3</v>
      </c>
      <c r="J73" s="132">
        <f t="shared" si="35"/>
        <v>0.25710863086769054</v>
      </c>
      <c r="K73" s="132">
        <f t="shared" si="36"/>
        <v>1.0316714776569731E-6</v>
      </c>
      <c r="L73" s="132">
        <f>E73/(Table112348[[#This Row],[b (mm)]]*AE73)</f>
        <v>6.5226242089191856E-4</v>
      </c>
      <c r="M73" s="132">
        <f>Table112348[[#This Row],[M (KN.mm)]]/(Table112348[[#This Row],[b (mm)]]*Table112348[[#This Row],[d (mm)]])</f>
        <v>0.49702396471964189</v>
      </c>
      <c r="N73" s="132">
        <f>Table112348[[#This Row],[M (KN.mm)]]/(Table112348[[#This Row],[b (mm)]]*Table112348[[#This Row],[h (mm)]])</f>
        <v>0.43041250553041155</v>
      </c>
      <c r="O73" s="145">
        <f>Table112348[[#This Row],[M (KN.mm)]]/(Table112348[[#This Row],[b (mm)]]*Table112348[[#This Row],[h (mm)]]*Table112348[[#This Row],[L(mm)]])</f>
        <v>2.8242290389134616E-4</v>
      </c>
      <c r="P73" s="145">
        <f>Table112348[[#This Row],[M (KN.mm)]]/(Table112348[[#This Row],[b (mm)]]*Table112348[[#This Row],[d (mm)]]*Table112348[[#This Row],[L(mm)]])</f>
        <v>3.2613121044595923E-4</v>
      </c>
      <c r="Q73" s="145">
        <f>Table112348[[#This Row],[M (KN.mm)]]/(Table112348[[#This Row],[b (mm)]]*Table112348[[#This Row],[h (mm)]]*Table112348[[#This Row],[L(mm)]]*Table112348[[#This Row],[fc (Mpa)]])</f>
        <v>8.3557072157203006E-6</v>
      </c>
      <c r="R73" s="145">
        <f>Table112348[[#This Row],[M (KN.mm)]]/(Table112348[[#This Row],[b (mm)]]*Table112348[[#This Row],[h (mm)]]*Table112348[[#This Row],[L(mm)]]/2)</f>
        <v>5.6484580778269232E-4</v>
      </c>
      <c r="S73" s="133">
        <f>Table112348[[#This Row],[M (KN.mm)]]/(Table112348[[#This Row],[a (mm)]]*Table112348[[#This Row],[b (mm)]]*Table112348[[#This Row],[h (mm)]]*Table112348[[#This Row],[L(mm)]]/2)</f>
        <v>7.412674642817485E-7</v>
      </c>
      <c r="T73" s="133">
        <f>Table112348[[#This Row],[M (KN.mm)]]/(Table112348[[#This Row],[a (mm)]]^2*Table112348[[#This Row],[b (mm)]]*Table112348[[#This Row],[h (mm)]])</f>
        <v>7.412674642817485E-7</v>
      </c>
      <c r="U73" s="133">
        <f>Table112348[[#This Row],[M (KN.mm)]]/(Table112348[[#This Row],[b (mm)]]*Table112348[[#This Row],[d (mm)]]*Table112348[[#This Row],[pho (%)]])</f>
        <v>0.50716731093841017</v>
      </c>
      <c r="V73" s="110">
        <f>E73*224.8/(2*SQRT(Table112348[[#This Row],[fc (Mpa)]]*145.037)*Table112348[[#This Row],[b (mm)]]*Table112348[[#This Row],[d (mm)]]*(1/25.4)^2)</f>
        <v>0.67555132219835745</v>
      </c>
      <c r="W73" s="145">
        <f>Table112348[[#This Row],[M (KN.mm)]]/$G$76</f>
        <v>0.66666666666666674</v>
      </c>
      <c r="X73" s="145">
        <f>Table112348[[#This Row],[V/(2*sqrt(fc) bd)]]</f>
        <v>0.67555132219835745</v>
      </c>
      <c r="Y73" s="110">
        <f>Table112348[[#This Row],[a (mm)]]</f>
        <v>762</v>
      </c>
      <c r="Z73" s="110">
        <f>Table112348[[#This Row],[b (mm)]]*Table112348[[#This Row],[h (mm)]]^2</f>
        <v>21826939.370227493</v>
      </c>
      <c r="AA73" s="110">
        <f>Table112348[[#This Row],[b (mm)]]</f>
        <v>230.124</v>
      </c>
      <c r="AB73" s="110">
        <f>Table112348[[#This Row],[a]]/Table112348[[#This Row],[h (mm)]]</f>
        <v>2.4742268041237114</v>
      </c>
      <c r="AC73" s="110">
        <f>Table112348[[#This Row],[h (mm)]]</f>
        <v>307.97499999999997</v>
      </c>
      <c r="AD73" s="110">
        <f t="shared" si="37"/>
        <v>762</v>
      </c>
      <c r="AE73" s="110">
        <f t="shared" si="38"/>
        <v>266.7</v>
      </c>
      <c r="AF73" s="132">
        <f t="shared" si="39"/>
        <v>307.97499999999997</v>
      </c>
      <c r="AG73" s="134">
        <f t="shared" si="40"/>
        <v>230.124</v>
      </c>
      <c r="AH73" s="7">
        <v>33.799999999999997</v>
      </c>
      <c r="AI73" s="132">
        <f>Table112348[[#This Row],[pho (%)]]/100*Table112348[[#This Row],[b (mm)]]*Table112348[[#This Row],[h (mm)]]</f>
        <v>694.54990121999992</v>
      </c>
      <c r="AJ73" s="135">
        <v>0.98</v>
      </c>
      <c r="AK73" s="110">
        <v>640.5</v>
      </c>
      <c r="AL73" s="132">
        <f>(1/3-0.21*(MIN(Table112348[[#This Row],[b (mm)]],AF73)/MAX(Table112348[[#This Row],[b (mm)]],AF73))*(MIN(Table112348[[#This Row],[b (mm)]],AF73)^4/(12*MAX(Table112348[[#This Row],[b (mm)]],AF73)^4)))*MAX(Table112348[[#This Row],[b (mm)]],AF73)*MIN(Table112348[[#This Row],[b (mm)]],AF73)^3</f>
        <v>1235765925.6938643</v>
      </c>
      <c r="AM73" s="132">
        <f>Table112348[[#This Row],[b (mm)]]*AF73^3/12</f>
        <v>560179304.37881768</v>
      </c>
      <c r="AN73" s="132">
        <f t="shared" si="41"/>
        <v>1524</v>
      </c>
      <c r="AO73" s="182"/>
      <c r="AP73" s="179"/>
    </row>
    <row r="74" spans="1:42" x14ac:dyDescent="0.3">
      <c r="A74" s="227" t="s">
        <v>184</v>
      </c>
      <c r="B74" s="228" t="s">
        <v>63</v>
      </c>
      <c r="C74" s="186">
        <v>73</v>
      </c>
      <c r="D74" s="130">
        <f>Table112348[[#This Row],[a (mm)]]/Table112348[[#This Row],[d (mm)]]</f>
        <v>2.8571428571428572</v>
      </c>
      <c r="E74" s="2">
        <v>46.704000000000008</v>
      </c>
      <c r="F74" s="127">
        <f>Table112348[[#This Row],[d (mm)]]</f>
        <v>266.7</v>
      </c>
      <c r="G74" s="132">
        <f t="shared" si="33"/>
        <v>35588.448000000004</v>
      </c>
      <c r="H74" s="132">
        <f t="shared" si="34"/>
        <v>2.4122332924180633E-6</v>
      </c>
      <c r="I74" s="110">
        <f>G74/(Table112348[[#This Row],[b (mm)]]*Table112348[[#This Row],[h]]^2)</f>
        <v>1.6304827441149885E-3</v>
      </c>
      <c r="J74" s="132">
        <f t="shared" si="35"/>
        <v>0.29996006934563896</v>
      </c>
      <c r="K74" s="132">
        <f t="shared" si="36"/>
        <v>1.2036167239331353E-6</v>
      </c>
      <c r="L74" s="132">
        <f>E74/(Table112348[[#This Row],[b (mm)]]*AE74)</f>
        <v>7.6097282437390503E-4</v>
      </c>
      <c r="M74" s="132">
        <f>Table112348[[#This Row],[M (KN.mm)]]/(Table112348[[#This Row],[b (mm)]]*Table112348[[#This Row],[d (mm)]])</f>
        <v>0.5798612921729156</v>
      </c>
      <c r="N74" s="132">
        <f>Table112348[[#This Row],[M (KN.mm)]]/(Table112348[[#This Row],[b (mm)]]*Table112348[[#This Row],[h (mm)]])</f>
        <v>0.50214792311881351</v>
      </c>
      <c r="O74" s="145">
        <f>Table112348[[#This Row],[M (KN.mm)]]/(Table112348[[#This Row],[b (mm)]]*Table112348[[#This Row],[h (mm)]]*Table112348[[#This Row],[L(mm)]])</f>
        <v>3.294933878732372E-4</v>
      </c>
      <c r="P74" s="145">
        <f>Table112348[[#This Row],[M (KN.mm)]]/(Table112348[[#This Row],[b (mm)]]*Table112348[[#This Row],[d (mm)]]*Table112348[[#This Row],[L(mm)]])</f>
        <v>3.8048641218695246E-4</v>
      </c>
      <c r="Q74" s="145">
        <f>Table112348[[#This Row],[M (KN.mm)]]/(Table112348[[#This Row],[b (mm)]]*Table112348[[#This Row],[h (mm)]]*Table112348[[#This Row],[L(mm)]]*Table112348[[#This Row],[fc (Mpa)]])</f>
        <v>9.7483250850070183E-6</v>
      </c>
      <c r="R74" s="145">
        <f>Table112348[[#This Row],[M (KN.mm)]]/(Table112348[[#This Row],[b (mm)]]*Table112348[[#This Row],[h (mm)]]*Table112348[[#This Row],[L(mm)]]/2)</f>
        <v>6.589867757464744E-4</v>
      </c>
      <c r="S74" s="133">
        <f>Table112348[[#This Row],[M (KN.mm)]]/(Table112348[[#This Row],[a (mm)]]*Table112348[[#This Row],[b (mm)]]*Table112348[[#This Row],[h (mm)]]*Table112348[[#This Row],[L(mm)]]/2)</f>
        <v>8.6481204166203991E-7</v>
      </c>
      <c r="T74" s="133">
        <f>Table112348[[#This Row],[M (KN.mm)]]/(Table112348[[#This Row],[a (mm)]]^2*Table112348[[#This Row],[b (mm)]]*Table112348[[#This Row],[h (mm)]])</f>
        <v>8.6481204166203991E-7</v>
      </c>
      <c r="U74" s="133">
        <f>Table112348[[#This Row],[M (KN.mm)]]/(Table112348[[#This Row],[b (mm)]]*Table112348[[#This Row],[d (mm)]]*Table112348[[#This Row],[pho (%)]])</f>
        <v>0.5916951960948118</v>
      </c>
      <c r="V74" s="110">
        <f>E74*224.8/(2*SQRT(Table112348[[#This Row],[fc (Mpa)]]*145.037)*Table112348[[#This Row],[b (mm)]]*Table112348[[#This Row],[d (mm)]]*(1/25.4)^2)</f>
        <v>0.78814320923141712</v>
      </c>
      <c r="W74" s="145">
        <f>Table112348[[#This Row],[M (KN.mm)]]/$G$76</f>
        <v>0.7777777777777779</v>
      </c>
      <c r="X74" s="145">
        <f>Table112348[[#This Row],[V/(2*sqrt(fc) bd)]]</f>
        <v>0.78814320923141712</v>
      </c>
      <c r="Y74" s="110">
        <f>Table112348[[#This Row],[a (mm)]]</f>
        <v>762</v>
      </c>
      <c r="Z74" s="110">
        <f>Table112348[[#This Row],[b (mm)]]*Table112348[[#This Row],[h (mm)]]^2</f>
        <v>21826939.370227493</v>
      </c>
      <c r="AA74" s="110">
        <f>Table112348[[#This Row],[b (mm)]]</f>
        <v>230.124</v>
      </c>
      <c r="AB74" s="110">
        <f>Table112348[[#This Row],[a]]/Table112348[[#This Row],[h (mm)]]</f>
        <v>2.4742268041237114</v>
      </c>
      <c r="AC74" s="110">
        <f>Table112348[[#This Row],[h (mm)]]</f>
        <v>307.97499999999997</v>
      </c>
      <c r="AD74" s="110">
        <f t="shared" si="37"/>
        <v>762</v>
      </c>
      <c r="AE74" s="110">
        <f t="shared" si="38"/>
        <v>266.7</v>
      </c>
      <c r="AF74" s="132">
        <f t="shared" si="39"/>
        <v>307.97499999999997</v>
      </c>
      <c r="AG74" s="134">
        <f t="shared" si="40"/>
        <v>230.124</v>
      </c>
      <c r="AH74" s="7">
        <v>33.799999999999997</v>
      </c>
      <c r="AI74" s="132">
        <f>Table112348[[#This Row],[pho (%)]]/100*Table112348[[#This Row],[b (mm)]]*Table112348[[#This Row],[h (mm)]]</f>
        <v>694.54990121999992</v>
      </c>
      <c r="AJ74" s="135">
        <v>0.98</v>
      </c>
      <c r="AK74" s="110">
        <v>640.5</v>
      </c>
      <c r="AL74" s="132">
        <f>(1/3-0.21*(MIN(Table112348[[#This Row],[b (mm)]],AF74)/MAX(Table112348[[#This Row],[b (mm)]],AF74))*(MIN(Table112348[[#This Row],[b (mm)]],AF74)^4/(12*MAX(Table112348[[#This Row],[b (mm)]],AF74)^4)))*MAX(Table112348[[#This Row],[b (mm)]],AF74)*MIN(Table112348[[#This Row],[b (mm)]],AF74)^3</f>
        <v>1235765925.6938643</v>
      </c>
      <c r="AM74" s="132">
        <f>Table112348[[#This Row],[b (mm)]]*AF74^3/12</f>
        <v>560179304.37881768</v>
      </c>
      <c r="AN74" s="132">
        <f t="shared" si="41"/>
        <v>1524</v>
      </c>
      <c r="AO74" s="182"/>
      <c r="AP74" s="179"/>
    </row>
    <row r="75" spans="1:42" ht="16.5" customHeight="1" x14ac:dyDescent="0.3">
      <c r="A75" s="227" t="s">
        <v>184</v>
      </c>
      <c r="B75" s="228" t="s">
        <v>64</v>
      </c>
      <c r="C75" s="186">
        <v>74</v>
      </c>
      <c r="D75" s="130">
        <f>Table112348[[#This Row],[a (mm)]]/Table112348[[#This Row],[d (mm)]]</f>
        <v>2.8571428571428572</v>
      </c>
      <c r="E75" s="2">
        <v>53.376000000000005</v>
      </c>
      <c r="F75" s="127">
        <f>Table112348[[#This Row],[d (mm)]]</f>
        <v>266.7</v>
      </c>
      <c r="G75" s="132">
        <f t="shared" si="33"/>
        <v>40672.512000000002</v>
      </c>
      <c r="H75" s="132">
        <f t="shared" si="34"/>
        <v>2.7568380484777867E-6</v>
      </c>
      <c r="I75" s="110">
        <f>G75/(Table112348[[#This Row],[b (mm)]]*Table112348[[#This Row],[h]]^2)</f>
        <v>1.8634088504171297E-3</v>
      </c>
      <c r="J75" s="132">
        <f t="shared" si="35"/>
        <v>0.34281150782358738</v>
      </c>
      <c r="K75" s="132">
        <f t="shared" si="36"/>
        <v>1.3755619702092975E-6</v>
      </c>
      <c r="L75" s="132">
        <f>E75/(Table112348[[#This Row],[b (mm)]]*AE75)</f>
        <v>8.6968322785589138E-4</v>
      </c>
      <c r="M75" s="132">
        <f>Table112348[[#This Row],[M (KN.mm)]]/(Table112348[[#This Row],[b (mm)]]*Table112348[[#This Row],[d (mm)]])</f>
        <v>0.66269861962618926</v>
      </c>
      <c r="N75" s="132">
        <f>Table112348[[#This Row],[M (KN.mm)]]/(Table112348[[#This Row],[b (mm)]]*Table112348[[#This Row],[h (mm)]])</f>
        <v>0.57388334070721536</v>
      </c>
      <c r="O75" s="145">
        <f>Table112348[[#This Row],[M (KN.mm)]]/(Table112348[[#This Row],[b (mm)]]*Table112348[[#This Row],[h (mm)]]*Table112348[[#This Row],[L(mm)]])</f>
        <v>3.7656387185512819E-4</v>
      </c>
      <c r="P75" s="145">
        <f>Table112348[[#This Row],[M (KN.mm)]]/(Table112348[[#This Row],[b (mm)]]*Table112348[[#This Row],[d (mm)]]*Table112348[[#This Row],[L(mm)]])</f>
        <v>4.3484161392794569E-4</v>
      </c>
      <c r="Q75" s="145">
        <f>Table112348[[#This Row],[M (KN.mm)]]/(Table112348[[#This Row],[b (mm)]]*Table112348[[#This Row],[h (mm)]]*Table112348[[#This Row],[L(mm)]]*Table112348[[#This Row],[fc (Mpa)]])</f>
        <v>1.1140942954293734E-5</v>
      </c>
      <c r="R75" s="145">
        <f>Table112348[[#This Row],[M (KN.mm)]]/(Table112348[[#This Row],[b (mm)]]*Table112348[[#This Row],[h (mm)]]*Table112348[[#This Row],[L(mm)]]/2)</f>
        <v>7.5312774371025638E-4</v>
      </c>
      <c r="S75" s="133">
        <f>Table112348[[#This Row],[M (KN.mm)]]/(Table112348[[#This Row],[a (mm)]]*Table112348[[#This Row],[b (mm)]]*Table112348[[#This Row],[h (mm)]]*Table112348[[#This Row],[L(mm)]]/2)</f>
        <v>9.8835661904233133E-7</v>
      </c>
      <c r="T75" s="133">
        <f>Table112348[[#This Row],[M (KN.mm)]]/(Table112348[[#This Row],[a (mm)]]^2*Table112348[[#This Row],[b (mm)]]*Table112348[[#This Row],[h (mm)]])</f>
        <v>9.8835661904233133E-7</v>
      </c>
      <c r="U75" s="133">
        <f>Table112348[[#This Row],[M (KN.mm)]]/(Table112348[[#This Row],[b (mm)]]*Table112348[[#This Row],[d (mm)]]*Table112348[[#This Row],[pho (%)]])</f>
        <v>0.67622308125121355</v>
      </c>
      <c r="V75" s="110">
        <f>E75*224.8/(2*SQRT(Table112348[[#This Row],[fc (Mpa)]]*145.037)*Table112348[[#This Row],[b (mm)]]*Table112348[[#This Row],[d (mm)]]*(1/25.4)^2)</f>
        <v>0.90073509626447679</v>
      </c>
      <c r="W75" s="145">
        <f>Table112348[[#This Row],[M (KN.mm)]]/$G$76</f>
        <v>0.88888888888888895</v>
      </c>
      <c r="X75" s="145">
        <f>Table112348[[#This Row],[V/(2*sqrt(fc) bd)]]</f>
        <v>0.90073509626447679</v>
      </c>
      <c r="Y75" s="110">
        <f>Table112348[[#This Row],[a (mm)]]</f>
        <v>762</v>
      </c>
      <c r="Z75" s="110">
        <f>Table112348[[#This Row],[b (mm)]]*Table112348[[#This Row],[h (mm)]]^2</f>
        <v>21826939.370227493</v>
      </c>
      <c r="AA75" s="110">
        <f>Table112348[[#This Row],[b (mm)]]</f>
        <v>230.124</v>
      </c>
      <c r="AB75" s="110">
        <f>Table112348[[#This Row],[a]]/Table112348[[#This Row],[h (mm)]]</f>
        <v>2.4742268041237114</v>
      </c>
      <c r="AC75" s="110">
        <f>Table112348[[#This Row],[h (mm)]]</f>
        <v>307.97499999999997</v>
      </c>
      <c r="AD75" s="110">
        <f t="shared" si="37"/>
        <v>762</v>
      </c>
      <c r="AE75" s="110">
        <f t="shared" si="38"/>
        <v>266.7</v>
      </c>
      <c r="AF75" s="132">
        <f t="shared" si="39"/>
        <v>307.97499999999997</v>
      </c>
      <c r="AG75" s="134">
        <f t="shared" si="40"/>
        <v>230.124</v>
      </c>
      <c r="AH75" s="7">
        <v>33.799999999999997</v>
      </c>
      <c r="AI75" s="132">
        <f>Table112348[[#This Row],[pho (%)]]/100*Table112348[[#This Row],[b (mm)]]*Table112348[[#This Row],[h (mm)]]</f>
        <v>694.54990121999992</v>
      </c>
      <c r="AJ75" s="135">
        <v>0.98</v>
      </c>
      <c r="AK75" s="110">
        <v>640.5</v>
      </c>
      <c r="AL75" s="132">
        <f>(1/3-0.21*(MIN(Table112348[[#This Row],[b (mm)]],AF75)/MAX(Table112348[[#This Row],[b (mm)]],AF75))*(MIN(Table112348[[#This Row],[b (mm)]],AF75)^4/(12*MAX(Table112348[[#This Row],[b (mm)]],AF75)^4)))*MAX(Table112348[[#This Row],[b (mm)]],AF75)*MIN(Table112348[[#This Row],[b (mm)]],AF75)^3</f>
        <v>1235765925.6938643</v>
      </c>
      <c r="AM75" s="132">
        <f>Table112348[[#This Row],[b (mm)]]*AF75^3/12</f>
        <v>560179304.37881768</v>
      </c>
      <c r="AN75" s="132">
        <f t="shared" si="41"/>
        <v>1524</v>
      </c>
      <c r="AO75" s="182"/>
      <c r="AP75" s="179"/>
    </row>
    <row r="76" spans="1:42" x14ac:dyDescent="0.3">
      <c r="A76" s="227" t="s">
        <v>184</v>
      </c>
      <c r="B76" s="228" t="s">
        <v>65</v>
      </c>
      <c r="C76" s="186">
        <v>75</v>
      </c>
      <c r="D76" s="130">
        <f>Table112348[[#This Row],[a (mm)]]/Table112348[[#This Row],[d (mm)]]</f>
        <v>2.8571428571428572</v>
      </c>
      <c r="E76" s="2">
        <v>60.048000000000002</v>
      </c>
      <c r="F76" s="127">
        <f>Table112348[[#This Row],[d (mm)]]</f>
        <v>266.7</v>
      </c>
      <c r="G76" s="132">
        <f t="shared" si="33"/>
        <v>45756.576000000001</v>
      </c>
      <c r="H76" s="132">
        <f t="shared" si="34"/>
        <v>3.1014428045375097E-6</v>
      </c>
      <c r="I76" s="110">
        <f>G76/(Table112348[[#This Row],[b (mm)]]*Table112348[[#This Row],[h]]^2)</f>
        <v>2.0963349567192707E-3</v>
      </c>
      <c r="J76" s="132">
        <f t="shared" si="35"/>
        <v>0.3856629463015358</v>
      </c>
      <c r="K76" s="132">
        <f t="shared" si="36"/>
        <v>1.5475072164854595E-6</v>
      </c>
      <c r="L76" s="132">
        <f>E76/(Table112348[[#This Row],[b (mm)]]*AE76)</f>
        <v>9.7839363133787774E-4</v>
      </c>
      <c r="M76" s="132">
        <f>Table112348[[#This Row],[M (KN.mm)]]/(Table112348[[#This Row],[b (mm)]]*Table112348[[#This Row],[d (mm)]])</f>
        <v>0.7455359470794628</v>
      </c>
      <c r="N76" s="132">
        <f>Table112348[[#This Row],[M (KN.mm)]]/(Table112348[[#This Row],[b (mm)]]*Table112348[[#This Row],[h (mm)]])</f>
        <v>0.64561875829561732</v>
      </c>
      <c r="O76" s="145">
        <f>Table112348[[#This Row],[M (KN.mm)]]/(Table112348[[#This Row],[b (mm)]]*Table112348[[#This Row],[h (mm)]]*Table112348[[#This Row],[L(mm)]])</f>
        <v>4.2363435583701918E-4</v>
      </c>
      <c r="P76" s="145">
        <f>Table112348[[#This Row],[M (KN.mm)]]/(Table112348[[#This Row],[b (mm)]]*Table112348[[#This Row],[d (mm)]]*Table112348[[#This Row],[L(mm)]])</f>
        <v>4.8919681566893887E-4</v>
      </c>
      <c r="Q76" s="145">
        <f>Table112348[[#This Row],[M (KN.mm)]]/(Table112348[[#This Row],[b (mm)]]*Table112348[[#This Row],[h (mm)]]*Table112348[[#This Row],[L(mm)]]*Table112348[[#This Row],[fc (Mpa)]])</f>
        <v>1.2533560823580452E-5</v>
      </c>
      <c r="R76" s="145">
        <f>Table112348[[#This Row],[M (KN.mm)]]/(Table112348[[#This Row],[b (mm)]]*Table112348[[#This Row],[h (mm)]]*Table112348[[#This Row],[L(mm)]]/2)</f>
        <v>8.4726871167403836E-4</v>
      </c>
      <c r="S76" s="133">
        <f>Table112348[[#This Row],[M (KN.mm)]]/(Table112348[[#This Row],[a (mm)]]*Table112348[[#This Row],[b (mm)]]*Table112348[[#This Row],[h (mm)]]*Table112348[[#This Row],[L(mm)]]/2)</f>
        <v>1.1119011964226226E-6</v>
      </c>
      <c r="T76" s="133">
        <f>Table112348[[#This Row],[M (KN.mm)]]/(Table112348[[#This Row],[a (mm)]]^2*Table112348[[#This Row],[b (mm)]]*Table112348[[#This Row],[h (mm)]])</f>
        <v>1.1119011964226226E-6</v>
      </c>
      <c r="U76" s="133">
        <f>Table112348[[#This Row],[M (KN.mm)]]/(Table112348[[#This Row],[b (mm)]]*Table112348[[#This Row],[d (mm)]]*Table112348[[#This Row],[pho (%)]])</f>
        <v>0.76075096640761519</v>
      </c>
      <c r="V76" s="110">
        <f>E76*224.8/(2*SQRT(Table112348[[#This Row],[fc (Mpa)]]*145.037)*Table112348[[#This Row],[b (mm)]]*Table112348[[#This Row],[d (mm)]]*(1/25.4)^2)</f>
        <v>1.0133269832975362</v>
      </c>
      <c r="W76" s="145">
        <f>Table112348[[#This Row],[M (KN.mm)]]/$G$76</f>
        <v>1</v>
      </c>
      <c r="X76" s="145">
        <f>Table112348[[#This Row],[V/(2*sqrt(fc) bd)]]</f>
        <v>1.0133269832975362</v>
      </c>
      <c r="Y76" s="110">
        <f>Table112348[[#This Row],[a (mm)]]</f>
        <v>762</v>
      </c>
      <c r="Z76" s="110">
        <f>Table112348[[#This Row],[b (mm)]]*Table112348[[#This Row],[h (mm)]]^2</f>
        <v>21826939.370227493</v>
      </c>
      <c r="AA76" s="110">
        <f>Table112348[[#This Row],[b (mm)]]</f>
        <v>230.124</v>
      </c>
      <c r="AB76" s="110">
        <f>Table112348[[#This Row],[a]]/Table112348[[#This Row],[h (mm)]]</f>
        <v>2.4742268041237114</v>
      </c>
      <c r="AC76" s="110">
        <f>Table112348[[#This Row],[h (mm)]]</f>
        <v>307.97499999999997</v>
      </c>
      <c r="AD76" s="110">
        <f t="shared" si="37"/>
        <v>762</v>
      </c>
      <c r="AE76" s="110">
        <f t="shared" si="38"/>
        <v>266.7</v>
      </c>
      <c r="AF76" s="132">
        <f t="shared" si="39"/>
        <v>307.97499999999997</v>
      </c>
      <c r="AG76" s="134">
        <f t="shared" si="40"/>
        <v>230.124</v>
      </c>
      <c r="AH76" s="7">
        <v>33.799999999999997</v>
      </c>
      <c r="AI76" s="132">
        <f>Table112348[[#This Row],[pho (%)]]/100*Table112348[[#This Row],[b (mm)]]*Table112348[[#This Row],[h (mm)]]</f>
        <v>694.54990121999992</v>
      </c>
      <c r="AJ76" s="135">
        <v>0.98</v>
      </c>
      <c r="AK76" s="110">
        <v>640.5</v>
      </c>
      <c r="AL76" s="132">
        <f>(1/3-0.21*(MIN(Table112348[[#This Row],[b (mm)]],AF76)/MAX(Table112348[[#This Row],[b (mm)]],AF76))*(MIN(Table112348[[#This Row],[b (mm)]],AF76)^4/(12*MAX(Table112348[[#This Row],[b (mm)]],AF76)^4)))*MAX(Table112348[[#This Row],[b (mm)]],AF76)*MIN(Table112348[[#This Row],[b (mm)]],AF76)^3</f>
        <v>1235765925.6938643</v>
      </c>
      <c r="AM76" s="132">
        <f>Table112348[[#This Row],[b (mm)]]*AF76^3/12</f>
        <v>560179304.37881768</v>
      </c>
      <c r="AN76" s="132">
        <f t="shared" si="41"/>
        <v>1524</v>
      </c>
      <c r="AO76" s="182"/>
      <c r="AP76" s="179"/>
    </row>
    <row r="77" spans="1:42" x14ac:dyDescent="0.3">
      <c r="A77" s="229" t="s">
        <v>185</v>
      </c>
      <c r="B77" s="230" t="s">
        <v>60</v>
      </c>
      <c r="C77" s="180">
        <v>76</v>
      </c>
      <c r="D77" s="130">
        <f>Table112348[[#This Row],[a (mm)]]/Table112348[[#This Row],[d (mm)]]</f>
        <v>2.8571428571428572</v>
      </c>
      <c r="E77" s="2">
        <v>26.688000000000002</v>
      </c>
      <c r="F77" s="127">
        <f>Table112348[[#This Row],[d (mm)]]</f>
        <v>266.7</v>
      </c>
      <c r="G77" s="132">
        <f t="shared" si="33"/>
        <v>20336.256000000001</v>
      </c>
      <c r="H77" s="132">
        <f t="shared" si="34"/>
        <v>1.3784190242388933E-6</v>
      </c>
      <c r="I77" s="110">
        <f>G77/(Table112348[[#This Row],[b (mm)]]*Table112348[[#This Row],[h]]^2)</f>
        <v>9.3170442520856486E-4</v>
      </c>
      <c r="J77" s="132">
        <f t="shared" si="35"/>
        <v>0.17140575391179369</v>
      </c>
      <c r="K77" s="132">
        <f t="shared" si="36"/>
        <v>6.8778098510464876E-7</v>
      </c>
      <c r="L77" s="132">
        <f>E77/(Table112348[[#This Row],[b (mm)]]*AE77)</f>
        <v>4.3484161392794569E-4</v>
      </c>
      <c r="M77" s="132">
        <f>Table112348[[#This Row],[M (KN.mm)]]/(Table112348[[#This Row],[b (mm)]]*Table112348[[#This Row],[d (mm)]])</f>
        <v>0.33134930981309463</v>
      </c>
      <c r="N77" s="132">
        <f>Table112348[[#This Row],[M (KN.mm)]]/(Table112348[[#This Row],[b (mm)]]*Table112348[[#This Row],[h (mm)]])</f>
        <v>0.28694167035360768</v>
      </c>
      <c r="O77" s="145">
        <f>Table112348[[#This Row],[M (KN.mm)]]/(Table112348[[#This Row],[b (mm)]]*Table112348[[#This Row],[h (mm)]]*Table112348[[#This Row],[L(mm)]])</f>
        <v>1.882819359275641E-4</v>
      </c>
      <c r="P77" s="145">
        <f>Table112348[[#This Row],[M (KN.mm)]]/(Table112348[[#This Row],[b (mm)]]*Table112348[[#This Row],[d (mm)]]*Table112348[[#This Row],[L(mm)]])</f>
        <v>2.1742080696397285E-4</v>
      </c>
      <c r="Q77" s="145">
        <f>Table112348[[#This Row],[M (KN.mm)]]/(Table112348[[#This Row],[b (mm)]]*Table112348[[#This Row],[h (mm)]]*Table112348[[#This Row],[L(mm)]]*Table112348[[#This Row],[fc (Mpa)]])</f>
        <v>5.5704714771468671E-6</v>
      </c>
      <c r="R77" s="145">
        <f>Table112348[[#This Row],[M (KN.mm)]]/(Table112348[[#This Row],[b (mm)]]*Table112348[[#This Row],[h (mm)]]*Table112348[[#This Row],[L(mm)]]/2)</f>
        <v>3.7656387185512819E-4</v>
      </c>
      <c r="S77" s="133">
        <f>Table112348[[#This Row],[M (KN.mm)]]/(Table112348[[#This Row],[a (mm)]]*Table112348[[#This Row],[b (mm)]]*Table112348[[#This Row],[h (mm)]]*Table112348[[#This Row],[L(mm)]]/2)</f>
        <v>4.9417830952116566E-7</v>
      </c>
      <c r="T77" s="133">
        <f>Table112348[[#This Row],[M (KN.mm)]]/(Table112348[[#This Row],[a (mm)]]^2*Table112348[[#This Row],[b (mm)]]*Table112348[[#This Row],[h (mm)]])</f>
        <v>4.9417830952116566E-7</v>
      </c>
      <c r="U77" s="133">
        <f>Table112348[[#This Row],[M (KN.mm)]]/(Table112348[[#This Row],[b (mm)]]*Table112348[[#This Row],[d (mm)]]*Table112348[[#This Row],[pho (%)]])</f>
        <v>0.33811154062560678</v>
      </c>
      <c r="V77" s="110">
        <f>E77*224.8/(2*SQRT(Table112348[[#This Row],[fc (Mpa)]]*145.037)*Table112348[[#This Row],[b (mm)]]*Table112348[[#This Row],[d (mm)]]*(1/25.4)^2)</f>
        <v>0.45036754813223839</v>
      </c>
      <c r="W77" s="145">
        <f>Table112348[[#This Row],[M (KN.mm)]]/$G$83</f>
        <v>0.41379310344827586</v>
      </c>
      <c r="X77" s="145">
        <f>Table112348[[#This Row],[V/(2*sqrt(fc) bd)]]</f>
        <v>0.45036754813223839</v>
      </c>
      <c r="Y77" s="110">
        <f>Table112348[[#This Row],[a (mm)]]</f>
        <v>762</v>
      </c>
      <c r="Z77" s="110">
        <f>Table112348[[#This Row],[b (mm)]]*Table112348[[#This Row],[h (mm)]]^2</f>
        <v>21826939.370227493</v>
      </c>
      <c r="AA77" s="110">
        <f>Table112348[[#This Row],[b (mm)]]</f>
        <v>230.124</v>
      </c>
      <c r="AB77" s="110">
        <f>Table112348[[#This Row],[a]]/Table112348[[#This Row],[h (mm)]]</f>
        <v>2.4742268041237114</v>
      </c>
      <c r="AC77" s="110">
        <f>Table112348[[#This Row],[h (mm)]]</f>
        <v>307.97499999999997</v>
      </c>
      <c r="AD77" s="110">
        <f t="shared" si="37"/>
        <v>762</v>
      </c>
      <c r="AE77" s="110">
        <f t="shared" si="38"/>
        <v>266.7</v>
      </c>
      <c r="AF77" s="132">
        <f t="shared" si="39"/>
        <v>307.97499999999997</v>
      </c>
      <c r="AG77" s="134">
        <f t="shared" si="40"/>
        <v>230.124</v>
      </c>
      <c r="AH77" s="7">
        <v>33.799999999999997</v>
      </c>
      <c r="AI77" s="132">
        <f>Table112348[[#This Row],[pho (%)]]/100*Table112348[[#This Row],[b (mm)]]*Table112348[[#This Row],[h (mm)]]</f>
        <v>694.54990121999992</v>
      </c>
      <c r="AJ77" s="135">
        <v>0.98</v>
      </c>
      <c r="AK77" s="110">
        <v>640.5</v>
      </c>
      <c r="AL77" s="132">
        <f>(1/3-0.21*(MIN(Table112348[[#This Row],[b (mm)]],AF77)/MAX(Table112348[[#This Row],[b (mm)]],AF77))*(MIN(Table112348[[#This Row],[b (mm)]],AF77)^4/(12*MAX(Table112348[[#This Row],[b (mm)]],AF77)^4)))*MAX(Table112348[[#This Row],[b (mm)]],AF77)*MIN(Table112348[[#This Row],[b (mm)]],AF77)^3</f>
        <v>1235765925.6938643</v>
      </c>
      <c r="AM77" s="132">
        <f>Table112348[[#This Row],[b (mm)]]*AF77^3/12</f>
        <v>560179304.37881768</v>
      </c>
      <c r="AN77" s="132">
        <f t="shared" si="41"/>
        <v>1524</v>
      </c>
      <c r="AO77" s="182"/>
      <c r="AP77" s="179"/>
    </row>
    <row r="78" spans="1:42" ht="14.25" customHeight="1" x14ac:dyDescent="0.3">
      <c r="A78" s="229" t="s">
        <v>185</v>
      </c>
      <c r="B78" s="230" t="s">
        <v>61</v>
      </c>
      <c r="C78" s="180">
        <v>77</v>
      </c>
      <c r="D78" s="130">
        <f>Table112348[[#This Row],[a (mm)]]/Table112348[[#This Row],[d (mm)]]</f>
        <v>2.8571428571428572</v>
      </c>
      <c r="E78" s="2">
        <v>33.36</v>
      </c>
      <c r="F78" s="127">
        <f>Table112348[[#This Row],[d (mm)]]</f>
        <v>266.7</v>
      </c>
      <c r="G78" s="132">
        <f t="shared" ref="G78:G83" si="42">E78*AD78</f>
        <v>25420.32</v>
      </c>
      <c r="H78" s="132">
        <f t="shared" ref="H78:H83" si="43">G78/($AP$5*AM78*0.001)</f>
        <v>1.7230237802986165E-6</v>
      </c>
      <c r="I78" s="110">
        <f>G78/(Table112348[[#This Row],[b (mm)]]*Table112348[[#This Row],[h]]^2)</f>
        <v>1.1646305315107059E-3</v>
      </c>
      <c r="J78" s="132">
        <f t="shared" ref="J78:J83" si="44">G78/(AI78*AK78*AE78*0.001)</f>
        <v>0.21425719238974208</v>
      </c>
      <c r="K78" s="132">
        <f t="shared" ref="K78:K83" si="45">E78/($AP$4*AL78*0.001)</f>
        <v>8.5972623138081084E-7</v>
      </c>
      <c r="L78" s="132">
        <f>E78/(Table112348[[#This Row],[b (mm)]]*AE78)</f>
        <v>5.435520174099321E-4</v>
      </c>
      <c r="M78" s="132">
        <f>Table112348[[#This Row],[M (KN.mm)]]/(Table112348[[#This Row],[b (mm)]]*Table112348[[#This Row],[d (mm)]])</f>
        <v>0.41418663726636823</v>
      </c>
      <c r="N78" s="132">
        <f>Table112348[[#This Row],[M (KN.mm)]]/(Table112348[[#This Row],[b (mm)]]*Table112348[[#This Row],[h (mm)]])</f>
        <v>0.35867708794200959</v>
      </c>
      <c r="O78" s="145">
        <f>Table112348[[#This Row],[M (KN.mm)]]/(Table112348[[#This Row],[b (mm)]]*Table112348[[#This Row],[h (mm)]]*Table112348[[#This Row],[L(mm)]])</f>
        <v>2.3535241990945511E-4</v>
      </c>
      <c r="P78" s="145">
        <f>Table112348[[#This Row],[M (KN.mm)]]/(Table112348[[#This Row],[b (mm)]]*Table112348[[#This Row],[d (mm)]]*Table112348[[#This Row],[L(mm)]])</f>
        <v>2.7177600870496605E-4</v>
      </c>
      <c r="Q78" s="145">
        <f>Table112348[[#This Row],[M (KN.mm)]]/(Table112348[[#This Row],[b (mm)]]*Table112348[[#This Row],[h (mm)]]*Table112348[[#This Row],[L(mm)]]*Table112348[[#This Row],[fc (Mpa)]])</f>
        <v>6.9630893464335839E-6</v>
      </c>
      <c r="R78" s="145">
        <f>Table112348[[#This Row],[M (KN.mm)]]/(Table112348[[#This Row],[b (mm)]]*Table112348[[#This Row],[h (mm)]]*Table112348[[#This Row],[L(mm)]]/2)</f>
        <v>4.7070483981891023E-4</v>
      </c>
      <c r="S78" s="133">
        <f>Table112348[[#This Row],[M (KN.mm)]]/(Table112348[[#This Row],[a (mm)]]*Table112348[[#This Row],[b (mm)]]*Table112348[[#This Row],[h (mm)]]*Table112348[[#This Row],[L(mm)]]/2)</f>
        <v>6.1772288690145697E-7</v>
      </c>
      <c r="T78" s="133">
        <f>Table112348[[#This Row],[M (KN.mm)]]/(Table112348[[#This Row],[a (mm)]]^2*Table112348[[#This Row],[b (mm)]]*Table112348[[#This Row],[h (mm)]])</f>
        <v>6.1772288690145697E-7</v>
      </c>
      <c r="U78" s="133">
        <f>Table112348[[#This Row],[M (KN.mm)]]/(Table112348[[#This Row],[b (mm)]]*Table112348[[#This Row],[d (mm)]]*Table112348[[#This Row],[pho (%)]])</f>
        <v>0.42263942578200842</v>
      </c>
      <c r="V78" s="110">
        <f>E78*224.8/(2*SQRT(Table112348[[#This Row],[fc (Mpa)]]*145.037)*Table112348[[#This Row],[b (mm)]]*Table112348[[#This Row],[d (mm)]]*(1/25.4)^2)</f>
        <v>0.56295943516529789</v>
      </c>
      <c r="W78" s="145">
        <f>Table112348[[#This Row],[M (KN.mm)]]/$G$83</f>
        <v>0.51724137931034475</v>
      </c>
      <c r="X78" s="145">
        <f>Table112348[[#This Row],[V/(2*sqrt(fc) bd)]]</f>
        <v>0.56295943516529789</v>
      </c>
      <c r="Y78" s="110">
        <f>Table112348[[#This Row],[a (mm)]]</f>
        <v>762</v>
      </c>
      <c r="Z78" s="110">
        <f>Table112348[[#This Row],[b (mm)]]*Table112348[[#This Row],[h (mm)]]^2</f>
        <v>21826939.370227493</v>
      </c>
      <c r="AA78" s="110">
        <f>Table112348[[#This Row],[b (mm)]]</f>
        <v>230.124</v>
      </c>
      <c r="AB78" s="110">
        <f>Table112348[[#This Row],[a]]/Table112348[[#This Row],[h (mm)]]</f>
        <v>2.4742268041237114</v>
      </c>
      <c r="AC78" s="110">
        <f>Table112348[[#This Row],[h (mm)]]</f>
        <v>307.97499999999997</v>
      </c>
      <c r="AD78" s="110">
        <f t="shared" si="37"/>
        <v>762</v>
      </c>
      <c r="AE78" s="110">
        <f t="shared" si="38"/>
        <v>266.7</v>
      </c>
      <c r="AF78" s="132">
        <f t="shared" si="39"/>
        <v>307.97499999999997</v>
      </c>
      <c r="AG78" s="134">
        <f t="shared" si="40"/>
        <v>230.124</v>
      </c>
      <c r="AH78" s="7">
        <v>33.799999999999997</v>
      </c>
      <c r="AI78" s="132">
        <f>Table112348[[#This Row],[pho (%)]]/100*Table112348[[#This Row],[b (mm)]]*Table112348[[#This Row],[h (mm)]]</f>
        <v>694.54990121999992</v>
      </c>
      <c r="AJ78" s="135">
        <v>0.98</v>
      </c>
      <c r="AK78" s="110">
        <v>640.5</v>
      </c>
      <c r="AL78" s="132">
        <f>(1/3-0.21*(MIN(Table112348[[#This Row],[b (mm)]],AF78)/MAX(Table112348[[#This Row],[b (mm)]],AF78))*(MIN(Table112348[[#This Row],[b (mm)]],AF78)^4/(12*MAX(Table112348[[#This Row],[b (mm)]],AF78)^4)))*MAX(Table112348[[#This Row],[b (mm)]],AF78)*MIN(Table112348[[#This Row],[b (mm)]],AF78)^3</f>
        <v>1235765925.6938643</v>
      </c>
      <c r="AM78" s="132">
        <f>Table112348[[#This Row],[b (mm)]]*AF78^3/12</f>
        <v>560179304.37881768</v>
      </c>
      <c r="AN78" s="132">
        <f t="shared" si="41"/>
        <v>1524</v>
      </c>
      <c r="AO78" s="182"/>
      <c r="AP78" s="179"/>
    </row>
    <row r="79" spans="1:42" x14ac:dyDescent="0.3">
      <c r="A79" s="229" t="s">
        <v>185</v>
      </c>
      <c r="B79" s="230" t="s">
        <v>62</v>
      </c>
      <c r="C79" s="180">
        <v>78</v>
      </c>
      <c r="D79" s="130">
        <f>Table112348[[#This Row],[a (mm)]]/Table112348[[#This Row],[d (mm)]]</f>
        <v>2.8571428571428572</v>
      </c>
      <c r="E79" s="2">
        <v>40.032000000000004</v>
      </c>
      <c r="F79" s="127">
        <f>Table112348[[#This Row],[d (mm)]]</f>
        <v>266.7</v>
      </c>
      <c r="G79" s="132">
        <f t="shared" si="42"/>
        <v>30504.384000000002</v>
      </c>
      <c r="H79" s="132">
        <f t="shared" si="43"/>
        <v>2.0676285363583399E-6</v>
      </c>
      <c r="I79" s="110">
        <f>G79/(Table112348[[#This Row],[b (mm)]]*Table112348[[#This Row],[h]]^2)</f>
        <v>1.3975566378128473E-3</v>
      </c>
      <c r="J79" s="132">
        <f t="shared" si="44"/>
        <v>0.25710863086769054</v>
      </c>
      <c r="K79" s="132">
        <f t="shared" si="45"/>
        <v>1.0316714776569731E-6</v>
      </c>
      <c r="L79" s="132">
        <f>E79/(Table112348[[#This Row],[b (mm)]]*AE79)</f>
        <v>6.5226242089191856E-4</v>
      </c>
      <c r="M79" s="132">
        <f>Table112348[[#This Row],[M (KN.mm)]]/(Table112348[[#This Row],[b (mm)]]*Table112348[[#This Row],[d (mm)]])</f>
        <v>0.49702396471964189</v>
      </c>
      <c r="N79" s="132">
        <f>Table112348[[#This Row],[M (KN.mm)]]/(Table112348[[#This Row],[b (mm)]]*Table112348[[#This Row],[h (mm)]])</f>
        <v>0.43041250553041155</v>
      </c>
      <c r="O79" s="145">
        <f>Table112348[[#This Row],[M (KN.mm)]]/(Table112348[[#This Row],[b (mm)]]*Table112348[[#This Row],[h (mm)]]*Table112348[[#This Row],[L(mm)]])</f>
        <v>2.8242290389134616E-4</v>
      </c>
      <c r="P79" s="145">
        <f>Table112348[[#This Row],[M (KN.mm)]]/(Table112348[[#This Row],[b (mm)]]*Table112348[[#This Row],[d (mm)]]*Table112348[[#This Row],[L(mm)]])</f>
        <v>3.2613121044595923E-4</v>
      </c>
      <c r="Q79" s="145">
        <f>Table112348[[#This Row],[M (KN.mm)]]/(Table112348[[#This Row],[b (mm)]]*Table112348[[#This Row],[h (mm)]]*Table112348[[#This Row],[L(mm)]]*Table112348[[#This Row],[fc (Mpa)]])</f>
        <v>8.3557072157203006E-6</v>
      </c>
      <c r="R79" s="145">
        <f>Table112348[[#This Row],[M (KN.mm)]]/(Table112348[[#This Row],[b (mm)]]*Table112348[[#This Row],[h (mm)]]*Table112348[[#This Row],[L(mm)]]/2)</f>
        <v>5.6484580778269232E-4</v>
      </c>
      <c r="S79" s="133">
        <f>Table112348[[#This Row],[M (KN.mm)]]/(Table112348[[#This Row],[a (mm)]]*Table112348[[#This Row],[b (mm)]]*Table112348[[#This Row],[h (mm)]]*Table112348[[#This Row],[L(mm)]]/2)</f>
        <v>7.412674642817485E-7</v>
      </c>
      <c r="T79" s="133">
        <f>Table112348[[#This Row],[M (KN.mm)]]/(Table112348[[#This Row],[a (mm)]]^2*Table112348[[#This Row],[b (mm)]]*Table112348[[#This Row],[h (mm)]])</f>
        <v>7.412674642817485E-7</v>
      </c>
      <c r="U79" s="133">
        <f>Table112348[[#This Row],[M (KN.mm)]]/(Table112348[[#This Row],[b (mm)]]*Table112348[[#This Row],[d (mm)]]*Table112348[[#This Row],[pho (%)]])</f>
        <v>0.50716731093841017</v>
      </c>
      <c r="V79" s="110">
        <f>E79*224.8/(2*SQRT(Table112348[[#This Row],[fc (Mpa)]]*145.037)*Table112348[[#This Row],[b (mm)]]*Table112348[[#This Row],[d (mm)]]*(1/25.4)^2)</f>
        <v>0.67555132219835745</v>
      </c>
      <c r="W79" s="145">
        <f>Table112348[[#This Row],[M (KN.mm)]]/$G$83</f>
        <v>0.62068965517241381</v>
      </c>
      <c r="X79" s="145">
        <f>Table112348[[#This Row],[V/(2*sqrt(fc) bd)]]</f>
        <v>0.67555132219835745</v>
      </c>
      <c r="Y79" s="110">
        <f>Table112348[[#This Row],[a (mm)]]</f>
        <v>762</v>
      </c>
      <c r="Z79" s="110">
        <f>Table112348[[#This Row],[b (mm)]]*Table112348[[#This Row],[h (mm)]]^2</f>
        <v>21826939.370227493</v>
      </c>
      <c r="AA79" s="110">
        <f>Table112348[[#This Row],[b (mm)]]</f>
        <v>230.124</v>
      </c>
      <c r="AB79" s="110">
        <f>Table112348[[#This Row],[a]]/Table112348[[#This Row],[h (mm)]]</f>
        <v>2.4742268041237114</v>
      </c>
      <c r="AC79" s="110">
        <f>Table112348[[#This Row],[h (mm)]]</f>
        <v>307.97499999999997</v>
      </c>
      <c r="AD79" s="110">
        <f t="shared" si="37"/>
        <v>762</v>
      </c>
      <c r="AE79" s="110">
        <f t="shared" si="38"/>
        <v>266.7</v>
      </c>
      <c r="AF79" s="132">
        <f t="shared" si="39"/>
        <v>307.97499999999997</v>
      </c>
      <c r="AG79" s="134">
        <f t="shared" si="40"/>
        <v>230.124</v>
      </c>
      <c r="AH79" s="7">
        <v>33.799999999999997</v>
      </c>
      <c r="AI79" s="132">
        <f>Table112348[[#This Row],[pho (%)]]/100*Table112348[[#This Row],[b (mm)]]*Table112348[[#This Row],[h (mm)]]</f>
        <v>694.54990121999992</v>
      </c>
      <c r="AJ79" s="135">
        <v>0.98</v>
      </c>
      <c r="AK79" s="110">
        <v>640.5</v>
      </c>
      <c r="AL79" s="132">
        <f>(1/3-0.21*(MIN(Table112348[[#This Row],[b (mm)]],AF79)/MAX(Table112348[[#This Row],[b (mm)]],AF79))*(MIN(Table112348[[#This Row],[b (mm)]],AF79)^4/(12*MAX(Table112348[[#This Row],[b (mm)]],AF79)^4)))*MAX(Table112348[[#This Row],[b (mm)]],AF79)*MIN(Table112348[[#This Row],[b (mm)]],AF79)^3</f>
        <v>1235765925.6938643</v>
      </c>
      <c r="AM79" s="132">
        <f>Table112348[[#This Row],[b (mm)]]*AF79^3/12</f>
        <v>560179304.37881768</v>
      </c>
      <c r="AN79" s="132">
        <f t="shared" si="41"/>
        <v>1524</v>
      </c>
      <c r="AO79" s="182"/>
      <c r="AP79" s="179"/>
    </row>
    <row r="80" spans="1:42" x14ac:dyDescent="0.3">
      <c r="A80" s="229" t="s">
        <v>185</v>
      </c>
      <c r="B80" s="230" t="s">
        <v>63</v>
      </c>
      <c r="C80" s="180">
        <v>79</v>
      </c>
      <c r="D80" s="130">
        <f>Table112348[[#This Row],[a (mm)]]/Table112348[[#This Row],[d (mm)]]</f>
        <v>2.8571428571428572</v>
      </c>
      <c r="E80" s="2">
        <v>46.704000000000008</v>
      </c>
      <c r="F80" s="127">
        <f>Table112348[[#This Row],[d (mm)]]</f>
        <v>266.7</v>
      </c>
      <c r="G80" s="132">
        <f t="shared" si="42"/>
        <v>35588.448000000004</v>
      </c>
      <c r="H80" s="132">
        <f t="shared" si="43"/>
        <v>2.4122332924180633E-6</v>
      </c>
      <c r="I80" s="110">
        <f>G80/(Table112348[[#This Row],[b (mm)]]*Table112348[[#This Row],[h]]^2)</f>
        <v>1.6304827441149885E-3</v>
      </c>
      <c r="J80" s="132">
        <f t="shared" si="44"/>
        <v>0.29996006934563896</v>
      </c>
      <c r="K80" s="132">
        <f t="shared" si="45"/>
        <v>1.2036167239331353E-6</v>
      </c>
      <c r="L80" s="132">
        <f>E80/(Table112348[[#This Row],[b (mm)]]*AE80)</f>
        <v>7.6097282437390503E-4</v>
      </c>
      <c r="M80" s="132">
        <f>Table112348[[#This Row],[M (KN.mm)]]/(Table112348[[#This Row],[b (mm)]]*Table112348[[#This Row],[d (mm)]])</f>
        <v>0.5798612921729156</v>
      </c>
      <c r="N80" s="132">
        <f>Table112348[[#This Row],[M (KN.mm)]]/(Table112348[[#This Row],[b (mm)]]*Table112348[[#This Row],[h (mm)]])</f>
        <v>0.50214792311881351</v>
      </c>
      <c r="O80" s="145">
        <f>Table112348[[#This Row],[M (KN.mm)]]/(Table112348[[#This Row],[b (mm)]]*Table112348[[#This Row],[h (mm)]]*Table112348[[#This Row],[L(mm)]])</f>
        <v>3.294933878732372E-4</v>
      </c>
      <c r="P80" s="145">
        <f>Table112348[[#This Row],[M (KN.mm)]]/(Table112348[[#This Row],[b (mm)]]*Table112348[[#This Row],[d (mm)]]*Table112348[[#This Row],[L(mm)]])</f>
        <v>3.8048641218695246E-4</v>
      </c>
      <c r="Q80" s="145">
        <f>Table112348[[#This Row],[M (KN.mm)]]/(Table112348[[#This Row],[b (mm)]]*Table112348[[#This Row],[h (mm)]]*Table112348[[#This Row],[L(mm)]]*Table112348[[#This Row],[fc (Mpa)]])</f>
        <v>9.7483250850070183E-6</v>
      </c>
      <c r="R80" s="145">
        <f>Table112348[[#This Row],[M (KN.mm)]]/(Table112348[[#This Row],[b (mm)]]*Table112348[[#This Row],[h (mm)]]*Table112348[[#This Row],[L(mm)]]/2)</f>
        <v>6.589867757464744E-4</v>
      </c>
      <c r="S80" s="133">
        <f>Table112348[[#This Row],[M (KN.mm)]]/(Table112348[[#This Row],[a (mm)]]*Table112348[[#This Row],[b (mm)]]*Table112348[[#This Row],[h (mm)]]*Table112348[[#This Row],[L(mm)]]/2)</f>
        <v>8.6481204166203991E-7</v>
      </c>
      <c r="T80" s="133">
        <f>Table112348[[#This Row],[M (KN.mm)]]/(Table112348[[#This Row],[a (mm)]]^2*Table112348[[#This Row],[b (mm)]]*Table112348[[#This Row],[h (mm)]])</f>
        <v>8.6481204166203991E-7</v>
      </c>
      <c r="U80" s="133">
        <f>Table112348[[#This Row],[M (KN.mm)]]/(Table112348[[#This Row],[b (mm)]]*Table112348[[#This Row],[d (mm)]]*Table112348[[#This Row],[pho (%)]])</f>
        <v>0.5916951960948118</v>
      </c>
      <c r="V80" s="110">
        <f>E80*224.8/(2*SQRT(Table112348[[#This Row],[fc (Mpa)]]*145.037)*Table112348[[#This Row],[b (mm)]]*Table112348[[#This Row],[d (mm)]]*(1/25.4)^2)</f>
        <v>0.78814320923141712</v>
      </c>
      <c r="W80" s="145">
        <f>Table112348[[#This Row],[M (KN.mm)]]/$G$83</f>
        <v>0.72413793103448276</v>
      </c>
      <c r="X80" s="145">
        <f>Table112348[[#This Row],[V/(2*sqrt(fc) bd)]]</f>
        <v>0.78814320923141712</v>
      </c>
      <c r="Y80" s="110">
        <f>Table112348[[#This Row],[a (mm)]]</f>
        <v>762</v>
      </c>
      <c r="Z80" s="110">
        <f>Table112348[[#This Row],[b (mm)]]*Table112348[[#This Row],[h (mm)]]^2</f>
        <v>21826939.370227493</v>
      </c>
      <c r="AA80" s="110">
        <f>Table112348[[#This Row],[b (mm)]]</f>
        <v>230.124</v>
      </c>
      <c r="AB80" s="110">
        <f>Table112348[[#This Row],[a]]/Table112348[[#This Row],[h (mm)]]</f>
        <v>2.4742268041237114</v>
      </c>
      <c r="AC80" s="110">
        <f>Table112348[[#This Row],[h (mm)]]</f>
        <v>307.97499999999997</v>
      </c>
      <c r="AD80" s="110">
        <f t="shared" si="37"/>
        <v>762</v>
      </c>
      <c r="AE80" s="110">
        <f t="shared" si="38"/>
        <v>266.7</v>
      </c>
      <c r="AF80" s="132">
        <f t="shared" si="39"/>
        <v>307.97499999999997</v>
      </c>
      <c r="AG80" s="134">
        <f t="shared" si="40"/>
        <v>230.124</v>
      </c>
      <c r="AH80" s="7">
        <v>33.799999999999997</v>
      </c>
      <c r="AI80" s="132">
        <f>Table112348[[#This Row],[pho (%)]]/100*Table112348[[#This Row],[b (mm)]]*Table112348[[#This Row],[h (mm)]]</f>
        <v>694.54990121999992</v>
      </c>
      <c r="AJ80" s="135">
        <v>0.98</v>
      </c>
      <c r="AK80" s="110">
        <v>640.5</v>
      </c>
      <c r="AL80" s="132">
        <f>(1/3-0.21*(MIN(Table112348[[#This Row],[b (mm)]],AF80)/MAX(Table112348[[#This Row],[b (mm)]],AF80))*(MIN(Table112348[[#This Row],[b (mm)]],AF80)^4/(12*MAX(Table112348[[#This Row],[b (mm)]],AF80)^4)))*MAX(Table112348[[#This Row],[b (mm)]],AF80)*MIN(Table112348[[#This Row],[b (mm)]],AF80)^3</f>
        <v>1235765925.6938643</v>
      </c>
      <c r="AM80" s="132">
        <f>Table112348[[#This Row],[b (mm)]]*AF80^3/12</f>
        <v>560179304.37881768</v>
      </c>
      <c r="AN80" s="132">
        <f t="shared" si="41"/>
        <v>1524</v>
      </c>
      <c r="AO80" s="182"/>
      <c r="AP80" s="179"/>
    </row>
    <row r="81" spans="1:42" x14ac:dyDescent="0.3">
      <c r="A81" s="229" t="s">
        <v>185</v>
      </c>
      <c r="B81" s="230" t="s">
        <v>64</v>
      </c>
      <c r="C81" s="180">
        <v>80</v>
      </c>
      <c r="D81" s="130">
        <f>Table112348[[#This Row],[a (mm)]]/Table112348[[#This Row],[d (mm)]]</f>
        <v>2.8571428571428572</v>
      </c>
      <c r="E81" s="2">
        <v>53.376000000000005</v>
      </c>
      <c r="F81" s="127">
        <f>Table112348[[#This Row],[d (mm)]]</f>
        <v>266.7</v>
      </c>
      <c r="G81" s="132">
        <f t="shared" si="42"/>
        <v>40672.512000000002</v>
      </c>
      <c r="H81" s="132">
        <f t="shared" si="43"/>
        <v>2.7568380484777867E-6</v>
      </c>
      <c r="I81" s="110">
        <f>G81/(Table112348[[#This Row],[b (mm)]]*Table112348[[#This Row],[h]]^2)</f>
        <v>1.8634088504171297E-3</v>
      </c>
      <c r="J81" s="132">
        <f t="shared" si="44"/>
        <v>0.34281150782358738</v>
      </c>
      <c r="K81" s="132">
        <f t="shared" si="45"/>
        <v>1.3755619702092975E-6</v>
      </c>
      <c r="L81" s="132">
        <f>E81/(Table112348[[#This Row],[b (mm)]]*AE81)</f>
        <v>8.6968322785589138E-4</v>
      </c>
      <c r="M81" s="132">
        <f>Table112348[[#This Row],[M (KN.mm)]]/(Table112348[[#This Row],[b (mm)]]*Table112348[[#This Row],[d (mm)]])</f>
        <v>0.66269861962618926</v>
      </c>
      <c r="N81" s="132">
        <f>Table112348[[#This Row],[M (KN.mm)]]/(Table112348[[#This Row],[b (mm)]]*Table112348[[#This Row],[h (mm)]])</f>
        <v>0.57388334070721536</v>
      </c>
      <c r="O81" s="145">
        <f>Table112348[[#This Row],[M (KN.mm)]]/(Table112348[[#This Row],[b (mm)]]*Table112348[[#This Row],[h (mm)]]*Table112348[[#This Row],[L(mm)]])</f>
        <v>3.7656387185512819E-4</v>
      </c>
      <c r="P81" s="145">
        <f>Table112348[[#This Row],[M (KN.mm)]]/(Table112348[[#This Row],[b (mm)]]*Table112348[[#This Row],[d (mm)]]*Table112348[[#This Row],[L(mm)]])</f>
        <v>4.3484161392794569E-4</v>
      </c>
      <c r="Q81" s="145">
        <f>Table112348[[#This Row],[M (KN.mm)]]/(Table112348[[#This Row],[b (mm)]]*Table112348[[#This Row],[h (mm)]]*Table112348[[#This Row],[L(mm)]]*Table112348[[#This Row],[fc (Mpa)]])</f>
        <v>1.1140942954293734E-5</v>
      </c>
      <c r="R81" s="145">
        <f>Table112348[[#This Row],[M (KN.mm)]]/(Table112348[[#This Row],[b (mm)]]*Table112348[[#This Row],[h (mm)]]*Table112348[[#This Row],[L(mm)]]/2)</f>
        <v>7.5312774371025638E-4</v>
      </c>
      <c r="S81" s="133">
        <f>Table112348[[#This Row],[M (KN.mm)]]/(Table112348[[#This Row],[a (mm)]]*Table112348[[#This Row],[b (mm)]]*Table112348[[#This Row],[h (mm)]]*Table112348[[#This Row],[L(mm)]]/2)</f>
        <v>9.8835661904233133E-7</v>
      </c>
      <c r="T81" s="133">
        <f>Table112348[[#This Row],[M (KN.mm)]]/(Table112348[[#This Row],[a (mm)]]^2*Table112348[[#This Row],[b (mm)]]*Table112348[[#This Row],[h (mm)]])</f>
        <v>9.8835661904233133E-7</v>
      </c>
      <c r="U81" s="133">
        <f>Table112348[[#This Row],[M (KN.mm)]]/(Table112348[[#This Row],[b (mm)]]*Table112348[[#This Row],[d (mm)]]*Table112348[[#This Row],[pho (%)]])</f>
        <v>0.67622308125121355</v>
      </c>
      <c r="V81" s="110">
        <f>E81*224.8/(2*SQRT(Table112348[[#This Row],[fc (Mpa)]]*145.037)*Table112348[[#This Row],[b (mm)]]*Table112348[[#This Row],[d (mm)]]*(1/25.4)^2)</f>
        <v>0.90073509626447679</v>
      </c>
      <c r="W81" s="145">
        <f>Table112348[[#This Row],[M (KN.mm)]]/$G$83</f>
        <v>0.82758620689655171</v>
      </c>
      <c r="X81" s="145">
        <f>Table112348[[#This Row],[V/(2*sqrt(fc) bd)]]</f>
        <v>0.90073509626447679</v>
      </c>
      <c r="Y81" s="110">
        <f>Table112348[[#This Row],[a (mm)]]</f>
        <v>762</v>
      </c>
      <c r="Z81" s="110">
        <f>Table112348[[#This Row],[b (mm)]]*Table112348[[#This Row],[h (mm)]]^2</f>
        <v>21826939.370227493</v>
      </c>
      <c r="AA81" s="110">
        <f>Table112348[[#This Row],[b (mm)]]</f>
        <v>230.124</v>
      </c>
      <c r="AB81" s="110">
        <f>Table112348[[#This Row],[a]]/Table112348[[#This Row],[h (mm)]]</f>
        <v>2.4742268041237114</v>
      </c>
      <c r="AC81" s="110">
        <f>Table112348[[#This Row],[h (mm)]]</f>
        <v>307.97499999999997</v>
      </c>
      <c r="AD81" s="110">
        <f t="shared" si="37"/>
        <v>762</v>
      </c>
      <c r="AE81" s="110">
        <f t="shared" si="38"/>
        <v>266.7</v>
      </c>
      <c r="AF81" s="132">
        <f t="shared" si="39"/>
        <v>307.97499999999997</v>
      </c>
      <c r="AG81" s="134">
        <f t="shared" si="40"/>
        <v>230.124</v>
      </c>
      <c r="AH81" s="7">
        <v>33.799999999999997</v>
      </c>
      <c r="AI81" s="132">
        <f>Table112348[[#This Row],[pho (%)]]/100*Table112348[[#This Row],[b (mm)]]*Table112348[[#This Row],[h (mm)]]</f>
        <v>694.54990121999992</v>
      </c>
      <c r="AJ81" s="135">
        <v>0.98</v>
      </c>
      <c r="AK81" s="110">
        <v>640.5</v>
      </c>
      <c r="AL81" s="132">
        <f>(1/3-0.21*(MIN(Table112348[[#This Row],[b (mm)]],AF81)/MAX(Table112348[[#This Row],[b (mm)]],AF81))*(MIN(Table112348[[#This Row],[b (mm)]],AF81)^4/(12*MAX(Table112348[[#This Row],[b (mm)]],AF81)^4)))*MAX(Table112348[[#This Row],[b (mm)]],AF81)*MIN(Table112348[[#This Row],[b (mm)]],AF81)^3</f>
        <v>1235765925.6938643</v>
      </c>
      <c r="AM81" s="132">
        <f>Table112348[[#This Row],[b (mm)]]*AF81^3/12</f>
        <v>560179304.37881768</v>
      </c>
      <c r="AN81" s="132">
        <f t="shared" si="41"/>
        <v>1524</v>
      </c>
      <c r="AO81" s="182"/>
      <c r="AP81" s="179"/>
    </row>
    <row r="82" spans="1:42" x14ac:dyDescent="0.3">
      <c r="A82" s="229" t="s">
        <v>185</v>
      </c>
      <c r="B82" s="230" t="s">
        <v>65</v>
      </c>
      <c r="C82" s="180">
        <v>81</v>
      </c>
      <c r="D82" s="130">
        <f>Table112348[[#This Row],[a (mm)]]/Table112348[[#This Row],[d (mm)]]</f>
        <v>2.8571428571428572</v>
      </c>
      <c r="E82" s="2">
        <v>60.048000000000002</v>
      </c>
      <c r="F82" s="127">
        <f>Table112348[[#This Row],[d (mm)]]</f>
        <v>266.7</v>
      </c>
      <c r="G82" s="132">
        <f t="shared" si="42"/>
        <v>45756.576000000001</v>
      </c>
      <c r="H82" s="132">
        <f t="shared" si="43"/>
        <v>3.1014428045375097E-6</v>
      </c>
      <c r="I82" s="110">
        <f>G82/(Table112348[[#This Row],[b (mm)]]*Table112348[[#This Row],[h]]^2)</f>
        <v>2.0963349567192707E-3</v>
      </c>
      <c r="J82" s="132">
        <f t="shared" si="44"/>
        <v>0.3856629463015358</v>
      </c>
      <c r="K82" s="132">
        <f t="shared" si="45"/>
        <v>1.5475072164854595E-6</v>
      </c>
      <c r="L82" s="132">
        <f>E82/(Table112348[[#This Row],[b (mm)]]*AE82)</f>
        <v>9.7839363133787774E-4</v>
      </c>
      <c r="M82" s="132">
        <f>Table112348[[#This Row],[M (KN.mm)]]/(Table112348[[#This Row],[b (mm)]]*Table112348[[#This Row],[d (mm)]])</f>
        <v>0.7455359470794628</v>
      </c>
      <c r="N82" s="132">
        <f>Table112348[[#This Row],[M (KN.mm)]]/(Table112348[[#This Row],[b (mm)]]*Table112348[[#This Row],[h (mm)]])</f>
        <v>0.64561875829561732</v>
      </c>
      <c r="O82" s="145">
        <f>Table112348[[#This Row],[M (KN.mm)]]/(Table112348[[#This Row],[b (mm)]]*Table112348[[#This Row],[h (mm)]]*Table112348[[#This Row],[L(mm)]])</f>
        <v>4.2363435583701918E-4</v>
      </c>
      <c r="P82" s="145">
        <f>Table112348[[#This Row],[M (KN.mm)]]/(Table112348[[#This Row],[b (mm)]]*Table112348[[#This Row],[d (mm)]]*Table112348[[#This Row],[L(mm)]])</f>
        <v>4.8919681566893887E-4</v>
      </c>
      <c r="Q82" s="145">
        <f>Table112348[[#This Row],[M (KN.mm)]]/(Table112348[[#This Row],[b (mm)]]*Table112348[[#This Row],[h (mm)]]*Table112348[[#This Row],[L(mm)]]*Table112348[[#This Row],[fc (Mpa)]])</f>
        <v>1.2533560823580452E-5</v>
      </c>
      <c r="R82" s="145">
        <f>Table112348[[#This Row],[M (KN.mm)]]/(Table112348[[#This Row],[b (mm)]]*Table112348[[#This Row],[h (mm)]]*Table112348[[#This Row],[L(mm)]]/2)</f>
        <v>8.4726871167403836E-4</v>
      </c>
      <c r="S82" s="133">
        <f>Table112348[[#This Row],[M (KN.mm)]]/(Table112348[[#This Row],[a (mm)]]*Table112348[[#This Row],[b (mm)]]*Table112348[[#This Row],[h (mm)]]*Table112348[[#This Row],[L(mm)]]/2)</f>
        <v>1.1119011964226226E-6</v>
      </c>
      <c r="T82" s="133">
        <f>Table112348[[#This Row],[M (KN.mm)]]/(Table112348[[#This Row],[a (mm)]]^2*Table112348[[#This Row],[b (mm)]]*Table112348[[#This Row],[h (mm)]])</f>
        <v>1.1119011964226226E-6</v>
      </c>
      <c r="U82" s="133">
        <f>Table112348[[#This Row],[M (KN.mm)]]/(Table112348[[#This Row],[b (mm)]]*Table112348[[#This Row],[d (mm)]]*Table112348[[#This Row],[pho (%)]])</f>
        <v>0.76075096640761519</v>
      </c>
      <c r="V82" s="110">
        <f>E82*224.8/(2*SQRT(Table112348[[#This Row],[fc (Mpa)]]*145.037)*Table112348[[#This Row],[b (mm)]]*Table112348[[#This Row],[d (mm)]]*(1/25.4)^2)</f>
        <v>1.0133269832975362</v>
      </c>
      <c r="W82" s="145">
        <f>Table112348[[#This Row],[M (KN.mm)]]/$G$83</f>
        <v>0.93103448275862066</v>
      </c>
      <c r="X82" s="145">
        <f>Table112348[[#This Row],[V/(2*sqrt(fc) bd)]]</f>
        <v>1.0133269832975362</v>
      </c>
      <c r="Y82" s="110">
        <f>Table112348[[#This Row],[a (mm)]]</f>
        <v>762</v>
      </c>
      <c r="Z82" s="110">
        <f>Table112348[[#This Row],[b (mm)]]*Table112348[[#This Row],[h (mm)]]^2</f>
        <v>21826939.370227493</v>
      </c>
      <c r="AA82" s="110">
        <f>Table112348[[#This Row],[b (mm)]]</f>
        <v>230.124</v>
      </c>
      <c r="AB82" s="110">
        <f>Table112348[[#This Row],[a]]/Table112348[[#This Row],[h (mm)]]</f>
        <v>2.4742268041237114</v>
      </c>
      <c r="AC82" s="110">
        <f>Table112348[[#This Row],[h (mm)]]</f>
        <v>307.97499999999997</v>
      </c>
      <c r="AD82" s="110">
        <f t="shared" si="37"/>
        <v>762</v>
      </c>
      <c r="AE82" s="110">
        <f t="shared" si="38"/>
        <v>266.7</v>
      </c>
      <c r="AF82" s="132">
        <f t="shared" si="39"/>
        <v>307.97499999999997</v>
      </c>
      <c r="AG82" s="134">
        <f t="shared" si="40"/>
        <v>230.124</v>
      </c>
      <c r="AH82" s="7">
        <v>33.799999999999997</v>
      </c>
      <c r="AI82" s="132">
        <f>Table112348[[#This Row],[pho (%)]]/100*Table112348[[#This Row],[b (mm)]]*Table112348[[#This Row],[h (mm)]]</f>
        <v>694.54990121999992</v>
      </c>
      <c r="AJ82" s="135">
        <v>0.98</v>
      </c>
      <c r="AK82" s="110">
        <v>640.5</v>
      </c>
      <c r="AL82" s="132">
        <f>(1/3-0.21*(MIN(Table112348[[#This Row],[b (mm)]],AF82)/MAX(Table112348[[#This Row],[b (mm)]],AF82))*(MIN(Table112348[[#This Row],[b (mm)]],AF82)^4/(12*MAX(Table112348[[#This Row],[b (mm)]],AF82)^4)))*MAX(Table112348[[#This Row],[b (mm)]],AF82)*MIN(Table112348[[#This Row],[b (mm)]],AF82)^3</f>
        <v>1235765925.6938643</v>
      </c>
      <c r="AM82" s="132">
        <f>Table112348[[#This Row],[b (mm)]]*AF82^3/12</f>
        <v>560179304.37881768</v>
      </c>
      <c r="AN82" s="132">
        <f t="shared" si="41"/>
        <v>1524</v>
      </c>
      <c r="AO82" s="182"/>
      <c r="AP82" s="179"/>
    </row>
    <row r="83" spans="1:42" x14ac:dyDescent="0.3">
      <c r="A83" s="229" t="s">
        <v>185</v>
      </c>
      <c r="B83" s="230" t="s">
        <v>66</v>
      </c>
      <c r="C83" s="180">
        <v>82</v>
      </c>
      <c r="D83" s="130">
        <f>Table112348[[#This Row],[a (mm)]]/Table112348[[#This Row],[d (mm)]]</f>
        <v>2.8571428571428572</v>
      </c>
      <c r="E83" s="2">
        <v>64.496000000000009</v>
      </c>
      <c r="F83" s="127">
        <f>Table112348[[#This Row],[d (mm)]]</f>
        <v>266.7</v>
      </c>
      <c r="G83" s="132">
        <f t="shared" si="42"/>
        <v>49145.952000000005</v>
      </c>
      <c r="H83" s="132">
        <f t="shared" si="43"/>
        <v>3.3311793085773257E-6</v>
      </c>
      <c r="I83" s="110">
        <f>G83/(Table112348[[#This Row],[b (mm)]]*Table112348[[#This Row],[h]]^2)</f>
        <v>2.251619027587365E-3</v>
      </c>
      <c r="J83" s="132">
        <f t="shared" si="44"/>
        <v>0.41423057195350144</v>
      </c>
      <c r="K83" s="132">
        <f t="shared" si="45"/>
        <v>1.6621373806695679E-6</v>
      </c>
      <c r="L83" s="132">
        <f>E83/(Table112348[[#This Row],[b (mm)]]*AE83)</f>
        <v>1.050867233659202E-3</v>
      </c>
      <c r="M83" s="132">
        <f>Table112348[[#This Row],[M (KN.mm)]]/(Table112348[[#This Row],[b (mm)]]*Table112348[[#This Row],[d (mm)]])</f>
        <v>0.80076083204831194</v>
      </c>
      <c r="N83" s="132">
        <f>Table112348[[#This Row],[M (KN.mm)]]/(Table112348[[#This Row],[b (mm)]]*Table112348[[#This Row],[h (mm)]])</f>
        <v>0.69344237002121867</v>
      </c>
      <c r="O83" s="145">
        <f>Table112348[[#This Row],[M (KN.mm)]]/(Table112348[[#This Row],[b (mm)]]*Table112348[[#This Row],[h (mm)]]*Table112348[[#This Row],[L(mm)]])</f>
        <v>4.5501467849161327E-4</v>
      </c>
      <c r="P83" s="145">
        <f>Table112348[[#This Row],[M (KN.mm)]]/(Table112348[[#This Row],[b (mm)]]*Table112348[[#This Row],[d (mm)]]*Table112348[[#This Row],[L(mm)]])</f>
        <v>5.2543361682960102E-4</v>
      </c>
      <c r="Q83" s="145">
        <f>Table112348[[#This Row],[M (KN.mm)]]/(Table112348[[#This Row],[b (mm)]]*Table112348[[#This Row],[h (mm)]]*Table112348[[#This Row],[L(mm)]]*Table112348[[#This Row],[fc (Mpa)]])</f>
        <v>1.3461972736438264E-5</v>
      </c>
      <c r="R83" s="145">
        <f>Table112348[[#This Row],[M (KN.mm)]]/(Table112348[[#This Row],[b (mm)]]*Table112348[[#This Row],[h (mm)]]*Table112348[[#This Row],[L(mm)]]/2)</f>
        <v>9.1002935698322653E-4</v>
      </c>
      <c r="S83" s="133">
        <f>Table112348[[#This Row],[M (KN.mm)]]/(Table112348[[#This Row],[a (mm)]]*Table112348[[#This Row],[b (mm)]]*Table112348[[#This Row],[h (mm)]]*Table112348[[#This Row],[L(mm)]]/2)</f>
        <v>1.1942642480094837E-6</v>
      </c>
      <c r="T83" s="133">
        <f>Table112348[[#This Row],[M (KN.mm)]]/(Table112348[[#This Row],[a (mm)]]^2*Table112348[[#This Row],[b (mm)]]*Table112348[[#This Row],[h (mm)]])</f>
        <v>1.1942642480094837E-6</v>
      </c>
      <c r="U83" s="133">
        <f>Table112348[[#This Row],[M (KN.mm)]]/(Table112348[[#This Row],[b (mm)]]*Table112348[[#This Row],[d (mm)]]*Table112348[[#This Row],[pho (%)]])</f>
        <v>0.8171028898452164</v>
      </c>
      <c r="V83" s="110">
        <f>E83*224.8/(2*SQRT(Table112348[[#This Row],[fc (Mpa)]]*145.037)*Table112348[[#This Row],[b (mm)]]*Table112348[[#This Row],[d (mm)]]*(1/25.4)^2)</f>
        <v>1.088388241319576</v>
      </c>
      <c r="W83" s="145">
        <f>Table112348[[#This Row],[M (KN.mm)]]/$G$83</f>
        <v>1</v>
      </c>
      <c r="X83" s="145">
        <f>Table112348[[#This Row],[V/(2*sqrt(fc) bd)]]</f>
        <v>1.088388241319576</v>
      </c>
      <c r="Y83" s="110">
        <f>Table112348[[#This Row],[a (mm)]]</f>
        <v>762</v>
      </c>
      <c r="Z83" s="110">
        <f>Table112348[[#This Row],[b (mm)]]*Table112348[[#This Row],[h (mm)]]^2</f>
        <v>21826939.370227493</v>
      </c>
      <c r="AA83" s="110">
        <f>Table112348[[#This Row],[b (mm)]]</f>
        <v>230.124</v>
      </c>
      <c r="AB83" s="110">
        <f>Table112348[[#This Row],[a]]/Table112348[[#This Row],[h (mm)]]</f>
        <v>2.4742268041237114</v>
      </c>
      <c r="AC83" s="110">
        <f>Table112348[[#This Row],[h (mm)]]</f>
        <v>307.97499999999997</v>
      </c>
      <c r="AD83" s="110">
        <f t="shared" si="37"/>
        <v>762</v>
      </c>
      <c r="AE83" s="110">
        <f t="shared" si="38"/>
        <v>266.7</v>
      </c>
      <c r="AF83" s="132">
        <f t="shared" si="39"/>
        <v>307.97499999999997</v>
      </c>
      <c r="AG83" s="134">
        <f t="shared" si="40"/>
        <v>230.124</v>
      </c>
      <c r="AH83" s="7">
        <v>33.799999999999997</v>
      </c>
      <c r="AI83" s="132">
        <f>Table112348[[#This Row],[pho (%)]]/100*Table112348[[#This Row],[b (mm)]]*Table112348[[#This Row],[h (mm)]]</f>
        <v>694.54990121999992</v>
      </c>
      <c r="AJ83" s="135">
        <v>0.98</v>
      </c>
      <c r="AK83" s="110">
        <v>640.5</v>
      </c>
      <c r="AL83" s="132">
        <f>(1/3-0.21*(MIN(Table112348[[#This Row],[b (mm)]],AF83)/MAX(Table112348[[#This Row],[b (mm)]],AF83))*(MIN(Table112348[[#This Row],[b (mm)]],AF83)^4/(12*MAX(Table112348[[#This Row],[b (mm)]],AF83)^4)))*MAX(Table112348[[#This Row],[b (mm)]],AF83)*MIN(Table112348[[#This Row],[b (mm)]],AF83)^3</f>
        <v>1235765925.6938643</v>
      </c>
      <c r="AM83" s="132">
        <f>Table112348[[#This Row],[b (mm)]]*AF83^3/12</f>
        <v>560179304.37881768</v>
      </c>
      <c r="AN83" s="132">
        <f t="shared" si="41"/>
        <v>1524</v>
      </c>
      <c r="AO83" s="182"/>
      <c r="AP83" s="179"/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P73"/>
  <sheetViews>
    <sheetView zoomScaleNormal="100" workbookViewId="0">
      <selection activeCell="AN1" sqref="AN1:AO1048576"/>
    </sheetView>
  </sheetViews>
  <sheetFormatPr defaultColWidth="9.109375" defaultRowHeight="14.4" x14ac:dyDescent="0.3"/>
  <cols>
    <col min="1" max="1" width="15" style="140" customWidth="1"/>
    <col min="2" max="2" width="8.33203125" style="142" customWidth="1"/>
    <col min="3" max="3" width="7.44140625" style="2" customWidth="1"/>
    <col min="4" max="4" width="15" style="2" customWidth="1"/>
    <col min="5" max="5" width="10.88671875" style="2" customWidth="1"/>
    <col min="6" max="6" width="12.88671875" style="2" customWidth="1"/>
    <col min="7" max="7" width="12" style="2" customWidth="1"/>
    <col min="8" max="8" width="10.5546875" style="2" customWidth="1"/>
    <col min="9" max="9" width="10.88671875" style="2" customWidth="1"/>
    <col min="10" max="10" width="13.109375" style="2" customWidth="1"/>
    <col min="11" max="11" width="8.88671875" style="2" customWidth="1"/>
    <col min="12" max="12" width="8.44140625" style="2" customWidth="1"/>
    <col min="13" max="17" width="10" style="2" customWidth="1"/>
    <col min="18" max="22" width="14.6640625" style="2" customWidth="1"/>
    <col min="23" max="23" width="9.44140625" style="2" customWidth="1"/>
    <col min="24" max="25" width="9.5546875" style="2" customWidth="1"/>
    <col min="26" max="26" width="10.6640625" style="2" customWidth="1"/>
    <col min="27" max="27" width="9.88671875" style="2" customWidth="1"/>
    <col min="28" max="28" width="12.5546875" style="2" customWidth="1"/>
    <col min="29" max="29" width="11.6640625" style="2" customWidth="1"/>
    <col min="30" max="30" width="11" style="2" customWidth="1"/>
    <col min="31" max="31" width="12.44140625" style="2" customWidth="1"/>
    <col min="32" max="33" width="14.33203125" style="2" customWidth="1"/>
    <col min="34" max="34" width="15.33203125" style="2" customWidth="1"/>
    <col min="35" max="35" width="13.5546875" style="2" customWidth="1"/>
    <col min="36" max="36" width="12.44140625" style="1" customWidth="1"/>
    <col min="37" max="37" width="9.109375" style="1"/>
    <col min="38" max="39" width="9.109375" style="2"/>
    <col min="42" max="16384" width="9.109375" style="2"/>
  </cols>
  <sheetData>
    <row r="1" spans="1:41" ht="80.25" customHeight="1" x14ac:dyDescent="0.3">
      <c r="A1" s="231" t="s">
        <v>59</v>
      </c>
      <c r="B1" s="232" t="s">
        <v>57</v>
      </c>
      <c r="C1" s="74" t="s">
        <v>58</v>
      </c>
      <c r="D1" s="74" t="s">
        <v>194</v>
      </c>
      <c r="E1" s="3" t="s">
        <v>24</v>
      </c>
      <c r="F1" s="74" t="s">
        <v>63</v>
      </c>
      <c r="G1" s="3" t="s">
        <v>23</v>
      </c>
      <c r="H1" s="3" t="s">
        <v>3</v>
      </c>
      <c r="I1" s="3" t="s">
        <v>13</v>
      </c>
      <c r="J1" s="3" t="s">
        <v>14</v>
      </c>
      <c r="K1" s="3" t="s">
        <v>20</v>
      </c>
      <c r="L1" s="3" t="s">
        <v>19</v>
      </c>
      <c r="M1" s="3" t="s">
        <v>53</v>
      </c>
      <c r="N1" s="3" t="s">
        <v>54</v>
      </c>
      <c r="O1" s="3" t="s">
        <v>79</v>
      </c>
      <c r="P1" s="3" t="s">
        <v>81</v>
      </c>
      <c r="Q1" s="3" t="s">
        <v>82</v>
      </c>
      <c r="R1" s="3" t="s">
        <v>84</v>
      </c>
      <c r="S1" s="3" t="s">
        <v>85</v>
      </c>
      <c r="T1" s="3" t="s">
        <v>88</v>
      </c>
      <c r="U1" s="3" t="s">
        <v>91</v>
      </c>
      <c r="V1" s="3" t="s">
        <v>92</v>
      </c>
      <c r="W1" s="3" t="s">
        <v>5</v>
      </c>
      <c r="X1" s="17" t="s">
        <v>9</v>
      </c>
      <c r="Y1" s="17" t="s">
        <v>12</v>
      </c>
      <c r="Z1" s="2" t="s">
        <v>76</v>
      </c>
      <c r="AA1" s="17" t="s">
        <v>77</v>
      </c>
      <c r="AB1" s="17" t="s">
        <v>10</v>
      </c>
      <c r="AC1" s="17" t="s">
        <v>11</v>
      </c>
      <c r="AD1" s="17" t="s">
        <v>18</v>
      </c>
      <c r="AE1" s="17" t="s">
        <v>15</v>
      </c>
      <c r="AF1" s="17" t="s">
        <v>17</v>
      </c>
      <c r="AG1" s="17" t="s">
        <v>78</v>
      </c>
      <c r="AH1" s="1" t="s">
        <v>50</v>
      </c>
      <c r="AI1" s="1" t="s">
        <v>75</v>
      </c>
      <c r="AJ1" s="1" t="s">
        <v>80</v>
      </c>
      <c r="AK1" s="1" t="s">
        <v>90</v>
      </c>
    </row>
    <row r="2" spans="1:41" x14ac:dyDescent="0.3">
      <c r="A2" s="152" t="s">
        <v>95</v>
      </c>
      <c r="B2" s="143">
        <v>1</v>
      </c>
      <c r="C2" s="111">
        <v>1</v>
      </c>
      <c r="D2" s="111">
        <f>Table1123456[[#This Row],[a (mm)]]/Table1123456[[#This Row],[d (mm)]]</f>
        <v>3.01</v>
      </c>
      <c r="E2" s="111">
        <v>29.134400000000003</v>
      </c>
      <c r="F2" s="137">
        <f>Table1123456[[#This Row],[d (mm)]]</f>
        <v>232</v>
      </c>
      <c r="G2" s="111">
        <f>E2*W2</f>
        <v>20345.134207999999</v>
      </c>
      <c r="H2" s="111">
        <f t="shared" ref="H2:H53" si="0">G2/($AJ$5*AF2*0.001)</f>
        <v>1.071222696587404E-6</v>
      </c>
      <c r="I2" s="111">
        <f>G2/(Table1123456[[#This Row],[b (mm)]]*X2^2)</f>
        <v>1.2393236856981344E-3</v>
      </c>
      <c r="J2" s="111">
        <f t="shared" ref="J2:J53" si="1">G2/(AB2*AD2*X2*0.001)</f>
        <v>0.196053082942097</v>
      </c>
      <c r="K2" s="111">
        <f t="shared" ref="K2:K53" si="2">E2/($AJ$4*AE2*0.001)</f>
        <v>3.3948384251857526E-7</v>
      </c>
      <c r="L2" s="111">
        <f>E2/(Table1123456[[#This Row],[b (mm)]]*X2)</f>
        <v>4.1173544375353309E-4</v>
      </c>
      <c r="M2" s="111">
        <f>Table1123456[[#This Row],[M (KN.mm)]]/(Table1123456[[#This Row],[b (mm)]]*Table1123456[[#This Row],[d (mm)]])</f>
        <v>0.28752309508196722</v>
      </c>
      <c r="N2" s="111">
        <f>Table1123456[[#This Row],[M (KN.mm)]]/(Table1123456[[#This Row],[b (mm)]]*Table1123456[[#This Row],[h (mm)]])</f>
        <v>0.21870609199677504</v>
      </c>
      <c r="O2" s="111">
        <f>Table1123456[[#This Row],[M (KN.mm)]]/(Table1123456[[#This Row],[b (mm)]]*Table1123456[[#This Row],[h (mm)]]*Table1123456[[#This Row],[L(mm)]])</f>
        <v>1.56554110233912E-4</v>
      </c>
      <c r="P2" s="111">
        <f>Table1123456[[#This Row],[M (KN.mm)]]/(Table1123456[[#This Row],[b (mm)]]*Table1123456[[#This Row],[d (mm)]]*Table1123456[[#This Row],[L(mm)]])</f>
        <v>2.0581467078165154E-4</v>
      </c>
      <c r="Q2" s="111">
        <f>Table1123456[[#This Row],[M (KN.mm)]]/(Table1123456[[#This Row],[b (mm)]]*Table1123456[[#This Row],[h (mm)]]*Table1123456[[#This Row],[L(mm)]]*Table1123456[[#This Row],[fc (Mpa)]])</f>
        <v>2.3684434226007867E-6</v>
      </c>
      <c r="R2" s="111">
        <f>Table1123456[[#This Row],[M (KN.mm)]]/(Table1123456[[#This Row],[b (mm)]]*Table1123456[[#This Row],[h (mm)]]*Table1123456[[#This Row],[L(mm)]]/2)</f>
        <v>3.1310822046782399E-4</v>
      </c>
      <c r="S2" s="111">
        <f>Table1123456[[#This Row],[M (KN.mm)]]/(Table1123456[[#This Row],[a (mm)]]*Table1123456[[#This Row],[b (mm)]]*Table1123456[[#This Row],[h (mm)]]*Table1123456[[#This Row],[L(mm)]]/2)</f>
        <v>4.4837355434159702E-7</v>
      </c>
      <c r="T2" s="111">
        <f>Table1123456[[#This Row],[M (KN.mm)]]/(Table1123456[[#This Row],[a (mm)]]^2*Table1123456[[#This Row],[b (mm)]]*Table1123456[[#This Row],[h (mm)]])</f>
        <v>4.4848912777466713E-7</v>
      </c>
      <c r="U2" s="111">
        <f>Table1123456[[#This Row],[M (KN.mm)]]/(Table1123456[[#This Row],[b (mm)]]*Table1123456[[#This Row],[d (mm)]]*Table1123456[[#This Row],[pho (%)]])</f>
        <v>0.23960257923497266</v>
      </c>
      <c r="V2" s="111">
        <f>E2/(Table1123456[[#This Row],[b (mm)]]*Y2*Table1123456[[#This Row],[fc (Mpa)]]*Table1123456[[#This Row],[a (mm)]])</f>
        <v>6.7850094973474615E-9</v>
      </c>
      <c r="W2" s="111">
        <f>3.01*Table1123456[[#This Row],[d (mm)]]</f>
        <v>698.31999999999994</v>
      </c>
      <c r="X2" s="111">
        <v>232</v>
      </c>
      <c r="Y2" s="111">
        <v>305</v>
      </c>
      <c r="Z2" s="111">
        <v>305</v>
      </c>
      <c r="AA2" s="7">
        <v>66.099999999999994</v>
      </c>
      <c r="AB2" s="111">
        <v>852</v>
      </c>
      <c r="AC2" s="111">
        <v>1.2</v>
      </c>
      <c r="AD2" s="111">
        <v>525</v>
      </c>
      <c r="AE2" s="111">
        <f>(1/3-0.21*(MIN(Table1123456[[#This Row],[b (mm)]],Y2)/MAX(Table1123456[[#This Row],[b (mm)]],Y2))*(MIN(Table1123456[[#This Row],[b (mm)]],Y2)^4/(12*MAX(Table1123456[[#This Row],[b (mm)]],Y2)^4)))*MAX(Table1123456[[#This Row],[b (mm)]],Y2)*MIN(Table1123456[[#This Row],[b (mm)]],Y2)^3</f>
        <v>2733111322.395833</v>
      </c>
      <c r="AF2" s="111">
        <f>Table1123456[[#This Row],[b (mm)]]*Y2^3/12</f>
        <v>721137552.08333337</v>
      </c>
      <c r="AG2" s="111">
        <v>1397</v>
      </c>
      <c r="AH2" s="1"/>
      <c r="AI2" s="1"/>
    </row>
    <row r="3" spans="1:41" x14ac:dyDescent="0.3">
      <c r="A3" s="152" t="s">
        <v>95</v>
      </c>
      <c r="B3" s="143">
        <v>2</v>
      </c>
      <c r="C3" s="111">
        <v>2</v>
      </c>
      <c r="D3" s="111">
        <f>Table1123456[[#This Row],[a (mm)]]/Table1123456[[#This Row],[d (mm)]]</f>
        <v>3.01</v>
      </c>
      <c r="E3" s="111">
        <v>31.136000000000003</v>
      </c>
      <c r="F3" s="137">
        <f>Table1123456[[#This Row],[d (mm)]]</f>
        <v>232</v>
      </c>
      <c r="G3" s="111">
        <f t="shared" ref="G3:G54" si="3">E3*W3</f>
        <v>21742.891520000001</v>
      </c>
      <c r="H3" s="111">
        <f t="shared" si="0"/>
        <v>1.1448181490247066E-6</v>
      </c>
      <c r="I3" s="111">
        <f>G3/(Table1123456[[#This Row],[b (mm)]]*X3^2)</f>
        <v>1.3244680610514415E-3</v>
      </c>
      <c r="J3" s="111">
        <f t="shared" si="1"/>
        <v>0.20952237871674492</v>
      </c>
      <c r="K3" s="111">
        <f t="shared" si="2"/>
        <v>3.6280715994351553E-7</v>
      </c>
      <c r="L3" s="111">
        <f>E3/(Table1123456[[#This Row],[b (mm)]]*X3)</f>
        <v>4.4002261164499722E-4</v>
      </c>
      <c r="M3" s="111">
        <f>Table1123456[[#This Row],[M (KN.mm)]]/(Table1123456[[#This Row],[b (mm)]]*Table1123456[[#This Row],[d (mm)]])</f>
        <v>0.30727659016393444</v>
      </c>
      <c r="N3" s="111">
        <f>Table1123456[[#This Row],[M (KN.mm)]]/(Table1123456[[#This Row],[b (mm)]]*Table1123456[[#This Row],[h (mm)]])</f>
        <v>0.23373170137059932</v>
      </c>
      <c r="O3" s="111">
        <f>Table1123456[[#This Row],[M (KN.mm)]]/(Table1123456[[#This Row],[b (mm)]]*Table1123456[[#This Row],[h (mm)]]*Table1123456[[#This Row],[L(mm)]])</f>
        <v>1.6730973612784489E-4</v>
      </c>
      <c r="P3" s="111">
        <f>Table1123456[[#This Row],[M (KN.mm)]]/(Table1123456[[#This Row],[b (mm)]]*Table1123456[[#This Row],[d (mm)]]*Table1123456[[#This Row],[L(mm)]])</f>
        <v>2.1995460999565817E-4</v>
      </c>
      <c r="Q3" s="111">
        <f>Table1123456[[#This Row],[M (KN.mm)]]/(Table1123456[[#This Row],[b (mm)]]*Table1123456[[#This Row],[h (mm)]]*Table1123456[[#This Row],[L(mm)]]*Table1123456[[#This Row],[fc (Mpa)]])</f>
        <v>2.5311609096496958E-6</v>
      </c>
      <c r="R3" s="111">
        <f>Table1123456[[#This Row],[M (KN.mm)]]/(Table1123456[[#This Row],[b (mm)]]*Table1123456[[#This Row],[h (mm)]]*Table1123456[[#This Row],[L(mm)]]/2)</f>
        <v>3.3461947225568977E-4</v>
      </c>
      <c r="S3" s="111">
        <f>Table1123456[[#This Row],[M (KN.mm)]]/(Table1123456[[#This Row],[a (mm)]]*Table1123456[[#This Row],[b (mm)]]*Table1123456[[#This Row],[h (mm)]]*Table1123456[[#This Row],[L(mm)]]/2)</f>
        <v>4.7917784433453121E-7</v>
      </c>
      <c r="T3" s="111">
        <f>Table1123456[[#This Row],[M (KN.mm)]]/(Table1123456[[#This Row],[a (mm)]]^2*Table1123456[[#This Row],[b (mm)]]*Table1123456[[#This Row],[h (mm)]])</f>
        <v>4.7930135792712527E-7</v>
      </c>
      <c r="U3" s="111">
        <f>Table1123456[[#This Row],[M (KN.mm)]]/(Table1123456[[#This Row],[b (mm)]]*Table1123456[[#This Row],[d (mm)]]*Table1123456[[#This Row],[pho (%)]])</f>
        <v>0.25606382513661202</v>
      </c>
      <c r="V3" s="111">
        <f>E3/(Table1123456[[#This Row],[b (mm)]]*Y3*Table1123456[[#This Row],[fc (Mpa)]]*Table1123456[[#This Row],[a (mm)]])</f>
        <v>7.2511551880049205E-9</v>
      </c>
      <c r="W3" s="111">
        <f>3.01*Table1123456[[#This Row],[d (mm)]]</f>
        <v>698.31999999999994</v>
      </c>
      <c r="X3" s="111">
        <v>232</v>
      </c>
      <c r="Y3" s="111">
        <v>305</v>
      </c>
      <c r="Z3" s="111">
        <v>305</v>
      </c>
      <c r="AA3" s="7">
        <v>66.099999999999994</v>
      </c>
      <c r="AB3" s="111">
        <v>852</v>
      </c>
      <c r="AC3" s="111">
        <v>1.2</v>
      </c>
      <c r="AD3" s="111">
        <v>525</v>
      </c>
      <c r="AE3" s="111">
        <f>(1/3-0.21*(MIN(Table1123456[[#This Row],[b (mm)]],Y3)/MAX(Table1123456[[#This Row],[b (mm)]],Y3))*(MIN(Table1123456[[#This Row],[b (mm)]],Y3)^4/(12*MAX(Table1123456[[#This Row],[b (mm)]],Y3)^4)))*MAX(Table1123456[[#This Row],[b (mm)]],Y3)*MIN(Table1123456[[#This Row],[b (mm)]],Y3)^3</f>
        <v>2733111322.395833</v>
      </c>
      <c r="AF3" s="111">
        <f>Table1123456[[#This Row],[b (mm)]]*Y3^3/12</f>
        <v>721137552.08333337</v>
      </c>
      <c r="AG3" s="111">
        <v>1397</v>
      </c>
      <c r="AH3" s="1"/>
      <c r="AI3" s="1"/>
    </row>
    <row r="4" spans="1:41" x14ac:dyDescent="0.3">
      <c r="A4" s="152" t="s">
        <v>95</v>
      </c>
      <c r="B4" s="143">
        <v>3</v>
      </c>
      <c r="C4" s="111">
        <v>3</v>
      </c>
      <c r="D4" s="111">
        <f>Table1123456[[#This Row],[a (mm)]]/Table1123456[[#This Row],[d (mm)]]</f>
        <v>3.01</v>
      </c>
      <c r="E4" s="111">
        <v>35.584000000000003</v>
      </c>
      <c r="F4" s="137">
        <f>Table1123456[[#This Row],[d (mm)]]</f>
        <v>232</v>
      </c>
      <c r="G4" s="111">
        <f t="shared" si="3"/>
        <v>24849.01888</v>
      </c>
      <c r="H4" s="111">
        <f t="shared" si="0"/>
        <v>1.3083635988853789E-6</v>
      </c>
      <c r="I4" s="111">
        <f>G4/(Table1123456[[#This Row],[b (mm)]]*X4^2)</f>
        <v>1.5136777840587903E-3</v>
      </c>
      <c r="J4" s="111">
        <f t="shared" si="1"/>
        <v>0.2394541471048513</v>
      </c>
      <c r="K4" s="111">
        <f t="shared" si="2"/>
        <v>4.1463675422116061E-7</v>
      </c>
      <c r="L4" s="111">
        <f>E4/(Table1123456[[#This Row],[b (mm)]]*X4)</f>
        <v>5.0288298473713966E-4</v>
      </c>
      <c r="M4" s="111">
        <f>Table1123456[[#This Row],[M (KN.mm)]]/(Table1123456[[#This Row],[b (mm)]]*Table1123456[[#This Row],[d (mm)]])</f>
        <v>0.35117324590163934</v>
      </c>
      <c r="N4" s="111">
        <f>Table1123456[[#This Row],[M (KN.mm)]]/(Table1123456[[#This Row],[b (mm)]]*Table1123456[[#This Row],[h (mm)]])</f>
        <v>0.26712194442354203</v>
      </c>
      <c r="O4" s="111">
        <f>Table1123456[[#This Row],[M (KN.mm)]]/(Table1123456[[#This Row],[b (mm)]]*Table1123456[[#This Row],[h (mm)]]*Table1123456[[#This Row],[L(mm)]])</f>
        <v>1.9121112700325128E-4</v>
      </c>
      <c r="P4" s="111">
        <f>Table1123456[[#This Row],[M (KN.mm)]]/(Table1123456[[#This Row],[b (mm)]]*Table1123456[[#This Row],[d (mm)]]*Table1123456[[#This Row],[L(mm)]])</f>
        <v>2.5137669713789503E-4</v>
      </c>
      <c r="Q4" s="111">
        <f>Table1123456[[#This Row],[M (KN.mm)]]/(Table1123456[[#This Row],[b (mm)]]*Table1123456[[#This Row],[h (mm)]]*Table1123456[[#This Row],[L(mm)]]*Table1123456[[#This Row],[fc (Mpa)]])</f>
        <v>2.8927553253139381E-6</v>
      </c>
      <c r="R4" s="111">
        <f>Table1123456[[#This Row],[M (KN.mm)]]/(Table1123456[[#This Row],[b (mm)]]*Table1123456[[#This Row],[h (mm)]]*Table1123456[[#This Row],[L(mm)]]/2)</f>
        <v>3.8242225400650256E-4</v>
      </c>
      <c r="S4" s="111">
        <f>Table1123456[[#This Row],[M (KN.mm)]]/(Table1123456[[#This Row],[a (mm)]]*Table1123456[[#This Row],[b (mm)]]*Table1123456[[#This Row],[h (mm)]]*Table1123456[[#This Row],[L(mm)]]/2)</f>
        <v>5.4763182209660705E-7</v>
      </c>
      <c r="T4" s="111">
        <f>Table1123456[[#This Row],[M (KN.mm)]]/(Table1123456[[#This Row],[a (mm)]]^2*Table1123456[[#This Row],[b (mm)]]*Table1123456[[#This Row],[h (mm)]])</f>
        <v>5.4777298048814307E-7</v>
      </c>
      <c r="U4" s="111">
        <f>Table1123456[[#This Row],[M (KN.mm)]]/(Table1123456[[#This Row],[b (mm)]]*Table1123456[[#This Row],[d (mm)]]*Table1123456[[#This Row],[pho (%)]])</f>
        <v>0.29264437158469947</v>
      </c>
      <c r="V4" s="111">
        <f>E4/(Table1123456[[#This Row],[b (mm)]]*Y4*Table1123456[[#This Row],[fc (Mpa)]]*Table1123456[[#This Row],[a (mm)]])</f>
        <v>8.2870345005770522E-9</v>
      </c>
      <c r="W4" s="111">
        <f>3.01*Table1123456[[#This Row],[d (mm)]]</f>
        <v>698.31999999999994</v>
      </c>
      <c r="X4" s="111">
        <v>232</v>
      </c>
      <c r="Y4" s="111">
        <v>305</v>
      </c>
      <c r="Z4" s="111">
        <v>305</v>
      </c>
      <c r="AA4" s="7">
        <v>66.099999999999994</v>
      </c>
      <c r="AB4" s="111">
        <v>852</v>
      </c>
      <c r="AC4" s="111">
        <v>1.2</v>
      </c>
      <c r="AD4" s="111">
        <v>525</v>
      </c>
      <c r="AE4" s="111">
        <f>(1/3-0.21*(MIN(Table1123456[[#This Row],[b (mm)]],Y4)/MAX(Table1123456[[#This Row],[b (mm)]],Y4))*(MIN(Table1123456[[#This Row],[b (mm)]],Y4)^4/(12*MAX(Table1123456[[#This Row],[b (mm)]],Y4)^4)))*MAX(Table1123456[[#This Row],[b (mm)]],Y4)*MIN(Table1123456[[#This Row],[b (mm)]],Y4)^3</f>
        <v>2733111322.395833</v>
      </c>
      <c r="AF4" s="111">
        <f>Table1123456[[#This Row],[b (mm)]]*Y4^3/12</f>
        <v>721137552.08333337</v>
      </c>
      <c r="AG4" s="111">
        <v>1397</v>
      </c>
      <c r="AH4" s="138"/>
      <c r="AI4" s="126" t="s">
        <v>7</v>
      </c>
      <c r="AJ4" s="107">
        <v>31.4</v>
      </c>
    </row>
    <row r="5" spans="1:41" x14ac:dyDescent="0.3">
      <c r="A5" s="152" t="s">
        <v>95</v>
      </c>
      <c r="B5" s="143">
        <v>4</v>
      </c>
      <c r="C5" s="111">
        <v>4</v>
      </c>
      <c r="D5" s="111">
        <f>Table1123456[[#This Row],[a (mm)]]/Table1123456[[#This Row],[d (mm)]]</f>
        <v>3.01</v>
      </c>
      <c r="E5" s="111">
        <v>40.032000000000004</v>
      </c>
      <c r="F5" s="137">
        <f>Table1123456[[#This Row],[d (mm)]]</f>
        <v>232</v>
      </c>
      <c r="G5" s="111">
        <f t="shared" si="3"/>
        <v>27955.146239999998</v>
      </c>
      <c r="H5" s="111">
        <f t="shared" si="0"/>
        <v>1.471909048746051E-6</v>
      </c>
      <c r="I5" s="111">
        <f>G5/(Table1123456[[#This Row],[b (mm)]]*X5^2)</f>
        <v>1.702887507066139E-3</v>
      </c>
      <c r="J5" s="111">
        <f t="shared" si="1"/>
        <v>0.26938591549295771</v>
      </c>
      <c r="K5" s="111">
        <f t="shared" si="2"/>
        <v>4.6646634849880569E-7</v>
      </c>
      <c r="L5" s="111">
        <f>E5/(Table1123456[[#This Row],[b (mm)]]*X5)</f>
        <v>5.6574335782928211E-4</v>
      </c>
      <c r="M5" s="111">
        <f>Table1123456[[#This Row],[M (KN.mm)]]/(Table1123456[[#This Row],[b (mm)]]*Table1123456[[#This Row],[d (mm)]])</f>
        <v>0.39506990163934425</v>
      </c>
      <c r="N5" s="111">
        <f>Table1123456[[#This Row],[M (KN.mm)]]/(Table1123456[[#This Row],[b (mm)]]*Table1123456[[#This Row],[h (mm)]])</f>
        <v>0.30051218747648478</v>
      </c>
      <c r="O5" s="111">
        <f>Table1123456[[#This Row],[M (KN.mm)]]/(Table1123456[[#This Row],[b (mm)]]*Table1123456[[#This Row],[h (mm)]]*Table1123456[[#This Row],[L(mm)]])</f>
        <v>2.1511251787865771E-4</v>
      </c>
      <c r="P5" s="111">
        <f>Table1123456[[#This Row],[M (KN.mm)]]/(Table1123456[[#This Row],[b (mm)]]*Table1123456[[#This Row],[d (mm)]]*Table1123456[[#This Row],[L(mm)]])</f>
        <v>2.827987842801319E-4</v>
      </c>
      <c r="Q5" s="111">
        <f>Table1123456[[#This Row],[M (KN.mm)]]/(Table1123456[[#This Row],[b (mm)]]*Table1123456[[#This Row],[h (mm)]]*Table1123456[[#This Row],[L(mm)]]*Table1123456[[#This Row],[fc (Mpa)]])</f>
        <v>3.2543497409781798E-6</v>
      </c>
      <c r="R5" s="111">
        <f>Table1123456[[#This Row],[M (KN.mm)]]/(Table1123456[[#This Row],[b (mm)]]*Table1123456[[#This Row],[h (mm)]]*Table1123456[[#This Row],[L(mm)]]/2)</f>
        <v>4.3022503575731541E-4</v>
      </c>
      <c r="S5" s="111">
        <f>Table1123456[[#This Row],[M (KN.mm)]]/(Table1123456[[#This Row],[a (mm)]]*Table1123456[[#This Row],[b (mm)]]*Table1123456[[#This Row],[h (mm)]]*Table1123456[[#This Row],[L(mm)]]/2)</f>
        <v>6.1608579985868289E-7</v>
      </c>
      <c r="T5" s="111">
        <f>Table1123456[[#This Row],[M (KN.mm)]]/(Table1123456[[#This Row],[a (mm)]]^2*Table1123456[[#This Row],[b (mm)]]*Table1123456[[#This Row],[h (mm)]])</f>
        <v>6.1624460304916098E-7</v>
      </c>
      <c r="U5" s="111">
        <f>Table1123456[[#This Row],[M (KN.mm)]]/(Table1123456[[#This Row],[b (mm)]]*Table1123456[[#This Row],[d (mm)]]*Table1123456[[#This Row],[pho (%)]])</f>
        <v>0.32922491803278686</v>
      </c>
      <c r="V5" s="111">
        <f>E5/(Table1123456[[#This Row],[b (mm)]]*Y5*Table1123456[[#This Row],[fc (Mpa)]]*Table1123456[[#This Row],[a (mm)]])</f>
        <v>9.3229138131491831E-9</v>
      </c>
      <c r="W5" s="111">
        <f>3.01*Table1123456[[#This Row],[d (mm)]]</f>
        <v>698.31999999999994</v>
      </c>
      <c r="X5" s="111">
        <v>232</v>
      </c>
      <c r="Y5" s="111">
        <v>305</v>
      </c>
      <c r="Z5" s="111">
        <v>305</v>
      </c>
      <c r="AA5" s="7">
        <v>66.099999999999994</v>
      </c>
      <c r="AB5" s="111">
        <v>852</v>
      </c>
      <c r="AC5" s="111">
        <v>1.2</v>
      </c>
      <c r="AD5" s="111">
        <v>525</v>
      </c>
      <c r="AE5" s="111">
        <f>(1/3-0.21*(MIN(Table1123456[[#This Row],[b (mm)]],Y5)/MAX(Table1123456[[#This Row],[b (mm)]],Y5))*(MIN(Table1123456[[#This Row],[b (mm)]],Y5)^4/(12*MAX(Table1123456[[#This Row],[b (mm)]],Y5)^4)))*MAX(Table1123456[[#This Row],[b (mm)]],Y5)*MIN(Table1123456[[#This Row],[b (mm)]],Y5)^3</f>
        <v>2733111322.395833</v>
      </c>
      <c r="AF5" s="111">
        <f>Table1123456[[#This Row],[b (mm)]]*Y5^3/12</f>
        <v>721137552.08333337</v>
      </c>
      <c r="AG5" s="111">
        <v>1397</v>
      </c>
      <c r="AH5" s="138"/>
      <c r="AI5" s="126" t="s">
        <v>8</v>
      </c>
      <c r="AJ5" s="107">
        <f>4700*SQRT(AJ4)</f>
        <v>26336.780365109171</v>
      </c>
    </row>
    <row r="6" spans="1:41" x14ac:dyDescent="0.3">
      <c r="A6" s="152" t="s">
        <v>95</v>
      </c>
      <c r="B6" s="143">
        <v>5</v>
      </c>
      <c r="C6" s="111">
        <v>5</v>
      </c>
      <c r="D6" s="111">
        <f>Table1123456[[#This Row],[a (mm)]]/Table1123456[[#This Row],[d (mm)]]</f>
        <v>3.01</v>
      </c>
      <c r="E6" s="111">
        <v>44.480000000000004</v>
      </c>
      <c r="F6" s="137">
        <f>Table1123456[[#This Row],[d (mm)]]</f>
        <v>232</v>
      </c>
      <c r="G6" s="111">
        <f t="shared" si="3"/>
        <v>31061.2736</v>
      </c>
      <c r="H6" s="111">
        <f t="shared" si="0"/>
        <v>1.6354544986067235E-6</v>
      </c>
      <c r="I6" s="111">
        <f>G6/(Table1123456[[#This Row],[b (mm)]]*X6^2)</f>
        <v>1.892097230073488E-3</v>
      </c>
      <c r="J6" s="111">
        <f t="shared" si="1"/>
        <v>0.29931768388106417</v>
      </c>
      <c r="K6" s="111">
        <f t="shared" si="2"/>
        <v>5.1829594277645072E-7</v>
      </c>
      <c r="L6" s="111">
        <f>E6/(Table1123456[[#This Row],[b (mm)]]*X6)</f>
        <v>6.2860373092142455E-4</v>
      </c>
      <c r="M6" s="111">
        <f>Table1123456[[#This Row],[M (KN.mm)]]/(Table1123456[[#This Row],[b (mm)]]*Table1123456[[#This Row],[d (mm)]])</f>
        <v>0.4389665573770492</v>
      </c>
      <c r="N6" s="111">
        <f>Table1123456[[#This Row],[M (KN.mm)]]/(Table1123456[[#This Row],[b (mm)]]*Table1123456[[#This Row],[h (mm)]])</f>
        <v>0.33390243052942759</v>
      </c>
      <c r="O6" s="111">
        <f>Table1123456[[#This Row],[M (KN.mm)]]/(Table1123456[[#This Row],[b (mm)]]*Table1123456[[#This Row],[h (mm)]]*Table1123456[[#This Row],[L(mm)]])</f>
        <v>2.3901390875406413E-4</v>
      </c>
      <c r="P6" s="111">
        <f>Table1123456[[#This Row],[M (KN.mm)]]/(Table1123456[[#This Row],[b (mm)]]*Table1123456[[#This Row],[d (mm)]]*Table1123456[[#This Row],[L(mm)]])</f>
        <v>3.1422087142236876E-4</v>
      </c>
      <c r="Q6" s="111">
        <f>Table1123456[[#This Row],[M (KN.mm)]]/(Table1123456[[#This Row],[b (mm)]]*Table1123456[[#This Row],[h (mm)]]*Table1123456[[#This Row],[L(mm)]]*Table1123456[[#This Row],[fc (Mpa)]])</f>
        <v>3.6159441566424225E-6</v>
      </c>
      <c r="R6" s="111">
        <f>Table1123456[[#This Row],[M (KN.mm)]]/(Table1123456[[#This Row],[b (mm)]]*Table1123456[[#This Row],[h (mm)]]*Table1123456[[#This Row],[L(mm)]]/2)</f>
        <v>4.7802781750812826E-4</v>
      </c>
      <c r="S6" s="111">
        <f>Table1123456[[#This Row],[M (KN.mm)]]/(Table1123456[[#This Row],[a (mm)]]*Table1123456[[#This Row],[b (mm)]]*Table1123456[[#This Row],[h (mm)]]*Table1123456[[#This Row],[L(mm)]]/2)</f>
        <v>6.8453977762075884E-7</v>
      </c>
      <c r="T6" s="111">
        <f>Table1123456[[#This Row],[M (KN.mm)]]/(Table1123456[[#This Row],[a (mm)]]^2*Table1123456[[#This Row],[b (mm)]]*Table1123456[[#This Row],[h (mm)]])</f>
        <v>6.8471622561017889E-7</v>
      </c>
      <c r="U6" s="111">
        <f>Table1123456[[#This Row],[M (KN.mm)]]/(Table1123456[[#This Row],[b (mm)]]*Table1123456[[#This Row],[d (mm)]]*Table1123456[[#This Row],[pho (%)]])</f>
        <v>0.36580546448087431</v>
      </c>
      <c r="V6" s="111">
        <f>E6/(Table1123456[[#This Row],[b (mm)]]*Y6*Table1123456[[#This Row],[fc (Mpa)]]*Table1123456[[#This Row],[a (mm)]])</f>
        <v>1.0358793125721316E-8</v>
      </c>
      <c r="W6" s="111">
        <f>3.01*Table1123456[[#This Row],[d (mm)]]</f>
        <v>698.31999999999994</v>
      </c>
      <c r="X6" s="111">
        <v>232</v>
      </c>
      <c r="Y6" s="111">
        <v>305</v>
      </c>
      <c r="Z6" s="111">
        <v>305</v>
      </c>
      <c r="AA6" s="7">
        <v>66.099999999999994</v>
      </c>
      <c r="AB6" s="111">
        <v>852</v>
      </c>
      <c r="AC6" s="111">
        <v>1.2</v>
      </c>
      <c r="AD6" s="111">
        <v>525</v>
      </c>
      <c r="AE6" s="111">
        <f>(1/3-0.21*(MIN(Table1123456[[#This Row],[b (mm)]],Y6)/MAX(Table1123456[[#This Row],[b (mm)]],Y6))*(MIN(Table1123456[[#This Row],[b (mm)]],Y6)^4/(12*MAX(Table1123456[[#This Row],[b (mm)]],Y6)^4)))*MAX(Table1123456[[#This Row],[b (mm)]],Y6)*MIN(Table1123456[[#This Row],[b (mm)]],Y6)^3</f>
        <v>2733111322.395833</v>
      </c>
      <c r="AF6" s="111">
        <f>Table1123456[[#This Row],[b (mm)]]*Y6^3/12</f>
        <v>721137552.08333337</v>
      </c>
      <c r="AG6" s="111">
        <v>1397</v>
      </c>
      <c r="AH6" s="138"/>
      <c r="AI6" s="126" t="s">
        <v>16</v>
      </c>
      <c r="AJ6" s="107">
        <f>AJ5/(2*(1+0.15))</f>
        <v>11450.774071786596</v>
      </c>
    </row>
    <row r="7" spans="1:41" x14ac:dyDescent="0.3">
      <c r="A7" s="152" t="s">
        <v>95</v>
      </c>
      <c r="B7" s="143">
        <v>6</v>
      </c>
      <c r="C7" s="111">
        <v>6</v>
      </c>
      <c r="D7" s="111">
        <f>Table1123456[[#This Row],[a (mm)]]/Table1123456[[#This Row],[d (mm)]]</f>
        <v>3.01</v>
      </c>
      <c r="E7" s="111">
        <v>48.928000000000004</v>
      </c>
      <c r="F7" s="137">
        <f>Table1123456[[#This Row],[d (mm)]]</f>
        <v>232</v>
      </c>
      <c r="G7" s="111">
        <f t="shared" si="3"/>
        <v>34167.400959999999</v>
      </c>
      <c r="H7" s="111">
        <f t="shared" si="0"/>
        <v>1.7989999484673958E-6</v>
      </c>
      <c r="I7" s="111">
        <f>G7/(Table1123456[[#This Row],[b (mm)]]*X7^2)</f>
        <v>2.0813069530808367E-3</v>
      </c>
      <c r="J7" s="111">
        <f t="shared" si="1"/>
        <v>0.32924945226917057</v>
      </c>
      <c r="K7" s="111">
        <f t="shared" si="2"/>
        <v>5.7012553705409581E-7</v>
      </c>
      <c r="L7" s="111">
        <f>E7/(Table1123456[[#This Row],[b (mm)]]*X7)</f>
        <v>6.91464104013567E-4</v>
      </c>
      <c r="M7" s="111">
        <f>Table1123456[[#This Row],[M (KN.mm)]]/(Table1123456[[#This Row],[b (mm)]]*Table1123456[[#This Row],[d (mm)]])</f>
        <v>0.48286321311475411</v>
      </c>
      <c r="N7" s="111">
        <f>Table1123456[[#This Row],[M (KN.mm)]]/(Table1123456[[#This Row],[b (mm)]]*Table1123456[[#This Row],[h (mm)]])</f>
        <v>0.36729267358237033</v>
      </c>
      <c r="O7" s="111">
        <f>Table1123456[[#This Row],[M (KN.mm)]]/(Table1123456[[#This Row],[b (mm)]]*Table1123456[[#This Row],[h (mm)]]*Table1123456[[#This Row],[L(mm)]])</f>
        <v>2.629152996294705E-4</v>
      </c>
      <c r="P7" s="111">
        <f>Table1123456[[#This Row],[M (KN.mm)]]/(Table1123456[[#This Row],[b (mm)]]*Table1123456[[#This Row],[d (mm)]]*Table1123456[[#This Row],[L(mm)]])</f>
        <v>3.4564295856460563E-4</v>
      </c>
      <c r="Q7" s="111">
        <f>Table1123456[[#This Row],[M (KN.mm)]]/(Table1123456[[#This Row],[b (mm)]]*Table1123456[[#This Row],[h (mm)]]*Table1123456[[#This Row],[L(mm)]]*Table1123456[[#This Row],[fc (Mpa)]])</f>
        <v>3.9775385723066642E-6</v>
      </c>
      <c r="R7" s="111">
        <f>Table1123456[[#This Row],[M (KN.mm)]]/(Table1123456[[#This Row],[b (mm)]]*Table1123456[[#This Row],[h (mm)]]*Table1123456[[#This Row],[L(mm)]]/2)</f>
        <v>5.25830599258941E-4</v>
      </c>
      <c r="S7" s="111">
        <f>Table1123456[[#This Row],[M (KN.mm)]]/(Table1123456[[#This Row],[a (mm)]]*Table1123456[[#This Row],[b (mm)]]*Table1123456[[#This Row],[h (mm)]]*Table1123456[[#This Row],[L(mm)]]/2)</f>
        <v>7.5299375538283468E-7</v>
      </c>
      <c r="T7" s="111">
        <f>Table1123456[[#This Row],[M (KN.mm)]]/(Table1123456[[#This Row],[a (mm)]]^2*Table1123456[[#This Row],[b (mm)]]*Table1123456[[#This Row],[h (mm)]])</f>
        <v>7.531878481711967E-7</v>
      </c>
      <c r="U7" s="111">
        <f>Table1123456[[#This Row],[M (KN.mm)]]/(Table1123456[[#This Row],[b (mm)]]*Table1123456[[#This Row],[d (mm)]]*Table1123456[[#This Row],[pho (%)]])</f>
        <v>0.40238601092896176</v>
      </c>
      <c r="V7" s="111">
        <f>E7/(Table1123456[[#This Row],[b (mm)]]*Y7*Table1123456[[#This Row],[fc (Mpa)]]*Table1123456[[#This Row],[a (mm)]])</f>
        <v>1.1394672438293447E-8</v>
      </c>
      <c r="W7" s="111">
        <f>3.01*Table1123456[[#This Row],[d (mm)]]</f>
        <v>698.31999999999994</v>
      </c>
      <c r="X7" s="111">
        <v>232</v>
      </c>
      <c r="Y7" s="111">
        <v>305</v>
      </c>
      <c r="Z7" s="111">
        <v>305</v>
      </c>
      <c r="AA7" s="7">
        <v>66.099999999999994</v>
      </c>
      <c r="AB7" s="111">
        <v>852</v>
      </c>
      <c r="AC7" s="111">
        <v>1.2</v>
      </c>
      <c r="AD7" s="111">
        <v>525</v>
      </c>
      <c r="AE7" s="111">
        <f>(1/3-0.21*(MIN(Table1123456[[#This Row],[b (mm)]],Y7)/MAX(Table1123456[[#This Row],[b (mm)]],Y7))*(MIN(Table1123456[[#This Row],[b (mm)]],Y7)^4/(12*MAX(Table1123456[[#This Row],[b (mm)]],Y7)^4)))*MAX(Table1123456[[#This Row],[b (mm)]],Y7)*MIN(Table1123456[[#This Row],[b (mm)]],Y7)^3</f>
        <v>2733111322.395833</v>
      </c>
      <c r="AF7" s="111">
        <f>Table1123456[[#This Row],[b (mm)]]*Y7^3/12</f>
        <v>721137552.08333337</v>
      </c>
      <c r="AG7" s="111">
        <v>1397</v>
      </c>
      <c r="AH7" s="138"/>
      <c r="AI7" s="107"/>
    </row>
    <row r="8" spans="1:41" x14ac:dyDescent="0.3">
      <c r="A8" s="152" t="s">
        <v>95</v>
      </c>
      <c r="B8" s="143">
        <v>7</v>
      </c>
      <c r="C8" s="111">
        <v>7</v>
      </c>
      <c r="D8" s="111">
        <f>Table1123456[[#This Row],[a (mm)]]/Table1123456[[#This Row],[d (mm)]]</f>
        <v>3.01</v>
      </c>
      <c r="E8" s="111">
        <v>53.376000000000005</v>
      </c>
      <c r="F8" s="137">
        <f>Table1123456[[#This Row],[d (mm)]]</f>
        <v>232</v>
      </c>
      <c r="G8" s="111">
        <f t="shared" si="3"/>
        <v>37273.528319999998</v>
      </c>
      <c r="H8" s="111">
        <f t="shared" si="0"/>
        <v>1.9625453983280681E-6</v>
      </c>
      <c r="I8" s="111">
        <f>G8/(Table1123456[[#This Row],[b (mm)]]*X8^2)</f>
        <v>2.2705166760881852E-3</v>
      </c>
      <c r="J8" s="111">
        <f t="shared" si="1"/>
        <v>0.35918122065727698</v>
      </c>
      <c r="K8" s="111">
        <f t="shared" si="2"/>
        <v>6.2195513133174089E-7</v>
      </c>
      <c r="L8" s="111">
        <f>E8/(Table1123456[[#This Row],[b (mm)]]*X8)</f>
        <v>7.5432447710570955E-4</v>
      </c>
      <c r="M8" s="111">
        <f>Table1123456[[#This Row],[M (KN.mm)]]/(Table1123456[[#This Row],[b (mm)]]*Table1123456[[#This Row],[d (mm)]])</f>
        <v>0.52675986885245896</v>
      </c>
      <c r="N8" s="111">
        <f>Table1123456[[#This Row],[M (KN.mm)]]/(Table1123456[[#This Row],[b (mm)]]*Table1123456[[#This Row],[h (mm)]])</f>
        <v>0.40068291663531308</v>
      </c>
      <c r="O8" s="111">
        <f>Table1123456[[#This Row],[M (KN.mm)]]/(Table1123456[[#This Row],[b (mm)]]*Table1123456[[#This Row],[h (mm)]]*Table1123456[[#This Row],[L(mm)]])</f>
        <v>2.8681669050487692E-4</v>
      </c>
      <c r="P8" s="111">
        <f>Table1123456[[#This Row],[M (KN.mm)]]/(Table1123456[[#This Row],[b (mm)]]*Table1123456[[#This Row],[d (mm)]]*Table1123456[[#This Row],[L(mm)]])</f>
        <v>3.7706504570684249E-4</v>
      </c>
      <c r="Q8" s="111">
        <f>Table1123456[[#This Row],[M (KN.mm)]]/(Table1123456[[#This Row],[b (mm)]]*Table1123456[[#This Row],[h (mm)]]*Table1123456[[#This Row],[L(mm)]]*Table1123456[[#This Row],[fc (Mpa)]])</f>
        <v>4.3391329879709064E-6</v>
      </c>
      <c r="R8" s="111">
        <f>Table1123456[[#This Row],[M (KN.mm)]]/(Table1123456[[#This Row],[b (mm)]]*Table1123456[[#This Row],[h (mm)]]*Table1123456[[#This Row],[L(mm)]]/2)</f>
        <v>5.7363338100975385E-4</v>
      </c>
      <c r="S8" s="111">
        <f>Table1123456[[#This Row],[M (KN.mm)]]/(Table1123456[[#This Row],[a (mm)]]*Table1123456[[#This Row],[b (mm)]]*Table1123456[[#This Row],[h (mm)]]*Table1123456[[#This Row],[L(mm)]]/2)</f>
        <v>8.2144773314491052E-7</v>
      </c>
      <c r="T8" s="111">
        <f>Table1123456[[#This Row],[M (KN.mm)]]/(Table1123456[[#This Row],[a (mm)]]^2*Table1123456[[#This Row],[b (mm)]]*Table1123456[[#This Row],[h (mm)]])</f>
        <v>8.2165947073221461E-7</v>
      </c>
      <c r="U8" s="111">
        <f>Table1123456[[#This Row],[M (KN.mm)]]/(Table1123456[[#This Row],[b (mm)]]*Table1123456[[#This Row],[d (mm)]]*Table1123456[[#This Row],[pho (%)]])</f>
        <v>0.43896655737704915</v>
      </c>
      <c r="V8" s="111">
        <f>E8/(Table1123456[[#This Row],[b (mm)]]*Y8*Table1123456[[#This Row],[fc (Mpa)]]*Table1123456[[#This Row],[a (mm)]])</f>
        <v>1.2430551750865577E-8</v>
      </c>
      <c r="W8" s="111">
        <f>3.01*Table1123456[[#This Row],[d (mm)]]</f>
        <v>698.31999999999994</v>
      </c>
      <c r="X8" s="111">
        <v>232</v>
      </c>
      <c r="Y8" s="111">
        <v>305</v>
      </c>
      <c r="Z8" s="111">
        <v>305</v>
      </c>
      <c r="AA8" s="7">
        <v>66.099999999999994</v>
      </c>
      <c r="AB8" s="111">
        <v>852</v>
      </c>
      <c r="AC8" s="111">
        <v>1.2</v>
      </c>
      <c r="AD8" s="111">
        <v>525</v>
      </c>
      <c r="AE8" s="111">
        <f>(1/3-0.21*(MIN(Table1123456[[#This Row],[b (mm)]],Y8)/MAX(Table1123456[[#This Row],[b (mm)]],Y8))*(MIN(Table1123456[[#This Row],[b (mm)]],Y8)^4/(12*MAX(Table1123456[[#This Row],[b (mm)]],Y8)^4)))*MAX(Table1123456[[#This Row],[b (mm)]],Y8)*MIN(Table1123456[[#This Row],[b (mm)]],Y8)^3</f>
        <v>2733111322.395833</v>
      </c>
      <c r="AF8" s="111">
        <f>Table1123456[[#This Row],[b (mm)]]*Y8^3/12</f>
        <v>721137552.08333337</v>
      </c>
      <c r="AG8" s="111">
        <v>1397</v>
      </c>
      <c r="AH8" s="138"/>
      <c r="AI8" s="107"/>
    </row>
    <row r="9" spans="1:41" x14ac:dyDescent="0.3">
      <c r="A9" s="152" t="s">
        <v>95</v>
      </c>
      <c r="B9" s="143">
        <v>8</v>
      </c>
      <c r="C9" s="111">
        <v>8</v>
      </c>
      <c r="D9" s="111">
        <f>Table1123456[[#This Row],[a (mm)]]/Table1123456[[#This Row],[d (mm)]]</f>
        <v>3.01</v>
      </c>
      <c r="E9" s="160">
        <v>57.824000000000005</v>
      </c>
      <c r="F9" s="137">
        <f>Table1123456[[#This Row],[d (mm)]]</f>
        <v>232</v>
      </c>
      <c r="G9" s="111">
        <f t="shared" si="3"/>
        <v>40379.655680000003</v>
      </c>
      <c r="H9" s="111">
        <f t="shared" si="0"/>
        <v>2.1260908481887407E-6</v>
      </c>
      <c r="I9" s="111">
        <f>G9/(Table1123456[[#This Row],[b (mm)]]*X9^2)</f>
        <v>2.4597263990955346E-3</v>
      </c>
      <c r="J9" s="111">
        <f t="shared" si="1"/>
        <v>0.38911298904538344</v>
      </c>
      <c r="K9" s="111">
        <f t="shared" si="2"/>
        <v>6.7378472560938597E-7</v>
      </c>
      <c r="L9" s="111">
        <f>E9/(Table1123456[[#This Row],[b (mm)]]*X9)</f>
        <v>8.17184850197852E-4</v>
      </c>
      <c r="M9" s="111">
        <f>Table1123456[[#This Row],[M (KN.mm)]]/(Table1123456[[#This Row],[b (mm)]]*Table1123456[[#This Row],[d (mm)]])</f>
        <v>0.57065652459016403</v>
      </c>
      <c r="N9" s="111">
        <f>Table1123456[[#This Row],[M (KN.mm)]]/(Table1123456[[#This Row],[b (mm)]]*Table1123456[[#This Row],[h (mm)]])</f>
        <v>0.43407315968825588</v>
      </c>
      <c r="O9" s="111">
        <f>Table1123456[[#This Row],[M (KN.mm)]]/(Table1123456[[#This Row],[b (mm)]]*Table1123456[[#This Row],[h (mm)]]*Table1123456[[#This Row],[L(mm)]])</f>
        <v>3.1049582238072666E-4</v>
      </c>
      <c r="P9" s="111">
        <f>Table1123456[[#This Row],[M (KN.mm)]]/(Table1123456[[#This Row],[b (mm)]]*Table1123456[[#This Row],[d (mm)]]*Table1123456[[#This Row],[L(mm)]])</f>
        <v>4.081949389056967E-4</v>
      </c>
      <c r="Q9" s="111">
        <f>Table1123456[[#This Row],[M (KN.mm)]]/(Table1123456[[#This Row],[b (mm)]]*Table1123456[[#This Row],[h (mm)]]*Table1123456[[#This Row],[L(mm)]]*Table1123456[[#This Row],[fc (Mpa)]])</f>
        <v>4.6973649376811901E-6</v>
      </c>
      <c r="R9" s="111">
        <f>Table1123456[[#This Row],[M (KN.mm)]]/(Table1123456[[#This Row],[b (mm)]]*Table1123456[[#This Row],[h (mm)]]*Table1123456[[#This Row],[L(mm)]]/2)</f>
        <v>6.2099164476145331E-4</v>
      </c>
      <c r="S9" s="111">
        <f>Table1123456[[#This Row],[M (KN.mm)]]/(Table1123456[[#This Row],[a (mm)]]*Table1123456[[#This Row],[b (mm)]]*Table1123456[[#This Row],[h (mm)]]*Table1123456[[#This Row],[L(mm)]]/2)</f>
        <v>8.8926515746570838E-7</v>
      </c>
      <c r="T9" s="111">
        <f>Table1123456[[#This Row],[M (KN.mm)]]/(Table1123456[[#This Row],[a (mm)]]^2*Table1123456[[#This Row],[b (mm)]]*Table1123456[[#This Row],[h (mm)]])</f>
        <v>8.9013109329323263E-7</v>
      </c>
      <c r="U9" s="111">
        <f>Table1123456[[#This Row],[M (KN.mm)]]/(Table1123456[[#This Row],[b (mm)]]*Table1123456[[#This Row],[d (mm)]]*Table1123456[[#This Row],[pho (%)]])</f>
        <v>0.47554710382513665</v>
      </c>
      <c r="V9" s="111">
        <f>E9/(Table1123456[[#This Row],[b (mm)]]*Y9*Table1123456[[#This Row],[fc (Mpa)]]*Table1123456[[#This Row],[a (mm)]])</f>
        <v>1.346643106343771E-8</v>
      </c>
      <c r="W9" s="111">
        <f>3.01*Table1123456[[#This Row],[d (mm)]]</f>
        <v>698.31999999999994</v>
      </c>
      <c r="X9" s="111">
        <v>232</v>
      </c>
      <c r="Y9" s="111">
        <v>305</v>
      </c>
      <c r="Z9" s="111">
        <v>305</v>
      </c>
      <c r="AA9" s="7">
        <v>66.099999999999994</v>
      </c>
      <c r="AB9" s="111">
        <v>852</v>
      </c>
      <c r="AC9" s="111">
        <v>1.2</v>
      </c>
      <c r="AD9" s="111">
        <v>525</v>
      </c>
      <c r="AE9" s="111">
        <f>(1/3-0.21*(MIN(Table1123456[[#This Row],[b (mm)]],Y9)/MAX(Table1123456[[#This Row],[b (mm)]],Y9))*(MIN(Table1123456[[#This Row],[b (mm)]],Y9)^4/(12*MAX(Table1123456[[#This Row],[b (mm)]],Y9)^4)))*MAX(Table1123456[[#This Row],[b (mm)]],Y9)*MIN(Table1123456[[#This Row],[b (mm)]],Y9)^3</f>
        <v>2733111322.395833</v>
      </c>
      <c r="AF9" s="111">
        <f>Table1123456[[#This Row],[b (mm)]]*Y9^3/12</f>
        <v>721137552.08333337</v>
      </c>
      <c r="AG9" s="111">
        <v>1398</v>
      </c>
      <c r="AH9" s="138"/>
      <c r="AI9" s="107"/>
    </row>
    <row r="10" spans="1:41" ht="14.25" customHeight="1" x14ac:dyDescent="0.3">
      <c r="A10" s="152" t="s">
        <v>95</v>
      </c>
      <c r="B10" s="143">
        <v>9</v>
      </c>
      <c r="C10" s="111">
        <v>9</v>
      </c>
      <c r="D10" s="111">
        <f>Table1123456[[#This Row],[a (mm)]]/Table1123456[[#This Row],[d (mm)]]</f>
        <v>3.01</v>
      </c>
      <c r="E10" s="160">
        <v>62.272000000000006</v>
      </c>
      <c r="F10" s="137">
        <f>Table1123456[[#This Row],[d (mm)]]</f>
        <v>232</v>
      </c>
      <c r="G10" s="111">
        <f t="shared" si="3"/>
        <v>43485.783040000002</v>
      </c>
      <c r="H10" s="111">
        <f t="shared" si="0"/>
        <v>2.2896362980494132E-6</v>
      </c>
      <c r="I10" s="111">
        <f>G10/(Table1123456[[#This Row],[b (mm)]]*X10^2)</f>
        <v>2.6489361221028831E-3</v>
      </c>
      <c r="J10" s="111">
        <f t="shared" si="1"/>
        <v>0.41904475743348985</v>
      </c>
      <c r="K10" s="111">
        <f t="shared" si="2"/>
        <v>7.2561431988703105E-7</v>
      </c>
      <c r="L10" s="111">
        <f>E10/(Table1123456[[#This Row],[b (mm)]]*X10)</f>
        <v>8.8004522328999444E-4</v>
      </c>
      <c r="M10" s="111">
        <f>Table1123456[[#This Row],[M (KN.mm)]]/(Table1123456[[#This Row],[b (mm)]]*Table1123456[[#This Row],[d (mm)]])</f>
        <v>0.61455318032786888</v>
      </c>
      <c r="N10" s="111">
        <f>Table1123456[[#This Row],[M (KN.mm)]]/(Table1123456[[#This Row],[b (mm)]]*Table1123456[[#This Row],[h (mm)]])</f>
        <v>0.46746340274119863</v>
      </c>
      <c r="O10" s="111">
        <f>Table1123456[[#This Row],[M (KN.mm)]]/(Table1123456[[#This Row],[b (mm)]]*Table1123456[[#This Row],[h (mm)]]*Table1123456[[#This Row],[L(mm)]])</f>
        <v>3.3414110274567447E-4</v>
      </c>
      <c r="P10" s="111">
        <f>Table1123456[[#This Row],[M (KN.mm)]]/(Table1123456[[#This Row],[b (mm)]]*Table1123456[[#This Row],[d (mm)]]*Table1123456[[#This Row],[L(mm)]])</f>
        <v>4.3928032904064966E-4</v>
      </c>
      <c r="Q10" s="111">
        <f>Table1123456[[#This Row],[M (KN.mm)]]/(Table1123456[[#This Row],[b (mm)]]*Table1123456[[#This Row],[h (mm)]]*Table1123456[[#This Row],[L(mm)]]*Table1123456[[#This Row],[fc (Mpa)]])</f>
        <v>5.0550847616592205E-6</v>
      </c>
      <c r="R10" s="111">
        <f>Table1123456[[#This Row],[M (KN.mm)]]/(Table1123456[[#This Row],[b (mm)]]*Table1123456[[#This Row],[h (mm)]]*Table1123456[[#This Row],[L(mm)]]/2)</f>
        <v>6.6828220549134895E-4</v>
      </c>
      <c r="S10" s="111">
        <f>Table1123456[[#This Row],[M (KN.mm)]]/(Table1123456[[#This Row],[a (mm)]]*Table1123456[[#This Row],[b (mm)]]*Table1123456[[#This Row],[h (mm)]]*Table1123456[[#This Row],[L(mm)]]/2)</f>
        <v>9.5698563050084367E-7</v>
      </c>
      <c r="T10" s="111">
        <f>Table1123456[[#This Row],[M (KN.mm)]]/(Table1123456[[#This Row],[a (mm)]]^2*Table1123456[[#This Row],[b (mm)]]*Table1123456[[#This Row],[h (mm)]])</f>
        <v>9.5860271585425054E-7</v>
      </c>
      <c r="U10" s="111">
        <f>Table1123456[[#This Row],[M (KN.mm)]]/(Table1123456[[#This Row],[b (mm)]]*Table1123456[[#This Row],[d (mm)]]*Table1123456[[#This Row],[pho (%)]])</f>
        <v>0.51212765027322404</v>
      </c>
      <c r="V10" s="111">
        <f>E10/(Table1123456[[#This Row],[b (mm)]]*Y10*Table1123456[[#This Row],[fc (Mpa)]]*Table1123456[[#This Row],[a (mm)]])</f>
        <v>1.4502310376009841E-8</v>
      </c>
      <c r="W10" s="111">
        <f>3.01*Table1123456[[#This Row],[d (mm)]]</f>
        <v>698.31999999999994</v>
      </c>
      <c r="X10" s="111">
        <v>232</v>
      </c>
      <c r="Y10" s="111">
        <v>305</v>
      </c>
      <c r="Z10" s="111">
        <v>305</v>
      </c>
      <c r="AA10" s="7">
        <v>66.099999999999994</v>
      </c>
      <c r="AB10" s="111">
        <v>852</v>
      </c>
      <c r="AC10" s="111">
        <v>1.2</v>
      </c>
      <c r="AD10" s="111">
        <v>525</v>
      </c>
      <c r="AE10" s="111">
        <f>(1/3-0.21*(MIN(Table1123456[[#This Row],[b (mm)]],Y10)/MAX(Table1123456[[#This Row],[b (mm)]],Y10))*(MIN(Table1123456[[#This Row],[b (mm)]],Y10)^4/(12*MAX(Table1123456[[#This Row],[b (mm)]],Y10)^4)))*MAX(Table1123456[[#This Row],[b (mm)]],Y10)*MIN(Table1123456[[#This Row],[b (mm)]],Y10)^3</f>
        <v>2733111322.395833</v>
      </c>
      <c r="AF10" s="111">
        <f>Table1123456[[#This Row],[b (mm)]]*Y10^3/12</f>
        <v>721137552.08333337</v>
      </c>
      <c r="AG10" s="111">
        <v>1399</v>
      </c>
      <c r="AH10" s="138"/>
      <c r="AI10" s="107"/>
    </row>
    <row r="11" spans="1:41" x14ac:dyDescent="0.3">
      <c r="A11" s="153" t="s">
        <v>96</v>
      </c>
      <c r="B11" s="161">
        <v>1</v>
      </c>
      <c r="C11" s="111">
        <v>12</v>
      </c>
      <c r="D11" s="111">
        <f>Table1123456[[#This Row],[a (mm)]]/Table1123456[[#This Row],[d (mm)]]</f>
        <v>2.98</v>
      </c>
      <c r="E11" s="160">
        <v>45.369599999999998</v>
      </c>
      <c r="F11" s="137">
        <f>Table1123456[[#This Row],[d (mm)]]</f>
        <v>530</v>
      </c>
      <c r="G11" s="111">
        <f t="shared" si="3"/>
        <v>71656.746240000008</v>
      </c>
      <c r="H11" s="111">
        <f t="shared" si="0"/>
        <v>4.6776808882316272E-7</v>
      </c>
      <c r="I11" s="111">
        <f>G11/(Table1123456[[#This Row],[b (mm)]]*X11^2)</f>
        <v>8.3365031446540892E-4</v>
      </c>
      <c r="J11" s="111">
        <f t="shared" si="1"/>
        <v>0.12630038814544947</v>
      </c>
      <c r="K11" s="111">
        <f t="shared" si="2"/>
        <v>2.4801047623916138E-7</v>
      </c>
      <c r="L11" s="111">
        <f>E11/(Table1123456[[#This Row],[b (mm)]]*X11)</f>
        <v>2.7974842767295599E-4</v>
      </c>
      <c r="M11" s="111">
        <f>Table1123456[[#This Row],[M (KN.mm)]]/(Table1123456[[#This Row],[b (mm)]]*Table1123456[[#This Row],[d (mm)]])</f>
        <v>0.44183466666666671</v>
      </c>
      <c r="N11" s="111">
        <f>Table1123456[[#This Row],[M (KN.mm)]]/(Table1123456[[#This Row],[b (mm)]]*Table1123456[[#This Row],[h (mm)]])</f>
        <v>0.38326084015275508</v>
      </c>
      <c r="O11" s="111">
        <f>Table1123456[[#This Row],[M (KN.mm)]]/(Table1123456[[#This Row],[b (mm)]]*Table1123456[[#This Row],[h (mm)]]*Table1123456[[#This Row],[L(mm)]])</f>
        <v>1.2120836184464108E-4</v>
      </c>
      <c r="P11" s="111">
        <f>Table1123456[[#This Row],[M (KN.mm)]]/(Table1123456[[#This Row],[b (mm)]]*Table1123456[[#This Row],[d (mm)]]*Table1123456[[#This Row],[L(mm)]])</f>
        <v>1.3973265865485982E-4</v>
      </c>
      <c r="Q11" s="111">
        <f>Table1123456[[#This Row],[M (KN.mm)]]/(Table1123456[[#This Row],[b (mm)]]*Table1123456[[#This Row],[h (mm)]]*Table1123456[[#This Row],[L(mm)]]*Table1123456[[#This Row],[fc (Mpa)]])</f>
        <v>1.8337119794953265E-6</v>
      </c>
      <c r="R11" s="111">
        <f>Table1123456[[#This Row],[M (KN.mm)]]/(Table1123456[[#This Row],[b (mm)]]*Table1123456[[#This Row],[h (mm)]]*Table1123456[[#This Row],[L(mm)]]/2)</f>
        <v>2.4241672368928216E-4</v>
      </c>
      <c r="S11" s="111">
        <f>Table1123456[[#This Row],[M (KN.mm)]]/(Table1123456[[#This Row],[a (mm)]]*Table1123456[[#This Row],[b (mm)]]*Table1123456[[#This Row],[h (mm)]]*Table1123456[[#This Row],[L(mm)]]/2)</f>
        <v>1.5348659218012037E-7</v>
      </c>
      <c r="T11" s="111">
        <f>Table1123456[[#This Row],[M (KN.mm)]]/(Table1123456[[#This Row],[a (mm)]]^2*Table1123456[[#This Row],[b (mm)]]*Table1123456[[#This Row],[h (mm)]])</f>
        <v>1.5364208068682431E-7</v>
      </c>
      <c r="U11" s="111">
        <f>Table1123456[[#This Row],[M (KN.mm)]]/(Table1123456[[#This Row],[b (mm)]]*Table1123456[[#This Row],[d (mm)]]*Table1123456[[#This Row],[pho (%)]])</f>
        <v>0.35346773333333337</v>
      </c>
      <c r="V11" s="111">
        <f>E11/(Table1123456[[#This Row],[b (mm)]]*Y11*Table1123456[[#This Row],[fc (Mpa)]]*Table1123456[[#This Row],[a (mm)]])</f>
        <v>2.3243885126599741E-9</v>
      </c>
      <c r="W11" s="111">
        <f>2.98*Table1123456[[#This Row],[d (mm)]]</f>
        <v>1579.4</v>
      </c>
      <c r="X11" s="160">
        <v>530</v>
      </c>
      <c r="Y11" s="160">
        <v>611</v>
      </c>
      <c r="Z11" s="160">
        <v>306</v>
      </c>
      <c r="AA11" s="160">
        <v>66.099999999999994</v>
      </c>
      <c r="AB11" s="160">
        <v>2039</v>
      </c>
      <c r="AC11" s="160">
        <v>1.25</v>
      </c>
      <c r="AD11" s="160">
        <v>525</v>
      </c>
      <c r="AE11" s="111">
        <f>(1/3-0.21*(MIN(Table1123456[[#This Row],[b (mm)]],Y11)/MAX(Table1123456[[#This Row],[b (mm)]],Y11))*(MIN(Table1123456[[#This Row],[b (mm)]],Y11)^4/(12*MAX(Table1123456[[#This Row],[b (mm)]],Y11)^4)))*MAX(Table1123456[[#This Row],[b (mm)]],Y11)*MIN(Table1123456[[#This Row],[b (mm)]],Y11)^3</f>
        <v>5825930185.1099443</v>
      </c>
      <c r="AF11" s="111">
        <f>Table1123456[[#This Row],[b (mm)]]*Y11^3/12</f>
        <v>5816527840.5</v>
      </c>
      <c r="AG11" s="160">
        <v>3162</v>
      </c>
      <c r="AH11" s="138"/>
      <c r="AI11" s="107"/>
    </row>
    <row r="12" spans="1:41" x14ac:dyDescent="0.3">
      <c r="A12" s="153" t="s">
        <v>96</v>
      </c>
      <c r="B12" s="161">
        <v>2</v>
      </c>
      <c r="C12" s="111">
        <v>13</v>
      </c>
      <c r="D12" s="111">
        <f>Table1123456[[#This Row],[a (mm)]]/Table1123456[[#This Row],[d (mm)]]</f>
        <v>2.98</v>
      </c>
      <c r="E12" s="160">
        <v>55.600000000000009</v>
      </c>
      <c r="F12" s="137">
        <f>Table1123456[[#This Row],[d (mm)]]</f>
        <v>530</v>
      </c>
      <c r="G12" s="111">
        <f t="shared" si="3"/>
        <v>87814.640000000014</v>
      </c>
      <c r="H12" s="111">
        <f t="shared" si="0"/>
        <v>5.7324520689113081E-7</v>
      </c>
      <c r="I12" s="111">
        <f>G12/(Table1123456[[#This Row],[b (mm)]]*X12^2)</f>
        <v>1.02163028733506E-3</v>
      </c>
      <c r="J12" s="111">
        <f t="shared" si="1"/>
        <v>0.15477988743314886</v>
      </c>
      <c r="K12" s="111">
        <f t="shared" si="2"/>
        <v>3.0393440715583505E-7</v>
      </c>
      <c r="L12" s="111">
        <f>E12/(Table1123456[[#This Row],[b (mm)]]*X12)</f>
        <v>3.4282895548156376E-4</v>
      </c>
      <c r="M12" s="111">
        <f>Table1123456[[#This Row],[M (KN.mm)]]/(Table1123456[[#This Row],[b (mm)]]*Table1123456[[#This Row],[d (mm)]])</f>
        <v>0.54146405228758177</v>
      </c>
      <c r="N12" s="111">
        <f>Table1123456[[#This Row],[M (KN.mm)]]/(Table1123456[[#This Row],[b (mm)]]*Table1123456[[#This Row],[h (mm)]])</f>
        <v>0.46968240214798418</v>
      </c>
      <c r="O12" s="111">
        <f>Table1123456[[#This Row],[M (KN.mm)]]/(Table1123456[[#This Row],[b (mm)]]*Table1123456[[#This Row],[h (mm)]]*Table1123456[[#This Row],[L(mm)]])</f>
        <v>1.4853965912333466E-4</v>
      </c>
      <c r="P12" s="111">
        <f>Table1123456[[#This Row],[M (KN.mm)]]/(Table1123456[[#This Row],[b (mm)]]*Table1123456[[#This Row],[d (mm)]]*Table1123456[[#This Row],[L(mm)]])</f>
        <v>1.7124100325350468E-4</v>
      </c>
      <c r="Q12" s="111">
        <f>Table1123456[[#This Row],[M (KN.mm)]]/(Table1123456[[#This Row],[b (mm)]]*Table1123456[[#This Row],[h (mm)]]*Table1123456[[#This Row],[L(mm)]]*Table1123456[[#This Row],[fc (Mpa)]])</f>
        <v>2.2471960533030966E-6</v>
      </c>
      <c r="R12" s="111">
        <f>Table1123456[[#This Row],[M (KN.mm)]]/(Table1123456[[#This Row],[b (mm)]]*Table1123456[[#This Row],[h (mm)]]*Table1123456[[#This Row],[L(mm)]]/2)</f>
        <v>2.9707931824666931E-4</v>
      </c>
      <c r="S12" s="111">
        <f>Table1123456[[#This Row],[M (KN.mm)]]/(Table1123456[[#This Row],[a (mm)]]*Table1123456[[#This Row],[b (mm)]]*Table1123456[[#This Row],[h (mm)]]*Table1123456[[#This Row],[L(mm)]]/2)</f>
        <v>1.8809631394622595E-7</v>
      </c>
      <c r="T12" s="111">
        <f>Table1123456[[#This Row],[M (KN.mm)]]/(Table1123456[[#This Row],[a (mm)]]^2*Table1123456[[#This Row],[b (mm)]]*Table1123456[[#This Row],[h (mm)]])</f>
        <v>1.8828686358679449E-7</v>
      </c>
      <c r="U12" s="111">
        <f>Table1123456[[#This Row],[M (KN.mm)]]/(Table1123456[[#This Row],[b (mm)]]*Table1123456[[#This Row],[d (mm)]]*Table1123456[[#This Row],[pho (%)]])</f>
        <v>0.43317124183006545</v>
      </c>
      <c r="V12" s="111">
        <f>E12/(Table1123456[[#This Row],[b (mm)]]*Y12*Table1123456[[#This Row],[fc (Mpa)]]*Table1123456[[#This Row],[a (mm)]])</f>
        <v>2.8485153341421256E-9</v>
      </c>
      <c r="W12" s="111">
        <f>2.98*Table1123456[[#This Row],[d (mm)]]</f>
        <v>1579.4</v>
      </c>
      <c r="X12" s="160">
        <v>530</v>
      </c>
      <c r="Y12" s="160">
        <v>611</v>
      </c>
      <c r="Z12" s="160">
        <v>306</v>
      </c>
      <c r="AA12" s="160">
        <v>66.099999999999994</v>
      </c>
      <c r="AB12" s="160">
        <v>2039</v>
      </c>
      <c r="AC12" s="160">
        <v>1.25</v>
      </c>
      <c r="AD12" s="160">
        <v>525</v>
      </c>
      <c r="AE12" s="111">
        <f>(1/3-0.21*(MIN(Table1123456[[#This Row],[b (mm)]],Y12)/MAX(Table1123456[[#This Row],[b (mm)]],Y12))*(MIN(Table1123456[[#This Row],[b (mm)]],Y12)^4/(12*MAX(Table1123456[[#This Row],[b (mm)]],Y12)^4)))*MAX(Table1123456[[#This Row],[b (mm)]],Y12)*MIN(Table1123456[[#This Row],[b (mm)]],Y12)^3</f>
        <v>5825930185.1099443</v>
      </c>
      <c r="AF12" s="111">
        <f>Table1123456[[#This Row],[b (mm)]]*Y12^3/12</f>
        <v>5816527840.5</v>
      </c>
      <c r="AG12" s="160">
        <v>3162</v>
      </c>
      <c r="AH12" s="138"/>
      <c r="AI12" s="107"/>
    </row>
    <row r="13" spans="1:41" x14ac:dyDescent="0.3">
      <c r="A13" s="153" t="s">
        <v>96</v>
      </c>
      <c r="B13" s="161">
        <v>3</v>
      </c>
      <c r="C13" s="111">
        <v>14</v>
      </c>
      <c r="D13" s="111">
        <f>Table1123456[[#This Row],[a (mm)]]/Table1123456[[#This Row],[d (mm)]]</f>
        <v>2.98</v>
      </c>
      <c r="E13" s="160">
        <v>66.72</v>
      </c>
      <c r="F13" s="137">
        <f>Table1123456[[#This Row],[d (mm)]]</f>
        <v>530</v>
      </c>
      <c r="G13" s="111">
        <f t="shared" si="3"/>
        <v>105377.568</v>
      </c>
      <c r="H13" s="111">
        <f t="shared" si="0"/>
        <v>6.8789424826935691E-7</v>
      </c>
      <c r="I13" s="111">
        <f>G13/(Table1123456[[#This Row],[b (mm)]]*X13^2)</f>
        <v>1.2259563448020717E-3</v>
      </c>
      <c r="J13" s="111">
        <f t="shared" si="1"/>
        <v>0.18573586491977861</v>
      </c>
      <c r="K13" s="111">
        <f t="shared" si="2"/>
        <v>3.64721288587002E-7</v>
      </c>
      <c r="L13" s="111">
        <f>E13/(Table1123456[[#This Row],[b (mm)]]*X13)</f>
        <v>4.1139474657787644E-4</v>
      </c>
      <c r="M13" s="111">
        <f>Table1123456[[#This Row],[M (KN.mm)]]/(Table1123456[[#This Row],[b (mm)]]*Table1123456[[#This Row],[d (mm)]])</f>
        <v>0.64975686274509803</v>
      </c>
      <c r="N13" s="111">
        <f>Table1123456[[#This Row],[M (KN.mm)]]/(Table1123456[[#This Row],[b (mm)]]*Table1123456[[#This Row],[h (mm)]])</f>
        <v>0.56361888257758097</v>
      </c>
      <c r="O13" s="111">
        <f>Table1123456[[#This Row],[M (KN.mm)]]/(Table1123456[[#This Row],[b (mm)]]*Table1123456[[#This Row],[h (mm)]]*Table1123456[[#This Row],[L(mm)]])</f>
        <v>1.7824759094800155E-4</v>
      </c>
      <c r="P13" s="111">
        <f>Table1123456[[#This Row],[M (KN.mm)]]/(Table1123456[[#This Row],[b (mm)]]*Table1123456[[#This Row],[d (mm)]]*Table1123456[[#This Row],[L(mm)]])</f>
        <v>2.0548920390420558E-4</v>
      </c>
      <c r="Q13" s="111">
        <f>Table1123456[[#This Row],[M (KN.mm)]]/(Table1123456[[#This Row],[b (mm)]]*Table1123456[[#This Row],[h (mm)]]*Table1123456[[#This Row],[L(mm)]]*Table1123456[[#This Row],[fc (Mpa)]])</f>
        <v>2.6966352639637154E-6</v>
      </c>
      <c r="R13" s="111">
        <f>Table1123456[[#This Row],[M (KN.mm)]]/(Table1123456[[#This Row],[b (mm)]]*Table1123456[[#This Row],[h (mm)]]*Table1123456[[#This Row],[L(mm)]]/2)</f>
        <v>3.5649518189600311E-4</v>
      </c>
      <c r="S13" s="111">
        <f>Table1123456[[#This Row],[M (KN.mm)]]/(Table1123456[[#This Row],[a (mm)]]*Table1123456[[#This Row],[b (mm)]]*Table1123456[[#This Row],[h (mm)]]*Table1123456[[#This Row],[L(mm)]]/2)</f>
        <v>2.2571557673547112E-7</v>
      </c>
      <c r="T13" s="111">
        <f>Table1123456[[#This Row],[M (KN.mm)]]/(Table1123456[[#This Row],[a (mm)]]^2*Table1123456[[#This Row],[b (mm)]]*Table1123456[[#This Row],[h (mm)]])</f>
        <v>2.2594423630415337E-7</v>
      </c>
      <c r="U13" s="111">
        <f>Table1123456[[#This Row],[M (KN.mm)]]/(Table1123456[[#This Row],[b (mm)]]*Table1123456[[#This Row],[d (mm)]]*Table1123456[[#This Row],[pho (%)]])</f>
        <v>0.51980549019607847</v>
      </c>
      <c r="V13" s="111">
        <f>E13/(Table1123456[[#This Row],[b (mm)]]*Y13*Table1123456[[#This Row],[fc (Mpa)]]*Table1123456[[#This Row],[a (mm)]])</f>
        <v>3.4182184009705502E-9</v>
      </c>
      <c r="W13" s="111">
        <f>2.98*Table1123456[[#This Row],[d (mm)]]</f>
        <v>1579.4</v>
      </c>
      <c r="X13" s="160">
        <v>530</v>
      </c>
      <c r="Y13" s="160">
        <v>611</v>
      </c>
      <c r="Z13" s="160">
        <v>306</v>
      </c>
      <c r="AA13" s="160">
        <v>66.099999999999994</v>
      </c>
      <c r="AB13" s="160">
        <v>2039</v>
      </c>
      <c r="AC13" s="160">
        <v>1.25</v>
      </c>
      <c r="AD13" s="160">
        <v>525</v>
      </c>
      <c r="AE13" s="111">
        <f>(1/3-0.21*(MIN(Table1123456[[#This Row],[b (mm)]],Y13)/MAX(Table1123456[[#This Row],[b (mm)]],Y13))*(MIN(Table1123456[[#This Row],[b (mm)]],Y13)^4/(12*MAX(Table1123456[[#This Row],[b (mm)]],Y13)^4)))*MAX(Table1123456[[#This Row],[b (mm)]],Y13)*MIN(Table1123456[[#This Row],[b (mm)]],Y13)^3</f>
        <v>5825930185.1099443</v>
      </c>
      <c r="AF13" s="111">
        <f>Table1123456[[#This Row],[b (mm)]]*Y13^3/12</f>
        <v>5816527840.5</v>
      </c>
      <c r="AG13" s="160">
        <v>3162</v>
      </c>
      <c r="AH13" s="138"/>
      <c r="AI13" s="107"/>
    </row>
    <row r="14" spans="1:41" x14ac:dyDescent="0.3">
      <c r="A14" s="153" t="s">
        <v>96</v>
      </c>
      <c r="B14" s="161">
        <v>4</v>
      </c>
      <c r="C14" s="111">
        <v>15</v>
      </c>
      <c r="D14" s="111">
        <f>Table1123456[[#This Row],[a (mm)]]/Table1123456[[#This Row],[d (mm)]]</f>
        <v>2.98</v>
      </c>
      <c r="E14" s="160">
        <v>77.84</v>
      </c>
      <c r="F14" s="137">
        <f>Table1123456[[#This Row],[d (mm)]]</f>
        <v>530</v>
      </c>
      <c r="G14" s="111">
        <f t="shared" si="3"/>
        <v>122940.49600000001</v>
      </c>
      <c r="H14" s="111">
        <f t="shared" si="0"/>
        <v>8.0254328964758311E-7</v>
      </c>
      <c r="I14" s="111">
        <f>G14/(Table1123456[[#This Row],[b (mm)]]*X14^2)</f>
        <v>1.4302824022690839E-3</v>
      </c>
      <c r="J14" s="111">
        <f t="shared" si="1"/>
        <v>0.2166918424064084</v>
      </c>
      <c r="K14" s="111">
        <f t="shared" si="2"/>
        <v>4.2550817001816905E-7</v>
      </c>
      <c r="L14" s="111">
        <f>E14/(Table1123456[[#This Row],[b (mm)]]*X14)</f>
        <v>4.7996053767418917E-4</v>
      </c>
      <c r="M14" s="111">
        <f>Table1123456[[#This Row],[M (KN.mm)]]/(Table1123456[[#This Row],[b (mm)]]*Table1123456[[#This Row],[d (mm)]])</f>
        <v>0.75804967320261452</v>
      </c>
      <c r="N14" s="111">
        <f>Table1123456[[#This Row],[M (KN.mm)]]/(Table1123456[[#This Row],[b (mm)]]*Table1123456[[#This Row],[h (mm)]])</f>
        <v>0.65755536300717787</v>
      </c>
      <c r="O14" s="111">
        <f>Table1123456[[#This Row],[M (KN.mm)]]/(Table1123456[[#This Row],[b (mm)]]*Table1123456[[#This Row],[h (mm)]]*Table1123456[[#This Row],[L(mm)]])</f>
        <v>2.0795552277266851E-4</v>
      </c>
      <c r="P14" s="111">
        <f>Table1123456[[#This Row],[M (KN.mm)]]/(Table1123456[[#This Row],[b (mm)]]*Table1123456[[#This Row],[d (mm)]]*Table1123456[[#This Row],[L(mm)]])</f>
        <v>2.3973740455490654E-4</v>
      </c>
      <c r="Q14" s="111">
        <f>Table1123456[[#This Row],[M (KN.mm)]]/(Table1123456[[#This Row],[b (mm)]]*Table1123456[[#This Row],[h (mm)]]*Table1123456[[#This Row],[L(mm)]]*Table1123456[[#This Row],[fc (Mpa)]])</f>
        <v>3.1460744746243346E-6</v>
      </c>
      <c r="R14" s="111">
        <f>Table1123456[[#This Row],[M (KN.mm)]]/(Table1123456[[#This Row],[b (mm)]]*Table1123456[[#This Row],[h (mm)]]*Table1123456[[#This Row],[L(mm)]]/2)</f>
        <v>4.1591104554533702E-4</v>
      </c>
      <c r="S14" s="111">
        <f>Table1123456[[#This Row],[M (KN.mm)]]/(Table1123456[[#This Row],[a (mm)]]*Table1123456[[#This Row],[b (mm)]]*Table1123456[[#This Row],[h (mm)]]*Table1123456[[#This Row],[L(mm)]]/2)</f>
        <v>2.6333483952471631E-7</v>
      </c>
      <c r="T14" s="111">
        <f>Table1123456[[#This Row],[M (KN.mm)]]/(Table1123456[[#This Row],[a (mm)]]^2*Table1123456[[#This Row],[b (mm)]]*Table1123456[[#This Row],[h (mm)]])</f>
        <v>2.6360160902151227E-7</v>
      </c>
      <c r="U14" s="111">
        <f>Table1123456[[#This Row],[M (KN.mm)]]/(Table1123456[[#This Row],[b (mm)]]*Table1123456[[#This Row],[d (mm)]]*Table1123456[[#This Row],[pho (%)]])</f>
        <v>0.60643973856209155</v>
      </c>
      <c r="V14" s="111">
        <f>E14/(Table1123456[[#This Row],[b (mm)]]*Y14*Table1123456[[#This Row],[fc (Mpa)]]*Table1123456[[#This Row],[a (mm)]])</f>
        <v>3.9879214677989751E-9</v>
      </c>
      <c r="W14" s="111">
        <f>2.98*Table1123456[[#This Row],[d (mm)]]</f>
        <v>1579.4</v>
      </c>
      <c r="X14" s="160">
        <v>530</v>
      </c>
      <c r="Y14" s="160">
        <v>611</v>
      </c>
      <c r="Z14" s="160">
        <v>306</v>
      </c>
      <c r="AA14" s="160">
        <v>66.099999999999994</v>
      </c>
      <c r="AB14" s="160">
        <v>2039</v>
      </c>
      <c r="AC14" s="160">
        <v>1.25</v>
      </c>
      <c r="AD14" s="160">
        <v>525</v>
      </c>
      <c r="AE14" s="111">
        <f>(1/3-0.21*(MIN(Table1123456[[#This Row],[b (mm)]],Y14)/MAX(Table1123456[[#This Row],[b (mm)]],Y14))*(MIN(Table1123456[[#This Row],[b (mm)]],Y14)^4/(12*MAX(Table1123456[[#This Row],[b (mm)]],Y14)^4)))*MAX(Table1123456[[#This Row],[b (mm)]],Y14)*MIN(Table1123456[[#This Row],[b (mm)]],Y14)^3</f>
        <v>5825930185.1099443</v>
      </c>
      <c r="AF14" s="111">
        <f>Table1123456[[#This Row],[b (mm)]]*Y14^3/12</f>
        <v>5816527840.5</v>
      </c>
      <c r="AG14" s="160">
        <v>3162</v>
      </c>
      <c r="AH14" s="138"/>
      <c r="AI14" s="107"/>
    </row>
    <row r="15" spans="1:41" x14ac:dyDescent="0.3">
      <c r="A15" s="153" t="s">
        <v>96</v>
      </c>
      <c r="B15" s="161">
        <v>5</v>
      </c>
      <c r="C15" s="111">
        <v>16</v>
      </c>
      <c r="D15" s="111">
        <f>Table1123456[[#This Row],[a (mm)]]/Table1123456[[#This Row],[d (mm)]]</f>
        <v>2.98</v>
      </c>
      <c r="E15" s="160">
        <v>88.960000000000008</v>
      </c>
      <c r="F15" s="137">
        <f>Table1123456[[#This Row],[d (mm)]]</f>
        <v>530</v>
      </c>
      <c r="G15" s="111">
        <f t="shared" si="3"/>
        <v>140503.42400000003</v>
      </c>
      <c r="H15" s="111">
        <f t="shared" si="0"/>
        <v>9.1719233102580931E-7</v>
      </c>
      <c r="I15" s="111">
        <f>G15/(Table1123456[[#This Row],[b (mm)]]*X15^2)</f>
        <v>1.634608459736096E-3</v>
      </c>
      <c r="J15" s="111">
        <f t="shared" si="1"/>
        <v>0.24764781989303819</v>
      </c>
      <c r="K15" s="111">
        <f t="shared" si="2"/>
        <v>4.862950514493361E-7</v>
      </c>
      <c r="L15" s="111">
        <f>E15/(Table1123456[[#This Row],[b (mm)]]*X15)</f>
        <v>5.4852632877050195E-4</v>
      </c>
      <c r="M15" s="111">
        <f>Table1123456[[#This Row],[M (KN.mm)]]/(Table1123456[[#This Row],[b (mm)]]*Table1123456[[#This Row],[d (mm)]])</f>
        <v>0.86634248366013089</v>
      </c>
      <c r="N15" s="111">
        <f>Table1123456[[#This Row],[M (KN.mm)]]/(Table1123456[[#This Row],[b (mm)]]*Table1123456[[#This Row],[h (mm)]])</f>
        <v>0.75149184343677478</v>
      </c>
      <c r="O15" s="111">
        <f>Table1123456[[#This Row],[M (KN.mm)]]/(Table1123456[[#This Row],[b (mm)]]*Table1123456[[#This Row],[h (mm)]]*Table1123456[[#This Row],[L(mm)]])</f>
        <v>2.3766345459733546E-4</v>
      </c>
      <c r="P15" s="111">
        <f>Table1123456[[#This Row],[M (KN.mm)]]/(Table1123456[[#This Row],[b (mm)]]*Table1123456[[#This Row],[d (mm)]]*Table1123456[[#This Row],[L(mm)]])</f>
        <v>2.739856052056075E-4</v>
      </c>
      <c r="Q15" s="111">
        <f>Table1123456[[#This Row],[M (KN.mm)]]/(Table1123456[[#This Row],[b (mm)]]*Table1123456[[#This Row],[h (mm)]]*Table1123456[[#This Row],[L(mm)]]*Table1123456[[#This Row],[fc (Mpa)]])</f>
        <v>3.5955136852849543E-6</v>
      </c>
      <c r="R15" s="111">
        <f>Table1123456[[#This Row],[M (KN.mm)]]/(Table1123456[[#This Row],[b (mm)]]*Table1123456[[#This Row],[h (mm)]]*Table1123456[[#This Row],[L(mm)]]/2)</f>
        <v>4.7532690919467092E-4</v>
      </c>
      <c r="S15" s="111">
        <f>Table1123456[[#This Row],[M (KN.mm)]]/(Table1123456[[#This Row],[a (mm)]]*Table1123456[[#This Row],[b (mm)]]*Table1123456[[#This Row],[h (mm)]]*Table1123456[[#This Row],[L(mm)]]/2)</f>
        <v>3.0095410231396156E-7</v>
      </c>
      <c r="T15" s="111">
        <f>Table1123456[[#This Row],[M (KN.mm)]]/(Table1123456[[#This Row],[a (mm)]]^2*Table1123456[[#This Row],[b (mm)]]*Table1123456[[#This Row],[h (mm)]])</f>
        <v>3.0125898173887123E-7</v>
      </c>
      <c r="U15" s="111">
        <f>Table1123456[[#This Row],[M (KN.mm)]]/(Table1123456[[#This Row],[b (mm)]]*Table1123456[[#This Row],[d (mm)]]*Table1123456[[#This Row],[pho (%)]])</f>
        <v>0.69307398692810473</v>
      </c>
      <c r="V15" s="111">
        <f>E15/(Table1123456[[#This Row],[b (mm)]]*Y15*Table1123456[[#This Row],[fc (Mpa)]]*Table1123456[[#This Row],[a (mm)]])</f>
        <v>4.5576245346274005E-9</v>
      </c>
      <c r="W15" s="111">
        <f>2.98*Table1123456[[#This Row],[d (mm)]]</f>
        <v>1579.4</v>
      </c>
      <c r="X15" s="160">
        <v>530</v>
      </c>
      <c r="Y15" s="160">
        <v>611</v>
      </c>
      <c r="Z15" s="160">
        <v>306</v>
      </c>
      <c r="AA15" s="160">
        <v>66.099999999999994</v>
      </c>
      <c r="AB15" s="160">
        <v>2039</v>
      </c>
      <c r="AC15" s="160">
        <v>1.25</v>
      </c>
      <c r="AD15" s="160">
        <v>525</v>
      </c>
      <c r="AE15" s="111">
        <f>(1/3-0.21*(MIN(Table1123456[[#This Row],[b (mm)]],Y15)/MAX(Table1123456[[#This Row],[b (mm)]],Y15))*(MIN(Table1123456[[#This Row],[b (mm)]],Y15)^4/(12*MAX(Table1123456[[#This Row],[b (mm)]],Y15)^4)))*MAX(Table1123456[[#This Row],[b (mm)]],Y15)*MIN(Table1123456[[#This Row],[b (mm)]],Y15)^3</f>
        <v>5825930185.1099443</v>
      </c>
      <c r="AF15" s="111">
        <f>Table1123456[[#This Row],[b (mm)]]*Y15^3/12</f>
        <v>5816527840.5</v>
      </c>
      <c r="AG15" s="160">
        <v>3162</v>
      </c>
      <c r="AH15" s="138"/>
      <c r="AI15" s="107"/>
    </row>
    <row r="16" spans="1:41" s="129" customFormat="1" x14ac:dyDescent="0.3">
      <c r="A16" s="153" t="s">
        <v>96</v>
      </c>
      <c r="B16" s="161">
        <v>6</v>
      </c>
      <c r="C16" s="111">
        <v>17</v>
      </c>
      <c r="D16" s="111">
        <f>Table1123456[[#This Row],[a (mm)]]/Table1123456[[#This Row],[d (mm)]]</f>
        <v>2.98</v>
      </c>
      <c r="E16" s="160">
        <v>100.08000000000001</v>
      </c>
      <c r="F16" s="137">
        <f>Table1123456[[#This Row],[d (mm)]]</f>
        <v>530</v>
      </c>
      <c r="G16" s="111">
        <f t="shared" si="3"/>
        <v>158066.35200000004</v>
      </c>
      <c r="H16" s="111">
        <f t="shared" si="0"/>
        <v>1.0318413724040355E-6</v>
      </c>
      <c r="I16" s="111">
        <f>G16/(Table1123456[[#This Row],[b (mm)]]*X16^2)</f>
        <v>1.8389345172031082E-3</v>
      </c>
      <c r="J16" s="111">
        <f t="shared" si="1"/>
        <v>0.27860379737966801</v>
      </c>
      <c r="K16" s="111">
        <f t="shared" si="2"/>
        <v>5.4708193288050316E-7</v>
      </c>
      <c r="L16" s="111">
        <f>E16/(Table1123456[[#This Row],[b (mm)]]*X16)</f>
        <v>6.1709211986681468E-4</v>
      </c>
      <c r="M16" s="111">
        <f>Table1123456[[#This Row],[M (KN.mm)]]/(Table1123456[[#This Row],[b (mm)]]*Table1123456[[#This Row],[d (mm)]])</f>
        <v>0.97463529411764727</v>
      </c>
      <c r="N16" s="111">
        <f>Table1123456[[#This Row],[M (KN.mm)]]/(Table1123456[[#This Row],[b (mm)]]*Table1123456[[#This Row],[h (mm)]])</f>
        <v>0.84542832386637168</v>
      </c>
      <c r="O16" s="111">
        <f>Table1123456[[#This Row],[M (KN.mm)]]/(Table1123456[[#This Row],[b (mm)]]*Table1123456[[#This Row],[h (mm)]]*Table1123456[[#This Row],[L(mm)]])</f>
        <v>2.6737138642200244E-4</v>
      </c>
      <c r="P16" s="111">
        <f>Table1123456[[#This Row],[M (KN.mm)]]/(Table1123456[[#This Row],[b (mm)]]*Table1123456[[#This Row],[d (mm)]]*Table1123456[[#This Row],[L(mm)]])</f>
        <v>3.0823380585630843E-4</v>
      </c>
      <c r="Q16" s="111">
        <f>Table1123456[[#This Row],[M (KN.mm)]]/(Table1123456[[#This Row],[b (mm)]]*Table1123456[[#This Row],[h (mm)]]*Table1123456[[#This Row],[L(mm)]]*Table1123456[[#This Row],[fc (Mpa)]])</f>
        <v>4.0449528959455744E-6</v>
      </c>
      <c r="R16" s="111">
        <f>Table1123456[[#This Row],[M (KN.mm)]]/(Table1123456[[#This Row],[b (mm)]]*Table1123456[[#This Row],[h (mm)]]*Table1123456[[#This Row],[L(mm)]]/2)</f>
        <v>5.3474277284400488E-4</v>
      </c>
      <c r="S16" s="111">
        <f>Table1123456[[#This Row],[M (KN.mm)]]/(Table1123456[[#This Row],[a (mm)]]*Table1123456[[#This Row],[b (mm)]]*Table1123456[[#This Row],[h (mm)]]*Table1123456[[#This Row],[L(mm)]]/2)</f>
        <v>3.3857336510320675E-7</v>
      </c>
      <c r="T16" s="111">
        <f>Table1123456[[#This Row],[M (KN.mm)]]/(Table1123456[[#This Row],[a (mm)]]^2*Table1123456[[#This Row],[b (mm)]]*Table1123456[[#This Row],[h (mm)]])</f>
        <v>3.3891635445623013E-7</v>
      </c>
      <c r="U16" s="111">
        <f>Table1123456[[#This Row],[M (KN.mm)]]/(Table1123456[[#This Row],[b (mm)]]*Table1123456[[#This Row],[d (mm)]]*Table1123456[[#This Row],[pho (%)]])</f>
        <v>0.77970823529411781</v>
      </c>
      <c r="V16" s="111">
        <f>E16/(Table1123456[[#This Row],[b (mm)]]*Y16*Table1123456[[#This Row],[fc (Mpa)]]*Table1123456[[#This Row],[a (mm)]])</f>
        <v>5.1273276014558259E-9</v>
      </c>
      <c r="W16" s="111">
        <f>2.98*Table1123456[[#This Row],[d (mm)]]</f>
        <v>1579.4</v>
      </c>
      <c r="X16" s="160">
        <v>530</v>
      </c>
      <c r="Y16" s="160">
        <v>611</v>
      </c>
      <c r="Z16" s="160">
        <v>306</v>
      </c>
      <c r="AA16" s="160">
        <v>66.099999999999994</v>
      </c>
      <c r="AB16" s="160">
        <v>2039</v>
      </c>
      <c r="AC16" s="160">
        <v>1.25</v>
      </c>
      <c r="AD16" s="160">
        <v>525</v>
      </c>
      <c r="AE16" s="111">
        <f>(1/3-0.21*(MIN(Table1123456[[#This Row],[b (mm)]],Y16)/MAX(Table1123456[[#This Row],[b (mm)]],Y16))*(MIN(Table1123456[[#This Row],[b (mm)]],Y16)^4/(12*MAX(Table1123456[[#This Row],[b (mm)]],Y16)^4)))*MAX(Table1123456[[#This Row],[b (mm)]],Y16)*MIN(Table1123456[[#This Row],[b (mm)]],Y16)^3</f>
        <v>5825930185.1099443</v>
      </c>
      <c r="AF16" s="111">
        <f>Table1123456[[#This Row],[b (mm)]]*Y16^3/12</f>
        <v>5816527840.5</v>
      </c>
      <c r="AG16" s="160">
        <v>3162</v>
      </c>
      <c r="AH16" s="138"/>
      <c r="AI16" s="128"/>
      <c r="AJ16" s="138"/>
      <c r="AK16" s="1"/>
      <c r="AN16"/>
      <c r="AO16"/>
    </row>
    <row r="17" spans="1:42" s="129" customFormat="1" x14ac:dyDescent="0.3">
      <c r="A17" s="153" t="s">
        <v>96</v>
      </c>
      <c r="B17" s="161">
        <v>7</v>
      </c>
      <c r="C17" s="111">
        <v>18</v>
      </c>
      <c r="D17" s="111">
        <f>Table1123456[[#This Row],[a (mm)]]/Table1123456[[#This Row],[d (mm)]]</f>
        <v>2.98</v>
      </c>
      <c r="E17" s="160">
        <v>111.20000000000002</v>
      </c>
      <c r="F17" s="137">
        <f>Table1123456[[#This Row],[d (mm)]]</f>
        <v>530</v>
      </c>
      <c r="G17" s="111">
        <f t="shared" si="3"/>
        <v>175629.28000000003</v>
      </c>
      <c r="H17" s="111">
        <f t="shared" si="0"/>
        <v>1.1464904137822616E-6</v>
      </c>
      <c r="I17" s="111">
        <f>G17/(Table1123456[[#This Row],[b (mm)]]*X17^2)</f>
        <v>2.04326057467012E-3</v>
      </c>
      <c r="J17" s="111">
        <f t="shared" si="1"/>
        <v>0.30955977486629771</v>
      </c>
      <c r="K17" s="111">
        <f t="shared" si="2"/>
        <v>6.078688143116701E-7</v>
      </c>
      <c r="L17" s="111">
        <f>E17/(Table1123456[[#This Row],[b (mm)]]*X17)</f>
        <v>6.8565791096312752E-4</v>
      </c>
      <c r="M17" s="111">
        <f>Table1123456[[#This Row],[M (KN.mm)]]/(Table1123456[[#This Row],[b (mm)]]*Table1123456[[#This Row],[d (mm)]])</f>
        <v>1.0829281045751635</v>
      </c>
      <c r="N17" s="111">
        <f>Table1123456[[#This Row],[M (KN.mm)]]/(Table1123456[[#This Row],[b (mm)]]*Table1123456[[#This Row],[h (mm)]])</f>
        <v>0.93936480429596836</v>
      </c>
      <c r="O17" s="111">
        <f>Table1123456[[#This Row],[M (KN.mm)]]/(Table1123456[[#This Row],[b (mm)]]*Table1123456[[#This Row],[h (mm)]]*Table1123456[[#This Row],[L(mm)]])</f>
        <v>2.9707931824666931E-4</v>
      </c>
      <c r="P17" s="111">
        <f>Table1123456[[#This Row],[M (KN.mm)]]/(Table1123456[[#This Row],[b (mm)]]*Table1123456[[#This Row],[d (mm)]]*Table1123456[[#This Row],[L(mm)]])</f>
        <v>3.4248200650700936E-4</v>
      </c>
      <c r="Q17" s="111">
        <f>Table1123456[[#This Row],[M (KN.mm)]]/(Table1123456[[#This Row],[b (mm)]]*Table1123456[[#This Row],[h (mm)]]*Table1123456[[#This Row],[L(mm)]]*Table1123456[[#This Row],[fc (Mpa)]])</f>
        <v>4.4943921066061932E-6</v>
      </c>
      <c r="R17" s="111">
        <f>Table1123456[[#This Row],[M (KN.mm)]]/(Table1123456[[#This Row],[b (mm)]]*Table1123456[[#This Row],[h (mm)]]*Table1123456[[#This Row],[L(mm)]]/2)</f>
        <v>5.9415863649333862E-4</v>
      </c>
      <c r="S17" s="111">
        <f>Table1123456[[#This Row],[M (KN.mm)]]/(Table1123456[[#This Row],[a (mm)]]*Table1123456[[#This Row],[b (mm)]]*Table1123456[[#This Row],[h (mm)]]*Table1123456[[#This Row],[L(mm)]]/2)</f>
        <v>3.761926278924519E-7</v>
      </c>
      <c r="T17" s="111">
        <f>Table1123456[[#This Row],[M (KN.mm)]]/(Table1123456[[#This Row],[a (mm)]]^2*Table1123456[[#This Row],[b (mm)]]*Table1123456[[#This Row],[h (mm)]])</f>
        <v>3.7657372717358898E-7</v>
      </c>
      <c r="U17" s="111">
        <f>Table1123456[[#This Row],[M (KN.mm)]]/(Table1123456[[#This Row],[b (mm)]]*Table1123456[[#This Row],[d (mm)]]*Table1123456[[#This Row],[pho (%)]])</f>
        <v>0.86634248366013089</v>
      </c>
      <c r="V17" s="111">
        <f>E17/(Table1123456[[#This Row],[b (mm)]]*Y17*Table1123456[[#This Row],[fc (Mpa)]]*Table1123456[[#This Row],[a (mm)]])</f>
        <v>5.6970306682842512E-9</v>
      </c>
      <c r="W17" s="111">
        <f>2.98*Table1123456[[#This Row],[d (mm)]]</f>
        <v>1579.4</v>
      </c>
      <c r="X17" s="160">
        <v>530</v>
      </c>
      <c r="Y17" s="160">
        <v>611</v>
      </c>
      <c r="Z17" s="160">
        <v>306</v>
      </c>
      <c r="AA17" s="160">
        <v>66.099999999999994</v>
      </c>
      <c r="AB17" s="160">
        <v>2039</v>
      </c>
      <c r="AC17" s="160">
        <v>1.25</v>
      </c>
      <c r="AD17" s="160">
        <v>525</v>
      </c>
      <c r="AE17" s="111">
        <f>(1/3-0.21*(MIN(Table1123456[[#This Row],[b (mm)]],Y17)/MAX(Table1123456[[#This Row],[b (mm)]],Y17))*(MIN(Table1123456[[#This Row],[b (mm)]],Y17)^4/(12*MAX(Table1123456[[#This Row],[b (mm)]],Y17)^4)))*MAX(Table1123456[[#This Row],[b (mm)]],Y17)*MIN(Table1123456[[#This Row],[b (mm)]],Y17)^3</f>
        <v>5825930185.1099443</v>
      </c>
      <c r="AF17" s="111">
        <f>Table1123456[[#This Row],[b (mm)]]*Y17^3/12</f>
        <v>5816527840.5</v>
      </c>
      <c r="AG17" s="160">
        <v>3162</v>
      </c>
      <c r="AH17" s="138"/>
      <c r="AI17" s="128"/>
      <c r="AJ17" s="138"/>
      <c r="AK17" s="1"/>
      <c r="AN17"/>
      <c r="AO17"/>
    </row>
    <row r="18" spans="1:42" s="129" customFormat="1" x14ac:dyDescent="0.3">
      <c r="A18" s="153" t="s">
        <v>96</v>
      </c>
      <c r="B18" s="161">
        <v>8</v>
      </c>
      <c r="C18" s="111">
        <v>19</v>
      </c>
      <c r="D18" s="111">
        <f>Table1123456[[#This Row],[a (mm)]]/Table1123456[[#This Row],[d (mm)]]</f>
        <v>2.98</v>
      </c>
      <c r="E18" s="160">
        <v>122.32000000000001</v>
      </c>
      <c r="F18" s="137">
        <f>Table1123456[[#This Row],[d (mm)]]</f>
        <v>530</v>
      </c>
      <c r="G18" s="111">
        <f t="shared" si="3"/>
        <v>193192.20800000001</v>
      </c>
      <c r="H18" s="111">
        <f t="shared" si="0"/>
        <v>1.2611394551604877E-6</v>
      </c>
      <c r="I18" s="111">
        <f>G18/(Table1123456[[#This Row],[b (mm)]]*X18^2)</f>
        <v>2.2475866321371319E-3</v>
      </c>
      <c r="J18" s="111">
        <f t="shared" si="1"/>
        <v>0.34051575235292747</v>
      </c>
      <c r="K18" s="111">
        <f t="shared" si="2"/>
        <v>6.6865569574283705E-7</v>
      </c>
      <c r="L18" s="111">
        <f>E18/(Table1123456[[#This Row],[b (mm)]]*X18)</f>
        <v>7.5422370205944014E-4</v>
      </c>
      <c r="M18" s="111">
        <f>Table1123456[[#This Row],[M (KN.mm)]]/(Table1123456[[#This Row],[b (mm)]]*Table1123456[[#This Row],[d (mm)]])</f>
        <v>1.1912209150326798</v>
      </c>
      <c r="N18" s="111">
        <f>Table1123456[[#This Row],[M (KN.mm)]]/(Table1123456[[#This Row],[b (mm)]]*Table1123456[[#This Row],[h (mm)]])</f>
        <v>1.0333012847255652</v>
      </c>
      <c r="O18" s="111">
        <f>Table1123456[[#This Row],[M (KN.mm)]]/(Table1123456[[#This Row],[b (mm)]]*Table1123456[[#This Row],[h (mm)]]*Table1123456[[#This Row],[L(mm)]])</f>
        <v>3.2678725007133624E-4</v>
      </c>
      <c r="P18" s="111">
        <f>Table1123456[[#This Row],[M (KN.mm)]]/(Table1123456[[#This Row],[b (mm)]]*Table1123456[[#This Row],[d (mm)]]*Table1123456[[#This Row],[L(mm)]])</f>
        <v>3.7673020715771024E-4</v>
      </c>
      <c r="Q18" s="111">
        <f>Table1123456[[#This Row],[M (KN.mm)]]/(Table1123456[[#This Row],[b (mm)]]*Table1123456[[#This Row],[h (mm)]]*Table1123456[[#This Row],[L(mm)]]*Table1123456[[#This Row],[fc (Mpa)]])</f>
        <v>4.943831317266812E-6</v>
      </c>
      <c r="R18" s="111">
        <f>Table1123456[[#This Row],[M (KN.mm)]]/(Table1123456[[#This Row],[b (mm)]]*Table1123456[[#This Row],[h (mm)]]*Table1123456[[#This Row],[L(mm)]]/2)</f>
        <v>6.5357450014267248E-4</v>
      </c>
      <c r="S18" s="111">
        <f>Table1123456[[#This Row],[M (KN.mm)]]/(Table1123456[[#This Row],[a (mm)]]*Table1123456[[#This Row],[b (mm)]]*Table1123456[[#This Row],[h (mm)]]*Table1123456[[#This Row],[L(mm)]]/2)</f>
        <v>4.1381189068169704E-7</v>
      </c>
      <c r="T18" s="111">
        <f>Table1123456[[#This Row],[M (KN.mm)]]/(Table1123456[[#This Row],[a (mm)]]^2*Table1123456[[#This Row],[b (mm)]]*Table1123456[[#This Row],[h (mm)]])</f>
        <v>4.1423109989094789E-7</v>
      </c>
      <c r="U18" s="111">
        <f>Table1123456[[#This Row],[M (KN.mm)]]/(Table1123456[[#This Row],[b (mm)]]*Table1123456[[#This Row],[d (mm)]]*Table1123456[[#This Row],[pho (%)]])</f>
        <v>0.95297673202614386</v>
      </c>
      <c r="V18" s="111">
        <f>E18/(Table1123456[[#This Row],[b (mm)]]*Y18*Table1123456[[#This Row],[fc (Mpa)]]*Table1123456[[#This Row],[a (mm)]])</f>
        <v>6.2667337351126758E-9</v>
      </c>
      <c r="W18" s="111">
        <f>2.98*Table1123456[[#This Row],[d (mm)]]</f>
        <v>1579.4</v>
      </c>
      <c r="X18" s="160">
        <v>530</v>
      </c>
      <c r="Y18" s="160">
        <v>611</v>
      </c>
      <c r="Z18" s="160">
        <v>306</v>
      </c>
      <c r="AA18" s="160">
        <v>66.099999999999994</v>
      </c>
      <c r="AB18" s="160">
        <v>2039</v>
      </c>
      <c r="AC18" s="160">
        <v>1.25</v>
      </c>
      <c r="AD18" s="160">
        <v>525</v>
      </c>
      <c r="AE18" s="111">
        <f>(1/3-0.21*(MIN(Table1123456[[#This Row],[b (mm)]],Y18)/MAX(Table1123456[[#This Row],[b (mm)]],Y18))*(MIN(Table1123456[[#This Row],[b (mm)]],Y18)^4/(12*MAX(Table1123456[[#This Row],[b (mm)]],Y18)^4)))*MAX(Table1123456[[#This Row],[b (mm)]],Y18)*MIN(Table1123456[[#This Row],[b (mm)]],Y18)^3</f>
        <v>5825930185.1099443</v>
      </c>
      <c r="AF18" s="111">
        <f>Table1123456[[#This Row],[b (mm)]]*Y18^3/12</f>
        <v>5816527840.5</v>
      </c>
      <c r="AG18" s="160">
        <v>3162</v>
      </c>
      <c r="AH18" s="138"/>
      <c r="AI18" s="128"/>
      <c r="AJ18" s="138"/>
      <c r="AK18" s="1"/>
      <c r="AN18"/>
      <c r="AO18"/>
    </row>
    <row r="19" spans="1:42" s="129" customFormat="1" x14ac:dyDescent="0.3">
      <c r="A19" s="154" t="s">
        <v>97</v>
      </c>
      <c r="B19" s="162">
        <v>1</v>
      </c>
      <c r="C19" s="111">
        <v>22</v>
      </c>
      <c r="D19" s="111">
        <f>Table1123456[[#This Row],[a (mm)]]/Table1123456[[#This Row],[d (mm)]]</f>
        <v>2.98</v>
      </c>
      <c r="E19" s="160">
        <v>62.272000000000006</v>
      </c>
      <c r="F19" s="137">
        <f>Table1123456[[#This Row],[d (mm)]]</f>
        <v>681</v>
      </c>
      <c r="G19" s="111">
        <f t="shared" si="3"/>
        <v>126373.55136</v>
      </c>
      <c r="H19" s="111">
        <f t="shared" si="0"/>
        <v>4.2668757934076043E-7</v>
      </c>
      <c r="I19" s="111">
        <f>G19/(Table1123456[[#This Row],[b (mm)]]*X19^2)</f>
        <v>8.9343328278086709E-4</v>
      </c>
      <c r="J19" s="111">
        <f t="shared" si="1"/>
        <v>0.13694991605320933</v>
      </c>
      <c r="K19" s="111">
        <f t="shared" si="2"/>
        <v>2.7533678589460842E-7</v>
      </c>
      <c r="L19" s="111">
        <f>E19/(Table1123456[[#This Row],[b (mm)]]*X19)</f>
        <v>2.998098264365326E-4</v>
      </c>
      <c r="M19" s="111">
        <f>Table1123456[[#This Row],[M (KN.mm)]]/(Table1123456[[#This Row],[b (mm)]]*Table1123456[[#This Row],[d (mm)]])</f>
        <v>0.60842806557377049</v>
      </c>
      <c r="N19" s="111">
        <f>Table1123456[[#This Row],[M (KN.mm)]]/(Table1123456[[#This Row],[b (mm)]]*Table1123456[[#This Row],[h (mm)]])</f>
        <v>0.54375264128049572</v>
      </c>
      <c r="O19" s="111">
        <f>Table1123456[[#This Row],[M (KN.mm)]]/(Table1123456[[#This Row],[b (mm)]]*Table1123456[[#This Row],[h (mm)]]*Table1123456[[#This Row],[L(mm)]])</f>
        <v>1.3379740188988574E-4</v>
      </c>
      <c r="P19" s="111">
        <f>Table1123456[[#This Row],[M (KN.mm)]]/(Table1123456[[#This Row],[b (mm)]]*Table1123456[[#This Row],[d (mm)]]*Table1123456[[#This Row],[L(mm)]])</f>
        <v>1.4971163030850652E-4</v>
      </c>
      <c r="Q19" s="111">
        <f>Table1123456[[#This Row],[M (KN.mm)]]/(Table1123456[[#This Row],[b (mm)]]*Table1123456[[#This Row],[h (mm)]]*Table1123456[[#This Row],[L(mm)]]*Table1123456[[#This Row],[fc (Mpa)]])</f>
        <v>2.0584215675367038E-6</v>
      </c>
      <c r="R19" s="111">
        <f>Table1123456[[#This Row],[M (KN.mm)]]/(Table1123456[[#This Row],[b (mm)]]*Table1123456[[#This Row],[h (mm)]]*Table1123456[[#This Row],[L(mm)]]/2)</f>
        <v>2.6759480377977149E-4</v>
      </c>
      <c r="S19" s="111">
        <f>Table1123456[[#This Row],[M (KN.mm)]]/(Table1123456[[#This Row],[a (mm)]]*Table1123456[[#This Row],[b (mm)]]*Table1123456[[#This Row],[h (mm)]]*Table1123456[[#This Row],[L(mm)]]/2)</f>
        <v>1.3186037301036352E-7</v>
      </c>
      <c r="T19" s="111">
        <f>Table1123456[[#This Row],[M (KN.mm)]]/(Table1123456[[#This Row],[a (mm)]]^2*Table1123456[[#This Row],[b (mm)]]*Table1123456[[#This Row],[h (mm)]])</f>
        <v>1.3203060932750824E-7</v>
      </c>
      <c r="U19" s="111">
        <f>Table1123456[[#This Row],[M (KN.mm)]]/(Table1123456[[#This Row],[b (mm)]]*Table1123456[[#This Row],[d (mm)]]*Table1123456[[#This Row],[pho (%)]])</f>
        <v>0.49066779481755679</v>
      </c>
      <c r="V19" s="111">
        <f>E19/(Table1123456[[#This Row],[b (mm)]]*Y19*Table1123456[[#This Row],[fc (Mpa)]]*Table1123456[[#This Row],[a (mm)]])</f>
        <v>2.0312401435001266E-9</v>
      </c>
      <c r="W19" s="111">
        <f>2.98*Table1123456[[#This Row],[d (mm)]]</f>
        <v>2029.3799999999999</v>
      </c>
      <c r="X19" s="160">
        <v>681</v>
      </c>
      <c r="Y19" s="160">
        <v>762</v>
      </c>
      <c r="Z19" s="160">
        <v>305</v>
      </c>
      <c r="AA19" s="160">
        <v>65</v>
      </c>
      <c r="AB19" s="160">
        <v>2581</v>
      </c>
      <c r="AC19" s="160">
        <v>1.24</v>
      </c>
      <c r="AD19" s="160">
        <v>525</v>
      </c>
      <c r="AE19" s="111">
        <f>(1/3-0.21*(MIN(Table1123456[[#This Row],[b (mm)]],Y19)/MAX(Table1123456[[#This Row],[b (mm)]],Y19))*(MIN(Table1123456[[#This Row],[b (mm)]],Y19)^4/(12*MAX(Table1123456[[#This Row],[b (mm)]],Y19)^4)))*MAX(Table1123456[[#This Row],[b (mm)]],Y19)*MIN(Table1123456[[#This Row],[b (mm)]],Y19)^3</f>
        <v>7202759729.0792322</v>
      </c>
      <c r="AF19" s="111">
        <f>Table1123456[[#This Row],[b (mm)]]*Y19^3/12</f>
        <v>11245622670</v>
      </c>
      <c r="AG19" s="160">
        <v>4064</v>
      </c>
      <c r="AH19" s="138"/>
      <c r="AI19" s="138"/>
      <c r="AJ19" s="138"/>
      <c r="AK19" s="1"/>
      <c r="AN19"/>
      <c r="AO19"/>
    </row>
    <row r="20" spans="1:42" s="129" customFormat="1" x14ac:dyDescent="0.3">
      <c r="A20" s="154" t="s">
        <v>97</v>
      </c>
      <c r="B20" s="162">
        <v>2</v>
      </c>
      <c r="C20" s="111">
        <v>23</v>
      </c>
      <c r="D20" s="111">
        <f>Table1123456[[#This Row],[a (mm)]]/Table1123456[[#This Row],[d (mm)]]</f>
        <v>2.98</v>
      </c>
      <c r="E20" s="160">
        <v>66.72</v>
      </c>
      <c r="F20" s="137">
        <f>Table1123456[[#This Row],[d (mm)]]</f>
        <v>681</v>
      </c>
      <c r="G20" s="111">
        <f t="shared" si="3"/>
        <v>135400.23359999998</v>
      </c>
      <c r="H20" s="111">
        <f t="shared" si="0"/>
        <v>4.5716526357938613E-7</v>
      </c>
      <c r="I20" s="111">
        <f>G20/(Table1123456[[#This Row],[b (mm)]]*X20^2)</f>
        <v>9.5724994583664313E-4</v>
      </c>
      <c r="J20" s="111">
        <f t="shared" si="1"/>
        <v>0.14673205291415284</v>
      </c>
      <c r="K20" s="111">
        <f t="shared" si="2"/>
        <v>2.9500369917279473E-7</v>
      </c>
      <c r="L20" s="111">
        <f>E20/(Table1123456[[#This Row],[b (mm)]]*X20)</f>
        <v>3.2122481403914203E-4</v>
      </c>
      <c r="M20" s="111">
        <f>Table1123456[[#This Row],[M (KN.mm)]]/(Table1123456[[#This Row],[b (mm)]]*Table1123456[[#This Row],[d (mm)]])</f>
        <v>0.65188721311475395</v>
      </c>
      <c r="N20" s="111">
        <f>Table1123456[[#This Row],[M (KN.mm)]]/(Table1123456[[#This Row],[b (mm)]]*Table1123456[[#This Row],[h (mm)]])</f>
        <v>0.58259211565767388</v>
      </c>
      <c r="O20" s="111">
        <f>Table1123456[[#This Row],[M (KN.mm)]]/(Table1123456[[#This Row],[b (mm)]]*Table1123456[[#This Row],[h (mm)]]*Table1123456[[#This Row],[L(mm)]])</f>
        <v>1.4335435916773469E-4</v>
      </c>
      <c r="P20" s="111">
        <f>Table1123456[[#This Row],[M (KN.mm)]]/(Table1123456[[#This Row],[b (mm)]]*Table1123456[[#This Row],[d (mm)]]*Table1123456[[#This Row],[L(mm)]])</f>
        <v>1.6040531818768553E-4</v>
      </c>
      <c r="Q20" s="111">
        <f>Table1123456[[#This Row],[M (KN.mm)]]/(Table1123456[[#This Row],[b (mm)]]*Table1123456[[#This Row],[h (mm)]]*Table1123456[[#This Row],[L(mm)]]*Table1123456[[#This Row],[fc (Mpa)]])</f>
        <v>2.2054516795036107E-6</v>
      </c>
      <c r="R20" s="111">
        <f>Table1123456[[#This Row],[M (KN.mm)]]/(Table1123456[[#This Row],[b (mm)]]*Table1123456[[#This Row],[h (mm)]]*Table1123456[[#This Row],[L(mm)]]/2)</f>
        <v>2.8670871833546939E-4</v>
      </c>
      <c r="S20" s="111">
        <f>Table1123456[[#This Row],[M (KN.mm)]]/(Table1123456[[#This Row],[a (mm)]]*Table1123456[[#This Row],[b (mm)]]*Table1123456[[#This Row],[h (mm)]]*Table1123456[[#This Row],[L(mm)]]/2)</f>
        <v>1.4127897108253233E-7</v>
      </c>
      <c r="T20" s="111">
        <f>Table1123456[[#This Row],[M (KN.mm)]]/(Table1123456[[#This Row],[a (mm)]]^2*Table1123456[[#This Row],[b (mm)]]*Table1123456[[#This Row],[h (mm)]])</f>
        <v>1.4146136713661594E-7</v>
      </c>
      <c r="U20" s="111">
        <f>Table1123456[[#This Row],[M (KN.mm)]]/(Table1123456[[#This Row],[b (mm)]]*Table1123456[[#This Row],[d (mm)]]*Table1123456[[#This Row],[pho (%)]])</f>
        <v>0.52571549444738219</v>
      </c>
      <c r="V20" s="111">
        <f>E20/(Table1123456[[#This Row],[b (mm)]]*Y20*Table1123456[[#This Row],[fc (Mpa)]]*Table1123456[[#This Row],[a (mm)]])</f>
        <v>2.1763287251787071E-9</v>
      </c>
      <c r="W20" s="111">
        <f>2.98*Table1123456[[#This Row],[d (mm)]]</f>
        <v>2029.3799999999999</v>
      </c>
      <c r="X20" s="160">
        <v>681</v>
      </c>
      <c r="Y20" s="160">
        <v>762</v>
      </c>
      <c r="Z20" s="160">
        <v>305</v>
      </c>
      <c r="AA20" s="160">
        <v>65</v>
      </c>
      <c r="AB20" s="160">
        <v>2581</v>
      </c>
      <c r="AC20" s="160">
        <v>1.24</v>
      </c>
      <c r="AD20" s="160">
        <v>525</v>
      </c>
      <c r="AE20" s="111">
        <f>(1/3-0.21*(MIN(Table1123456[[#This Row],[b (mm)]],Y20)/MAX(Table1123456[[#This Row],[b (mm)]],Y20))*(MIN(Table1123456[[#This Row],[b (mm)]],Y20)^4/(12*MAX(Table1123456[[#This Row],[b (mm)]],Y20)^4)))*MAX(Table1123456[[#This Row],[b (mm)]],Y20)*MIN(Table1123456[[#This Row],[b (mm)]],Y20)^3</f>
        <v>7202759729.0792322</v>
      </c>
      <c r="AF20" s="111">
        <f>Table1123456[[#This Row],[b (mm)]]*Y20^3/12</f>
        <v>11245622670</v>
      </c>
      <c r="AG20" s="160">
        <v>4064</v>
      </c>
      <c r="AH20" s="138"/>
      <c r="AI20" s="138"/>
      <c r="AJ20" s="138"/>
      <c r="AK20" s="1"/>
      <c r="AN20"/>
      <c r="AO20"/>
    </row>
    <row r="21" spans="1:42" s="129" customFormat="1" x14ac:dyDescent="0.3">
      <c r="A21" s="154" t="s">
        <v>97</v>
      </c>
      <c r="B21" s="162">
        <v>3</v>
      </c>
      <c r="C21" s="111">
        <v>24</v>
      </c>
      <c r="D21" s="111">
        <f>Table1123456[[#This Row],[a (mm)]]/Table1123456[[#This Row],[d (mm)]]</f>
        <v>2.98</v>
      </c>
      <c r="E21" s="160">
        <v>77.84</v>
      </c>
      <c r="F21" s="137">
        <f>Table1123456[[#This Row],[d (mm)]]</f>
        <v>681</v>
      </c>
      <c r="G21" s="111">
        <f t="shared" si="3"/>
        <v>157966.93919999999</v>
      </c>
      <c r="H21" s="111">
        <f t="shared" si="0"/>
        <v>5.3335947417595056E-7</v>
      </c>
      <c r="I21" s="111">
        <f>G21/(Table1123456[[#This Row],[b (mm)]]*X21^2)</f>
        <v>1.1167916034760838E-3</v>
      </c>
      <c r="J21" s="111">
        <f t="shared" si="1"/>
        <v>0.17118739506651168</v>
      </c>
      <c r="K21" s="111">
        <f t="shared" si="2"/>
        <v>3.441709823682605E-7</v>
      </c>
      <c r="L21" s="111">
        <f>E21/(Table1123456[[#This Row],[b (mm)]]*X21)</f>
        <v>3.7476228304566574E-4</v>
      </c>
      <c r="M21" s="111">
        <f>Table1123456[[#This Row],[M (KN.mm)]]/(Table1123456[[#This Row],[b (mm)]]*Table1123456[[#This Row],[d (mm)]])</f>
        <v>0.76053508196721309</v>
      </c>
      <c r="N21" s="111">
        <f>Table1123456[[#This Row],[M (KN.mm)]]/(Table1123456[[#This Row],[b (mm)]]*Table1123456[[#This Row],[h (mm)]])</f>
        <v>0.67969080160061957</v>
      </c>
      <c r="O21" s="111">
        <f>Table1123456[[#This Row],[M (KN.mm)]]/(Table1123456[[#This Row],[b (mm)]]*Table1123456[[#This Row],[h (mm)]]*Table1123456[[#This Row],[L(mm)]])</f>
        <v>1.6724675236235717E-4</v>
      </c>
      <c r="P21" s="111">
        <f>Table1123456[[#This Row],[M (KN.mm)]]/(Table1123456[[#This Row],[b (mm)]]*Table1123456[[#This Row],[d (mm)]]*Table1123456[[#This Row],[L(mm)]])</f>
        <v>1.8713953788563313E-4</v>
      </c>
      <c r="Q21" s="111">
        <f>Table1123456[[#This Row],[M (KN.mm)]]/(Table1123456[[#This Row],[b (mm)]]*Table1123456[[#This Row],[h (mm)]]*Table1123456[[#This Row],[L(mm)]]*Table1123456[[#This Row],[fc (Mpa)]])</f>
        <v>2.5730269594208795E-6</v>
      </c>
      <c r="R21" s="111">
        <f>Table1123456[[#This Row],[M (KN.mm)]]/(Table1123456[[#This Row],[b (mm)]]*Table1123456[[#This Row],[h (mm)]]*Table1123456[[#This Row],[L(mm)]]/2)</f>
        <v>3.3449350472471433E-4</v>
      </c>
      <c r="S21" s="111">
        <f>Table1123456[[#This Row],[M (KN.mm)]]/(Table1123456[[#This Row],[a (mm)]]*Table1123456[[#This Row],[b (mm)]]*Table1123456[[#This Row],[h (mm)]]*Table1123456[[#This Row],[L(mm)]]/2)</f>
        <v>1.6482546626295441E-7</v>
      </c>
      <c r="T21" s="111">
        <f>Table1123456[[#This Row],[M (KN.mm)]]/(Table1123456[[#This Row],[a (mm)]]^2*Table1123456[[#This Row],[b (mm)]]*Table1123456[[#This Row],[h (mm)]])</f>
        <v>1.6503826165938528E-7</v>
      </c>
      <c r="U21" s="111">
        <f>Table1123456[[#This Row],[M (KN.mm)]]/(Table1123456[[#This Row],[b (mm)]]*Table1123456[[#This Row],[d (mm)]]*Table1123456[[#This Row],[pho (%)]])</f>
        <v>0.61333474352194606</v>
      </c>
      <c r="V21" s="111">
        <f>E21/(Table1123456[[#This Row],[b (mm)]]*Y21*Table1123456[[#This Row],[fc (Mpa)]]*Table1123456[[#This Row],[a (mm)]])</f>
        <v>2.5390501793751583E-9</v>
      </c>
      <c r="W21" s="111">
        <f>2.98*Table1123456[[#This Row],[d (mm)]]</f>
        <v>2029.3799999999999</v>
      </c>
      <c r="X21" s="160">
        <v>681</v>
      </c>
      <c r="Y21" s="160">
        <v>762</v>
      </c>
      <c r="Z21" s="160">
        <v>305</v>
      </c>
      <c r="AA21" s="160">
        <v>65</v>
      </c>
      <c r="AB21" s="160">
        <v>2581</v>
      </c>
      <c r="AC21" s="160">
        <v>1.24</v>
      </c>
      <c r="AD21" s="160">
        <v>525</v>
      </c>
      <c r="AE21" s="111">
        <f>(1/3-0.21*(MIN(Table1123456[[#This Row],[b (mm)]],Y21)/MAX(Table1123456[[#This Row],[b (mm)]],Y21))*(MIN(Table1123456[[#This Row],[b (mm)]],Y21)^4/(12*MAX(Table1123456[[#This Row],[b (mm)]],Y21)^4)))*MAX(Table1123456[[#This Row],[b (mm)]],Y21)*MIN(Table1123456[[#This Row],[b (mm)]],Y21)^3</f>
        <v>7202759729.0792322</v>
      </c>
      <c r="AF21" s="111">
        <f>Table1123456[[#This Row],[b (mm)]]*Y21^3/12</f>
        <v>11245622670</v>
      </c>
      <c r="AG21" s="160">
        <v>4064</v>
      </c>
      <c r="AH21" s="138"/>
      <c r="AI21" s="138"/>
      <c r="AJ21" s="138"/>
      <c r="AK21" s="1"/>
      <c r="AN21"/>
      <c r="AO21"/>
    </row>
    <row r="22" spans="1:42" s="129" customFormat="1" x14ac:dyDescent="0.3">
      <c r="A22" s="154" t="s">
        <v>97</v>
      </c>
      <c r="B22" s="162">
        <v>4</v>
      </c>
      <c r="C22" s="111">
        <v>25</v>
      </c>
      <c r="D22" s="111">
        <f>Table1123456[[#This Row],[a (mm)]]/Table1123456[[#This Row],[d (mm)]]</f>
        <v>2.98</v>
      </c>
      <c r="E22" s="160">
        <v>88.960000000000008</v>
      </c>
      <c r="F22" s="137">
        <f>Table1123456[[#This Row],[d (mm)]]</f>
        <v>681</v>
      </c>
      <c r="G22" s="111">
        <f t="shared" si="3"/>
        <v>180533.64480000001</v>
      </c>
      <c r="H22" s="111">
        <f t="shared" si="0"/>
        <v>6.0955368477251498E-7</v>
      </c>
      <c r="I22" s="111">
        <f>G22/(Table1123456[[#This Row],[b (mm)]]*X22^2)</f>
        <v>1.2763332611155245E-3</v>
      </c>
      <c r="J22" s="111">
        <f t="shared" si="1"/>
        <v>0.19564273721887052</v>
      </c>
      <c r="K22" s="111">
        <f t="shared" si="2"/>
        <v>3.9333826556372632E-7</v>
      </c>
      <c r="L22" s="111">
        <f>E22/(Table1123456[[#This Row],[b (mm)]]*X22)</f>
        <v>4.2829975205218944E-4</v>
      </c>
      <c r="M22" s="111">
        <f>Table1123456[[#This Row],[M (KN.mm)]]/(Table1123456[[#This Row],[b (mm)]]*Table1123456[[#This Row],[d (mm)]])</f>
        <v>0.86918295081967223</v>
      </c>
      <c r="N22" s="111">
        <f>Table1123456[[#This Row],[M (KN.mm)]]/(Table1123456[[#This Row],[b (mm)]]*Table1123456[[#This Row],[h (mm)]])</f>
        <v>0.77678948754356525</v>
      </c>
      <c r="O22" s="111">
        <f>Table1123456[[#This Row],[M (KN.mm)]]/(Table1123456[[#This Row],[b (mm)]]*Table1123456[[#This Row],[h (mm)]]*Table1123456[[#This Row],[L(mm)]])</f>
        <v>1.9113914555697964E-4</v>
      </c>
      <c r="P22" s="111">
        <f>Table1123456[[#This Row],[M (KN.mm)]]/(Table1123456[[#This Row],[b (mm)]]*Table1123456[[#This Row],[d (mm)]]*Table1123456[[#This Row],[L(mm)]])</f>
        <v>2.1387375758358075E-4</v>
      </c>
      <c r="Q22" s="111">
        <f>Table1123456[[#This Row],[M (KN.mm)]]/(Table1123456[[#This Row],[b (mm)]]*Table1123456[[#This Row],[h (mm)]]*Table1123456[[#This Row],[L(mm)]]*Table1123456[[#This Row],[fc (Mpa)]])</f>
        <v>2.9406022393381483E-6</v>
      </c>
      <c r="R22" s="111">
        <f>Table1123456[[#This Row],[M (KN.mm)]]/(Table1123456[[#This Row],[b (mm)]]*Table1123456[[#This Row],[h (mm)]]*Table1123456[[#This Row],[L(mm)]]/2)</f>
        <v>3.8227829111395927E-4</v>
      </c>
      <c r="S22" s="111">
        <f>Table1123456[[#This Row],[M (KN.mm)]]/(Table1123456[[#This Row],[a (mm)]]*Table1123456[[#This Row],[b (mm)]]*Table1123456[[#This Row],[h (mm)]]*Table1123456[[#This Row],[L(mm)]]/2)</f>
        <v>1.8837196144337649E-7</v>
      </c>
      <c r="T22" s="111">
        <f>Table1123456[[#This Row],[M (KN.mm)]]/(Table1123456[[#This Row],[a (mm)]]^2*Table1123456[[#This Row],[b (mm)]]*Table1123456[[#This Row],[h (mm)]])</f>
        <v>1.8861515618215463E-7</v>
      </c>
      <c r="U22" s="111">
        <f>Table1123456[[#This Row],[M (KN.mm)]]/(Table1123456[[#This Row],[b (mm)]]*Table1123456[[#This Row],[d (mm)]]*Table1123456[[#This Row],[pho (%)]])</f>
        <v>0.70095399259650981</v>
      </c>
      <c r="V22" s="111">
        <f>E22/(Table1123456[[#This Row],[b (mm)]]*Y22*Table1123456[[#This Row],[fc (Mpa)]]*Table1123456[[#This Row],[a (mm)]])</f>
        <v>2.9017716335716096E-9</v>
      </c>
      <c r="W22" s="111">
        <f>2.98*Table1123456[[#This Row],[d (mm)]]</f>
        <v>2029.3799999999999</v>
      </c>
      <c r="X22" s="160">
        <v>681</v>
      </c>
      <c r="Y22" s="160">
        <v>762</v>
      </c>
      <c r="Z22" s="160">
        <v>305</v>
      </c>
      <c r="AA22" s="160">
        <v>65</v>
      </c>
      <c r="AB22" s="160">
        <v>2581</v>
      </c>
      <c r="AC22" s="160">
        <v>1.24</v>
      </c>
      <c r="AD22" s="160">
        <v>525</v>
      </c>
      <c r="AE22" s="111">
        <f>(1/3-0.21*(MIN(Table1123456[[#This Row],[b (mm)]],Y22)/MAX(Table1123456[[#This Row],[b (mm)]],Y22))*(MIN(Table1123456[[#This Row],[b (mm)]],Y22)^4/(12*MAX(Table1123456[[#This Row],[b (mm)]],Y22)^4)))*MAX(Table1123456[[#This Row],[b (mm)]],Y22)*MIN(Table1123456[[#This Row],[b (mm)]],Y22)^3</f>
        <v>7202759729.0792322</v>
      </c>
      <c r="AF22" s="111">
        <f>Table1123456[[#This Row],[b (mm)]]*Y22^3/12</f>
        <v>11245622670</v>
      </c>
      <c r="AG22" s="160">
        <v>4064</v>
      </c>
      <c r="AH22" s="138"/>
      <c r="AI22" s="138"/>
      <c r="AJ22" s="138"/>
      <c r="AK22" s="1"/>
      <c r="AN22"/>
      <c r="AO22"/>
    </row>
    <row r="23" spans="1:42" s="129" customFormat="1" x14ac:dyDescent="0.3">
      <c r="A23" s="154" t="s">
        <v>97</v>
      </c>
      <c r="B23" s="162">
        <v>5</v>
      </c>
      <c r="C23" s="111">
        <v>26</v>
      </c>
      <c r="D23" s="111">
        <f>Table1123456[[#This Row],[a (mm)]]/Table1123456[[#This Row],[d (mm)]]</f>
        <v>2.98</v>
      </c>
      <c r="E23" s="160">
        <v>100.08000000000001</v>
      </c>
      <c r="F23" s="137">
        <f>Table1123456[[#This Row],[d (mm)]]</f>
        <v>681</v>
      </c>
      <c r="G23" s="111">
        <f t="shared" si="3"/>
        <v>203100.35040000002</v>
      </c>
      <c r="H23" s="111">
        <f t="shared" si="0"/>
        <v>6.8574789536907941E-7</v>
      </c>
      <c r="I23" s="111">
        <f>G23/(Table1123456[[#This Row],[b (mm)]]*X23^2)</f>
        <v>1.4358749187549651E-3</v>
      </c>
      <c r="J23" s="111">
        <f t="shared" si="1"/>
        <v>0.22009807937122933</v>
      </c>
      <c r="K23" s="111">
        <f t="shared" si="2"/>
        <v>4.4250554875919214E-7</v>
      </c>
      <c r="L23" s="111">
        <f>E23/(Table1123456[[#This Row],[b (mm)]]*X23)</f>
        <v>4.8183722105871315E-4</v>
      </c>
      <c r="M23" s="111">
        <f>Table1123456[[#This Row],[M (KN.mm)]]/(Table1123456[[#This Row],[b (mm)]]*Table1123456[[#This Row],[d (mm)]])</f>
        <v>0.97783081967213126</v>
      </c>
      <c r="N23" s="111">
        <f>Table1123456[[#This Row],[M (KN.mm)]]/(Table1123456[[#This Row],[b (mm)]]*Table1123456[[#This Row],[h (mm)]])</f>
        <v>0.87388817348651104</v>
      </c>
      <c r="O23" s="111">
        <f>Table1123456[[#This Row],[M (KN.mm)]]/(Table1123456[[#This Row],[b (mm)]]*Table1123456[[#This Row],[h (mm)]]*Table1123456[[#This Row],[L(mm)]])</f>
        <v>2.1503153875160211E-4</v>
      </c>
      <c r="P23" s="111">
        <f>Table1123456[[#This Row],[M (KN.mm)]]/(Table1123456[[#This Row],[b (mm)]]*Table1123456[[#This Row],[d (mm)]]*Table1123456[[#This Row],[L(mm)]])</f>
        <v>2.4060797728152838E-4</v>
      </c>
      <c r="Q23" s="111">
        <f>Table1123456[[#This Row],[M (KN.mm)]]/(Table1123456[[#This Row],[b (mm)]]*Table1123456[[#This Row],[h (mm)]]*Table1123456[[#This Row],[L(mm)]]*Table1123456[[#This Row],[fc (Mpa)]])</f>
        <v>3.3081775192554171E-6</v>
      </c>
      <c r="R23" s="111">
        <f>Table1123456[[#This Row],[M (KN.mm)]]/(Table1123456[[#This Row],[b (mm)]]*Table1123456[[#This Row],[h (mm)]]*Table1123456[[#This Row],[L(mm)]]/2)</f>
        <v>4.3006307750320422E-4</v>
      </c>
      <c r="S23" s="111">
        <f>Table1123456[[#This Row],[M (KN.mm)]]/(Table1123456[[#This Row],[a (mm)]]*Table1123456[[#This Row],[b (mm)]]*Table1123456[[#This Row],[h (mm)]]*Table1123456[[#This Row],[L(mm)]]/2)</f>
        <v>2.1191845662379854E-7</v>
      </c>
      <c r="T23" s="111">
        <f>Table1123456[[#This Row],[M (KN.mm)]]/(Table1123456[[#This Row],[a (mm)]]^2*Table1123456[[#This Row],[b (mm)]]*Table1123456[[#This Row],[h (mm)]])</f>
        <v>2.1219205070492397E-7</v>
      </c>
      <c r="U23" s="111">
        <f>Table1123456[[#This Row],[M (KN.mm)]]/(Table1123456[[#This Row],[b (mm)]]*Table1123456[[#This Row],[d (mm)]]*Table1123456[[#This Row],[pho (%)]])</f>
        <v>0.78857324167107357</v>
      </c>
      <c r="V23" s="111">
        <f>E23/(Table1123456[[#This Row],[b (mm)]]*Y23*Table1123456[[#This Row],[fc (Mpa)]]*Table1123456[[#This Row],[a (mm)]])</f>
        <v>3.2644930877680608E-9</v>
      </c>
      <c r="W23" s="111">
        <f>2.98*Table1123456[[#This Row],[d (mm)]]</f>
        <v>2029.3799999999999</v>
      </c>
      <c r="X23" s="160">
        <v>681</v>
      </c>
      <c r="Y23" s="160">
        <v>762</v>
      </c>
      <c r="Z23" s="160">
        <v>305</v>
      </c>
      <c r="AA23" s="160">
        <v>65</v>
      </c>
      <c r="AB23" s="160">
        <v>2581</v>
      </c>
      <c r="AC23" s="160">
        <v>1.24</v>
      </c>
      <c r="AD23" s="160">
        <v>525</v>
      </c>
      <c r="AE23" s="111">
        <f>(1/3-0.21*(MIN(Table1123456[[#This Row],[b (mm)]],Y23)/MAX(Table1123456[[#This Row],[b (mm)]],Y23))*(MIN(Table1123456[[#This Row],[b (mm)]],Y23)^4/(12*MAX(Table1123456[[#This Row],[b (mm)]],Y23)^4)))*MAX(Table1123456[[#This Row],[b (mm)]],Y23)*MIN(Table1123456[[#This Row],[b (mm)]],Y23)^3</f>
        <v>7202759729.0792322</v>
      </c>
      <c r="AF23" s="111">
        <f>Table1123456[[#This Row],[b (mm)]]*Y23^3/12</f>
        <v>11245622670</v>
      </c>
      <c r="AG23" s="160">
        <v>4064</v>
      </c>
      <c r="AH23" s="138"/>
      <c r="AI23" s="138"/>
      <c r="AJ23" s="138"/>
      <c r="AK23" s="1"/>
      <c r="AN23"/>
      <c r="AO23"/>
    </row>
    <row r="24" spans="1:42" s="129" customFormat="1" x14ac:dyDescent="0.3">
      <c r="A24" s="154" t="s">
        <v>97</v>
      </c>
      <c r="B24" s="162">
        <v>6</v>
      </c>
      <c r="C24" s="111">
        <v>27</v>
      </c>
      <c r="D24" s="111">
        <f>Table1123456[[#This Row],[a (mm)]]/Table1123456[[#This Row],[d (mm)]]</f>
        <v>2.98</v>
      </c>
      <c r="E24" s="160">
        <v>111.20000000000002</v>
      </c>
      <c r="F24" s="137">
        <f>Table1123456[[#This Row],[d (mm)]]</f>
        <v>681</v>
      </c>
      <c r="G24" s="111">
        <f t="shared" si="3"/>
        <v>225667.05600000001</v>
      </c>
      <c r="H24" s="111">
        <f t="shared" si="0"/>
        <v>7.6194210596564373E-7</v>
      </c>
      <c r="I24" s="111">
        <f>G24/(Table1123456[[#This Row],[b (mm)]]*X24^2)</f>
        <v>1.5954165763944056E-3</v>
      </c>
      <c r="J24" s="111">
        <f t="shared" si="1"/>
        <v>0.24455342152358814</v>
      </c>
      <c r="K24" s="111">
        <f t="shared" si="2"/>
        <v>4.9167283195465791E-7</v>
      </c>
      <c r="L24" s="111">
        <f>E24/(Table1123456[[#This Row],[b (mm)]]*X24)</f>
        <v>5.3537469006523686E-4</v>
      </c>
      <c r="M24" s="111">
        <f>Table1123456[[#This Row],[M (KN.mm)]]/(Table1123456[[#This Row],[b (mm)]]*Table1123456[[#This Row],[d (mm)]])</f>
        <v>1.0864786885245903</v>
      </c>
      <c r="N24" s="111">
        <f>Table1123456[[#This Row],[M (KN.mm)]]/(Table1123456[[#This Row],[b (mm)]]*Table1123456[[#This Row],[h (mm)]])</f>
        <v>0.97098685942945662</v>
      </c>
      <c r="O24" s="111">
        <f>Table1123456[[#This Row],[M (KN.mm)]]/(Table1123456[[#This Row],[b (mm)]]*Table1123456[[#This Row],[h (mm)]]*Table1123456[[#This Row],[L(mm)]])</f>
        <v>2.3892393194622455E-4</v>
      </c>
      <c r="P24" s="111">
        <f>Table1123456[[#This Row],[M (KN.mm)]]/(Table1123456[[#This Row],[b (mm)]]*Table1123456[[#This Row],[d (mm)]]*Table1123456[[#This Row],[L(mm)]])</f>
        <v>2.6734219697947592E-4</v>
      </c>
      <c r="Q24" s="111">
        <f>Table1123456[[#This Row],[M (KN.mm)]]/(Table1123456[[#This Row],[b (mm)]]*Table1123456[[#This Row],[h (mm)]]*Table1123456[[#This Row],[L(mm)]]*Table1123456[[#This Row],[fc (Mpa)]])</f>
        <v>3.6757527991726855E-6</v>
      </c>
      <c r="R24" s="111">
        <f>Table1123456[[#This Row],[M (KN.mm)]]/(Table1123456[[#This Row],[b (mm)]]*Table1123456[[#This Row],[h (mm)]]*Table1123456[[#This Row],[L(mm)]]/2)</f>
        <v>4.7784786389244911E-4</v>
      </c>
      <c r="S24" s="111">
        <f>Table1123456[[#This Row],[M (KN.mm)]]/(Table1123456[[#This Row],[a (mm)]]*Table1123456[[#This Row],[b (mm)]]*Table1123456[[#This Row],[h (mm)]]*Table1123456[[#This Row],[L(mm)]]/2)</f>
        <v>2.354649518042206E-7</v>
      </c>
      <c r="T24" s="111">
        <f>Table1123456[[#This Row],[M (KN.mm)]]/(Table1123456[[#This Row],[a (mm)]]^2*Table1123456[[#This Row],[b (mm)]]*Table1123456[[#This Row],[h (mm)]])</f>
        <v>2.3576894522769329E-7</v>
      </c>
      <c r="U24" s="111">
        <f>Table1123456[[#This Row],[M (KN.mm)]]/(Table1123456[[#This Row],[b (mm)]]*Table1123456[[#This Row],[d (mm)]]*Table1123456[[#This Row],[pho (%)]])</f>
        <v>0.87619249074563721</v>
      </c>
      <c r="V24" s="111">
        <f>E24/(Table1123456[[#This Row],[b (mm)]]*Y24*Table1123456[[#This Row],[fc (Mpa)]]*Table1123456[[#This Row],[a (mm)]])</f>
        <v>3.6272145419645125E-9</v>
      </c>
      <c r="W24" s="111">
        <f>2.98*Table1123456[[#This Row],[d (mm)]]</f>
        <v>2029.3799999999999</v>
      </c>
      <c r="X24" s="160">
        <v>681</v>
      </c>
      <c r="Y24" s="160">
        <v>762</v>
      </c>
      <c r="Z24" s="160">
        <v>305</v>
      </c>
      <c r="AA24" s="160">
        <v>65</v>
      </c>
      <c r="AB24" s="160">
        <v>2581</v>
      </c>
      <c r="AC24" s="160">
        <v>1.24</v>
      </c>
      <c r="AD24" s="160">
        <v>525</v>
      </c>
      <c r="AE24" s="111">
        <f>(1/3-0.21*(MIN(Table1123456[[#This Row],[b (mm)]],Y24)/MAX(Table1123456[[#This Row],[b (mm)]],Y24))*(MIN(Table1123456[[#This Row],[b (mm)]],Y24)^4/(12*MAX(Table1123456[[#This Row],[b (mm)]],Y24)^4)))*MAX(Table1123456[[#This Row],[b (mm)]],Y24)*MIN(Table1123456[[#This Row],[b (mm)]],Y24)^3</f>
        <v>7202759729.0792322</v>
      </c>
      <c r="AF24" s="111">
        <f>Table1123456[[#This Row],[b (mm)]]*Y24^3/12</f>
        <v>11245622670</v>
      </c>
      <c r="AG24" s="160">
        <v>4064</v>
      </c>
      <c r="AH24" s="138"/>
      <c r="AI24" s="138"/>
      <c r="AJ24" s="138"/>
      <c r="AK24" s="1"/>
      <c r="AN24"/>
      <c r="AO24"/>
    </row>
    <row r="25" spans="1:42" s="129" customFormat="1" x14ac:dyDescent="0.3">
      <c r="A25" s="154" t="s">
        <v>97</v>
      </c>
      <c r="B25" s="162">
        <v>7</v>
      </c>
      <c r="C25" s="111">
        <v>28</v>
      </c>
      <c r="D25" s="111">
        <f>Table1123456[[#This Row],[a (mm)]]/Table1123456[[#This Row],[d (mm)]]</f>
        <v>2.98</v>
      </c>
      <c r="E25" s="160">
        <v>122.32000000000001</v>
      </c>
      <c r="F25" s="137">
        <f>Table1123456[[#This Row],[d (mm)]]</f>
        <v>681</v>
      </c>
      <c r="G25" s="111">
        <f t="shared" si="3"/>
        <v>248233.7616</v>
      </c>
      <c r="H25" s="111">
        <f t="shared" si="0"/>
        <v>8.3813631656220805E-7</v>
      </c>
      <c r="I25" s="111">
        <f>G25/(Table1123456[[#This Row],[b (mm)]]*X25^2)</f>
        <v>1.7549582340338462E-3</v>
      </c>
      <c r="J25" s="111">
        <f t="shared" si="1"/>
        <v>0.26900876367594695</v>
      </c>
      <c r="K25" s="111">
        <f t="shared" si="2"/>
        <v>5.4084011515012368E-7</v>
      </c>
      <c r="L25" s="111">
        <f>E25/(Table1123456[[#This Row],[b (mm)]]*X25)</f>
        <v>5.8891215907176046E-4</v>
      </c>
      <c r="M25" s="111">
        <f>Table1123456[[#This Row],[M (KN.mm)]]/(Table1123456[[#This Row],[b (mm)]]*Table1123456[[#This Row],[d (mm)]])</f>
        <v>1.1951265573770491</v>
      </c>
      <c r="N25" s="111">
        <f>Table1123456[[#This Row],[M (KN.mm)]]/(Table1123456[[#This Row],[b (mm)]]*Table1123456[[#This Row],[h (mm)]])</f>
        <v>1.0680855453724023</v>
      </c>
      <c r="O25" s="111">
        <f>Table1123456[[#This Row],[M (KN.mm)]]/(Table1123456[[#This Row],[b (mm)]]*Table1123456[[#This Row],[h (mm)]]*Table1123456[[#This Row],[L(mm)]])</f>
        <v>2.62816325140847E-4</v>
      </c>
      <c r="P25" s="111">
        <f>Table1123456[[#This Row],[M (KN.mm)]]/(Table1123456[[#This Row],[b (mm)]]*Table1123456[[#This Row],[d (mm)]]*Table1123456[[#This Row],[L(mm)]])</f>
        <v>2.9407641667742352E-4</v>
      </c>
      <c r="Q25" s="111">
        <f>Table1123456[[#This Row],[M (KN.mm)]]/(Table1123456[[#This Row],[b (mm)]]*Table1123456[[#This Row],[h (mm)]]*Table1123456[[#This Row],[L(mm)]]*Table1123456[[#This Row],[fc (Mpa)]])</f>
        <v>4.0433280790899538E-6</v>
      </c>
      <c r="R25" s="111">
        <f>Table1123456[[#This Row],[M (KN.mm)]]/(Table1123456[[#This Row],[b (mm)]]*Table1123456[[#This Row],[h (mm)]]*Table1123456[[#This Row],[L(mm)]]/2)</f>
        <v>5.25632650281694E-4</v>
      </c>
      <c r="S25" s="111">
        <f>Table1123456[[#This Row],[M (KN.mm)]]/(Table1123456[[#This Row],[a (mm)]]*Table1123456[[#This Row],[b (mm)]]*Table1123456[[#This Row],[h (mm)]]*Table1123456[[#This Row],[L(mm)]]/2)</f>
        <v>2.5901144698464265E-7</v>
      </c>
      <c r="T25" s="111">
        <f>Table1123456[[#This Row],[M (KN.mm)]]/(Table1123456[[#This Row],[a (mm)]]^2*Table1123456[[#This Row],[b (mm)]]*Table1123456[[#This Row],[h (mm)]])</f>
        <v>2.5934583975046261E-7</v>
      </c>
      <c r="U25" s="111">
        <f>Table1123456[[#This Row],[M (KN.mm)]]/(Table1123456[[#This Row],[b (mm)]]*Table1123456[[#This Row],[d (mm)]]*Table1123456[[#This Row],[pho (%)]])</f>
        <v>0.96381173982020085</v>
      </c>
      <c r="V25" s="111">
        <f>E25/(Table1123456[[#This Row],[b (mm)]]*Y25*Table1123456[[#This Row],[fc (Mpa)]]*Table1123456[[#This Row],[a (mm)]])</f>
        <v>3.9899359961609629E-9</v>
      </c>
      <c r="W25" s="111">
        <f>2.98*Table1123456[[#This Row],[d (mm)]]</f>
        <v>2029.3799999999999</v>
      </c>
      <c r="X25" s="160">
        <v>681</v>
      </c>
      <c r="Y25" s="160">
        <v>762</v>
      </c>
      <c r="Z25" s="160">
        <v>305</v>
      </c>
      <c r="AA25" s="160">
        <v>65</v>
      </c>
      <c r="AB25" s="160">
        <v>2581</v>
      </c>
      <c r="AC25" s="160">
        <v>1.24</v>
      </c>
      <c r="AD25" s="160">
        <v>525</v>
      </c>
      <c r="AE25" s="111">
        <f>(1/3-0.21*(MIN(Table1123456[[#This Row],[b (mm)]],Y25)/MAX(Table1123456[[#This Row],[b (mm)]],Y25))*(MIN(Table1123456[[#This Row],[b (mm)]],Y25)^4/(12*MAX(Table1123456[[#This Row],[b (mm)]],Y25)^4)))*MAX(Table1123456[[#This Row],[b (mm)]],Y25)*MIN(Table1123456[[#This Row],[b (mm)]],Y25)^3</f>
        <v>7202759729.0792322</v>
      </c>
      <c r="AF25" s="111">
        <f>Table1123456[[#This Row],[b (mm)]]*Y25^3/12</f>
        <v>11245622670</v>
      </c>
      <c r="AG25" s="160">
        <v>4064</v>
      </c>
      <c r="AH25" s="138"/>
      <c r="AI25" s="138"/>
      <c r="AJ25" s="138"/>
      <c r="AK25" s="1"/>
      <c r="AN25"/>
      <c r="AO25"/>
    </row>
    <row r="26" spans="1:42" s="129" customFormat="1" x14ac:dyDescent="0.3">
      <c r="A26" s="154" t="s">
        <v>97</v>
      </c>
      <c r="B26" s="162">
        <v>8</v>
      </c>
      <c r="C26" s="111">
        <v>29</v>
      </c>
      <c r="D26" s="111">
        <f>Table1123456[[#This Row],[a (mm)]]/Table1123456[[#This Row],[d (mm)]]</f>
        <v>2.98</v>
      </c>
      <c r="E26" s="160">
        <v>133.44</v>
      </c>
      <c r="F26" s="137">
        <f>Table1123456[[#This Row],[d (mm)]]</f>
        <v>681</v>
      </c>
      <c r="G26" s="111">
        <f t="shared" si="3"/>
        <v>270800.46719999996</v>
      </c>
      <c r="H26" s="111">
        <f t="shared" si="0"/>
        <v>9.1433052715877226E-7</v>
      </c>
      <c r="I26" s="111">
        <f>G26/(Table1123456[[#This Row],[b (mm)]]*X26^2)</f>
        <v>1.9144998916732863E-3</v>
      </c>
      <c r="J26" s="111">
        <f t="shared" si="1"/>
        <v>0.29346410582830568</v>
      </c>
      <c r="K26" s="111">
        <f t="shared" si="2"/>
        <v>5.9000739834558945E-7</v>
      </c>
      <c r="L26" s="111">
        <f>E26/(Table1123456[[#This Row],[b (mm)]]*X26)</f>
        <v>6.4244962807828406E-4</v>
      </c>
      <c r="M26" s="111">
        <f>Table1123456[[#This Row],[M (KN.mm)]]/(Table1123456[[#This Row],[b (mm)]]*Table1123456[[#This Row],[d (mm)]])</f>
        <v>1.3037744262295079</v>
      </c>
      <c r="N26" s="111">
        <f>Table1123456[[#This Row],[M (KN.mm)]]/(Table1123456[[#This Row],[b (mm)]]*Table1123456[[#This Row],[h (mm)]])</f>
        <v>1.1651842313153478</v>
      </c>
      <c r="O26" s="111">
        <f>Table1123456[[#This Row],[M (KN.mm)]]/(Table1123456[[#This Row],[b (mm)]]*Table1123456[[#This Row],[h (mm)]]*Table1123456[[#This Row],[L(mm)]])</f>
        <v>2.8670871833546939E-4</v>
      </c>
      <c r="P26" s="111">
        <f>Table1123456[[#This Row],[M (KN.mm)]]/(Table1123456[[#This Row],[b (mm)]]*Table1123456[[#This Row],[d (mm)]]*Table1123456[[#This Row],[L(mm)]])</f>
        <v>3.2081063637537106E-4</v>
      </c>
      <c r="Q26" s="111">
        <f>Table1123456[[#This Row],[M (KN.mm)]]/(Table1123456[[#This Row],[b (mm)]]*Table1123456[[#This Row],[h (mm)]]*Table1123456[[#This Row],[L(mm)]]*Table1123456[[#This Row],[fc (Mpa)]])</f>
        <v>4.4109033590072214E-6</v>
      </c>
      <c r="R26" s="111">
        <f>Table1123456[[#This Row],[M (KN.mm)]]/(Table1123456[[#This Row],[b (mm)]]*Table1123456[[#This Row],[h (mm)]]*Table1123456[[#This Row],[L(mm)]]/2)</f>
        <v>5.7341743667093878E-4</v>
      </c>
      <c r="S26" s="111">
        <f>Table1123456[[#This Row],[M (KN.mm)]]/(Table1123456[[#This Row],[a (mm)]]*Table1123456[[#This Row],[b (mm)]]*Table1123456[[#This Row],[h (mm)]]*Table1123456[[#This Row],[L(mm)]]/2)</f>
        <v>2.8255794216506465E-7</v>
      </c>
      <c r="T26" s="111">
        <f>Table1123456[[#This Row],[M (KN.mm)]]/(Table1123456[[#This Row],[a (mm)]]^2*Table1123456[[#This Row],[b (mm)]]*Table1123456[[#This Row],[h (mm)]])</f>
        <v>2.8292273427323188E-7</v>
      </c>
      <c r="U26" s="111">
        <f>Table1123456[[#This Row],[M (KN.mm)]]/(Table1123456[[#This Row],[b (mm)]]*Table1123456[[#This Row],[d (mm)]]*Table1123456[[#This Row],[pho (%)]])</f>
        <v>1.0514309888947644</v>
      </c>
      <c r="V26" s="111">
        <f>E26/(Table1123456[[#This Row],[b (mm)]]*Y26*Table1123456[[#This Row],[fc (Mpa)]]*Table1123456[[#This Row],[a (mm)]])</f>
        <v>4.3526574503574141E-9</v>
      </c>
      <c r="W26" s="111">
        <f>2.98*Table1123456[[#This Row],[d (mm)]]</f>
        <v>2029.3799999999999</v>
      </c>
      <c r="X26" s="160">
        <v>681</v>
      </c>
      <c r="Y26" s="160">
        <v>762</v>
      </c>
      <c r="Z26" s="160">
        <v>305</v>
      </c>
      <c r="AA26" s="160">
        <v>65</v>
      </c>
      <c r="AB26" s="160">
        <v>2581</v>
      </c>
      <c r="AC26" s="160">
        <v>1.24</v>
      </c>
      <c r="AD26" s="160">
        <v>525</v>
      </c>
      <c r="AE26" s="111">
        <f>(1/3-0.21*(MIN(Table1123456[[#This Row],[b (mm)]],Y26)/MAX(Table1123456[[#This Row],[b (mm)]],Y26))*(MIN(Table1123456[[#This Row],[b (mm)]],Y26)^4/(12*MAX(Table1123456[[#This Row],[b (mm)]],Y26)^4)))*MAX(Table1123456[[#This Row],[b (mm)]],Y26)*MIN(Table1123456[[#This Row],[b (mm)]],Y26)^3</f>
        <v>7202759729.0792322</v>
      </c>
      <c r="AF26" s="111">
        <f>Table1123456[[#This Row],[b (mm)]]*Y26^3/12</f>
        <v>11245622670</v>
      </c>
      <c r="AG26" s="160">
        <v>4064</v>
      </c>
      <c r="AH26" s="138"/>
      <c r="AI26" s="138"/>
      <c r="AJ26" s="138"/>
      <c r="AK26" s="1"/>
      <c r="AN26"/>
      <c r="AO26"/>
    </row>
    <row r="27" spans="1:42" x14ac:dyDescent="0.3">
      <c r="A27" s="155" t="s">
        <v>98</v>
      </c>
      <c r="B27" s="163">
        <v>1</v>
      </c>
      <c r="C27" s="111">
        <v>32</v>
      </c>
      <c r="D27" s="111">
        <f>Table1123456[[#This Row],[a (mm)]]/Table1123456[[#This Row],[d (mm)]]</f>
        <v>3</v>
      </c>
      <c r="E27" s="160">
        <v>56.044800000000002</v>
      </c>
      <c r="F27" s="137">
        <f>Table1123456[[#This Row],[d (mm)]]</f>
        <v>822</v>
      </c>
      <c r="G27" s="111">
        <f t="shared" si="3"/>
        <v>138206.4768</v>
      </c>
      <c r="H27" s="111">
        <f t="shared" si="0"/>
        <v>2.6951748559986098E-7</v>
      </c>
      <c r="I27" s="111">
        <f>G27/(Table1123456[[#This Row],[b (mm)]]*X27^2)</f>
        <v>6.6844139115500214E-4</v>
      </c>
      <c r="J27" s="111">
        <f t="shared" si="1"/>
        <v>9.772841013121758E-2</v>
      </c>
      <c r="K27" s="111">
        <f t="shared" si="2"/>
        <v>2.0450897215964618E-7</v>
      </c>
      <c r="L27" s="111">
        <f>E27/(Table1123456[[#This Row],[b (mm)]]*X27)</f>
        <v>2.2281379705166738E-4</v>
      </c>
      <c r="M27" s="111">
        <f>Table1123456[[#This Row],[M (KN.mm)]]/(Table1123456[[#This Row],[b (mm)]]*Table1123456[[#This Row],[d (mm)]])</f>
        <v>0.54945882352941178</v>
      </c>
      <c r="N27" s="111">
        <f>Table1123456[[#This Row],[M (KN.mm)]]/(Table1123456[[#This Row],[b (mm)]]*Table1123456[[#This Row],[h (mm)]])</f>
        <v>0.49415224610632003</v>
      </c>
      <c r="O27" s="111">
        <f>Table1123456[[#This Row],[M (KN.mm)]]/(Table1123456[[#This Row],[b (mm)]]*Table1123456[[#This Row],[h (mm)]]*Table1123456[[#This Row],[L(mm)]])</f>
        <v>1.002744005897565E-4</v>
      </c>
      <c r="P27" s="111">
        <f>Table1123456[[#This Row],[M (KN.mm)]]/(Table1123456[[#This Row],[b (mm)]]*Table1123456[[#This Row],[d (mm)]]*Table1123456[[#This Row],[L(mm)]])</f>
        <v>1.1149732620320856E-4</v>
      </c>
      <c r="Q27" s="111">
        <f>Table1123456[[#This Row],[M (KN.mm)]]/(Table1123456[[#This Row],[b (mm)]]*Table1123456[[#This Row],[h (mm)]]*Table1123456[[#This Row],[L(mm)]]*Table1123456[[#This Row],[fc (Mpa)]])</f>
        <v>1.3405668528042313E-6</v>
      </c>
      <c r="R27" s="111">
        <f>Table1123456[[#This Row],[M (KN.mm)]]/(Table1123456[[#This Row],[b (mm)]]*Table1123456[[#This Row],[h (mm)]]*Table1123456[[#This Row],[L(mm)]]/2)</f>
        <v>2.00548801179513E-4</v>
      </c>
      <c r="S27" s="111">
        <f>Table1123456[[#This Row],[M (KN.mm)]]/(Table1123456[[#This Row],[a (mm)]]*Table1123456[[#This Row],[b (mm)]]*Table1123456[[#This Row],[h (mm)]]*Table1123456[[#This Row],[L(mm)]]/2)</f>
        <v>8.132554792356569E-8</v>
      </c>
      <c r="T27" s="111">
        <f>Table1123456[[#This Row],[M (KN.mm)]]/(Table1123456[[#This Row],[a (mm)]]^2*Table1123456[[#This Row],[b (mm)]]*Table1123456[[#This Row],[h (mm)]])</f>
        <v>8.1259590463773669E-8</v>
      </c>
      <c r="U27" s="111">
        <f>Table1123456[[#This Row],[M (KN.mm)]]/(Table1123456[[#This Row],[b (mm)]]*Table1123456[[#This Row],[d (mm)]]*Table1123456[[#This Row],[pho (%)]])</f>
        <v>0.42266063348416288</v>
      </c>
      <c r="V27" s="111">
        <f>E27/(Table1123456[[#This Row],[b (mm)]]*Y27*Table1123456[[#This Row],[fc (Mpa)]]*Table1123456[[#This Row],[a (mm)]])</f>
        <v>1.0863581612803966E-9</v>
      </c>
      <c r="W27" s="111">
        <f>3*Table1123456[[#This Row],[d (mm)]]</f>
        <v>2466</v>
      </c>
      <c r="X27" s="160">
        <v>822</v>
      </c>
      <c r="Y27" s="160">
        <v>914</v>
      </c>
      <c r="Z27" s="160">
        <v>306</v>
      </c>
      <c r="AA27" s="160">
        <v>74.8</v>
      </c>
      <c r="AB27" s="160">
        <v>3277</v>
      </c>
      <c r="AC27" s="160">
        <v>1.3</v>
      </c>
      <c r="AD27" s="160">
        <v>525</v>
      </c>
      <c r="AE27" s="111">
        <f>(1/3-0.21*(MIN(Table1123456[[#This Row],[b (mm)]],Y27)/MAX(Table1123456[[#This Row],[b (mm)]],Y27))*(MIN(Table1123456[[#This Row],[b (mm)]],Y27)^4/(12*MAX(Table1123456[[#This Row],[b (mm)]],Y27)^4)))*MAX(Table1123456[[#This Row],[b (mm)]],Y27)*MIN(Table1123456[[#This Row],[b (mm)]],Y27)^3</f>
        <v>8727569373.5573311</v>
      </c>
      <c r="AF27" s="111">
        <f>Table1123456[[#This Row],[b (mm)]]*Y27^3/12</f>
        <v>19470574572</v>
      </c>
      <c r="AG27" s="160">
        <v>4928</v>
      </c>
      <c r="AH27" s="1"/>
      <c r="AI27" s="1"/>
    </row>
    <row r="28" spans="1:42" x14ac:dyDescent="0.3">
      <c r="A28" s="155" t="s">
        <v>98</v>
      </c>
      <c r="B28" s="163">
        <v>2</v>
      </c>
      <c r="C28" s="111">
        <v>33</v>
      </c>
      <c r="D28" s="111">
        <f>Table1123456[[#This Row],[a (mm)]]/Table1123456[[#This Row],[d (mm)]]</f>
        <v>3</v>
      </c>
      <c r="E28" s="160">
        <v>66.72</v>
      </c>
      <c r="F28" s="137">
        <f>Table1123456[[#This Row],[d (mm)]]</f>
        <v>822</v>
      </c>
      <c r="G28" s="111">
        <f t="shared" si="3"/>
        <v>164531.51999999999</v>
      </c>
      <c r="H28" s="111">
        <f t="shared" si="0"/>
        <v>3.2085414952364401E-7</v>
      </c>
      <c r="I28" s="111">
        <f>G28/(Table1123456[[#This Row],[b (mm)]]*X28^2)</f>
        <v>7.9576356089881199E-4</v>
      </c>
      <c r="J28" s="111">
        <f t="shared" si="1"/>
        <v>0.11634334539430663</v>
      </c>
      <c r="K28" s="111">
        <f t="shared" si="2"/>
        <v>2.4346306209481684E-7</v>
      </c>
      <c r="L28" s="111">
        <f>E28/(Table1123456[[#This Row],[b (mm)]]*X28)</f>
        <v>2.65254520299604E-4</v>
      </c>
      <c r="M28" s="111">
        <f>Table1123456[[#This Row],[M (KN.mm)]]/(Table1123456[[#This Row],[b (mm)]]*Table1123456[[#This Row],[d (mm)]])</f>
        <v>0.65411764705882347</v>
      </c>
      <c r="N28" s="111">
        <f>Table1123456[[#This Row],[M (KN.mm)]]/(Table1123456[[#This Row],[b (mm)]]*Table1123456[[#This Row],[h (mm)]])</f>
        <v>0.58827648345990469</v>
      </c>
      <c r="O28" s="111">
        <f>Table1123456[[#This Row],[M (KN.mm)]]/(Table1123456[[#This Row],[b (mm)]]*Table1123456[[#This Row],[h (mm)]]*Table1123456[[#This Row],[L(mm)]])</f>
        <v>1.1937428641637677E-4</v>
      </c>
      <c r="P28" s="111">
        <f>Table1123456[[#This Row],[M (KN.mm)]]/(Table1123456[[#This Row],[b (mm)]]*Table1123456[[#This Row],[d (mm)]]*Table1123456[[#This Row],[L(mm)]])</f>
        <v>1.3273491214667684E-4</v>
      </c>
      <c r="Q28" s="111">
        <f>Table1123456[[#This Row],[M (KN.mm)]]/(Table1123456[[#This Row],[b (mm)]]*Table1123456[[#This Row],[h (mm)]]*Table1123456[[#This Row],[L(mm)]]*Table1123456[[#This Row],[fc (Mpa)]])</f>
        <v>1.5959129200050372E-6</v>
      </c>
      <c r="R28" s="111">
        <f>Table1123456[[#This Row],[M (KN.mm)]]/(Table1123456[[#This Row],[b (mm)]]*Table1123456[[#This Row],[h (mm)]]*Table1123456[[#This Row],[L(mm)]]/2)</f>
        <v>2.3874857283275353E-4</v>
      </c>
      <c r="S28" s="111">
        <f>Table1123456[[#This Row],[M (KN.mm)]]/(Table1123456[[#This Row],[a (mm)]]*Table1123456[[#This Row],[b (mm)]]*Table1123456[[#This Row],[h (mm)]]*Table1123456[[#This Row],[L(mm)]]/2)</f>
        <v>9.681612848043534E-8</v>
      </c>
      <c r="T28" s="111">
        <f>Table1123456[[#This Row],[M (KN.mm)]]/(Table1123456[[#This Row],[a (mm)]]^2*Table1123456[[#This Row],[b (mm)]]*Table1123456[[#This Row],[h (mm)]])</f>
        <v>9.6737607694968636E-8</v>
      </c>
      <c r="U28" s="111">
        <f>Table1123456[[#This Row],[M (KN.mm)]]/(Table1123456[[#This Row],[b (mm)]]*Table1123456[[#This Row],[d (mm)]]*Table1123456[[#This Row],[pho (%)]])</f>
        <v>0.50316742081447952</v>
      </c>
      <c r="V28" s="111">
        <f>E28/(Table1123456[[#This Row],[b (mm)]]*Y28*Table1123456[[#This Row],[fc (Mpa)]]*Table1123456[[#This Row],[a (mm)]])</f>
        <v>1.2932835253338054E-9</v>
      </c>
      <c r="W28" s="111">
        <f>3*Table1123456[[#This Row],[d (mm)]]</f>
        <v>2466</v>
      </c>
      <c r="X28" s="160">
        <v>822</v>
      </c>
      <c r="Y28" s="160">
        <v>914</v>
      </c>
      <c r="Z28" s="160">
        <v>306</v>
      </c>
      <c r="AA28" s="160">
        <v>74.8</v>
      </c>
      <c r="AB28" s="160">
        <v>3277</v>
      </c>
      <c r="AC28" s="160">
        <v>1.3</v>
      </c>
      <c r="AD28" s="160">
        <v>525</v>
      </c>
      <c r="AE28" s="111">
        <f>(1/3-0.21*(MIN(Table1123456[[#This Row],[b (mm)]],Y28)/MAX(Table1123456[[#This Row],[b (mm)]],Y28))*(MIN(Table1123456[[#This Row],[b (mm)]],Y28)^4/(12*MAX(Table1123456[[#This Row],[b (mm)]],Y28)^4)))*MAX(Table1123456[[#This Row],[b (mm)]],Y28)*MIN(Table1123456[[#This Row],[b (mm)]],Y28)^3</f>
        <v>8727569373.5573311</v>
      </c>
      <c r="AF28" s="111">
        <f>Table1123456[[#This Row],[b (mm)]]*Y28^3/12</f>
        <v>19470574572</v>
      </c>
      <c r="AG28" s="160">
        <v>4928</v>
      </c>
      <c r="AH28" s="1"/>
      <c r="AI28" s="1"/>
    </row>
    <row r="29" spans="1:42" x14ac:dyDescent="0.3">
      <c r="A29" s="155" t="s">
        <v>98</v>
      </c>
      <c r="B29" s="163">
        <v>3</v>
      </c>
      <c r="C29" s="111">
        <v>34</v>
      </c>
      <c r="D29" s="111">
        <f>Table1123456[[#This Row],[a (mm)]]/Table1123456[[#This Row],[d (mm)]]</f>
        <v>3</v>
      </c>
      <c r="E29" s="160">
        <v>77.84</v>
      </c>
      <c r="F29" s="137">
        <f>Table1123456[[#This Row],[d (mm)]]</f>
        <v>822</v>
      </c>
      <c r="G29" s="111">
        <f t="shared" si="3"/>
        <v>191953.44</v>
      </c>
      <c r="H29" s="111">
        <f t="shared" si="0"/>
        <v>3.7432984111091806E-7</v>
      </c>
      <c r="I29" s="111">
        <f>G29/(Table1123456[[#This Row],[b (mm)]]*X29^2)</f>
        <v>9.2839082104861415E-4</v>
      </c>
      <c r="J29" s="111">
        <f t="shared" si="1"/>
        <v>0.13573390296002441</v>
      </c>
      <c r="K29" s="111">
        <f t="shared" si="2"/>
        <v>2.8404023911061966E-7</v>
      </c>
      <c r="L29" s="111">
        <f>E29/(Table1123456[[#This Row],[b (mm)]]*X29)</f>
        <v>3.0946360701620472E-4</v>
      </c>
      <c r="M29" s="111">
        <f>Table1123456[[#This Row],[M (KN.mm)]]/(Table1123456[[#This Row],[b (mm)]]*Table1123456[[#This Row],[d (mm)]])</f>
        <v>0.76313725490196083</v>
      </c>
      <c r="N29" s="111">
        <f>Table1123456[[#This Row],[M (KN.mm)]]/(Table1123456[[#This Row],[b (mm)]]*Table1123456[[#This Row],[h (mm)]])</f>
        <v>0.68632256403655556</v>
      </c>
      <c r="O29" s="111">
        <f>Table1123456[[#This Row],[M (KN.mm)]]/(Table1123456[[#This Row],[b (mm)]]*Table1123456[[#This Row],[h (mm)]]*Table1123456[[#This Row],[L(mm)]])</f>
        <v>1.3927000081910624E-4</v>
      </c>
      <c r="P29" s="111">
        <f>Table1123456[[#This Row],[M (KN.mm)]]/(Table1123456[[#This Row],[b (mm)]]*Table1123456[[#This Row],[d (mm)]]*Table1123456[[#This Row],[L(mm)]])</f>
        <v>1.5485739750445632E-4</v>
      </c>
      <c r="Q29" s="111">
        <f>Table1123456[[#This Row],[M (KN.mm)]]/(Table1123456[[#This Row],[b (mm)]]*Table1123456[[#This Row],[h (mm)]]*Table1123456[[#This Row],[L(mm)]]*Table1123456[[#This Row],[fc (Mpa)]])</f>
        <v>1.8618984066725436E-6</v>
      </c>
      <c r="R29" s="111">
        <f>Table1123456[[#This Row],[M (KN.mm)]]/(Table1123456[[#This Row],[b (mm)]]*Table1123456[[#This Row],[h (mm)]]*Table1123456[[#This Row],[L(mm)]]/2)</f>
        <v>2.7854000163821249E-4</v>
      </c>
      <c r="S29" s="111">
        <f>Table1123456[[#This Row],[M (KN.mm)]]/(Table1123456[[#This Row],[a (mm)]]*Table1123456[[#This Row],[b (mm)]]*Table1123456[[#This Row],[h (mm)]]*Table1123456[[#This Row],[L(mm)]]/2)</f>
        <v>1.1295214989384123E-7</v>
      </c>
      <c r="T29" s="111">
        <f>Table1123456[[#This Row],[M (KN.mm)]]/(Table1123456[[#This Row],[a (mm)]]^2*Table1123456[[#This Row],[b (mm)]]*Table1123456[[#This Row],[h (mm)]])</f>
        <v>1.1286054231079676E-7</v>
      </c>
      <c r="U29" s="111">
        <f>Table1123456[[#This Row],[M (KN.mm)]]/(Table1123456[[#This Row],[b (mm)]]*Table1123456[[#This Row],[d (mm)]]*Table1123456[[#This Row],[pho (%)]])</f>
        <v>0.58702865761689282</v>
      </c>
      <c r="V29" s="111">
        <f>E29/(Table1123456[[#This Row],[b (mm)]]*Y29*Table1123456[[#This Row],[fc (Mpa)]]*Table1123456[[#This Row],[a (mm)]])</f>
        <v>1.5088307795561066E-9</v>
      </c>
      <c r="W29" s="111">
        <f>3*Table1123456[[#This Row],[d (mm)]]</f>
        <v>2466</v>
      </c>
      <c r="X29" s="160">
        <v>822</v>
      </c>
      <c r="Y29" s="160">
        <v>914</v>
      </c>
      <c r="Z29" s="160">
        <v>306</v>
      </c>
      <c r="AA29" s="160">
        <v>74.8</v>
      </c>
      <c r="AB29" s="160">
        <v>3277</v>
      </c>
      <c r="AC29" s="160">
        <v>1.3</v>
      </c>
      <c r="AD29" s="160">
        <v>525</v>
      </c>
      <c r="AE29" s="111">
        <f>(1/3-0.21*(MIN(Table1123456[[#This Row],[b (mm)]],Y29)/MAX(Table1123456[[#This Row],[b (mm)]],Y29))*(MIN(Table1123456[[#This Row],[b (mm)]],Y29)^4/(12*MAX(Table1123456[[#This Row],[b (mm)]],Y29)^4)))*MAX(Table1123456[[#This Row],[b (mm)]],Y29)*MIN(Table1123456[[#This Row],[b (mm)]],Y29)^3</f>
        <v>8727569373.5573311</v>
      </c>
      <c r="AF29" s="111">
        <f>Table1123456[[#This Row],[b (mm)]]*Y29^3/12</f>
        <v>19470574572</v>
      </c>
      <c r="AG29" s="160">
        <v>4928</v>
      </c>
      <c r="AH29" s="1"/>
      <c r="AI29" s="1"/>
    </row>
    <row r="30" spans="1:42" x14ac:dyDescent="0.3">
      <c r="A30" s="155" t="s">
        <v>98</v>
      </c>
      <c r="B30" s="163">
        <v>4</v>
      </c>
      <c r="C30" s="111">
        <v>35</v>
      </c>
      <c r="D30" s="111">
        <f>Table1123456[[#This Row],[a (mm)]]/Table1123456[[#This Row],[d (mm)]]</f>
        <v>3</v>
      </c>
      <c r="E30" s="160">
        <v>88.960000000000008</v>
      </c>
      <c r="F30" s="137">
        <f>Table1123456[[#This Row],[d (mm)]]</f>
        <v>822</v>
      </c>
      <c r="G30" s="111">
        <f t="shared" si="3"/>
        <v>219375.36000000002</v>
      </c>
      <c r="H30" s="111">
        <f t="shared" si="0"/>
        <v>4.2780553269819212E-7</v>
      </c>
      <c r="I30" s="111">
        <f>G30/(Table1123456[[#This Row],[b (mm)]]*X30^2)</f>
        <v>1.0610180811984162E-3</v>
      </c>
      <c r="J30" s="111">
        <f t="shared" si="1"/>
        <v>0.15512446052574219</v>
      </c>
      <c r="K30" s="111">
        <f t="shared" si="2"/>
        <v>3.2461741612642253E-7</v>
      </c>
      <c r="L30" s="111">
        <f>E30/(Table1123456[[#This Row],[b (mm)]]*X30)</f>
        <v>3.5367269373280538E-4</v>
      </c>
      <c r="M30" s="111">
        <f>Table1123456[[#This Row],[M (KN.mm)]]/(Table1123456[[#This Row],[b (mm)]]*Table1123456[[#This Row],[d (mm)]])</f>
        <v>0.87215686274509807</v>
      </c>
      <c r="N30" s="111">
        <f>Table1123456[[#This Row],[M (KN.mm)]]/(Table1123456[[#This Row],[b (mm)]]*Table1123456[[#This Row],[h (mm)]])</f>
        <v>0.78436864461320643</v>
      </c>
      <c r="O30" s="111">
        <f>Table1123456[[#This Row],[M (KN.mm)]]/(Table1123456[[#This Row],[b (mm)]]*Table1123456[[#This Row],[h (mm)]]*Table1123456[[#This Row],[L(mm)]])</f>
        <v>1.5916571522183571E-4</v>
      </c>
      <c r="P30" s="111">
        <f>Table1123456[[#This Row],[M (KN.mm)]]/(Table1123456[[#This Row],[b (mm)]]*Table1123456[[#This Row],[d (mm)]]*Table1123456[[#This Row],[L(mm)]])</f>
        <v>1.7697988286223581E-4</v>
      </c>
      <c r="Q30" s="111">
        <f>Table1123456[[#This Row],[M (KN.mm)]]/(Table1123456[[#This Row],[b (mm)]]*Table1123456[[#This Row],[h (mm)]]*Table1123456[[#This Row],[L(mm)]]*Table1123456[[#This Row],[fc (Mpa)]])</f>
        <v>2.1278838933400497E-6</v>
      </c>
      <c r="R30" s="111">
        <f>Table1123456[[#This Row],[M (KN.mm)]]/(Table1123456[[#This Row],[b (mm)]]*Table1123456[[#This Row],[h (mm)]]*Table1123456[[#This Row],[L(mm)]]/2)</f>
        <v>3.1833143044367141E-4</v>
      </c>
      <c r="S30" s="111">
        <f>Table1123456[[#This Row],[M (KN.mm)]]/(Table1123456[[#This Row],[a (mm)]]*Table1123456[[#This Row],[b (mm)]]*Table1123456[[#This Row],[h (mm)]]*Table1123456[[#This Row],[L(mm)]]/2)</f>
        <v>1.2908817130724713E-7</v>
      </c>
      <c r="T30" s="111">
        <f>Table1123456[[#This Row],[M (KN.mm)]]/(Table1123456[[#This Row],[a (mm)]]^2*Table1123456[[#This Row],[b (mm)]]*Table1123456[[#This Row],[h (mm)]])</f>
        <v>1.2898347692662487E-7</v>
      </c>
      <c r="U30" s="111">
        <f>Table1123456[[#This Row],[M (KN.mm)]]/(Table1123456[[#This Row],[b (mm)]]*Table1123456[[#This Row],[d (mm)]]*Table1123456[[#This Row],[pho (%)]])</f>
        <v>0.67088989441930613</v>
      </c>
      <c r="V30" s="111">
        <f>E30/(Table1123456[[#This Row],[b (mm)]]*Y30*Table1123456[[#This Row],[fc (Mpa)]]*Table1123456[[#This Row],[a (mm)]])</f>
        <v>1.7243780337784075E-9</v>
      </c>
      <c r="W30" s="111">
        <f>3*Table1123456[[#This Row],[d (mm)]]</f>
        <v>2466</v>
      </c>
      <c r="X30" s="160">
        <v>822</v>
      </c>
      <c r="Y30" s="160">
        <v>914</v>
      </c>
      <c r="Z30" s="160">
        <v>306</v>
      </c>
      <c r="AA30" s="160">
        <v>74.8</v>
      </c>
      <c r="AB30" s="160">
        <v>3277</v>
      </c>
      <c r="AC30" s="160">
        <v>1.3</v>
      </c>
      <c r="AD30" s="160">
        <v>525</v>
      </c>
      <c r="AE30" s="111">
        <f>(1/3-0.21*(MIN(Table1123456[[#This Row],[b (mm)]],Y30)/MAX(Table1123456[[#This Row],[b (mm)]],Y30))*(MIN(Table1123456[[#This Row],[b (mm)]],Y30)^4/(12*MAX(Table1123456[[#This Row],[b (mm)]],Y30)^4)))*MAX(Table1123456[[#This Row],[b (mm)]],Y30)*MIN(Table1123456[[#This Row],[b (mm)]],Y30)^3</f>
        <v>8727569373.5573311</v>
      </c>
      <c r="AF30" s="111">
        <f>Table1123456[[#This Row],[b (mm)]]*Y30^3/12</f>
        <v>19470574572</v>
      </c>
      <c r="AG30" s="160">
        <v>4928</v>
      </c>
      <c r="AH30" s="1"/>
      <c r="AI30" s="1"/>
    </row>
    <row r="31" spans="1:42" x14ac:dyDescent="0.3">
      <c r="A31" s="155" t="s">
        <v>98</v>
      </c>
      <c r="B31" s="163">
        <v>5</v>
      </c>
      <c r="C31" s="111">
        <v>36</v>
      </c>
      <c r="D31" s="111">
        <f>Table1123456[[#This Row],[a (mm)]]/Table1123456[[#This Row],[d (mm)]]</f>
        <v>3</v>
      </c>
      <c r="E31" s="160">
        <v>100.08000000000001</v>
      </c>
      <c r="F31" s="137">
        <f>Table1123456[[#This Row],[d (mm)]]</f>
        <v>822</v>
      </c>
      <c r="G31" s="111">
        <f t="shared" si="3"/>
        <v>246797.28000000003</v>
      </c>
      <c r="H31" s="111">
        <f t="shared" si="0"/>
        <v>4.8128122428546612E-7</v>
      </c>
      <c r="I31" s="111">
        <f>G31/(Table1123456[[#This Row],[b (mm)]]*X31^2)</f>
        <v>1.1936453413482183E-3</v>
      </c>
      <c r="J31" s="111">
        <f t="shared" si="1"/>
        <v>0.17451501809145997</v>
      </c>
      <c r="K31" s="111">
        <f t="shared" si="2"/>
        <v>3.6519459314222534E-7</v>
      </c>
      <c r="L31" s="111">
        <f>E31/(Table1123456[[#This Row],[b (mm)]]*X31)</f>
        <v>3.978817804494061E-4</v>
      </c>
      <c r="M31" s="111">
        <f>Table1123456[[#This Row],[M (KN.mm)]]/(Table1123456[[#This Row],[b (mm)]]*Table1123456[[#This Row],[d (mm)]])</f>
        <v>0.98117647058823543</v>
      </c>
      <c r="N31" s="111">
        <f>Table1123456[[#This Row],[M (KN.mm)]]/(Table1123456[[#This Row],[b (mm)]]*Table1123456[[#This Row],[h (mm)]])</f>
        <v>0.8824147251898572</v>
      </c>
      <c r="O31" s="111">
        <f>Table1123456[[#This Row],[M (KN.mm)]]/(Table1123456[[#This Row],[b (mm)]]*Table1123456[[#This Row],[h (mm)]]*Table1123456[[#This Row],[L(mm)]])</f>
        <v>1.7906142962456517E-4</v>
      </c>
      <c r="P31" s="111">
        <f>Table1123456[[#This Row],[M (KN.mm)]]/(Table1123456[[#This Row],[b (mm)]]*Table1123456[[#This Row],[d (mm)]]*Table1123456[[#This Row],[L(mm)]])</f>
        <v>1.9910236822001529E-4</v>
      </c>
      <c r="Q31" s="111">
        <f>Table1123456[[#This Row],[M (KN.mm)]]/(Table1123456[[#This Row],[b (mm)]]*Table1123456[[#This Row],[h (mm)]]*Table1123456[[#This Row],[L(mm)]]*Table1123456[[#This Row],[fc (Mpa)]])</f>
        <v>2.3938693800075563E-6</v>
      </c>
      <c r="R31" s="111">
        <f>Table1123456[[#This Row],[M (KN.mm)]]/(Table1123456[[#This Row],[b (mm)]]*Table1123456[[#This Row],[h (mm)]]*Table1123456[[#This Row],[L(mm)]]/2)</f>
        <v>3.5812285924913034E-4</v>
      </c>
      <c r="S31" s="111">
        <f>Table1123456[[#This Row],[M (KN.mm)]]/(Table1123456[[#This Row],[a (mm)]]*Table1123456[[#This Row],[b (mm)]]*Table1123456[[#This Row],[h (mm)]]*Table1123456[[#This Row],[L(mm)]]/2)</f>
        <v>1.4522419272065302E-7</v>
      </c>
      <c r="T31" s="111">
        <f>Table1123456[[#This Row],[M (KN.mm)]]/(Table1123456[[#This Row],[a (mm)]]^2*Table1123456[[#This Row],[b (mm)]]*Table1123456[[#This Row],[h (mm)]])</f>
        <v>1.4510641154245299E-7</v>
      </c>
      <c r="U31" s="111">
        <f>Table1123456[[#This Row],[M (KN.mm)]]/(Table1123456[[#This Row],[b (mm)]]*Table1123456[[#This Row],[d (mm)]]*Table1123456[[#This Row],[pho (%)]])</f>
        <v>0.75475113122171944</v>
      </c>
      <c r="V31" s="111">
        <f>E31/(Table1123456[[#This Row],[b (mm)]]*Y31*Table1123456[[#This Row],[fc (Mpa)]]*Table1123456[[#This Row],[a (mm)]])</f>
        <v>1.9399252880007084E-9</v>
      </c>
      <c r="W31" s="111">
        <f>3*Table1123456[[#This Row],[d (mm)]]</f>
        <v>2466</v>
      </c>
      <c r="X31" s="160">
        <v>822</v>
      </c>
      <c r="Y31" s="160">
        <v>914</v>
      </c>
      <c r="Z31" s="160">
        <v>306</v>
      </c>
      <c r="AA31" s="160">
        <v>74.8</v>
      </c>
      <c r="AB31" s="160">
        <v>3277</v>
      </c>
      <c r="AC31" s="160">
        <v>1.3</v>
      </c>
      <c r="AD31" s="160">
        <v>525</v>
      </c>
      <c r="AE31" s="111">
        <f>(1/3-0.21*(MIN(Table1123456[[#This Row],[b (mm)]],Y31)/MAX(Table1123456[[#This Row],[b (mm)]],Y31))*(MIN(Table1123456[[#This Row],[b (mm)]],Y31)^4/(12*MAX(Table1123456[[#This Row],[b (mm)]],Y31)^4)))*MAX(Table1123456[[#This Row],[b (mm)]],Y31)*MIN(Table1123456[[#This Row],[b (mm)]],Y31)^3</f>
        <v>8727569373.5573311</v>
      </c>
      <c r="AF31" s="111">
        <f>Table1123456[[#This Row],[b (mm)]]*Y31^3/12</f>
        <v>19470574572</v>
      </c>
      <c r="AG31" s="160">
        <v>4928</v>
      </c>
      <c r="AH31" s="1"/>
      <c r="AI31" s="1"/>
    </row>
    <row r="32" spans="1:42" x14ac:dyDescent="0.3">
      <c r="A32" s="155" t="s">
        <v>98</v>
      </c>
      <c r="B32" s="163">
        <v>6</v>
      </c>
      <c r="C32" s="111">
        <v>37</v>
      </c>
      <c r="D32" s="111">
        <f>Table1123456[[#This Row],[a (mm)]]/Table1123456[[#This Row],[d (mm)]]</f>
        <v>3</v>
      </c>
      <c r="E32" s="160">
        <v>111.20000000000002</v>
      </c>
      <c r="F32" s="137">
        <f>Table1123456[[#This Row],[d (mm)]]</f>
        <v>822</v>
      </c>
      <c r="G32" s="111">
        <f t="shared" si="3"/>
        <v>274219.20000000007</v>
      </c>
      <c r="H32" s="111">
        <f t="shared" si="0"/>
        <v>5.3475691587274022E-7</v>
      </c>
      <c r="I32" s="111">
        <f>G32/(Table1123456[[#This Row],[b (mm)]]*X32^2)</f>
        <v>1.3262726014980205E-3</v>
      </c>
      <c r="J32" s="111">
        <f t="shared" si="1"/>
        <v>0.19390557565717778</v>
      </c>
      <c r="K32" s="111">
        <f t="shared" si="2"/>
        <v>4.0577177015802816E-7</v>
      </c>
      <c r="L32" s="111">
        <f>E32/(Table1123456[[#This Row],[b (mm)]]*X32)</f>
        <v>4.4209086716600677E-4</v>
      </c>
      <c r="M32" s="111">
        <f>Table1123456[[#This Row],[M (KN.mm)]]/(Table1123456[[#This Row],[b (mm)]]*Table1123456[[#This Row],[d (mm)]])</f>
        <v>1.0901960784313729</v>
      </c>
      <c r="N32" s="111">
        <f>Table1123456[[#This Row],[M (KN.mm)]]/(Table1123456[[#This Row],[b (mm)]]*Table1123456[[#This Row],[h (mm)]])</f>
        <v>0.98046080576650818</v>
      </c>
      <c r="O32" s="111">
        <f>Table1123456[[#This Row],[M (KN.mm)]]/(Table1123456[[#This Row],[b (mm)]]*Table1123456[[#This Row],[h (mm)]]*Table1123456[[#This Row],[L(mm)]])</f>
        <v>1.9895714402729469E-4</v>
      </c>
      <c r="P32" s="111">
        <f>Table1123456[[#This Row],[M (KN.mm)]]/(Table1123456[[#This Row],[b (mm)]]*Table1123456[[#This Row],[d (mm)]]*Table1123456[[#This Row],[L(mm)]])</f>
        <v>2.212248535777948E-4</v>
      </c>
      <c r="Q32" s="111">
        <f>Table1123456[[#This Row],[M (KN.mm)]]/(Table1123456[[#This Row],[b (mm)]]*Table1123456[[#This Row],[h (mm)]]*Table1123456[[#This Row],[L(mm)]]*Table1123456[[#This Row],[fc (Mpa)]])</f>
        <v>2.6598548666750629E-6</v>
      </c>
      <c r="R32" s="111">
        <f>Table1123456[[#This Row],[M (KN.mm)]]/(Table1123456[[#This Row],[b (mm)]]*Table1123456[[#This Row],[h (mm)]]*Table1123456[[#This Row],[L(mm)]]/2)</f>
        <v>3.9791428805458938E-4</v>
      </c>
      <c r="S32" s="111">
        <f>Table1123456[[#This Row],[M (KN.mm)]]/(Table1123456[[#This Row],[a (mm)]]*Table1123456[[#This Row],[b (mm)]]*Table1123456[[#This Row],[h (mm)]]*Table1123456[[#This Row],[L(mm)]]/2)</f>
        <v>1.6136021413405894E-7</v>
      </c>
      <c r="T32" s="111">
        <f>Table1123456[[#This Row],[M (KN.mm)]]/(Table1123456[[#This Row],[a (mm)]]^2*Table1123456[[#This Row],[b (mm)]]*Table1123456[[#This Row],[h (mm)]])</f>
        <v>1.6122934615828111E-7</v>
      </c>
      <c r="U32" s="111">
        <f>Table1123456[[#This Row],[M (KN.mm)]]/(Table1123456[[#This Row],[b (mm)]]*Table1123456[[#This Row],[d (mm)]]*Table1123456[[#This Row],[pho (%)]])</f>
        <v>0.83861236802413286</v>
      </c>
      <c r="V32" s="111">
        <f>E32/(Table1123456[[#This Row],[b (mm)]]*Y32*Table1123456[[#This Row],[fc (Mpa)]]*Table1123456[[#This Row],[a (mm)]])</f>
        <v>2.1554725422230094E-9</v>
      </c>
      <c r="W32" s="111">
        <f>3*Table1123456[[#This Row],[d (mm)]]</f>
        <v>2466</v>
      </c>
      <c r="X32" s="160">
        <v>822</v>
      </c>
      <c r="Y32" s="160">
        <v>914</v>
      </c>
      <c r="Z32" s="160">
        <v>306</v>
      </c>
      <c r="AA32" s="160">
        <v>74.8</v>
      </c>
      <c r="AB32" s="160">
        <v>3277</v>
      </c>
      <c r="AC32" s="160">
        <v>1.3</v>
      </c>
      <c r="AD32" s="160">
        <v>525</v>
      </c>
      <c r="AE32" s="111">
        <f>(1/3-0.21*(MIN(Table1123456[[#This Row],[b (mm)]],Y32)/MAX(Table1123456[[#This Row],[b (mm)]],Y32))*(MIN(Table1123456[[#This Row],[b (mm)]],Y32)^4/(12*MAX(Table1123456[[#This Row],[b (mm)]],Y32)^4)))*MAX(Table1123456[[#This Row],[b (mm)]],Y32)*MIN(Table1123456[[#This Row],[b (mm)]],Y32)^3</f>
        <v>8727569373.5573311</v>
      </c>
      <c r="AF32" s="111">
        <f>Table1123456[[#This Row],[b (mm)]]*Y32^3/12</f>
        <v>19470574572</v>
      </c>
      <c r="AG32" s="160">
        <v>4928</v>
      </c>
      <c r="AH32" s="139"/>
      <c r="AI32" s="139"/>
      <c r="AJ32" s="139"/>
      <c r="AK32" s="139"/>
      <c r="AL32" s="139"/>
      <c r="AM32" s="139"/>
      <c r="AP32" s="1"/>
    </row>
    <row r="33" spans="1:42" x14ac:dyDescent="0.3">
      <c r="A33" s="155" t="s">
        <v>98</v>
      </c>
      <c r="B33" s="163">
        <v>7</v>
      </c>
      <c r="C33" s="111">
        <v>38</v>
      </c>
      <c r="D33" s="111">
        <f>Table1123456[[#This Row],[a (mm)]]/Table1123456[[#This Row],[d (mm)]]</f>
        <v>3</v>
      </c>
      <c r="E33" s="160">
        <v>122.32000000000001</v>
      </c>
      <c r="F33" s="137">
        <f>Table1123456[[#This Row],[d (mm)]]</f>
        <v>822</v>
      </c>
      <c r="G33" s="111">
        <f t="shared" si="3"/>
        <v>301641.12</v>
      </c>
      <c r="H33" s="111">
        <f t="shared" si="0"/>
        <v>5.8823260746001412E-7</v>
      </c>
      <c r="I33" s="111">
        <f>G33/(Table1123456[[#This Row],[b (mm)]]*X33^2)</f>
        <v>1.4588998616478221E-3</v>
      </c>
      <c r="J33" s="111">
        <f t="shared" si="1"/>
        <v>0.21329613322289548</v>
      </c>
      <c r="K33" s="111">
        <f t="shared" si="2"/>
        <v>4.4634894717383092E-7</v>
      </c>
      <c r="L33" s="111">
        <f>E33/(Table1123456[[#This Row],[b (mm)]]*X33)</f>
        <v>4.8629995388260744E-4</v>
      </c>
      <c r="M33" s="111">
        <f>Table1123456[[#This Row],[M (KN.mm)]]/(Table1123456[[#This Row],[b (mm)]]*Table1123456[[#This Row],[d (mm)]])</f>
        <v>1.1992156862745098</v>
      </c>
      <c r="N33" s="111">
        <f>Table1123456[[#This Row],[M (KN.mm)]]/(Table1123456[[#This Row],[b (mm)]]*Table1123456[[#This Row],[h (mm)]])</f>
        <v>1.0785068863431586</v>
      </c>
      <c r="O33" s="111">
        <f>Table1123456[[#This Row],[M (KN.mm)]]/(Table1123456[[#This Row],[b (mm)]]*Table1123456[[#This Row],[h (mm)]]*Table1123456[[#This Row],[L(mm)]])</f>
        <v>2.188528584300241E-4</v>
      </c>
      <c r="P33" s="111">
        <f>Table1123456[[#This Row],[M (KN.mm)]]/(Table1123456[[#This Row],[b (mm)]]*Table1123456[[#This Row],[d (mm)]]*Table1123456[[#This Row],[L(mm)]])</f>
        <v>2.4334733893557423E-4</v>
      </c>
      <c r="Q33" s="111">
        <f>Table1123456[[#This Row],[M (KN.mm)]]/(Table1123456[[#This Row],[b (mm)]]*Table1123456[[#This Row],[h (mm)]]*Table1123456[[#This Row],[L(mm)]]*Table1123456[[#This Row],[fc (Mpa)]])</f>
        <v>2.9258403533425682E-6</v>
      </c>
      <c r="R33" s="111">
        <f>Table1123456[[#This Row],[M (KN.mm)]]/(Table1123456[[#This Row],[b (mm)]]*Table1123456[[#This Row],[h (mm)]]*Table1123456[[#This Row],[L(mm)]]/2)</f>
        <v>4.3770571686004819E-4</v>
      </c>
      <c r="S33" s="111">
        <f>Table1123456[[#This Row],[M (KN.mm)]]/(Table1123456[[#This Row],[a (mm)]]*Table1123456[[#This Row],[b (mm)]]*Table1123456[[#This Row],[h (mm)]]*Table1123456[[#This Row],[L(mm)]]/2)</f>
        <v>1.7749623554746479E-7</v>
      </c>
      <c r="T33" s="111">
        <f>Table1123456[[#This Row],[M (KN.mm)]]/(Table1123456[[#This Row],[a (mm)]]^2*Table1123456[[#This Row],[b (mm)]]*Table1123456[[#This Row],[h (mm)]])</f>
        <v>1.7735228077410918E-7</v>
      </c>
      <c r="U33" s="111">
        <f>Table1123456[[#This Row],[M (KN.mm)]]/(Table1123456[[#This Row],[b (mm)]]*Table1123456[[#This Row],[d (mm)]]*Table1123456[[#This Row],[pho (%)]])</f>
        <v>0.92247360482654595</v>
      </c>
      <c r="V33" s="111">
        <f>E33/(Table1123456[[#This Row],[b (mm)]]*Y33*Table1123456[[#This Row],[fc (Mpa)]]*Table1123456[[#This Row],[a (mm)]])</f>
        <v>2.3710197964453103E-9</v>
      </c>
      <c r="W33" s="111">
        <f>3*Table1123456[[#This Row],[d (mm)]]</f>
        <v>2466</v>
      </c>
      <c r="X33" s="160">
        <v>822</v>
      </c>
      <c r="Y33" s="160">
        <v>914</v>
      </c>
      <c r="Z33" s="160">
        <v>306</v>
      </c>
      <c r="AA33" s="160">
        <v>74.8</v>
      </c>
      <c r="AB33" s="160">
        <v>3277</v>
      </c>
      <c r="AC33" s="160">
        <v>1.3</v>
      </c>
      <c r="AD33" s="160">
        <v>525</v>
      </c>
      <c r="AE33" s="111">
        <f>(1/3-0.21*(MIN(Table1123456[[#This Row],[b (mm)]],Y33)/MAX(Table1123456[[#This Row],[b (mm)]],Y33))*(MIN(Table1123456[[#This Row],[b (mm)]],Y33)^4/(12*MAX(Table1123456[[#This Row],[b (mm)]],Y33)^4)))*MAX(Table1123456[[#This Row],[b (mm)]],Y33)*MIN(Table1123456[[#This Row],[b (mm)]],Y33)^3</f>
        <v>8727569373.5573311</v>
      </c>
      <c r="AF33" s="111">
        <f>Table1123456[[#This Row],[b (mm)]]*Y33^3/12</f>
        <v>19470574572</v>
      </c>
      <c r="AG33" s="160">
        <v>4928</v>
      </c>
      <c r="AH33" s="139"/>
      <c r="AI33" s="139"/>
      <c r="AJ33" s="139"/>
      <c r="AK33" s="139"/>
      <c r="AL33" s="139"/>
      <c r="AM33" s="139"/>
      <c r="AP33" s="1"/>
    </row>
    <row r="34" spans="1:42" x14ac:dyDescent="0.3">
      <c r="A34" s="155" t="s">
        <v>98</v>
      </c>
      <c r="B34" s="163">
        <v>8</v>
      </c>
      <c r="C34" s="111">
        <v>39</v>
      </c>
      <c r="D34" s="111">
        <f>Table1123456[[#This Row],[a (mm)]]/Table1123456[[#This Row],[d (mm)]]</f>
        <v>3</v>
      </c>
      <c r="E34" s="160">
        <v>133.44</v>
      </c>
      <c r="F34" s="137">
        <f>Table1123456[[#This Row],[d (mm)]]</f>
        <v>822</v>
      </c>
      <c r="G34" s="111">
        <f t="shared" si="3"/>
        <v>329063.03999999998</v>
      </c>
      <c r="H34" s="111">
        <f t="shared" si="0"/>
        <v>6.4170829904728801E-7</v>
      </c>
      <c r="I34" s="111">
        <f>G34/(Table1123456[[#This Row],[b (mm)]]*X34^2)</f>
        <v>1.591527121797624E-3</v>
      </c>
      <c r="J34" s="111">
        <f t="shared" si="1"/>
        <v>0.23268669078861326</v>
      </c>
      <c r="K34" s="111">
        <f t="shared" si="2"/>
        <v>4.8692612418963369E-7</v>
      </c>
      <c r="L34" s="111">
        <f>E34/(Table1123456[[#This Row],[b (mm)]]*X34)</f>
        <v>5.30509040599208E-4</v>
      </c>
      <c r="M34" s="111">
        <f>Table1123456[[#This Row],[M (KN.mm)]]/(Table1123456[[#This Row],[b (mm)]]*Table1123456[[#This Row],[d (mm)]])</f>
        <v>1.3082352941176469</v>
      </c>
      <c r="N34" s="111">
        <f>Table1123456[[#This Row],[M (KN.mm)]]/(Table1123456[[#This Row],[b (mm)]]*Table1123456[[#This Row],[h (mm)]])</f>
        <v>1.1765529669198094</v>
      </c>
      <c r="O34" s="111">
        <f>Table1123456[[#This Row],[M (KN.mm)]]/(Table1123456[[#This Row],[b (mm)]]*Table1123456[[#This Row],[h (mm)]]*Table1123456[[#This Row],[L(mm)]])</f>
        <v>2.3874857283275353E-4</v>
      </c>
      <c r="P34" s="111">
        <f>Table1123456[[#This Row],[M (KN.mm)]]/(Table1123456[[#This Row],[b (mm)]]*Table1123456[[#This Row],[d (mm)]]*Table1123456[[#This Row],[L(mm)]])</f>
        <v>2.6546982429335368E-4</v>
      </c>
      <c r="Q34" s="111">
        <f>Table1123456[[#This Row],[M (KN.mm)]]/(Table1123456[[#This Row],[b (mm)]]*Table1123456[[#This Row],[h (mm)]]*Table1123456[[#This Row],[L(mm)]]*Table1123456[[#This Row],[fc (Mpa)]])</f>
        <v>3.1918258400100744E-6</v>
      </c>
      <c r="R34" s="111">
        <f>Table1123456[[#This Row],[M (KN.mm)]]/(Table1123456[[#This Row],[b (mm)]]*Table1123456[[#This Row],[h (mm)]]*Table1123456[[#This Row],[L(mm)]]/2)</f>
        <v>4.7749714566550707E-4</v>
      </c>
      <c r="S34" s="111">
        <f>Table1123456[[#This Row],[M (KN.mm)]]/(Table1123456[[#This Row],[a (mm)]]*Table1123456[[#This Row],[b (mm)]]*Table1123456[[#This Row],[h (mm)]]*Table1123456[[#This Row],[L(mm)]]/2)</f>
        <v>1.9363225696087068E-7</v>
      </c>
      <c r="T34" s="111">
        <f>Table1123456[[#This Row],[M (KN.mm)]]/(Table1123456[[#This Row],[a (mm)]]^2*Table1123456[[#This Row],[b (mm)]]*Table1123456[[#This Row],[h (mm)]])</f>
        <v>1.9347521538993727E-7</v>
      </c>
      <c r="U34" s="111">
        <f>Table1123456[[#This Row],[M (KN.mm)]]/(Table1123456[[#This Row],[b (mm)]]*Table1123456[[#This Row],[d (mm)]]*Table1123456[[#This Row],[pho (%)]])</f>
        <v>1.006334841628959</v>
      </c>
      <c r="V34" s="111">
        <f>E34/(Table1123456[[#This Row],[b (mm)]]*Y34*Table1123456[[#This Row],[fc (Mpa)]]*Table1123456[[#This Row],[a (mm)]])</f>
        <v>2.5865670506676108E-9</v>
      </c>
      <c r="W34" s="111">
        <f>3*Table1123456[[#This Row],[d (mm)]]</f>
        <v>2466</v>
      </c>
      <c r="X34" s="160">
        <v>822</v>
      </c>
      <c r="Y34" s="160">
        <v>914</v>
      </c>
      <c r="Z34" s="160">
        <v>306</v>
      </c>
      <c r="AA34" s="160">
        <v>74.8</v>
      </c>
      <c r="AB34" s="160">
        <v>3277</v>
      </c>
      <c r="AC34" s="160">
        <v>1.3</v>
      </c>
      <c r="AD34" s="160">
        <v>525</v>
      </c>
      <c r="AE34" s="111">
        <f>(1/3-0.21*(MIN(Table1123456[[#This Row],[b (mm)]],Y34)/MAX(Table1123456[[#This Row],[b (mm)]],Y34))*(MIN(Table1123456[[#This Row],[b (mm)]],Y34)^4/(12*MAX(Table1123456[[#This Row],[b (mm)]],Y34)^4)))*MAX(Table1123456[[#This Row],[b (mm)]],Y34)*MIN(Table1123456[[#This Row],[b (mm)]],Y34)^3</f>
        <v>8727569373.5573311</v>
      </c>
      <c r="AF34" s="111">
        <f>Table1123456[[#This Row],[b (mm)]]*Y34^3/12</f>
        <v>19470574572</v>
      </c>
      <c r="AG34" s="160">
        <v>4928</v>
      </c>
      <c r="AH34" s="139"/>
      <c r="AI34" s="139"/>
      <c r="AJ34" s="139"/>
      <c r="AK34" s="139"/>
      <c r="AL34" s="139"/>
      <c r="AM34" s="139"/>
      <c r="AP34" s="1"/>
    </row>
    <row r="35" spans="1:42" x14ac:dyDescent="0.3">
      <c r="A35" s="156" t="s">
        <v>99</v>
      </c>
      <c r="B35" s="164">
        <v>1</v>
      </c>
      <c r="C35" s="111">
        <v>42</v>
      </c>
      <c r="D35" s="111">
        <f>Table1123456[[#This Row],[a (mm)]]/Table1123456[[#This Row],[d (mm)]]</f>
        <v>2.99</v>
      </c>
      <c r="E35" s="160">
        <v>20.016000000000002</v>
      </c>
      <c r="F35" s="137">
        <f>Table1123456[[#This Row],[d (mm)]]</f>
        <v>233</v>
      </c>
      <c r="G35" s="111">
        <f t="shared" si="3"/>
        <v>13944.546720000002</v>
      </c>
      <c r="H35" s="111">
        <f t="shared" si="0"/>
        <v>1.1031318143203191E-6</v>
      </c>
      <c r="I35" s="111">
        <f>G35/(Table1123456[[#This Row],[b (mm)]]*X35^2)</f>
        <v>1.2653087803124804E-3</v>
      </c>
      <c r="J35" s="111">
        <f t="shared" si="1"/>
        <v>0.18999314285714289</v>
      </c>
      <c r="K35" s="111">
        <f t="shared" si="2"/>
        <v>7.5469105486049738E-7</v>
      </c>
      <c r="L35" s="111">
        <f>E35/(Table1123456[[#This Row],[b (mm)]]*X35)</f>
        <v>4.2318019408444155E-4</v>
      </c>
      <c r="M35" s="111">
        <f>Table1123456[[#This Row],[M (KN.mm)]]/(Table1123456[[#This Row],[b (mm)]]*Table1123456[[#This Row],[d (mm)]])</f>
        <v>0.29481694581280793</v>
      </c>
      <c r="N35" s="111">
        <f>Table1123456[[#This Row],[M (KN.mm)]]/(Table1123456[[#This Row],[b (mm)]]*Table1123456[[#This Row],[h (mm)]])</f>
        <v>0.22522081434224342</v>
      </c>
      <c r="O35" s="111">
        <f>Table1123456[[#This Row],[M (KN.mm)]]/(Table1123456[[#This Row],[b (mm)]]*Table1123456[[#This Row],[h (mm)]]*Table1123456[[#This Row],[L(mm)]])</f>
        <v>1.6121747626502751E-4</v>
      </c>
      <c r="P35" s="111">
        <f>Table1123456[[#This Row],[M (KN.mm)]]/(Table1123456[[#This Row],[b (mm)]]*Table1123456[[#This Row],[d (mm)]]*Table1123456[[#This Row],[L(mm)]])</f>
        <v>2.1103575219241799E-4</v>
      </c>
      <c r="Q35" s="111">
        <f>Table1123456[[#This Row],[M (KN.mm)]]/(Table1123456[[#This Row],[b (mm)]]*Table1123456[[#This Row],[h (mm)]]*Table1123456[[#This Row],[L(mm)]]*Table1123456[[#This Row],[fc (Mpa)]])</f>
        <v>2.3501089834552118E-6</v>
      </c>
      <c r="R35" s="111">
        <f>Table1123456[[#This Row],[M (KN.mm)]]/(Table1123456[[#This Row],[b (mm)]]*Table1123456[[#This Row],[h (mm)]]*Table1123456[[#This Row],[L(mm)]]/2)</f>
        <v>3.2243495253005502E-4</v>
      </c>
      <c r="S35" s="111">
        <f>Table1123456[[#This Row],[M (KN.mm)]]/(Table1123456[[#This Row],[a (mm)]]*Table1123456[[#This Row],[b (mm)]]*Table1123456[[#This Row],[h (mm)]]*Table1123456[[#This Row],[L(mm)]]/2)</f>
        <v>4.6282307624851793E-7</v>
      </c>
      <c r="T35" s="111">
        <f>Table1123456[[#This Row],[M (KN.mm)]]/(Table1123456[[#This Row],[a (mm)]]^2*Table1123456[[#This Row],[b (mm)]]*Table1123456[[#This Row],[h (mm)]])</f>
        <v>4.6403881143093542E-7</v>
      </c>
      <c r="U35" s="111">
        <f>Table1123456[[#This Row],[M (KN.mm)]]/(Table1123456[[#This Row],[b (mm)]]*Table1123456[[#This Row],[d (mm)]]*Table1123456[[#This Row],[pho (%)]])</f>
        <v>0.23398170302603805</v>
      </c>
      <c r="V35" s="111">
        <f>E35/(Table1123456[[#This Row],[b (mm)]]*Y35*Table1123456[[#This Row],[fc (Mpa)]]*Table1123456[[#This Row],[a (mm)]])</f>
        <v>6.7644141608008073E-9</v>
      </c>
      <c r="W35" s="111">
        <f>2.99*Table1123456[[#This Row],[d (mm)]]</f>
        <v>696.67000000000007</v>
      </c>
      <c r="X35" s="160">
        <v>233</v>
      </c>
      <c r="Y35" s="160">
        <v>305</v>
      </c>
      <c r="Z35" s="160">
        <v>203</v>
      </c>
      <c r="AA35" s="160">
        <v>68.599999999999994</v>
      </c>
      <c r="AB35" s="160">
        <v>600</v>
      </c>
      <c r="AC35" s="160">
        <v>1.26</v>
      </c>
      <c r="AD35" s="160">
        <v>525</v>
      </c>
      <c r="AE35" s="111">
        <f>(1/3-0.21*(MIN(Table1123456[[#This Row],[b (mm)]],Y35)/MAX(Table1123456[[#This Row],[b (mm)]],Y35))*(MIN(Table1123456[[#This Row],[b (mm)]],Y35)^4/(12*MAX(Table1123456[[#This Row],[b (mm)]],Y35)^4)))*MAX(Table1123456[[#This Row],[b (mm)]],Y35)*MIN(Table1123456[[#This Row],[b (mm)]],Y35)^3</f>
        <v>844653219.61076438</v>
      </c>
      <c r="AF35" s="111">
        <f>Table1123456[[#This Row],[b (mm)]]*Y35^3/12</f>
        <v>479970239.58333331</v>
      </c>
      <c r="AG35" s="160">
        <v>1397</v>
      </c>
      <c r="AH35" s="139"/>
      <c r="AI35" s="139"/>
      <c r="AJ35" s="139"/>
      <c r="AK35" s="139"/>
      <c r="AL35" s="139"/>
      <c r="AM35" s="139"/>
      <c r="AP35" s="1"/>
    </row>
    <row r="36" spans="1:42" x14ac:dyDescent="0.3">
      <c r="A36" s="156" t="s">
        <v>99</v>
      </c>
      <c r="B36" s="164">
        <v>2</v>
      </c>
      <c r="C36" s="111">
        <v>43</v>
      </c>
      <c r="D36" s="111">
        <f>Table1123456[[#This Row],[a (mm)]]/Table1123456[[#This Row],[d (mm)]]</f>
        <v>2.99</v>
      </c>
      <c r="E36" s="160">
        <v>22.240000000000002</v>
      </c>
      <c r="F36" s="137">
        <f>Table1123456[[#This Row],[d (mm)]]</f>
        <v>233</v>
      </c>
      <c r="G36" s="111">
        <f t="shared" si="3"/>
        <v>15493.940800000002</v>
      </c>
      <c r="H36" s="111">
        <f t="shared" si="0"/>
        <v>1.2257020159114657E-6</v>
      </c>
      <c r="I36" s="111">
        <f>G36/(Table1123456[[#This Row],[b (mm)]]*X36^2)</f>
        <v>1.4058986447916448E-3</v>
      </c>
      <c r="J36" s="111">
        <f t="shared" si="1"/>
        <v>0.2111034920634921</v>
      </c>
      <c r="K36" s="111">
        <f t="shared" si="2"/>
        <v>8.3854561651166378E-7</v>
      </c>
      <c r="L36" s="111">
        <f>E36/(Table1123456[[#This Row],[b (mm)]]*X36)</f>
        <v>4.7020021564937953E-4</v>
      </c>
      <c r="M36" s="111">
        <f>Table1123456[[#This Row],[M (KN.mm)]]/(Table1123456[[#This Row],[b (mm)]]*Table1123456[[#This Row],[d (mm)]])</f>
        <v>0.32757438423645324</v>
      </c>
      <c r="N36" s="111">
        <f>Table1123456[[#This Row],[M (KN.mm)]]/(Table1123456[[#This Row],[b (mm)]]*Table1123456[[#This Row],[h (mm)]])</f>
        <v>0.25024534926915937</v>
      </c>
      <c r="O36" s="111">
        <f>Table1123456[[#This Row],[M (KN.mm)]]/(Table1123456[[#This Row],[b (mm)]]*Table1123456[[#This Row],[h (mm)]]*Table1123456[[#This Row],[L(mm)]])</f>
        <v>1.791305291833639E-4</v>
      </c>
      <c r="P36" s="111">
        <f>Table1123456[[#This Row],[M (KN.mm)]]/(Table1123456[[#This Row],[b (mm)]]*Table1123456[[#This Row],[d (mm)]]*Table1123456[[#This Row],[L(mm)]])</f>
        <v>2.3448416910268666E-4</v>
      </c>
      <c r="Q36" s="111">
        <f>Table1123456[[#This Row],[M (KN.mm)]]/(Table1123456[[#This Row],[b (mm)]]*Table1123456[[#This Row],[h (mm)]]*Table1123456[[#This Row],[L(mm)]]*Table1123456[[#This Row],[fc (Mpa)]])</f>
        <v>2.6112322038391243E-6</v>
      </c>
      <c r="R36" s="111">
        <f>Table1123456[[#This Row],[M (KN.mm)]]/(Table1123456[[#This Row],[b (mm)]]*Table1123456[[#This Row],[h (mm)]]*Table1123456[[#This Row],[L(mm)]]/2)</f>
        <v>3.5826105836672781E-4</v>
      </c>
      <c r="S36" s="111">
        <f>Table1123456[[#This Row],[M (KN.mm)]]/(Table1123456[[#This Row],[a (mm)]]*Table1123456[[#This Row],[b (mm)]]*Table1123456[[#This Row],[h (mm)]]*Table1123456[[#This Row],[L(mm)]]/2)</f>
        <v>5.1424786249835328E-7</v>
      </c>
      <c r="T36" s="111">
        <f>Table1123456[[#This Row],[M (KN.mm)]]/(Table1123456[[#This Row],[a (mm)]]^2*Table1123456[[#This Row],[b (mm)]]*Table1123456[[#This Row],[h (mm)]])</f>
        <v>5.1559867936770596E-7</v>
      </c>
      <c r="U36" s="111">
        <f>Table1123456[[#This Row],[M (KN.mm)]]/(Table1123456[[#This Row],[b (mm)]]*Table1123456[[#This Row],[d (mm)]]*Table1123456[[#This Row],[pho (%)]])</f>
        <v>0.25997967002893113</v>
      </c>
      <c r="V36" s="111">
        <f>E36/(Table1123456[[#This Row],[b (mm)]]*Y36*Table1123456[[#This Row],[fc (Mpa)]]*Table1123456[[#This Row],[a (mm)]])</f>
        <v>7.5160157342231182E-9</v>
      </c>
      <c r="W36" s="111">
        <f>2.99*Table1123456[[#This Row],[d (mm)]]</f>
        <v>696.67000000000007</v>
      </c>
      <c r="X36" s="160">
        <v>233</v>
      </c>
      <c r="Y36" s="160">
        <v>305</v>
      </c>
      <c r="Z36" s="160">
        <v>203</v>
      </c>
      <c r="AA36" s="160">
        <v>68.599999999999994</v>
      </c>
      <c r="AB36" s="160">
        <v>600</v>
      </c>
      <c r="AC36" s="160">
        <v>1.26</v>
      </c>
      <c r="AD36" s="160">
        <v>525</v>
      </c>
      <c r="AE36" s="111">
        <f>(1/3-0.21*(MIN(Table1123456[[#This Row],[b (mm)]],Y36)/MAX(Table1123456[[#This Row],[b (mm)]],Y36))*(MIN(Table1123456[[#This Row],[b (mm)]],Y36)^4/(12*MAX(Table1123456[[#This Row],[b (mm)]],Y36)^4)))*MAX(Table1123456[[#This Row],[b (mm)]],Y36)*MIN(Table1123456[[#This Row],[b (mm)]],Y36)^3</f>
        <v>844653219.61076438</v>
      </c>
      <c r="AF36" s="111">
        <f>Table1123456[[#This Row],[b (mm)]]*Y36^3/12</f>
        <v>479970239.58333331</v>
      </c>
      <c r="AG36" s="160">
        <v>1397</v>
      </c>
      <c r="AH36" s="139"/>
      <c r="AI36" s="139"/>
      <c r="AJ36" s="139"/>
      <c r="AK36" s="139"/>
      <c r="AL36" s="139"/>
      <c r="AM36" s="139"/>
      <c r="AP36" s="1"/>
    </row>
    <row r="37" spans="1:42" x14ac:dyDescent="0.3">
      <c r="A37" s="156" t="s">
        <v>99</v>
      </c>
      <c r="B37" s="164">
        <v>3</v>
      </c>
      <c r="C37" s="111">
        <v>44</v>
      </c>
      <c r="D37" s="111">
        <f>Table1123456[[#This Row],[a (mm)]]/Table1123456[[#This Row],[d (mm)]]</f>
        <v>2.99</v>
      </c>
      <c r="E37" s="160">
        <v>26.688000000000002</v>
      </c>
      <c r="F37" s="137">
        <f>Table1123456[[#This Row],[d (mm)]]</f>
        <v>233</v>
      </c>
      <c r="G37" s="111">
        <f t="shared" si="3"/>
        <v>18592.728960000004</v>
      </c>
      <c r="H37" s="111">
        <f t="shared" si="0"/>
        <v>1.4708424190937589E-6</v>
      </c>
      <c r="I37" s="111">
        <f>G37/(Table1123456[[#This Row],[b (mm)]]*X37^2)</f>
        <v>1.687078373749974E-3</v>
      </c>
      <c r="J37" s="111">
        <f t="shared" si="1"/>
        <v>0.25332419047619054</v>
      </c>
      <c r="K37" s="111">
        <f t="shared" si="2"/>
        <v>1.0062547398139966E-6</v>
      </c>
      <c r="L37" s="111">
        <f>E37/(Table1123456[[#This Row],[b (mm)]]*X37)</f>
        <v>5.6424025877925544E-4</v>
      </c>
      <c r="M37" s="111">
        <f>Table1123456[[#This Row],[M (KN.mm)]]/(Table1123456[[#This Row],[b (mm)]]*Table1123456[[#This Row],[d (mm)]])</f>
        <v>0.39308926108374392</v>
      </c>
      <c r="N37" s="111">
        <f>Table1123456[[#This Row],[M (KN.mm)]]/(Table1123456[[#This Row],[b (mm)]]*Table1123456[[#This Row],[h (mm)]])</f>
        <v>0.30029441912299126</v>
      </c>
      <c r="O37" s="111">
        <f>Table1123456[[#This Row],[M (KN.mm)]]/(Table1123456[[#This Row],[b (mm)]]*Table1123456[[#This Row],[h (mm)]]*Table1123456[[#This Row],[L(mm)]])</f>
        <v>2.149566350200367E-4</v>
      </c>
      <c r="P37" s="111">
        <f>Table1123456[[#This Row],[M (KN.mm)]]/(Table1123456[[#This Row],[b (mm)]]*Table1123456[[#This Row],[d (mm)]]*Table1123456[[#This Row],[L(mm)]])</f>
        <v>2.8138100292322398E-4</v>
      </c>
      <c r="Q37" s="111">
        <f>Table1123456[[#This Row],[M (KN.mm)]]/(Table1123456[[#This Row],[b (mm)]]*Table1123456[[#This Row],[h (mm)]]*Table1123456[[#This Row],[L(mm)]]*Table1123456[[#This Row],[fc (Mpa)]])</f>
        <v>3.1334786446069493E-6</v>
      </c>
      <c r="R37" s="111">
        <f>Table1123456[[#This Row],[M (KN.mm)]]/(Table1123456[[#This Row],[b (mm)]]*Table1123456[[#This Row],[h (mm)]]*Table1123456[[#This Row],[L(mm)]]/2)</f>
        <v>4.2991327004007339E-4</v>
      </c>
      <c r="S37" s="111">
        <f>Table1123456[[#This Row],[M (KN.mm)]]/(Table1123456[[#This Row],[a (mm)]]*Table1123456[[#This Row],[b (mm)]]*Table1123456[[#This Row],[h (mm)]]*Table1123456[[#This Row],[L(mm)]]/2)</f>
        <v>6.1709743499802398E-7</v>
      </c>
      <c r="T37" s="111">
        <f>Table1123456[[#This Row],[M (KN.mm)]]/(Table1123456[[#This Row],[a (mm)]]^2*Table1123456[[#This Row],[b (mm)]]*Table1123456[[#This Row],[h (mm)]])</f>
        <v>6.1871841524124726E-7</v>
      </c>
      <c r="U37" s="165">
        <f>Table1123456[[#This Row],[M (KN.mm)]]/(Table1123456[[#This Row],[b (mm)]]*Table1123456[[#This Row],[d (mm)]]*Table1123456[[#This Row],[pho (%)]])</f>
        <v>0.31197560403471741</v>
      </c>
      <c r="V37" s="111">
        <f>E37/(Table1123456[[#This Row],[b (mm)]]*Y37*Table1123456[[#This Row],[fc (Mpa)]]*Table1123456[[#This Row],[a (mm)]])</f>
        <v>9.0192188810677431E-9</v>
      </c>
      <c r="W37" s="111">
        <f>2.99*Table1123456[[#This Row],[d (mm)]]</f>
        <v>696.67000000000007</v>
      </c>
      <c r="X37" s="160">
        <v>233</v>
      </c>
      <c r="Y37" s="160">
        <v>305</v>
      </c>
      <c r="Z37" s="160">
        <v>203</v>
      </c>
      <c r="AA37" s="160">
        <v>68.599999999999994</v>
      </c>
      <c r="AB37" s="160">
        <v>600</v>
      </c>
      <c r="AC37" s="160">
        <v>1.26</v>
      </c>
      <c r="AD37" s="160">
        <v>525</v>
      </c>
      <c r="AE37" s="111">
        <f>(1/3-0.21*(MIN(Table1123456[[#This Row],[b (mm)]],Y37)/MAX(Table1123456[[#This Row],[b (mm)]],Y37))*(MIN(Table1123456[[#This Row],[b (mm)]],Y37)^4/(12*MAX(Table1123456[[#This Row],[b (mm)]],Y37)^4)))*MAX(Table1123456[[#This Row],[b (mm)]],Y37)*MIN(Table1123456[[#This Row],[b (mm)]],Y37)^3</f>
        <v>844653219.61076438</v>
      </c>
      <c r="AF37" s="111">
        <f>Table1123456[[#This Row],[b (mm)]]*Y37^3/12</f>
        <v>479970239.58333331</v>
      </c>
      <c r="AG37" s="160">
        <v>1397</v>
      </c>
      <c r="AH37" s="139"/>
      <c r="AI37" s="139"/>
      <c r="AJ37" s="139"/>
      <c r="AK37" s="139"/>
      <c r="AL37" s="139"/>
      <c r="AM37" s="139"/>
      <c r="AP37" s="1"/>
    </row>
    <row r="38" spans="1:42" x14ac:dyDescent="0.3">
      <c r="A38" s="156" t="s">
        <v>99</v>
      </c>
      <c r="B38" s="164">
        <v>4</v>
      </c>
      <c r="C38" s="111">
        <v>45</v>
      </c>
      <c r="D38" s="111">
        <f>Table1123456[[#This Row],[a (mm)]]/Table1123456[[#This Row],[d (mm)]]</f>
        <v>2.99</v>
      </c>
      <c r="E38" s="160">
        <v>31.136000000000003</v>
      </c>
      <c r="F38" s="137">
        <f>Table1123456[[#This Row],[d (mm)]]</f>
        <v>233</v>
      </c>
      <c r="G38" s="111">
        <f t="shared" si="3"/>
        <v>21691.517120000004</v>
      </c>
      <c r="H38" s="111">
        <f t="shared" si="0"/>
        <v>1.715982822276052E-6</v>
      </c>
      <c r="I38" s="111">
        <f>G38/(Table1123456[[#This Row],[b (mm)]]*X38^2)</f>
        <v>1.9682581027083029E-3</v>
      </c>
      <c r="J38" s="111">
        <f t="shared" si="1"/>
        <v>0.29554488888888897</v>
      </c>
      <c r="K38" s="111">
        <f t="shared" si="2"/>
        <v>1.1739638631163294E-6</v>
      </c>
      <c r="L38" s="111">
        <f>E38/(Table1123456[[#This Row],[b (mm)]]*X38)</f>
        <v>6.5828030190913129E-4</v>
      </c>
      <c r="M38" s="111">
        <f>Table1123456[[#This Row],[M (KN.mm)]]/(Table1123456[[#This Row],[b (mm)]]*Table1123456[[#This Row],[d (mm)]])</f>
        <v>0.45860413793103455</v>
      </c>
      <c r="N38" s="111">
        <f>Table1123456[[#This Row],[M (KN.mm)]]/(Table1123456[[#This Row],[b (mm)]]*Table1123456[[#This Row],[h (mm)]])</f>
        <v>0.3503434889768231</v>
      </c>
      <c r="O38" s="111">
        <f>Table1123456[[#This Row],[M (KN.mm)]]/(Table1123456[[#This Row],[b (mm)]]*Table1123456[[#This Row],[h (mm)]]*Table1123456[[#This Row],[L(mm)]])</f>
        <v>2.5078274085670949E-4</v>
      </c>
      <c r="P38" s="111">
        <f>Table1123456[[#This Row],[M (KN.mm)]]/(Table1123456[[#This Row],[b (mm)]]*Table1123456[[#This Row],[d (mm)]]*Table1123456[[#This Row],[L(mm)]])</f>
        <v>3.2827783674376133E-4</v>
      </c>
      <c r="Q38" s="111">
        <f>Table1123456[[#This Row],[M (KN.mm)]]/(Table1123456[[#This Row],[b (mm)]]*Table1123456[[#This Row],[h (mm)]]*Table1123456[[#This Row],[L(mm)]]*Table1123456[[#This Row],[fc (Mpa)]])</f>
        <v>3.6557250853747742E-6</v>
      </c>
      <c r="R38" s="111">
        <f>Table1123456[[#This Row],[M (KN.mm)]]/(Table1123456[[#This Row],[b (mm)]]*Table1123456[[#This Row],[h (mm)]]*Table1123456[[#This Row],[L(mm)]]/2)</f>
        <v>5.0156548171341898E-4</v>
      </c>
      <c r="S38" s="111">
        <f>Table1123456[[#This Row],[M (KN.mm)]]/(Table1123456[[#This Row],[a (mm)]]*Table1123456[[#This Row],[b (mm)]]*Table1123456[[#This Row],[h (mm)]]*Table1123456[[#This Row],[L(mm)]]/2)</f>
        <v>7.1994700749769457E-7</v>
      </c>
      <c r="T38" s="111">
        <f>Table1123456[[#This Row],[M (KN.mm)]]/(Table1123456[[#This Row],[a (mm)]]^2*Table1123456[[#This Row],[b (mm)]]*Table1123456[[#This Row],[h (mm)]])</f>
        <v>7.2183815111478845E-7</v>
      </c>
      <c r="U38" s="111">
        <f>Table1123456[[#This Row],[M (KN.mm)]]/(Table1123456[[#This Row],[b (mm)]]*Table1123456[[#This Row],[d (mm)]]*Table1123456[[#This Row],[pho (%)]])</f>
        <v>0.36397153804050364</v>
      </c>
      <c r="V38" s="111">
        <f>E38/(Table1123456[[#This Row],[b (mm)]]*Y38*Table1123456[[#This Row],[fc (Mpa)]]*Table1123456[[#This Row],[a (mm)]])</f>
        <v>1.0522422027912366E-8</v>
      </c>
      <c r="W38" s="111">
        <f>2.99*Table1123456[[#This Row],[d (mm)]]</f>
        <v>696.67000000000007</v>
      </c>
      <c r="X38" s="160">
        <v>233</v>
      </c>
      <c r="Y38" s="160">
        <v>305</v>
      </c>
      <c r="Z38" s="160">
        <v>203</v>
      </c>
      <c r="AA38" s="160">
        <v>68.599999999999994</v>
      </c>
      <c r="AB38" s="160">
        <v>600</v>
      </c>
      <c r="AC38" s="160">
        <v>1.26</v>
      </c>
      <c r="AD38" s="160">
        <v>525</v>
      </c>
      <c r="AE38" s="111">
        <f>(1/3-0.21*(MIN(Table1123456[[#This Row],[b (mm)]],Y38)/MAX(Table1123456[[#This Row],[b (mm)]],Y38))*(MIN(Table1123456[[#This Row],[b (mm)]],Y38)^4/(12*MAX(Table1123456[[#This Row],[b (mm)]],Y38)^4)))*MAX(Table1123456[[#This Row],[b (mm)]],Y38)*MIN(Table1123456[[#This Row],[b (mm)]],Y38)^3</f>
        <v>844653219.61076438</v>
      </c>
      <c r="AF38" s="111">
        <f>Table1123456[[#This Row],[b (mm)]]*Y38^3/12</f>
        <v>479970239.58333331</v>
      </c>
      <c r="AG38" s="160">
        <v>1397</v>
      </c>
      <c r="AH38" s="139"/>
      <c r="AI38" s="139"/>
      <c r="AJ38" s="139"/>
      <c r="AK38" s="139"/>
      <c r="AL38" s="139"/>
      <c r="AM38" s="139"/>
      <c r="AP38" s="1"/>
    </row>
    <row r="39" spans="1:42" x14ac:dyDescent="0.3">
      <c r="A39" s="156" t="s">
        <v>99</v>
      </c>
      <c r="B39" s="164">
        <v>5</v>
      </c>
      <c r="C39" s="111">
        <v>46</v>
      </c>
      <c r="D39" s="111">
        <f>Table1123456[[#This Row],[a (mm)]]/Table1123456[[#This Row],[d (mm)]]</f>
        <v>2.99</v>
      </c>
      <c r="E39" s="160">
        <v>35.584000000000003</v>
      </c>
      <c r="F39" s="137">
        <f>Table1123456[[#This Row],[d (mm)]]</f>
        <v>233</v>
      </c>
      <c r="G39" s="111">
        <f t="shared" si="3"/>
        <v>24790.305280000004</v>
      </c>
      <c r="H39" s="111">
        <f t="shared" si="0"/>
        <v>1.9611232254583452E-6</v>
      </c>
      <c r="I39" s="111">
        <f>G39/(Table1123456[[#This Row],[b (mm)]]*X39^2)</f>
        <v>2.2494378316666318E-3</v>
      </c>
      <c r="J39" s="111">
        <f t="shared" si="1"/>
        <v>0.33776558730158734</v>
      </c>
      <c r="K39" s="111">
        <f t="shared" si="2"/>
        <v>1.3416729864186622E-6</v>
      </c>
      <c r="L39" s="111">
        <f>E39/(Table1123456[[#This Row],[b (mm)]]*X39)</f>
        <v>7.5232034503900725E-4</v>
      </c>
      <c r="M39" s="111">
        <f>Table1123456[[#This Row],[M (KN.mm)]]/(Table1123456[[#This Row],[b (mm)]]*Table1123456[[#This Row],[d (mm)]])</f>
        <v>0.52411901477832523</v>
      </c>
      <c r="N39" s="111">
        <f>Table1123456[[#This Row],[M (KN.mm)]]/(Table1123456[[#This Row],[b (mm)]]*Table1123456[[#This Row],[h (mm)]])</f>
        <v>0.400392558830655</v>
      </c>
      <c r="O39" s="111">
        <f>Table1123456[[#This Row],[M (KN.mm)]]/(Table1123456[[#This Row],[b (mm)]]*Table1123456[[#This Row],[h (mm)]]*Table1123456[[#This Row],[L(mm)]])</f>
        <v>2.8660884669338223E-4</v>
      </c>
      <c r="P39" s="111">
        <f>Table1123456[[#This Row],[M (KN.mm)]]/(Table1123456[[#This Row],[b (mm)]]*Table1123456[[#This Row],[d (mm)]]*Table1123456[[#This Row],[L(mm)]])</f>
        <v>3.7517467056429862E-4</v>
      </c>
      <c r="Q39" s="111">
        <f>Table1123456[[#This Row],[M (KN.mm)]]/(Table1123456[[#This Row],[b (mm)]]*Table1123456[[#This Row],[h (mm)]]*Table1123456[[#This Row],[L(mm)]]*Table1123456[[#This Row],[fc (Mpa)]])</f>
        <v>4.1779715261425987E-6</v>
      </c>
      <c r="R39" s="111">
        <f>Table1123456[[#This Row],[M (KN.mm)]]/(Table1123456[[#This Row],[b (mm)]]*Table1123456[[#This Row],[h (mm)]]*Table1123456[[#This Row],[L(mm)]]/2)</f>
        <v>5.7321769338676445E-4</v>
      </c>
      <c r="S39" s="111">
        <f>Table1123456[[#This Row],[M (KN.mm)]]/(Table1123456[[#This Row],[a (mm)]]*Table1123456[[#This Row],[b (mm)]]*Table1123456[[#This Row],[h (mm)]]*Table1123456[[#This Row],[L(mm)]]/2)</f>
        <v>8.2279657999736527E-7</v>
      </c>
      <c r="T39" s="111">
        <f>Table1123456[[#This Row],[M (KN.mm)]]/(Table1123456[[#This Row],[a (mm)]]^2*Table1123456[[#This Row],[b (mm)]]*Table1123456[[#This Row],[h (mm)]])</f>
        <v>8.2495788698832964E-7</v>
      </c>
      <c r="U39" s="111">
        <f>Table1123456[[#This Row],[M (KN.mm)]]/(Table1123456[[#This Row],[b (mm)]]*Table1123456[[#This Row],[d (mm)]]*Table1123456[[#This Row],[pho (%)]])</f>
        <v>0.41596747204628987</v>
      </c>
      <c r="V39" s="111">
        <f>E39/(Table1123456[[#This Row],[b (mm)]]*Y39*Table1123456[[#This Row],[fc (Mpa)]]*Table1123456[[#This Row],[a (mm)]])</f>
        <v>1.202562517475699E-8</v>
      </c>
      <c r="W39" s="111">
        <f>2.99*Table1123456[[#This Row],[d (mm)]]</f>
        <v>696.67000000000007</v>
      </c>
      <c r="X39" s="160">
        <v>233</v>
      </c>
      <c r="Y39" s="160">
        <v>305</v>
      </c>
      <c r="Z39" s="160">
        <v>203</v>
      </c>
      <c r="AA39" s="160">
        <v>68.599999999999994</v>
      </c>
      <c r="AB39" s="160">
        <v>600</v>
      </c>
      <c r="AC39" s="160">
        <v>1.26</v>
      </c>
      <c r="AD39" s="160">
        <v>525</v>
      </c>
      <c r="AE39" s="111">
        <f>(1/3-0.21*(MIN(Table1123456[[#This Row],[b (mm)]],Y39)/MAX(Table1123456[[#This Row],[b (mm)]],Y39))*(MIN(Table1123456[[#This Row],[b (mm)]],Y39)^4/(12*MAX(Table1123456[[#This Row],[b (mm)]],Y39)^4)))*MAX(Table1123456[[#This Row],[b (mm)]],Y39)*MIN(Table1123456[[#This Row],[b (mm)]],Y39)^3</f>
        <v>844653219.61076438</v>
      </c>
      <c r="AF39" s="111">
        <f>Table1123456[[#This Row],[b (mm)]]*Y39^3/12</f>
        <v>479970239.58333331</v>
      </c>
      <c r="AG39" s="160">
        <v>1397</v>
      </c>
      <c r="AH39" s="139"/>
      <c r="AI39" s="139"/>
      <c r="AJ39" s="139"/>
      <c r="AK39" s="139"/>
      <c r="AL39" s="139"/>
      <c r="AM39" s="139"/>
      <c r="AP39" s="1"/>
    </row>
    <row r="40" spans="1:42" x14ac:dyDescent="0.3">
      <c r="A40" s="156" t="s">
        <v>99</v>
      </c>
      <c r="B40" s="164">
        <v>6</v>
      </c>
      <c r="C40" s="111">
        <v>47</v>
      </c>
      <c r="D40" s="111">
        <f>Table1123456[[#This Row],[a (mm)]]/Table1123456[[#This Row],[d (mm)]]</f>
        <v>2.99</v>
      </c>
      <c r="E40" s="160">
        <v>40.032000000000004</v>
      </c>
      <c r="F40" s="137">
        <f>Table1123456[[#This Row],[d (mm)]]</f>
        <v>233</v>
      </c>
      <c r="G40" s="111">
        <f t="shared" si="3"/>
        <v>27889.093440000004</v>
      </c>
      <c r="H40" s="111">
        <f t="shared" si="0"/>
        <v>2.2062636286406383E-6</v>
      </c>
      <c r="I40" s="111">
        <f>G40/(Table1123456[[#This Row],[b (mm)]]*X40^2)</f>
        <v>2.5306175606249607E-3</v>
      </c>
      <c r="J40" s="111">
        <f t="shared" si="1"/>
        <v>0.37998628571428578</v>
      </c>
      <c r="K40" s="111">
        <f t="shared" si="2"/>
        <v>1.5093821097209948E-6</v>
      </c>
      <c r="L40" s="111">
        <f>E40/(Table1123456[[#This Row],[b (mm)]]*X40)</f>
        <v>8.463603881688831E-4</v>
      </c>
      <c r="M40" s="111">
        <f>Table1123456[[#This Row],[M (KN.mm)]]/(Table1123456[[#This Row],[b (mm)]]*Table1123456[[#This Row],[d (mm)]])</f>
        <v>0.58963389162561586</v>
      </c>
      <c r="N40" s="111">
        <f>Table1123456[[#This Row],[M (KN.mm)]]/(Table1123456[[#This Row],[b (mm)]]*Table1123456[[#This Row],[h (mm)]])</f>
        <v>0.45044162868448684</v>
      </c>
      <c r="O40" s="111">
        <f>Table1123456[[#This Row],[M (KN.mm)]]/(Table1123456[[#This Row],[b (mm)]]*Table1123456[[#This Row],[h (mm)]]*Table1123456[[#This Row],[L(mm)]])</f>
        <v>3.2243495253005502E-4</v>
      </c>
      <c r="P40" s="111">
        <f>Table1123456[[#This Row],[M (KN.mm)]]/(Table1123456[[#This Row],[b (mm)]]*Table1123456[[#This Row],[d (mm)]]*Table1123456[[#This Row],[L(mm)]])</f>
        <v>4.2207150438483597E-4</v>
      </c>
      <c r="Q40" s="111">
        <f>Table1123456[[#This Row],[M (KN.mm)]]/(Table1123456[[#This Row],[b (mm)]]*Table1123456[[#This Row],[h (mm)]]*Table1123456[[#This Row],[L(mm)]]*Table1123456[[#This Row],[fc (Mpa)]])</f>
        <v>4.7002179669104237E-6</v>
      </c>
      <c r="R40" s="111">
        <f>Table1123456[[#This Row],[M (KN.mm)]]/(Table1123456[[#This Row],[b (mm)]]*Table1123456[[#This Row],[h (mm)]]*Table1123456[[#This Row],[L(mm)]]/2)</f>
        <v>6.4486990506011004E-4</v>
      </c>
      <c r="S40" s="111">
        <f>Table1123456[[#This Row],[M (KN.mm)]]/(Table1123456[[#This Row],[a (mm)]]*Table1123456[[#This Row],[b (mm)]]*Table1123456[[#This Row],[h (mm)]]*Table1123456[[#This Row],[L(mm)]]/2)</f>
        <v>9.2564615249703586E-7</v>
      </c>
      <c r="T40" s="111">
        <f>Table1123456[[#This Row],[M (KN.mm)]]/(Table1123456[[#This Row],[a (mm)]]^2*Table1123456[[#This Row],[b (mm)]]*Table1123456[[#This Row],[h (mm)]])</f>
        <v>9.2807762286187083E-7</v>
      </c>
      <c r="U40" s="111">
        <f>Table1123456[[#This Row],[M (KN.mm)]]/(Table1123456[[#This Row],[b (mm)]]*Table1123456[[#This Row],[d (mm)]]*Table1123456[[#This Row],[pho (%)]])</f>
        <v>0.46796340605207609</v>
      </c>
      <c r="V40" s="111">
        <f>E40/(Table1123456[[#This Row],[b (mm)]]*Y40*Table1123456[[#This Row],[fc (Mpa)]]*Table1123456[[#This Row],[a (mm)]])</f>
        <v>1.3528828321601615E-8</v>
      </c>
      <c r="W40" s="111">
        <f>2.99*Table1123456[[#This Row],[d (mm)]]</f>
        <v>696.67000000000007</v>
      </c>
      <c r="X40" s="160">
        <v>233</v>
      </c>
      <c r="Y40" s="160">
        <v>305</v>
      </c>
      <c r="Z40" s="160">
        <v>203</v>
      </c>
      <c r="AA40" s="160">
        <v>68.599999999999994</v>
      </c>
      <c r="AB40" s="160">
        <v>600</v>
      </c>
      <c r="AC40" s="160">
        <v>1.26</v>
      </c>
      <c r="AD40" s="160">
        <v>525</v>
      </c>
      <c r="AE40" s="111">
        <f>(1/3-0.21*(MIN(Table1123456[[#This Row],[b (mm)]],Y40)/MAX(Table1123456[[#This Row],[b (mm)]],Y40))*(MIN(Table1123456[[#This Row],[b (mm)]],Y40)^4/(12*MAX(Table1123456[[#This Row],[b (mm)]],Y40)^4)))*MAX(Table1123456[[#This Row],[b (mm)]],Y40)*MIN(Table1123456[[#This Row],[b (mm)]],Y40)^3</f>
        <v>844653219.61076438</v>
      </c>
      <c r="AF40" s="111">
        <f>Table1123456[[#This Row],[b (mm)]]*Y40^3/12</f>
        <v>479970239.58333331</v>
      </c>
      <c r="AG40" s="160">
        <v>1397</v>
      </c>
      <c r="AH40" s="139"/>
      <c r="AI40" s="139"/>
      <c r="AJ40" s="139"/>
      <c r="AK40" s="139"/>
      <c r="AL40" s="139"/>
      <c r="AM40" s="139"/>
      <c r="AP40" s="1"/>
    </row>
    <row r="41" spans="1:42" x14ac:dyDescent="0.3">
      <c r="A41" s="156" t="s">
        <v>99</v>
      </c>
      <c r="B41" s="164">
        <v>7</v>
      </c>
      <c r="C41" s="111">
        <v>48</v>
      </c>
      <c r="D41" s="111">
        <f>Table1123456[[#This Row],[a (mm)]]/Table1123456[[#This Row],[d (mm)]]</f>
        <v>2.99</v>
      </c>
      <c r="E41" s="160">
        <v>44.480000000000004</v>
      </c>
      <c r="F41" s="137">
        <f>Table1123456[[#This Row],[d (mm)]]</f>
        <v>233</v>
      </c>
      <c r="G41" s="111">
        <f t="shared" si="3"/>
        <v>30987.881600000004</v>
      </c>
      <c r="H41" s="111">
        <f t="shared" si="0"/>
        <v>2.4514040318229313E-6</v>
      </c>
      <c r="I41" s="111">
        <f>G41/(Table1123456[[#This Row],[b (mm)]]*X41^2)</f>
        <v>2.8117972895832896E-3</v>
      </c>
      <c r="J41" s="111">
        <f t="shared" si="1"/>
        <v>0.42220698412698421</v>
      </c>
      <c r="K41" s="111">
        <f t="shared" si="2"/>
        <v>1.6770912330233276E-6</v>
      </c>
      <c r="L41" s="111">
        <f>E41/(Table1123456[[#This Row],[b (mm)]]*X41)</f>
        <v>9.4040043129875906E-4</v>
      </c>
      <c r="M41" s="111">
        <f>Table1123456[[#This Row],[M (KN.mm)]]/(Table1123456[[#This Row],[b (mm)]]*Table1123456[[#This Row],[d (mm)]])</f>
        <v>0.65514876847290648</v>
      </c>
      <c r="N41" s="111">
        <f>Table1123456[[#This Row],[M (KN.mm)]]/(Table1123456[[#This Row],[b (mm)]]*Table1123456[[#This Row],[h (mm)]])</f>
        <v>0.50049069853831873</v>
      </c>
      <c r="O41" s="111">
        <f>Table1123456[[#This Row],[M (KN.mm)]]/(Table1123456[[#This Row],[b (mm)]]*Table1123456[[#This Row],[h (mm)]]*Table1123456[[#This Row],[L(mm)]])</f>
        <v>3.5826105836672781E-4</v>
      </c>
      <c r="P41" s="111">
        <f>Table1123456[[#This Row],[M (KN.mm)]]/(Table1123456[[#This Row],[b (mm)]]*Table1123456[[#This Row],[d (mm)]]*Table1123456[[#This Row],[L(mm)]])</f>
        <v>4.6896833820537332E-4</v>
      </c>
      <c r="Q41" s="111">
        <f>Table1123456[[#This Row],[M (KN.mm)]]/(Table1123456[[#This Row],[b (mm)]]*Table1123456[[#This Row],[h (mm)]]*Table1123456[[#This Row],[L(mm)]]*Table1123456[[#This Row],[fc (Mpa)]])</f>
        <v>5.2224644076782486E-6</v>
      </c>
      <c r="R41" s="111">
        <f>Table1123456[[#This Row],[M (KN.mm)]]/(Table1123456[[#This Row],[b (mm)]]*Table1123456[[#This Row],[h (mm)]]*Table1123456[[#This Row],[L(mm)]]/2)</f>
        <v>7.1652211673345562E-4</v>
      </c>
      <c r="S41" s="111">
        <f>Table1123456[[#This Row],[M (KN.mm)]]/(Table1123456[[#This Row],[a (mm)]]*Table1123456[[#This Row],[b (mm)]]*Table1123456[[#This Row],[h (mm)]]*Table1123456[[#This Row],[L(mm)]]/2)</f>
        <v>1.0284957249967066E-6</v>
      </c>
      <c r="T41" s="111">
        <f>Table1123456[[#This Row],[M (KN.mm)]]/(Table1123456[[#This Row],[a (mm)]]^2*Table1123456[[#This Row],[b (mm)]]*Table1123456[[#This Row],[h (mm)]])</f>
        <v>1.0311973587354119E-6</v>
      </c>
      <c r="U41" s="111">
        <f>Table1123456[[#This Row],[M (KN.mm)]]/(Table1123456[[#This Row],[b (mm)]]*Table1123456[[#This Row],[d (mm)]]*Table1123456[[#This Row],[pho (%)]])</f>
        <v>0.51995934005786226</v>
      </c>
      <c r="V41" s="111">
        <f>E41/(Table1123456[[#This Row],[b (mm)]]*Y41*Table1123456[[#This Row],[fc (Mpa)]]*Table1123456[[#This Row],[a (mm)]])</f>
        <v>1.5032031468446236E-8</v>
      </c>
      <c r="W41" s="111">
        <f>2.99*Table1123456[[#This Row],[d (mm)]]</f>
        <v>696.67000000000007</v>
      </c>
      <c r="X41" s="160">
        <v>233</v>
      </c>
      <c r="Y41" s="160">
        <v>305</v>
      </c>
      <c r="Z41" s="160">
        <v>203</v>
      </c>
      <c r="AA41" s="160">
        <v>68.599999999999994</v>
      </c>
      <c r="AB41" s="160">
        <v>600</v>
      </c>
      <c r="AC41" s="160">
        <v>1.26</v>
      </c>
      <c r="AD41" s="160">
        <v>525</v>
      </c>
      <c r="AE41" s="111">
        <f>(1/3-0.21*(MIN(Table1123456[[#This Row],[b (mm)]],Y41)/MAX(Table1123456[[#This Row],[b (mm)]],Y41))*(MIN(Table1123456[[#This Row],[b (mm)]],Y41)^4/(12*MAX(Table1123456[[#This Row],[b (mm)]],Y41)^4)))*MAX(Table1123456[[#This Row],[b (mm)]],Y41)*MIN(Table1123456[[#This Row],[b (mm)]],Y41)^3</f>
        <v>844653219.61076438</v>
      </c>
      <c r="AF41" s="111">
        <f>Table1123456[[#This Row],[b (mm)]]*Y41^3/12</f>
        <v>479970239.58333331</v>
      </c>
      <c r="AG41" s="160">
        <v>1397</v>
      </c>
      <c r="AH41" s="139"/>
      <c r="AI41" s="139"/>
      <c r="AJ41" s="139"/>
      <c r="AK41" s="139"/>
      <c r="AL41" s="139"/>
      <c r="AM41" s="139"/>
      <c r="AP41" s="1"/>
    </row>
    <row r="42" spans="1:42" x14ac:dyDescent="0.3">
      <c r="A42" s="156" t="s">
        <v>99</v>
      </c>
      <c r="B42" s="164">
        <v>8</v>
      </c>
      <c r="C42" s="111">
        <v>49</v>
      </c>
      <c r="D42" s="111">
        <f>Table1123456[[#This Row],[a (mm)]]/Table1123456[[#This Row],[d (mm)]]</f>
        <v>2.99</v>
      </c>
      <c r="E42" s="160">
        <v>48.928000000000004</v>
      </c>
      <c r="F42" s="137">
        <f>Table1123456[[#This Row],[d (mm)]]</f>
        <v>233</v>
      </c>
      <c r="G42" s="111">
        <f t="shared" si="3"/>
        <v>34086.669760000004</v>
      </c>
      <c r="H42" s="111">
        <f t="shared" si="0"/>
        <v>2.6965444350052244E-6</v>
      </c>
      <c r="I42" s="111">
        <f>G42/(Table1123456[[#This Row],[b (mm)]]*X42^2)</f>
        <v>3.0929770185416186E-3</v>
      </c>
      <c r="J42" s="111">
        <f t="shared" si="1"/>
        <v>0.46442768253968258</v>
      </c>
      <c r="K42" s="111">
        <f t="shared" si="2"/>
        <v>1.8448003563256604E-6</v>
      </c>
      <c r="L42" s="111">
        <f>E42/(Table1123456[[#This Row],[b (mm)]]*X42)</f>
        <v>1.034440474428635E-3</v>
      </c>
      <c r="M42" s="111">
        <f>Table1123456[[#This Row],[M (KN.mm)]]/(Table1123456[[#This Row],[b (mm)]]*Table1123456[[#This Row],[d (mm)]])</f>
        <v>0.72066364532019711</v>
      </c>
      <c r="N42" s="111">
        <f>Table1123456[[#This Row],[M (KN.mm)]]/(Table1123456[[#This Row],[b (mm)]]*Table1123456[[#This Row],[h (mm)]])</f>
        <v>0.55053976839215057</v>
      </c>
      <c r="O42" s="111">
        <f>Table1123456[[#This Row],[M (KN.mm)]]/(Table1123456[[#This Row],[b (mm)]]*Table1123456[[#This Row],[h (mm)]]*Table1123456[[#This Row],[L(mm)]])</f>
        <v>3.9408716420340055E-4</v>
      </c>
      <c r="P42" s="111">
        <f>Table1123456[[#This Row],[M (KN.mm)]]/(Table1123456[[#This Row],[b (mm)]]*Table1123456[[#This Row],[d (mm)]]*Table1123456[[#This Row],[L(mm)]])</f>
        <v>5.1586517202591067E-4</v>
      </c>
      <c r="Q42" s="111">
        <f>Table1123456[[#This Row],[M (KN.mm)]]/(Table1123456[[#This Row],[b (mm)]]*Table1123456[[#This Row],[h (mm)]]*Table1123456[[#This Row],[L(mm)]]*Table1123456[[#This Row],[fc (Mpa)]])</f>
        <v>5.7447108484460736E-6</v>
      </c>
      <c r="R42" s="111">
        <f>Table1123456[[#This Row],[M (KN.mm)]]/(Table1123456[[#This Row],[b (mm)]]*Table1123456[[#This Row],[h (mm)]]*Table1123456[[#This Row],[L(mm)]]/2)</f>
        <v>7.8817432840680109E-4</v>
      </c>
      <c r="S42" s="111">
        <f>Table1123456[[#This Row],[M (KN.mm)]]/(Table1123456[[#This Row],[a (mm)]]*Table1123456[[#This Row],[b (mm)]]*Table1123456[[#This Row],[h (mm)]]*Table1123456[[#This Row],[L(mm)]]/2)</f>
        <v>1.1313452974963772E-6</v>
      </c>
      <c r="T42" s="111">
        <f>Table1123456[[#This Row],[M (KN.mm)]]/(Table1123456[[#This Row],[a (mm)]]^2*Table1123456[[#This Row],[b (mm)]]*Table1123456[[#This Row],[h (mm)]])</f>
        <v>1.1343170946089532E-6</v>
      </c>
      <c r="U42" s="111">
        <f>Table1123456[[#This Row],[M (KN.mm)]]/(Table1123456[[#This Row],[b (mm)]]*Table1123456[[#This Row],[d (mm)]]*Table1123456[[#This Row],[pho (%)]])</f>
        <v>0.57195527406364854</v>
      </c>
      <c r="V42" s="111">
        <f>E42/(Table1123456[[#This Row],[b (mm)]]*Y42*Table1123456[[#This Row],[fc (Mpa)]]*Table1123456[[#This Row],[a (mm)]])</f>
        <v>1.6535234615290861E-8</v>
      </c>
      <c r="W42" s="111">
        <f>2.99*Table1123456[[#This Row],[d (mm)]]</f>
        <v>696.67000000000007</v>
      </c>
      <c r="X42" s="160">
        <v>233</v>
      </c>
      <c r="Y42" s="160">
        <v>305</v>
      </c>
      <c r="Z42" s="160">
        <v>203</v>
      </c>
      <c r="AA42" s="160">
        <v>68.599999999999994</v>
      </c>
      <c r="AB42" s="160">
        <v>600</v>
      </c>
      <c r="AC42" s="160">
        <v>1.26</v>
      </c>
      <c r="AD42" s="160">
        <v>525</v>
      </c>
      <c r="AE42" s="111">
        <f>(1/3-0.21*(MIN(Table1123456[[#This Row],[b (mm)]],Y42)/MAX(Table1123456[[#This Row],[b (mm)]],Y42))*(MIN(Table1123456[[#This Row],[b (mm)]],Y42)^4/(12*MAX(Table1123456[[#This Row],[b (mm)]],Y42)^4)))*MAX(Table1123456[[#This Row],[b (mm)]],Y42)*MIN(Table1123456[[#This Row],[b (mm)]],Y42)^3</f>
        <v>844653219.61076438</v>
      </c>
      <c r="AF42" s="111">
        <f>Table1123456[[#This Row],[b (mm)]]*Y42^3/12</f>
        <v>479970239.58333331</v>
      </c>
      <c r="AG42" s="160">
        <v>1397</v>
      </c>
      <c r="AH42" s="139"/>
      <c r="AI42" s="139"/>
      <c r="AJ42" s="139"/>
      <c r="AK42" s="139"/>
      <c r="AL42" s="139"/>
      <c r="AM42" s="139"/>
      <c r="AP42" s="1"/>
    </row>
    <row r="43" spans="1:42" x14ac:dyDescent="0.3">
      <c r="A43" s="156" t="s">
        <v>99</v>
      </c>
      <c r="B43" s="164">
        <v>9</v>
      </c>
      <c r="C43" s="111">
        <v>50</v>
      </c>
      <c r="D43" s="111">
        <f>Table1123456[[#This Row],[a (mm)]]/Table1123456[[#This Row],[d (mm)]]</f>
        <v>2.99</v>
      </c>
      <c r="E43" s="160">
        <v>53.376000000000005</v>
      </c>
      <c r="F43" s="137">
        <f>Table1123456[[#This Row],[d (mm)]]</f>
        <v>233</v>
      </c>
      <c r="G43" s="111">
        <f t="shared" si="3"/>
        <v>37185.457920000008</v>
      </c>
      <c r="H43" s="111">
        <f t="shared" si="0"/>
        <v>2.9416848381875178E-6</v>
      </c>
      <c r="I43" s="111">
        <f>G43/(Table1123456[[#This Row],[b (mm)]]*X43^2)</f>
        <v>3.3741567474999479E-3</v>
      </c>
      <c r="J43" s="111">
        <f t="shared" si="1"/>
        <v>0.50664838095238107</v>
      </c>
      <c r="K43" s="111">
        <f t="shared" si="2"/>
        <v>2.0125094796279932E-6</v>
      </c>
      <c r="L43" s="111">
        <f>E43/(Table1123456[[#This Row],[b (mm)]]*X43)</f>
        <v>1.1284805175585109E-3</v>
      </c>
      <c r="M43" s="111">
        <f>Table1123456[[#This Row],[M (KN.mm)]]/(Table1123456[[#This Row],[b (mm)]]*Table1123456[[#This Row],[d (mm)]])</f>
        <v>0.78617852216748785</v>
      </c>
      <c r="N43" s="111">
        <f>Table1123456[[#This Row],[M (KN.mm)]]/(Table1123456[[#This Row],[b (mm)]]*Table1123456[[#This Row],[h (mm)]])</f>
        <v>0.60058883824598253</v>
      </c>
      <c r="O43" s="111">
        <f>Table1123456[[#This Row],[M (KN.mm)]]/(Table1123456[[#This Row],[b (mm)]]*Table1123456[[#This Row],[h (mm)]]*Table1123456[[#This Row],[L(mm)]])</f>
        <v>4.2991327004007339E-4</v>
      </c>
      <c r="P43" s="111">
        <f>Table1123456[[#This Row],[M (KN.mm)]]/(Table1123456[[#This Row],[b (mm)]]*Table1123456[[#This Row],[d (mm)]]*Table1123456[[#This Row],[L(mm)]])</f>
        <v>5.6276200584644796E-4</v>
      </c>
      <c r="Q43" s="111">
        <f>Table1123456[[#This Row],[M (KN.mm)]]/(Table1123456[[#This Row],[b (mm)]]*Table1123456[[#This Row],[h (mm)]]*Table1123456[[#This Row],[L(mm)]]*Table1123456[[#This Row],[fc (Mpa)]])</f>
        <v>6.2669572892138985E-6</v>
      </c>
      <c r="R43" s="111">
        <f>Table1123456[[#This Row],[M (KN.mm)]]/(Table1123456[[#This Row],[b (mm)]]*Table1123456[[#This Row],[h (mm)]]*Table1123456[[#This Row],[L(mm)]]/2)</f>
        <v>8.5982654008014679E-4</v>
      </c>
      <c r="S43" s="111">
        <f>Table1123456[[#This Row],[M (KN.mm)]]/(Table1123456[[#This Row],[a (mm)]]*Table1123456[[#This Row],[b (mm)]]*Table1123456[[#This Row],[h (mm)]]*Table1123456[[#This Row],[L(mm)]]/2)</f>
        <v>1.234194869996048E-6</v>
      </c>
      <c r="T43" s="111">
        <f>Table1123456[[#This Row],[M (KN.mm)]]/(Table1123456[[#This Row],[a (mm)]]^2*Table1123456[[#This Row],[b (mm)]]*Table1123456[[#This Row],[h (mm)]])</f>
        <v>1.2374368304824945E-6</v>
      </c>
      <c r="U43" s="111">
        <f>Table1123456[[#This Row],[M (KN.mm)]]/(Table1123456[[#This Row],[b (mm)]]*Table1123456[[#This Row],[d (mm)]]*Table1123456[[#This Row],[pho (%)]])</f>
        <v>0.62395120806943483</v>
      </c>
      <c r="V43" s="111">
        <f>E43/(Table1123456[[#This Row],[b (mm)]]*Y43*Table1123456[[#This Row],[fc (Mpa)]]*Table1123456[[#This Row],[a (mm)]])</f>
        <v>1.8038437762135486E-8</v>
      </c>
      <c r="W43" s="111">
        <f>2.99*Table1123456[[#This Row],[d (mm)]]</f>
        <v>696.67000000000007</v>
      </c>
      <c r="X43" s="160">
        <v>233</v>
      </c>
      <c r="Y43" s="160">
        <v>305</v>
      </c>
      <c r="Z43" s="160">
        <v>203</v>
      </c>
      <c r="AA43" s="160">
        <v>68.599999999999994</v>
      </c>
      <c r="AB43" s="160">
        <v>600</v>
      </c>
      <c r="AC43" s="160">
        <v>1.26</v>
      </c>
      <c r="AD43" s="160">
        <v>525</v>
      </c>
      <c r="AE43" s="111">
        <f>(1/3-0.21*(MIN(Table1123456[[#This Row],[b (mm)]],Y43)/MAX(Table1123456[[#This Row],[b (mm)]],Y43))*(MIN(Table1123456[[#This Row],[b (mm)]],Y43)^4/(12*MAX(Table1123456[[#This Row],[b (mm)]],Y43)^4)))*MAX(Table1123456[[#This Row],[b (mm)]],Y43)*MIN(Table1123456[[#This Row],[b (mm)]],Y43)^3</f>
        <v>844653219.61076438</v>
      </c>
      <c r="AF43" s="111">
        <f>Table1123456[[#This Row],[b (mm)]]*Y43^3/12</f>
        <v>479970239.58333331</v>
      </c>
      <c r="AG43" s="160">
        <v>1397</v>
      </c>
      <c r="AH43" s="139"/>
      <c r="AI43" s="139"/>
      <c r="AJ43" s="139"/>
      <c r="AK43" s="139"/>
      <c r="AL43" s="139"/>
      <c r="AM43" s="139"/>
      <c r="AP43" s="1"/>
    </row>
    <row r="44" spans="1:42" x14ac:dyDescent="0.3">
      <c r="A44" s="157" t="s">
        <v>100</v>
      </c>
      <c r="B44" s="146">
        <v>1</v>
      </c>
      <c r="C44" s="111">
        <v>53</v>
      </c>
      <c r="D44" s="111">
        <f>Table1123456[[#This Row],[a (mm)]]/Table1123456[[#This Row],[d (mm)]]</f>
        <v>2.99</v>
      </c>
      <c r="E44" s="111">
        <v>55.600000000000009</v>
      </c>
      <c r="F44" s="137">
        <f>Table1123456[[#This Row],[d (mm)]]</f>
        <v>529</v>
      </c>
      <c r="G44" s="135">
        <f t="shared" si="3"/>
        <v>87943.076000000015</v>
      </c>
      <c r="H44" s="135">
        <f t="shared" si="0"/>
        <v>4.3696767922465741E-7</v>
      </c>
      <c r="I44" s="135">
        <f>G44/(Table1123456[[#This Row],[b (mm)]]*X44^2)</f>
        <v>7.7024722932651335E-4</v>
      </c>
      <c r="J44" s="135">
        <f t="shared" si="1"/>
        <v>0.12268703529455179</v>
      </c>
      <c r="K44" s="135">
        <f t="shared" si="2"/>
        <v>1.2956749745022778E-7</v>
      </c>
      <c r="L44" s="135">
        <f>E44/(Table1123456[[#This Row],[b (mm)]]*X44)</f>
        <v>2.5760776900552286E-4</v>
      </c>
      <c r="M44" s="135">
        <f>Table1123456[[#This Row],[M (KN.mm)]]/(Table1123456[[#This Row],[b (mm)]]*Table1123456[[#This Row],[d (mm)]])</f>
        <v>0.40746078431372557</v>
      </c>
      <c r="N44" s="135">
        <f>Table1123456[[#This Row],[M (KN.mm)]]/(Table1123456[[#This Row],[b (mm)]]*Table1123456[[#This Row],[h (mm)]])</f>
        <v>0.35451768898348818</v>
      </c>
      <c r="O44" s="144">
        <f>Table1123456[[#This Row],[M (KN.mm)]]/(Table1123456[[#This Row],[b (mm)]]*Table1123456[[#This Row],[h (mm)]]*Table1123456[[#This Row],[L(mm)]])</f>
        <v>1.121181812091993E-4</v>
      </c>
      <c r="P44" s="144">
        <f>Table1123456[[#This Row],[M (KN.mm)]]/(Table1123456[[#This Row],[b (mm)]]*Table1123456[[#This Row],[d (mm)]]*Table1123456[[#This Row],[L(mm)]])</f>
        <v>1.2886172811945779E-4</v>
      </c>
      <c r="Q44" s="144">
        <f>Table1123456[[#This Row],[M (KN.mm)]]/(Table1123456[[#This Row],[b (mm)]]*Table1123456[[#This Row],[h (mm)]]*Table1123456[[#This Row],[L(mm)]]*Table1123456[[#This Row],[fc (Mpa)]])</f>
        <v>1.7302188458209768E-6</v>
      </c>
      <c r="R44" s="144">
        <f>Table1123456[[#This Row],[M (KN.mm)]]/(Table1123456[[#This Row],[b (mm)]]*Table1123456[[#This Row],[h (mm)]]*Table1123456[[#This Row],[L(mm)]]/2)</f>
        <v>2.2423636241839859E-4</v>
      </c>
      <c r="S44" s="144">
        <f>Table1123456[[#This Row],[M (KN.mm)]]/(Table1123456[[#This Row],[a (mm)]]*Table1123456[[#This Row],[b (mm)]]*Table1123456[[#This Row],[h (mm)]]*Table1123456[[#This Row],[L(mm)]]/2)</f>
        <v>1.4176831556884547E-7</v>
      </c>
      <c r="T44" s="144">
        <f>Table1123456[[#This Row],[M (KN.mm)]]/(Table1123456[[#This Row],[a (mm)]]^2*Table1123456[[#This Row],[b (mm)]]*Table1123456[[#This Row],[h (mm)]])</f>
        <v>1.4170467842673102E-7</v>
      </c>
      <c r="U44" s="144">
        <f>Table1123456[[#This Row],[M (KN.mm)]]/(Table1123456[[#This Row],[b (mm)]]*Table1123456[[#This Row],[d (mm)]]*Table1123456[[#This Row],[pho (%)]])</f>
        <v>0.33955065359477132</v>
      </c>
      <c r="V44" s="144">
        <f>E44/(Table1123456[[#This Row],[b (mm)]]*Y44*Table1123456[[#This Row],[fc (Mpa)]]*Table1123456[[#This Row],[a (mm)]])</f>
        <v>2.1868005930051086E-9</v>
      </c>
      <c r="W44" s="111">
        <f>2.99*Table1123456[[#This Row],[d (mm)]]</f>
        <v>1581.71</v>
      </c>
      <c r="X44" s="160">
        <v>529</v>
      </c>
      <c r="Y44" s="160">
        <v>608</v>
      </c>
      <c r="Z44" s="160">
        <v>408</v>
      </c>
      <c r="AA44" s="160">
        <v>64.8</v>
      </c>
      <c r="AB44" s="160">
        <v>2581</v>
      </c>
      <c r="AC44" s="160">
        <v>1.2</v>
      </c>
      <c r="AD44" s="160">
        <v>525</v>
      </c>
      <c r="AE44" s="111">
        <f>(1/3-0.21*(MIN(Table1123456[[#This Row],[b (mm)]],Y44)/MAX(Table1123456[[#This Row],[b (mm)]],Y44))*(MIN(Table1123456[[#This Row],[b (mm)]],Y44)^4/(12*MAX(Table1123456[[#This Row],[b (mm)]],Y44)^4)))*MAX(Table1123456[[#This Row],[b (mm)]],Y44)*MIN(Table1123456[[#This Row],[b (mm)]],Y44)^3</f>
        <v>13666240930.700037</v>
      </c>
      <c r="AF44" s="111">
        <f>Table1123456[[#This Row],[b (mm)]]*Y44^3/12</f>
        <v>7641694208</v>
      </c>
      <c r="AG44" s="160">
        <v>3162</v>
      </c>
      <c r="AH44" s="138"/>
      <c r="AI44" s="126"/>
      <c r="AJ44" s="139"/>
      <c r="AK44" s="139"/>
      <c r="AL44" s="105"/>
      <c r="AM44" s="105"/>
    </row>
    <row r="45" spans="1:42" x14ac:dyDescent="0.3">
      <c r="A45" s="157" t="s">
        <v>100</v>
      </c>
      <c r="B45" s="146">
        <v>2</v>
      </c>
      <c r="C45" s="111">
        <v>54</v>
      </c>
      <c r="D45" s="111">
        <f>Table1123456[[#This Row],[a (mm)]]/Table1123456[[#This Row],[d (mm)]]</f>
        <v>2.99</v>
      </c>
      <c r="E45" s="111">
        <v>66.72</v>
      </c>
      <c r="F45" s="137">
        <f>Table1123456[[#This Row],[d (mm)]]</f>
        <v>529</v>
      </c>
      <c r="G45" s="135">
        <f t="shared" si="3"/>
        <v>105531.6912</v>
      </c>
      <c r="H45" s="135">
        <f t="shared" si="0"/>
        <v>5.2436121506958887E-7</v>
      </c>
      <c r="I45" s="135">
        <f>G45/(Table1123456[[#This Row],[b (mm)]]*X45^2)</f>
        <v>9.2429667519181588E-4</v>
      </c>
      <c r="J45" s="135">
        <f t="shared" si="1"/>
        <v>0.14722444235346213</v>
      </c>
      <c r="K45" s="135">
        <f t="shared" si="2"/>
        <v>1.554809969402733E-7</v>
      </c>
      <c r="L45" s="135">
        <f>E45/(Table1123456[[#This Row],[b (mm)]]*X45)</f>
        <v>3.0912932280662735E-4</v>
      </c>
      <c r="M45" s="135">
        <f>Table1123456[[#This Row],[M (KN.mm)]]/(Table1123456[[#This Row],[b (mm)]]*Table1123456[[#This Row],[d (mm)]])</f>
        <v>0.48895294117647059</v>
      </c>
      <c r="N45" s="135">
        <f>Table1123456[[#This Row],[M (KN.mm)]]/(Table1123456[[#This Row],[b (mm)]]*Table1123456[[#This Row],[h (mm)]])</f>
        <v>0.42542122678018579</v>
      </c>
      <c r="O45" s="145">
        <f>Table1123456[[#This Row],[M (KN.mm)]]/(Table1123456[[#This Row],[b (mm)]]*Table1123456[[#This Row],[h (mm)]]*Table1123456[[#This Row],[L(mm)]])</f>
        <v>1.3454181745103914E-4</v>
      </c>
      <c r="P45" s="145">
        <f>Table1123456[[#This Row],[M (KN.mm)]]/(Table1123456[[#This Row],[b (mm)]]*Table1123456[[#This Row],[d (mm)]]*Table1123456[[#This Row],[L(mm)]])</f>
        <v>1.5463407374334933E-4</v>
      </c>
      <c r="Q45" s="145">
        <f>Table1123456[[#This Row],[M (KN.mm)]]/(Table1123456[[#This Row],[b (mm)]]*Table1123456[[#This Row],[h (mm)]]*Table1123456[[#This Row],[L(mm)]]*Table1123456[[#This Row],[fc (Mpa)]])</f>
        <v>2.0762626149851718E-6</v>
      </c>
      <c r="R45" s="145">
        <f>Table1123456[[#This Row],[M (KN.mm)]]/(Table1123456[[#This Row],[b (mm)]]*Table1123456[[#This Row],[h (mm)]]*Table1123456[[#This Row],[L(mm)]]/2)</f>
        <v>2.6908363490207827E-4</v>
      </c>
      <c r="S45" s="145">
        <f>Table1123456[[#This Row],[M (KN.mm)]]/(Table1123456[[#This Row],[a (mm)]]*Table1123456[[#This Row],[b (mm)]]*Table1123456[[#This Row],[h (mm)]]*Table1123456[[#This Row],[L(mm)]]/2)</f>
        <v>1.7012197868261453E-7</v>
      </c>
      <c r="T45" s="145">
        <f>Table1123456[[#This Row],[M (KN.mm)]]/(Table1123456[[#This Row],[a (mm)]]^2*Table1123456[[#This Row],[b (mm)]]*Table1123456[[#This Row],[h (mm)]])</f>
        <v>1.7004561411207719E-7</v>
      </c>
      <c r="U45" s="145">
        <f>Table1123456[[#This Row],[M (KN.mm)]]/(Table1123456[[#This Row],[b (mm)]]*Table1123456[[#This Row],[d (mm)]]*Table1123456[[#This Row],[pho (%)]])</f>
        <v>0.40746078431372551</v>
      </c>
      <c r="V45" s="145">
        <f>E45/(Table1123456[[#This Row],[b (mm)]]*Y45*Table1123456[[#This Row],[fc (Mpa)]]*Table1123456[[#This Row],[a (mm)]])</f>
        <v>2.6241607116061298E-9</v>
      </c>
      <c r="W45" s="111">
        <f>2.99*Table1123456[[#This Row],[d (mm)]]</f>
        <v>1581.71</v>
      </c>
      <c r="X45" s="160">
        <v>529</v>
      </c>
      <c r="Y45" s="160">
        <v>608</v>
      </c>
      <c r="Z45" s="160">
        <v>408</v>
      </c>
      <c r="AA45" s="160">
        <v>64.8</v>
      </c>
      <c r="AB45" s="160">
        <v>2581</v>
      </c>
      <c r="AC45" s="160">
        <v>1.2</v>
      </c>
      <c r="AD45" s="160">
        <v>525</v>
      </c>
      <c r="AE45" s="111">
        <f>(1/3-0.21*(MIN(Table1123456[[#This Row],[b (mm)]],Y45)/MAX(Table1123456[[#This Row],[b (mm)]],Y45))*(MIN(Table1123456[[#This Row],[b (mm)]],Y45)^4/(12*MAX(Table1123456[[#This Row],[b (mm)]],Y45)^4)))*MAX(Table1123456[[#This Row],[b (mm)]],Y45)*MIN(Table1123456[[#This Row],[b (mm)]],Y45)^3</f>
        <v>13666240930.700037</v>
      </c>
      <c r="AF45" s="111">
        <f>Table1123456[[#This Row],[b (mm)]]*Y45^3/12</f>
        <v>7641694208</v>
      </c>
      <c r="AG45" s="160">
        <v>3162</v>
      </c>
      <c r="AH45" s="138"/>
      <c r="AI45" s="126"/>
      <c r="AJ45" s="139"/>
      <c r="AK45" s="139"/>
      <c r="AL45" s="105"/>
      <c r="AM45" s="105"/>
    </row>
    <row r="46" spans="1:42" x14ac:dyDescent="0.3">
      <c r="A46" s="157" t="s">
        <v>100</v>
      </c>
      <c r="B46" s="146">
        <v>3</v>
      </c>
      <c r="C46" s="111">
        <v>55</v>
      </c>
      <c r="D46" s="111">
        <f>Table1123456[[#This Row],[a (mm)]]/Table1123456[[#This Row],[d (mm)]]</f>
        <v>2.99</v>
      </c>
      <c r="E46" s="111">
        <v>77.84</v>
      </c>
      <c r="F46" s="137">
        <f>Table1123456[[#This Row],[d (mm)]]</f>
        <v>529</v>
      </c>
      <c r="G46" s="135">
        <f t="shared" si="3"/>
        <v>123120.3064</v>
      </c>
      <c r="H46" s="135">
        <f t="shared" si="0"/>
        <v>6.1175475091452028E-7</v>
      </c>
      <c r="I46" s="135">
        <f>G46/(Table1123456[[#This Row],[b (mm)]]*X46^2)</f>
        <v>1.0783461210571185E-3</v>
      </c>
      <c r="J46" s="135">
        <f t="shared" si="1"/>
        <v>0.17176184941237246</v>
      </c>
      <c r="K46" s="135">
        <f t="shared" si="2"/>
        <v>1.8139449643031888E-7</v>
      </c>
      <c r="L46" s="135">
        <f>E46/(Table1123456[[#This Row],[b (mm)]]*X46)</f>
        <v>3.6065087660773194E-4</v>
      </c>
      <c r="M46" s="135">
        <f>Table1123456[[#This Row],[M (KN.mm)]]/(Table1123456[[#This Row],[b (mm)]]*Table1123456[[#This Row],[d (mm)]])</f>
        <v>0.57044509803921573</v>
      </c>
      <c r="N46" s="135">
        <f>Table1123456[[#This Row],[M (KN.mm)]]/(Table1123456[[#This Row],[b (mm)]]*Table1123456[[#This Row],[h (mm)]])</f>
        <v>0.4963247645768834</v>
      </c>
      <c r="O46" s="145">
        <f>Table1123456[[#This Row],[M (KN.mm)]]/(Table1123456[[#This Row],[b (mm)]]*Table1123456[[#This Row],[h (mm)]]*Table1123456[[#This Row],[L(mm)]])</f>
        <v>1.5696545369287899E-4</v>
      </c>
      <c r="P46" s="145">
        <f>Table1123456[[#This Row],[M (KN.mm)]]/(Table1123456[[#This Row],[b (mm)]]*Table1123456[[#This Row],[d (mm)]]*Table1123456[[#This Row],[L(mm)]])</f>
        <v>1.8040641936724089E-4</v>
      </c>
      <c r="Q46" s="145">
        <f>Table1123456[[#This Row],[M (KN.mm)]]/(Table1123456[[#This Row],[b (mm)]]*Table1123456[[#This Row],[h (mm)]]*Table1123456[[#This Row],[L(mm)]]*Table1123456[[#This Row],[fc (Mpa)]])</f>
        <v>2.422306384149367E-6</v>
      </c>
      <c r="R46" s="145">
        <f>Table1123456[[#This Row],[M (KN.mm)]]/(Table1123456[[#This Row],[b (mm)]]*Table1123456[[#This Row],[h (mm)]]*Table1123456[[#This Row],[L(mm)]]/2)</f>
        <v>3.1393090738575797E-4</v>
      </c>
      <c r="S46" s="145">
        <f>Table1123456[[#This Row],[M (KN.mm)]]/(Table1123456[[#This Row],[a (mm)]]*Table1123456[[#This Row],[b (mm)]]*Table1123456[[#This Row],[h (mm)]]*Table1123456[[#This Row],[L(mm)]]/2)</f>
        <v>1.9847564179638361E-7</v>
      </c>
      <c r="T46" s="145">
        <f>Table1123456[[#This Row],[M (KN.mm)]]/(Table1123456[[#This Row],[a (mm)]]^2*Table1123456[[#This Row],[b (mm)]]*Table1123456[[#This Row],[h (mm)]])</f>
        <v>1.9838654979742339E-7</v>
      </c>
      <c r="U46" s="145">
        <f>Table1123456[[#This Row],[M (KN.mm)]]/(Table1123456[[#This Row],[b (mm)]]*Table1123456[[#This Row],[d (mm)]]*Table1123456[[#This Row],[pho (%)]])</f>
        <v>0.47537091503267975</v>
      </c>
      <c r="V46" s="145">
        <f>E46/(Table1123456[[#This Row],[b (mm)]]*Y46*Table1123456[[#This Row],[fc (Mpa)]]*Table1123456[[#This Row],[a (mm)]])</f>
        <v>3.0615208302071514E-9</v>
      </c>
      <c r="W46" s="111">
        <f>2.99*Table1123456[[#This Row],[d (mm)]]</f>
        <v>1581.71</v>
      </c>
      <c r="X46" s="160">
        <v>529</v>
      </c>
      <c r="Y46" s="160">
        <v>608</v>
      </c>
      <c r="Z46" s="160">
        <v>408</v>
      </c>
      <c r="AA46" s="160">
        <v>64.8</v>
      </c>
      <c r="AB46" s="160">
        <v>2581</v>
      </c>
      <c r="AC46" s="160">
        <v>1.2</v>
      </c>
      <c r="AD46" s="160">
        <v>525</v>
      </c>
      <c r="AE46" s="111">
        <f>(1/3-0.21*(MIN(Table1123456[[#This Row],[b (mm)]],Y46)/MAX(Table1123456[[#This Row],[b (mm)]],Y46))*(MIN(Table1123456[[#This Row],[b (mm)]],Y46)^4/(12*MAX(Table1123456[[#This Row],[b (mm)]],Y46)^4)))*MAX(Table1123456[[#This Row],[b (mm)]],Y46)*MIN(Table1123456[[#This Row],[b (mm)]],Y46)^3</f>
        <v>13666240930.700037</v>
      </c>
      <c r="AF46" s="111">
        <f>Table1123456[[#This Row],[b (mm)]]*Y46^3/12</f>
        <v>7641694208</v>
      </c>
      <c r="AG46" s="160">
        <v>3162</v>
      </c>
      <c r="AH46" s="138"/>
      <c r="AI46" s="126"/>
      <c r="AJ46" s="139"/>
      <c r="AK46" s="139"/>
      <c r="AL46" s="105"/>
      <c r="AM46" s="105"/>
    </row>
    <row r="47" spans="1:42" x14ac:dyDescent="0.3">
      <c r="A47" s="157" t="s">
        <v>100</v>
      </c>
      <c r="B47" s="146">
        <v>4</v>
      </c>
      <c r="C47" s="111">
        <v>56</v>
      </c>
      <c r="D47" s="111">
        <f>Table1123456[[#This Row],[a (mm)]]/Table1123456[[#This Row],[d (mm)]]</f>
        <v>2.99</v>
      </c>
      <c r="E47" s="111">
        <v>88.960000000000008</v>
      </c>
      <c r="F47" s="137">
        <f>Table1123456[[#This Row],[d (mm)]]</f>
        <v>529</v>
      </c>
      <c r="G47" s="135">
        <f t="shared" si="3"/>
        <v>140708.9216</v>
      </c>
      <c r="H47" s="135">
        <f t="shared" si="0"/>
        <v>6.9914828675945179E-7</v>
      </c>
      <c r="I47" s="135">
        <f>G47/(Table1123456[[#This Row],[b (mm)]]*X47^2)</f>
        <v>1.2323955669224212E-3</v>
      </c>
      <c r="J47" s="135">
        <f t="shared" si="1"/>
        <v>0.19629925647128282</v>
      </c>
      <c r="K47" s="135">
        <f t="shared" si="2"/>
        <v>2.0730799592036443E-7</v>
      </c>
      <c r="L47" s="135">
        <f>E47/(Table1123456[[#This Row],[b (mm)]]*X47)</f>
        <v>4.1217243040883654E-4</v>
      </c>
      <c r="M47" s="135">
        <f>Table1123456[[#This Row],[M (KN.mm)]]/(Table1123456[[#This Row],[b (mm)]]*Table1123456[[#This Row],[d (mm)]])</f>
        <v>0.65193725490196075</v>
      </c>
      <c r="N47" s="135">
        <f>Table1123456[[#This Row],[M (KN.mm)]]/(Table1123456[[#This Row],[b (mm)]]*Table1123456[[#This Row],[h (mm)]])</f>
        <v>0.56722830237358102</v>
      </c>
      <c r="O47" s="145">
        <f>Table1123456[[#This Row],[M (KN.mm)]]/(Table1123456[[#This Row],[b (mm)]]*Table1123456[[#This Row],[h (mm)]]*Table1123456[[#This Row],[L(mm)]])</f>
        <v>1.7938908993471887E-4</v>
      </c>
      <c r="P47" s="145">
        <f>Table1123456[[#This Row],[M (KN.mm)]]/(Table1123456[[#This Row],[b (mm)]]*Table1123456[[#This Row],[d (mm)]]*Table1123456[[#This Row],[L(mm)]])</f>
        <v>2.0617876499113246E-4</v>
      </c>
      <c r="Q47" s="145">
        <f>Table1123456[[#This Row],[M (KN.mm)]]/(Table1123456[[#This Row],[b (mm)]]*Table1123456[[#This Row],[h (mm)]]*Table1123456[[#This Row],[L(mm)]]*Table1123456[[#This Row],[fc (Mpa)]])</f>
        <v>2.7683501533135627E-6</v>
      </c>
      <c r="R47" s="145">
        <f>Table1123456[[#This Row],[M (KN.mm)]]/(Table1123456[[#This Row],[b (mm)]]*Table1123456[[#This Row],[h (mm)]]*Table1123456[[#This Row],[L(mm)]]/2)</f>
        <v>3.5877817986943773E-4</v>
      </c>
      <c r="S47" s="145">
        <f>Table1123456[[#This Row],[M (KN.mm)]]/(Table1123456[[#This Row],[a (mm)]]*Table1123456[[#This Row],[b (mm)]]*Table1123456[[#This Row],[h (mm)]]*Table1123456[[#This Row],[L(mm)]]/2)</f>
        <v>2.2682930491015269E-7</v>
      </c>
      <c r="T47" s="145">
        <f>Table1123456[[#This Row],[M (KN.mm)]]/(Table1123456[[#This Row],[a (mm)]]^2*Table1123456[[#This Row],[b (mm)]]*Table1123456[[#This Row],[h (mm)]])</f>
        <v>2.2672748548276961E-7</v>
      </c>
      <c r="U47" s="145">
        <f>Table1123456[[#This Row],[M (KN.mm)]]/(Table1123456[[#This Row],[b (mm)]]*Table1123456[[#This Row],[d (mm)]]*Table1123456[[#This Row],[pho (%)]])</f>
        <v>0.54328104575163405</v>
      </c>
      <c r="V47" s="145">
        <f>E47/(Table1123456[[#This Row],[b (mm)]]*Y47*Table1123456[[#This Row],[fc (Mpa)]]*Table1123456[[#This Row],[a (mm)]])</f>
        <v>3.4988809488081735E-9</v>
      </c>
      <c r="W47" s="111">
        <f>2.99*Table1123456[[#This Row],[d (mm)]]</f>
        <v>1581.71</v>
      </c>
      <c r="X47" s="160">
        <v>529</v>
      </c>
      <c r="Y47" s="160">
        <v>608</v>
      </c>
      <c r="Z47" s="160">
        <v>408</v>
      </c>
      <c r="AA47" s="160">
        <v>64.8</v>
      </c>
      <c r="AB47" s="160">
        <v>2581</v>
      </c>
      <c r="AC47" s="160">
        <v>1.2</v>
      </c>
      <c r="AD47" s="160">
        <v>525</v>
      </c>
      <c r="AE47" s="111">
        <f>(1/3-0.21*(MIN(Table1123456[[#This Row],[b (mm)]],Y47)/MAX(Table1123456[[#This Row],[b (mm)]],Y47))*(MIN(Table1123456[[#This Row],[b (mm)]],Y47)^4/(12*MAX(Table1123456[[#This Row],[b (mm)]],Y47)^4)))*MAX(Table1123456[[#This Row],[b (mm)]],Y47)*MIN(Table1123456[[#This Row],[b (mm)]],Y47)^3</f>
        <v>13666240930.700037</v>
      </c>
      <c r="AF47" s="111">
        <f>Table1123456[[#This Row],[b (mm)]]*Y47^3/12</f>
        <v>7641694208</v>
      </c>
      <c r="AG47" s="160">
        <v>3162</v>
      </c>
      <c r="AH47" s="138"/>
      <c r="AI47" s="126"/>
    </row>
    <row r="48" spans="1:42" x14ac:dyDescent="0.3">
      <c r="A48" s="157" t="s">
        <v>100</v>
      </c>
      <c r="B48" s="146">
        <v>5</v>
      </c>
      <c r="C48" s="111">
        <v>57</v>
      </c>
      <c r="D48" s="111">
        <f>Table1123456[[#This Row],[a (mm)]]/Table1123456[[#This Row],[d (mm)]]</f>
        <v>2.99</v>
      </c>
      <c r="E48" s="111">
        <v>100.08000000000001</v>
      </c>
      <c r="F48" s="137">
        <f>Table1123456[[#This Row],[d (mm)]]</f>
        <v>529</v>
      </c>
      <c r="G48" s="135">
        <f t="shared" si="3"/>
        <v>158297.53680000003</v>
      </c>
      <c r="H48" s="135">
        <f t="shared" si="0"/>
        <v>7.8654182260438341E-7</v>
      </c>
      <c r="I48" s="135">
        <f>G48/(Table1123456[[#This Row],[b (mm)]]*X48^2)</f>
        <v>1.386445012787724E-3</v>
      </c>
      <c r="J48" s="135">
        <f t="shared" si="1"/>
        <v>0.22083666353019321</v>
      </c>
      <c r="K48" s="135">
        <f t="shared" si="2"/>
        <v>2.3322149541040998E-7</v>
      </c>
      <c r="L48" s="135">
        <f>E48/(Table1123456[[#This Row],[b (mm)]]*X48)</f>
        <v>4.6369398420994113E-4</v>
      </c>
      <c r="M48" s="135">
        <f>Table1123456[[#This Row],[M (KN.mm)]]/(Table1123456[[#This Row],[b (mm)]]*Table1123456[[#This Row],[d (mm)]])</f>
        <v>0.733429411764706</v>
      </c>
      <c r="N48" s="135">
        <f>Table1123456[[#This Row],[M (KN.mm)]]/(Table1123456[[#This Row],[b (mm)]]*Table1123456[[#This Row],[h (mm)]])</f>
        <v>0.6381318401702788</v>
      </c>
      <c r="O48" s="145">
        <f>Table1123456[[#This Row],[M (KN.mm)]]/(Table1123456[[#This Row],[b (mm)]]*Table1123456[[#This Row],[h (mm)]]*Table1123456[[#This Row],[L(mm)]])</f>
        <v>2.0181272617655874E-4</v>
      </c>
      <c r="P48" s="145">
        <f>Table1123456[[#This Row],[M (KN.mm)]]/(Table1123456[[#This Row],[b (mm)]]*Table1123456[[#This Row],[d (mm)]]*Table1123456[[#This Row],[L(mm)]])</f>
        <v>2.3195111061502405E-4</v>
      </c>
      <c r="Q48" s="145">
        <f>Table1123456[[#This Row],[M (KN.mm)]]/(Table1123456[[#This Row],[b (mm)]]*Table1123456[[#This Row],[h (mm)]]*Table1123456[[#This Row],[L(mm)]]*Table1123456[[#This Row],[fc (Mpa)]])</f>
        <v>3.1143939224777583E-6</v>
      </c>
      <c r="R48" s="145">
        <f>Table1123456[[#This Row],[M (KN.mm)]]/(Table1123456[[#This Row],[b (mm)]]*Table1123456[[#This Row],[h (mm)]]*Table1123456[[#This Row],[L(mm)]]/2)</f>
        <v>4.0362545235311749E-4</v>
      </c>
      <c r="S48" s="145">
        <f>Table1123456[[#This Row],[M (KN.mm)]]/(Table1123456[[#This Row],[a (mm)]]*Table1123456[[#This Row],[b (mm)]]*Table1123456[[#This Row],[h (mm)]]*Table1123456[[#This Row],[L(mm)]]/2)</f>
        <v>2.5518296802392186E-7</v>
      </c>
      <c r="T48" s="145">
        <f>Table1123456[[#This Row],[M (KN.mm)]]/(Table1123456[[#This Row],[a (mm)]]^2*Table1123456[[#This Row],[b (mm)]]*Table1123456[[#This Row],[h (mm)]])</f>
        <v>2.5506842116811583E-7</v>
      </c>
      <c r="U48" s="145">
        <f>Table1123456[[#This Row],[M (KN.mm)]]/(Table1123456[[#This Row],[b (mm)]]*Table1123456[[#This Row],[d (mm)]]*Table1123456[[#This Row],[pho (%)]])</f>
        <v>0.6111911764705884</v>
      </c>
      <c r="V48" s="145">
        <f>E48/(Table1123456[[#This Row],[b (mm)]]*Y48*Table1123456[[#This Row],[fc (Mpa)]]*Table1123456[[#This Row],[a (mm)]])</f>
        <v>3.9362410674091951E-9</v>
      </c>
      <c r="W48" s="111">
        <f>2.99*Table1123456[[#This Row],[d (mm)]]</f>
        <v>1581.71</v>
      </c>
      <c r="X48" s="160">
        <v>529</v>
      </c>
      <c r="Y48" s="160">
        <v>608</v>
      </c>
      <c r="Z48" s="160">
        <v>408</v>
      </c>
      <c r="AA48" s="160">
        <v>64.8</v>
      </c>
      <c r="AB48" s="160">
        <v>2581</v>
      </c>
      <c r="AC48" s="160">
        <v>1.2</v>
      </c>
      <c r="AD48" s="160">
        <v>525</v>
      </c>
      <c r="AE48" s="111">
        <f>(1/3-0.21*(MIN(Table1123456[[#This Row],[b (mm)]],Y48)/MAX(Table1123456[[#This Row],[b (mm)]],Y48))*(MIN(Table1123456[[#This Row],[b (mm)]],Y48)^4/(12*MAX(Table1123456[[#This Row],[b (mm)]],Y48)^4)))*MAX(Table1123456[[#This Row],[b (mm)]],Y48)*MIN(Table1123456[[#This Row],[b (mm)]],Y48)^3</f>
        <v>13666240930.700037</v>
      </c>
      <c r="AF48" s="111">
        <f>Table1123456[[#This Row],[b (mm)]]*Y48^3/12</f>
        <v>7641694208</v>
      </c>
      <c r="AG48" s="160">
        <v>3162</v>
      </c>
      <c r="AH48" s="138"/>
      <c r="AI48" s="126"/>
    </row>
    <row r="49" spans="1:41" x14ac:dyDescent="0.3">
      <c r="A49" s="157" t="s">
        <v>100</v>
      </c>
      <c r="B49" s="146">
        <v>6</v>
      </c>
      <c r="C49" s="111">
        <v>58</v>
      </c>
      <c r="D49" s="111">
        <f>Table1123456[[#This Row],[a (mm)]]/Table1123456[[#This Row],[d (mm)]]</f>
        <v>2.99</v>
      </c>
      <c r="E49" s="111">
        <v>111.20000000000002</v>
      </c>
      <c r="F49" s="137">
        <f>Table1123456[[#This Row],[d (mm)]]</f>
        <v>529</v>
      </c>
      <c r="G49" s="135">
        <f t="shared" si="3"/>
        <v>175886.15200000003</v>
      </c>
      <c r="H49" s="135">
        <f t="shared" si="0"/>
        <v>8.7393535844931482E-7</v>
      </c>
      <c r="I49" s="135">
        <f>G49/(Table1123456[[#This Row],[b (mm)]]*X49^2)</f>
        <v>1.5404944586530267E-3</v>
      </c>
      <c r="J49" s="135">
        <f t="shared" si="1"/>
        <v>0.24537407058910357</v>
      </c>
      <c r="K49" s="135">
        <f t="shared" si="2"/>
        <v>2.5913499490045556E-7</v>
      </c>
      <c r="L49" s="135">
        <f>E49/(Table1123456[[#This Row],[b (mm)]]*X49)</f>
        <v>5.1521553801104573E-4</v>
      </c>
      <c r="M49" s="135">
        <f>Table1123456[[#This Row],[M (KN.mm)]]/(Table1123456[[#This Row],[b (mm)]]*Table1123456[[#This Row],[d (mm)]])</f>
        <v>0.81492156862745113</v>
      </c>
      <c r="N49" s="135">
        <f>Table1123456[[#This Row],[M (KN.mm)]]/(Table1123456[[#This Row],[b (mm)]]*Table1123456[[#This Row],[h (mm)]])</f>
        <v>0.70903537796697635</v>
      </c>
      <c r="O49" s="145">
        <f>Table1123456[[#This Row],[M (KN.mm)]]/(Table1123456[[#This Row],[b (mm)]]*Table1123456[[#This Row],[h (mm)]]*Table1123456[[#This Row],[L(mm)]])</f>
        <v>2.2423636241839859E-4</v>
      </c>
      <c r="P49" s="145">
        <f>Table1123456[[#This Row],[M (KN.mm)]]/(Table1123456[[#This Row],[b (mm)]]*Table1123456[[#This Row],[d (mm)]]*Table1123456[[#This Row],[L(mm)]])</f>
        <v>2.5772345623891558E-4</v>
      </c>
      <c r="Q49" s="145">
        <f>Table1123456[[#This Row],[M (KN.mm)]]/(Table1123456[[#This Row],[b (mm)]]*Table1123456[[#This Row],[h (mm)]]*Table1123456[[#This Row],[L(mm)]]*Table1123456[[#This Row],[fc (Mpa)]])</f>
        <v>3.4604376916419535E-6</v>
      </c>
      <c r="R49" s="145">
        <f>Table1123456[[#This Row],[M (KN.mm)]]/(Table1123456[[#This Row],[b (mm)]]*Table1123456[[#This Row],[h (mm)]]*Table1123456[[#This Row],[L(mm)]]/2)</f>
        <v>4.4847272483679719E-4</v>
      </c>
      <c r="S49" s="145">
        <f>Table1123456[[#This Row],[M (KN.mm)]]/(Table1123456[[#This Row],[a (mm)]]*Table1123456[[#This Row],[b (mm)]]*Table1123456[[#This Row],[h (mm)]]*Table1123456[[#This Row],[L(mm)]]/2)</f>
        <v>2.8353663113769094E-7</v>
      </c>
      <c r="T49" s="145">
        <f>Table1123456[[#This Row],[M (KN.mm)]]/(Table1123456[[#This Row],[a (mm)]]^2*Table1123456[[#This Row],[b (mm)]]*Table1123456[[#This Row],[h (mm)]])</f>
        <v>2.8340935685346205E-7</v>
      </c>
      <c r="U49" s="145">
        <f>Table1123456[[#This Row],[M (KN.mm)]]/(Table1123456[[#This Row],[b (mm)]]*Table1123456[[#This Row],[d (mm)]]*Table1123456[[#This Row],[pho (%)]])</f>
        <v>0.67910130718954265</v>
      </c>
      <c r="V49" s="145">
        <f>E49/(Table1123456[[#This Row],[b (mm)]]*Y49*Table1123456[[#This Row],[fc (Mpa)]]*Table1123456[[#This Row],[a (mm)]])</f>
        <v>4.3736011860102172E-9</v>
      </c>
      <c r="W49" s="111">
        <f>2.99*Table1123456[[#This Row],[d (mm)]]</f>
        <v>1581.71</v>
      </c>
      <c r="X49" s="160">
        <v>529</v>
      </c>
      <c r="Y49" s="160">
        <v>608</v>
      </c>
      <c r="Z49" s="160">
        <v>408</v>
      </c>
      <c r="AA49" s="160">
        <v>64.8</v>
      </c>
      <c r="AB49" s="160">
        <v>2581</v>
      </c>
      <c r="AC49" s="160">
        <v>1.2</v>
      </c>
      <c r="AD49" s="160">
        <v>525</v>
      </c>
      <c r="AE49" s="111">
        <f>(1/3-0.21*(MIN(Table1123456[[#This Row],[b (mm)]],Y49)/MAX(Table1123456[[#This Row],[b (mm)]],Y49))*(MIN(Table1123456[[#This Row],[b (mm)]],Y49)^4/(12*MAX(Table1123456[[#This Row],[b (mm)]],Y49)^4)))*MAX(Table1123456[[#This Row],[b (mm)]],Y49)*MIN(Table1123456[[#This Row],[b (mm)]],Y49)^3</f>
        <v>13666240930.700037</v>
      </c>
      <c r="AF49" s="111">
        <f>Table1123456[[#This Row],[b (mm)]]*Y49^3/12</f>
        <v>7641694208</v>
      </c>
      <c r="AG49" s="160">
        <v>3162</v>
      </c>
      <c r="AH49" s="138"/>
      <c r="AI49" s="126"/>
    </row>
    <row r="50" spans="1:41" x14ac:dyDescent="0.3">
      <c r="A50" s="157" t="s">
        <v>100</v>
      </c>
      <c r="B50" s="146">
        <v>7</v>
      </c>
      <c r="C50" s="111">
        <v>59</v>
      </c>
      <c r="D50" s="111">
        <f>Table1123456[[#This Row],[a (mm)]]/Table1123456[[#This Row],[d (mm)]]</f>
        <v>2.99</v>
      </c>
      <c r="E50" s="111">
        <v>122.32000000000001</v>
      </c>
      <c r="F50" s="137">
        <f>Table1123456[[#This Row],[d (mm)]]</f>
        <v>529</v>
      </c>
      <c r="G50" s="135">
        <f t="shared" si="3"/>
        <v>193474.7672</v>
      </c>
      <c r="H50" s="135">
        <f t="shared" si="0"/>
        <v>9.6132889429424612E-7</v>
      </c>
      <c r="I50" s="135">
        <f>G50/(Table1123456[[#This Row],[b (mm)]]*X50^2)</f>
        <v>1.6945439045183291E-3</v>
      </c>
      <c r="J50" s="135">
        <f t="shared" si="1"/>
        <v>0.26991147764801388</v>
      </c>
      <c r="K50" s="135">
        <f t="shared" si="2"/>
        <v>2.8504849439050111E-7</v>
      </c>
      <c r="L50" s="135">
        <f>E50/(Table1123456[[#This Row],[b (mm)]]*X50)</f>
        <v>5.6673709181215021E-4</v>
      </c>
      <c r="M50" s="135">
        <f>Table1123456[[#This Row],[M (KN.mm)]]/(Table1123456[[#This Row],[b (mm)]]*Table1123456[[#This Row],[d (mm)]])</f>
        <v>0.89641372549019604</v>
      </c>
      <c r="N50" s="135">
        <f>Table1123456[[#This Row],[M (KN.mm)]]/(Table1123456[[#This Row],[b (mm)]]*Table1123456[[#This Row],[h (mm)]])</f>
        <v>0.77993891576367391</v>
      </c>
      <c r="O50" s="145">
        <f>Table1123456[[#This Row],[M (KN.mm)]]/(Table1123456[[#This Row],[b (mm)]]*Table1123456[[#This Row],[h (mm)]]*Table1123456[[#This Row],[L(mm)]])</f>
        <v>2.4665999866023842E-4</v>
      </c>
      <c r="P50" s="145">
        <f>Table1123456[[#This Row],[M (KN.mm)]]/(Table1123456[[#This Row],[b (mm)]]*Table1123456[[#This Row],[d (mm)]]*Table1123456[[#This Row],[L(mm)]])</f>
        <v>2.8349580186280709E-4</v>
      </c>
      <c r="Q50" s="145">
        <f>Table1123456[[#This Row],[M (KN.mm)]]/(Table1123456[[#This Row],[b (mm)]]*Table1123456[[#This Row],[h (mm)]]*Table1123456[[#This Row],[L(mm)]]*Table1123456[[#This Row],[fc (Mpa)]])</f>
        <v>3.8064814608061483E-6</v>
      </c>
      <c r="R50" s="145">
        <f>Table1123456[[#This Row],[M (KN.mm)]]/(Table1123456[[#This Row],[b (mm)]]*Table1123456[[#This Row],[h (mm)]]*Table1123456[[#This Row],[L(mm)]]/2)</f>
        <v>4.9331999732047684E-4</v>
      </c>
      <c r="S50" s="145">
        <f>Table1123456[[#This Row],[M (KN.mm)]]/(Table1123456[[#This Row],[a (mm)]]*Table1123456[[#This Row],[b (mm)]]*Table1123456[[#This Row],[h (mm)]]*Table1123456[[#This Row],[L(mm)]]/2)</f>
        <v>3.1189029425145997E-7</v>
      </c>
      <c r="T50" s="145">
        <f>Table1123456[[#This Row],[M (KN.mm)]]/(Table1123456[[#This Row],[a (mm)]]^2*Table1123456[[#This Row],[b (mm)]]*Table1123456[[#This Row],[h (mm)]])</f>
        <v>3.1175029253880822E-7</v>
      </c>
      <c r="U50" s="145">
        <f>Table1123456[[#This Row],[M (KN.mm)]]/(Table1123456[[#This Row],[b (mm)]]*Table1123456[[#This Row],[d (mm)]]*Table1123456[[#This Row],[pho (%)]])</f>
        <v>0.74701143790849678</v>
      </c>
      <c r="V50" s="145">
        <f>E50/(Table1123456[[#This Row],[b (mm)]]*Y50*Table1123456[[#This Row],[fc (Mpa)]]*Table1123456[[#This Row],[a (mm)]])</f>
        <v>4.8109613046112384E-9</v>
      </c>
      <c r="W50" s="111">
        <f>2.99*Table1123456[[#This Row],[d (mm)]]</f>
        <v>1581.71</v>
      </c>
      <c r="X50" s="160">
        <v>529</v>
      </c>
      <c r="Y50" s="160">
        <v>608</v>
      </c>
      <c r="Z50" s="160">
        <v>408</v>
      </c>
      <c r="AA50" s="160">
        <v>64.8</v>
      </c>
      <c r="AB50" s="160">
        <v>2581</v>
      </c>
      <c r="AC50" s="160">
        <v>1.2</v>
      </c>
      <c r="AD50" s="160">
        <v>525</v>
      </c>
      <c r="AE50" s="111">
        <f>(1/3-0.21*(MIN(Table1123456[[#This Row],[b (mm)]],Y50)/MAX(Table1123456[[#This Row],[b (mm)]],Y50))*(MIN(Table1123456[[#This Row],[b (mm)]],Y50)^4/(12*MAX(Table1123456[[#This Row],[b (mm)]],Y50)^4)))*MAX(Table1123456[[#This Row],[b (mm)]],Y50)*MIN(Table1123456[[#This Row],[b (mm)]],Y50)^3</f>
        <v>13666240930.700037</v>
      </c>
      <c r="AF50" s="111">
        <f>Table1123456[[#This Row],[b (mm)]]*Y50^3/12</f>
        <v>7641694208</v>
      </c>
      <c r="AG50" s="160">
        <v>3162</v>
      </c>
      <c r="AH50" s="138"/>
      <c r="AI50" s="126"/>
    </row>
    <row r="51" spans="1:41" ht="13.5" customHeight="1" x14ac:dyDescent="0.3">
      <c r="A51" s="157" t="s">
        <v>100</v>
      </c>
      <c r="B51" s="146">
        <v>8</v>
      </c>
      <c r="C51" s="111">
        <v>60</v>
      </c>
      <c r="D51" s="111">
        <f>Table1123456[[#This Row],[a (mm)]]/Table1123456[[#This Row],[d (mm)]]</f>
        <v>2.99</v>
      </c>
      <c r="E51" s="111">
        <v>133.44</v>
      </c>
      <c r="F51" s="137">
        <f>Table1123456[[#This Row],[d (mm)]]</f>
        <v>529</v>
      </c>
      <c r="G51" s="135">
        <f t="shared" si="3"/>
        <v>211063.3824</v>
      </c>
      <c r="H51" s="135">
        <f t="shared" si="0"/>
        <v>1.0487224301391777E-6</v>
      </c>
      <c r="I51" s="135">
        <f>G51/(Table1123456[[#This Row],[b (mm)]]*X51^2)</f>
        <v>1.8485933503836318E-3</v>
      </c>
      <c r="J51" s="135">
        <f t="shared" si="1"/>
        <v>0.29444888470692426</v>
      </c>
      <c r="K51" s="135">
        <f t="shared" si="2"/>
        <v>3.109619938805466E-7</v>
      </c>
      <c r="L51" s="135">
        <f>E51/(Table1123456[[#This Row],[b (mm)]]*X51)</f>
        <v>6.182586456132547E-4</v>
      </c>
      <c r="M51" s="135">
        <f>Table1123456[[#This Row],[M (KN.mm)]]/(Table1123456[[#This Row],[b (mm)]]*Table1123456[[#This Row],[d (mm)]])</f>
        <v>0.97790588235294118</v>
      </c>
      <c r="N51" s="135">
        <f>Table1123456[[#This Row],[M (KN.mm)]]/(Table1123456[[#This Row],[b (mm)]]*Table1123456[[#This Row],[h (mm)]])</f>
        <v>0.85084245356037158</v>
      </c>
      <c r="O51" s="145">
        <f>Table1123456[[#This Row],[M (KN.mm)]]/(Table1123456[[#This Row],[b (mm)]]*Table1123456[[#This Row],[h (mm)]]*Table1123456[[#This Row],[L(mm)]])</f>
        <v>2.6908363490207827E-4</v>
      </c>
      <c r="P51" s="145">
        <f>Table1123456[[#This Row],[M (KN.mm)]]/(Table1123456[[#This Row],[b (mm)]]*Table1123456[[#This Row],[d (mm)]]*Table1123456[[#This Row],[L(mm)]])</f>
        <v>3.0926814748669866E-4</v>
      </c>
      <c r="Q51" s="145">
        <f>Table1123456[[#This Row],[M (KN.mm)]]/(Table1123456[[#This Row],[b (mm)]]*Table1123456[[#This Row],[h (mm)]]*Table1123456[[#This Row],[L(mm)]]*Table1123456[[#This Row],[fc (Mpa)]])</f>
        <v>4.1525252299703436E-6</v>
      </c>
      <c r="R51" s="145">
        <f>Table1123456[[#This Row],[M (KN.mm)]]/(Table1123456[[#This Row],[b (mm)]]*Table1123456[[#This Row],[h (mm)]]*Table1123456[[#This Row],[L(mm)]]/2)</f>
        <v>5.3816726980415654E-4</v>
      </c>
      <c r="S51" s="145">
        <f>Table1123456[[#This Row],[M (KN.mm)]]/(Table1123456[[#This Row],[a (mm)]]*Table1123456[[#This Row],[b (mm)]]*Table1123456[[#This Row],[h (mm)]]*Table1123456[[#This Row],[L(mm)]]/2)</f>
        <v>3.4024395736522905E-7</v>
      </c>
      <c r="T51" s="145">
        <f>Table1123456[[#This Row],[M (KN.mm)]]/(Table1123456[[#This Row],[a (mm)]]^2*Table1123456[[#This Row],[b (mm)]]*Table1123456[[#This Row],[h (mm)]])</f>
        <v>3.4009122822415438E-7</v>
      </c>
      <c r="U51" s="145">
        <f>Table1123456[[#This Row],[M (KN.mm)]]/(Table1123456[[#This Row],[b (mm)]]*Table1123456[[#This Row],[d (mm)]]*Table1123456[[#This Row],[pho (%)]])</f>
        <v>0.81492156862745102</v>
      </c>
      <c r="V51" s="145">
        <f>E51/(Table1123456[[#This Row],[b (mm)]]*Y51*Table1123456[[#This Row],[fc (Mpa)]]*Table1123456[[#This Row],[a (mm)]])</f>
        <v>5.2483214232122596E-9</v>
      </c>
      <c r="W51" s="111">
        <f>2.99*Table1123456[[#This Row],[d (mm)]]</f>
        <v>1581.71</v>
      </c>
      <c r="X51" s="160">
        <v>529</v>
      </c>
      <c r="Y51" s="160">
        <v>608</v>
      </c>
      <c r="Z51" s="160">
        <v>408</v>
      </c>
      <c r="AA51" s="160">
        <v>64.8</v>
      </c>
      <c r="AB51" s="160">
        <v>2581</v>
      </c>
      <c r="AC51" s="160">
        <v>1.2</v>
      </c>
      <c r="AD51" s="160">
        <v>525</v>
      </c>
      <c r="AE51" s="111">
        <f>(1/3-0.21*(MIN(Table1123456[[#This Row],[b (mm)]],Y51)/MAX(Table1123456[[#This Row],[b (mm)]],Y51))*(MIN(Table1123456[[#This Row],[b (mm)]],Y51)^4/(12*MAX(Table1123456[[#This Row],[b (mm)]],Y51)^4)))*MAX(Table1123456[[#This Row],[b (mm)]],Y51)*MIN(Table1123456[[#This Row],[b (mm)]],Y51)^3</f>
        <v>13666240930.700037</v>
      </c>
      <c r="AF51" s="111">
        <f>Table1123456[[#This Row],[b (mm)]]*Y51^3/12</f>
        <v>7641694208</v>
      </c>
      <c r="AG51" s="160">
        <v>3162</v>
      </c>
      <c r="AH51" s="138"/>
      <c r="AI51" s="126"/>
    </row>
    <row r="52" spans="1:41" s="1" customFormat="1" x14ac:dyDescent="0.3">
      <c r="A52" s="158" t="s">
        <v>101</v>
      </c>
      <c r="B52" s="147">
        <v>1</v>
      </c>
      <c r="C52" s="111">
        <v>63</v>
      </c>
      <c r="D52" s="111">
        <f>Table1123456[[#This Row],[a (mm)]]/Table1123456[[#This Row],[d (mm)]]</f>
        <v>2.97</v>
      </c>
      <c r="E52" s="160">
        <v>104.08320000000001</v>
      </c>
      <c r="F52" s="137">
        <f>Table1123456[[#This Row],[d (mm)]]</f>
        <v>684</v>
      </c>
      <c r="G52" s="135">
        <f t="shared" si="3"/>
        <v>211442.93913600003</v>
      </c>
      <c r="H52" s="135">
        <f t="shared" si="0"/>
        <v>4.2863055325384708E-7</v>
      </c>
      <c r="I52" s="135">
        <f>G52/(Table1123456[[#This Row],[b (mm)]]*X52^2)</f>
        <v>8.8964608371322018E-4</v>
      </c>
      <c r="J52" s="135">
        <f t="shared" si="1"/>
        <v>0.13038386435530813</v>
      </c>
      <c r="K52" s="135">
        <f t="shared" si="2"/>
        <v>1.0023954608949531E-7</v>
      </c>
      <c r="L52" s="135">
        <f>E52/(Table1123456[[#This Row],[b (mm)]]*X52)</f>
        <v>2.9954413593037715E-4</v>
      </c>
      <c r="M52" s="135">
        <f>Table1123456[[#This Row],[M (KN.mm)]]/(Table1123456[[#This Row],[b (mm)]]*Table1123456[[#This Row],[d (mm)]])</f>
        <v>0.60851792125984261</v>
      </c>
      <c r="N52" s="135">
        <f>Table1123456[[#This Row],[M (KN.mm)]]/(Table1123456[[#This Row],[b (mm)]]*Table1123456[[#This Row],[h (mm)]])</f>
        <v>0.54622868522537049</v>
      </c>
      <c r="O52" s="145">
        <f>Table1123456[[#This Row],[M (KN.mm)]]/(Table1123456[[#This Row],[b (mm)]]*Table1123456[[#This Row],[h (mm)]]*Table1123456[[#This Row],[L(mm)]])</f>
        <v>1.3440666467159709E-4</v>
      </c>
      <c r="P52" s="145">
        <f>Table1123456[[#This Row],[M (KN.mm)]]/(Table1123456[[#This Row],[b (mm)]]*Table1123456[[#This Row],[d (mm)]]*Table1123456[[#This Row],[L(mm)]])</f>
        <v>1.4973374046748096E-4</v>
      </c>
      <c r="Q52" s="145">
        <f>Table1123456[[#This Row],[M (KN.mm)]]/(Table1123456[[#This Row],[b (mm)]]*Table1123456[[#This Row],[h (mm)]]*Table1123456[[#This Row],[L(mm)]]*Table1123456[[#This Row],[fc (Mpa)]])</f>
        <v>1.9736661478942304E-6</v>
      </c>
      <c r="R52" s="145">
        <f>Table1123456[[#This Row],[M (KN.mm)]]/(Table1123456[[#This Row],[b (mm)]]*Table1123456[[#This Row],[h (mm)]]*Table1123456[[#This Row],[L(mm)]]/2)</f>
        <v>2.6881332934319417E-4</v>
      </c>
      <c r="S52" s="145">
        <f>Table1123456[[#This Row],[M (KN.mm)]]/(Table1123456[[#This Row],[a (mm)]]*Table1123456[[#This Row],[b (mm)]]*Table1123456[[#This Row],[h (mm)]]*Table1123456[[#This Row],[L(mm)]]/2)</f>
        <v>1.323238866950175E-7</v>
      </c>
      <c r="T52" s="145">
        <f>Table1123456[[#This Row],[M (KN.mm)]]/(Table1123456[[#This Row],[a (mm)]]^2*Table1123456[[#This Row],[b (mm)]]*Table1123456[[#This Row],[h (mm)]])</f>
        <v>1.32357757774763E-7</v>
      </c>
      <c r="U52" s="145">
        <f>Table1123456[[#This Row],[M (KN.mm)]]/(Table1123456[[#This Row],[b (mm)]]*Table1123456[[#This Row],[d (mm)]]*Table1123456[[#This Row],[pho (%)]])</f>
        <v>0.46809070866141733</v>
      </c>
      <c r="V52" s="145">
        <f>E52/(Table1123456[[#This Row],[b (mm)]]*Y52*Table1123456[[#This Row],[fc (Mpa)]]*Table1123456[[#This Row],[a (mm)]])</f>
        <v>1.9435794093210424E-9</v>
      </c>
      <c r="W52" s="111">
        <f>2.97*Table1123456[[#This Row],[d (mm)]]</f>
        <v>2031.4800000000002</v>
      </c>
      <c r="X52" s="160">
        <v>684</v>
      </c>
      <c r="Y52" s="160">
        <v>762</v>
      </c>
      <c r="Z52" s="160">
        <v>508</v>
      </c>
      <c r="AA52" s="160">
        <v>68.099999999999994</v>
      </c>
      <c r="AB52" s="160">
        <v>4516</v>
      </c>
      <c r="AC52" s="160">
        <v>1.3</v>
      </c>
      <c r="AD52" s="160">
        <v>525</v>
      </c>
      <c r="AE52" s="111">
        <f>(1/3-0.21*(MIN(Table1123456[[#This Row],[b (mm)]],Y52)/MAX(Table1123456[[#This Row],[b (mm)]],Y52))*(MIN(Table1123456[[#This Row],[b (mm)]],Y52)^4/(12*MAX(Table1123456[[#This Row],[b (mm)]],Y52)^4)))*MAX(Table1123456[[#This Row],[b (mm)]],Y52)*MIN(Table1123456[[#This Row],[b (mm)]],Y52)^3</f>
        <v>33068302099.026169</v>
      </c>
      <c r="AF52" s="111">
        <f>Table1123456[[#This Row],[b (mm)]]*Y52^3/12</f>
        <v>18730414152</v>
      </c>
      <c r="AG52" s="160">
        <v>4064</v>
      </c>
      <c r="AN52"/>
      <c r="AO52"/>
    </row>
    <row r="53" spans="1:41" s="1" customFormat="1" x14ac:dyDescent="0.3">
      <c r="A53" s="158" t="s">
        <v>101</v>
      </c>
      <c r="B53" s="147">
        <v>2</v>
      </c>
      <c r="C53" s="111">
        <v>64</v>
      </c>
      <c r="D53" s="111">
        <f>Table1123456[[#This Row],[a (mm)]]/Table1123456[[#This Row],[d (mm)]]</f>
        <v>2.97</v>
      </c>
      <c r="E53" s="160">
        <v>111.20000000000002</v>
      </c>
      <c r="F53" s="137">
        <f>Table1123456[[#This Row],[d (mm)]]</f>
        <v>684</v>
      </c>
      <c r="G53" s="135">
        <f t="shared" si="3"/>
        <v>225900.57600000006</v>
      </c>
      <c r="H53" s="135">
        <f t="shared" si="0"/>
        <v>4.579386252712042E-7</v>
      </c>
      <c r="I53" s="135">
        <f>G53/(Table1123456[[#This Row],[b (mm)]]*X53^2)</f>
        <v>9.5047658516369692E-4</v>
      </c>
      <c r="J53" s="135">
        <f t="shared" si="1"/>
        <v>0.13929900037960272</v>
      </c>
      <c r="K53" s="135">
        <f t="shared" si="2"/>
        <v>1.070935321468967E-7</v>
      </c>
      <c r="L53" s="135">
        <f>E53/(Table1123456[[#This Row],[b (mm)]]*X53)</f>
        <v>3.2002578625040293E-4</v>
      </c>
      <c r="M53" s="135">
        <f>Table1123456[[#This Row],[M (KN.mm)]]/(Table1123456[[#This Row],[b (mm)]]*Table1123456[[#This Row],[d (mm)]])</f>
        <v>0.65012598425196866</v>
      </c>
      <c r="N53" s="135">
        <f>Table1123456[[#This Row],[M (KN.mm)]]/(Table1123456[[#This Row],[b (mm)]]*Table1123456[[#This Row],[h (mm)]])</f>
        <v>0.58357765515531046</v>
      </c>
      <c r="O53" s="145">
        <f>Table1123456[[#This Row],[M (KN.mm)]]/(Table1123456[[#This Row],[b (mm)]]*Table1123456[[#This Row],[h (mm)]]*Table1123456[[#This Row],[L(mm)]])</f>
        <v>1.4359686396538151E-4</v>
      </c>
      <c r="P53" s="145">
        <f>Table1123456[[#This Row],[M (KN.mm)]]/(Table1123456[[#This Row],[b (mm)]]*Table1123456[[#This Row],[d (mm)]]*Table1123456[[#This Row],[L(mm)]])</f>
        <v>1.5997194494388992E-4</v>
      </c>
      <c r="Q53" s="145">
        <f>Table1123456[[#This Row],[M (KN.mm)]]/(Table1123456[[#This Row],[b (mm)]]*Table1123456[[#This Row],[h (mm)]]*Table1123456[[#This Row],[L(mm)]]*Table1123456[[#This Row],[fc (Mpa)]])</f>
        <v>2.108617679374178E-6</v>
      </c>
      <c r="R53" s="145">
        <f>Table1123456[[#This Row],[M (KN.mm)]]/(Table1123456[[#This Row],[b (mm)]]*Table1123456[[#This Row],[h (mm)]]*Table1123456[[#This Row],[L(mm)]]/2)</f>
        <v>2.8719372793076302E-4</v>
      </c>
      <c r="S53" s="145">
        <f>Table1123456[[#This Row],[M (KN.mm)]]/(Table1123456[[#This Row],[a (mm)]]*Table1123456[[#This Row],[b (mm)]]*Table1123456[[#This Row],[h (mm)]]*Table1123456[[#This Row],[L(mm)]]/2)</f>
        <v>1.4137167381946315E-7</v>
      </c>
      <c r="T53" s="145">
        <f>Table1123456[[#This Row],[M (KN.mm)]]/(Table1123456[[#This Row],[a (mm)]]^2*Table1123456[[#This Row],[b (mm)]]*Table1123456[[#This Row],[h (mm)]])</f>
        <v>1.414078608704733E-7</v>
      </c>
      <c r="U53" s="145">
        <f>Table1123456[[#This Row],[M (KN.mm)]]/(Table1123456[[#This Row],[b (mm)]]*Table1123456[[#This Row],[d (mm)]]*Table1123456[[#This Row],[pho (%)]])</f>
        <v>0.50009691096305275</v>
      </c>
      <c r="V53" s="145">
        <f>E53/(Table1123456[[#This Row],[b (mm)]]*Y53*Table1123456[[#This Row],[fc (Mpa)]]*Table1123456[[#This Row],[a (mm)]])</f>
        <v>2.0764737279070968E-9</v>
      </c>
      <c r="W53" s="111">
        <f>2.97*Table1123456[[#This Row],[d (mm)]]</f>
        <v>2031.4800000000002</v>
      </c>
      <c r="X53" s="160">
        <v>684</v>
      </c>
      <c r="Y53" s="160">
        <v>762</v>
      </c>
      <c r="Z53" s="160">
        <v>508</v>
      </c>
      <c r="AA53" s="160">
        <v>68.099999999999994</v>
      </c>
      <c r="AB53" s="160">
        <v>4516</v>
      </c>
      <c r="AC53" s="160">
        <v>1.3</v>
      </c>
      <c r="AD53" s="160">
        <v>525</v>
      </c>
      <c r="AE53" s="111">
        <f>(1/3-0.21*(MIN(Table1123456[[#This Row],[b (mm)]],Y53)/MAX(Table1123456[[#This Row],[b (mm)]],Y53))*(MIN(Table1123456[[#This Row],[b (mm)]],Y53)^4/(12*MAX(Table1123456[[#This Row],[b (mm)]],Y53)^4)))*MAX(Table1123456[[#This Row],[b (mm)]],Y53)*MIN(Table1123456[[#This Row],[b (mm)]],Y53)^3</f>
        <v>33068302099.026169</v>
      </c>
      <c r="AF53" s="111">
        <f>Table1123456[[#This Row],[b (mm)]]*Y53^3/12</f>
        <v>18730414152</v>
      </c>
      <c r="AG53" s="160">
        <v>4064</v>
      </c>
      <c r="AN53"/>
      <c r="AO53"/>
    </row>
    <row r="54" spans="1:41" s="1" customFormat="1" x14ac:dyDescent="0.3">
      <c r="A54" s="158" t="s">
        <v>101</v>
      </c>
      <c r="B54" s="147">
        <v>3</v>
      </c>
      <c r="C54" s="111">
        <v>65</v>
      </c>
      <c r="D54" s="111">
        <f>Table1123456[[#This Row],[a (mm)]]/Table1123456[[#This Row],[d (mm)]]</f>
        <v>2.97</v>
      </c>
      <c r="E54" s="160">
        <v>122.32000000000001</v>
      </c>
      <c r="F54" s="137">
        <f>Table1123456[[#This Row],[d (mm)]]</f>
        <v>684</v>
      </c>
      <c r="G54" s="135">
        <f t="shared" si="3"/>
        <v>248490.63360000006</v>
      </c>
      <c r="H54" s="135">
        <f t="shared" ref="H54:H63" si="4">G54/($AJ$5*AF54*0.001)</f>
        <v>5.0373248779832458E-7</v>
      </c>
      <c r="I54" s="135">
        <f>G54/(Table1123456[[#This Row],[b (mm)]]*X54^2)</f>
        <v>1.0455242436800665E-3</v>
      </c>
      <c r="J54" s="135">
        <f t="shared" ref="J54:J63" si="5">G54/(AB54*AD54*X54*0.001)</f>
        <v>0.15322890041756299</v>
      </c>
      <c r="K54" s="135">
        <f t="shared" ref="K54:K63" si="6">E54/($AJ$4*AE54*0.001)</f>
        <v>1.1780288536158637E-7</v>
      </c>
      <c r="L54" s="135">
        <f>E54/(Table1123456[[#This Row],[b (mm)]]*X54)</f>
        <v>3.5202836487544323E-4</v>
      </c>
      <c r="M54" s="135">
        <f>Table1123456[[#This Row],[M (KN.mm)]]/(Table1123456[[#This Row],[b (mm)]]*Table1123456[[#This Row],[d (mm)]])</f>
        <v>0.71513858267716557</v>
      </c>
      <c r="N54" s="135">
        <f>Table1123456[[#This Row],[M (KN.mm)]]/(Table1123456[[#This Row],[b (mm)]]*Table1123456[[#This Row],[h (mm)]])</f>
        <v>0.64193542067084153</v>
      </c>
      <c r="O54" s="145">
        <f>Table1123456[[#This Row],[M (KN.mm)]]/(Table1123456[[#This Row],[b (mm)]]*Table1123456[[#This Row],[h (mm)]]*Table1123456[[#This Row],[L(mm)]])</f>
        <v>1.5795655036191967E-4</v>
      </c>
      <c r="P54" s="145">
        <f>Table1123456[[#This Row],[M (KN.mm)]]/(Table1123456[[#This Row],[b (mm)]]*Table1123456[[#This Row],[d (mm)]]*Table1123456[[#This Row],[L(mm)]])</f>
        <v>1.7596913943827893E-4</v>
      </c>
      <c r="Q54" s="145">
        <f>Table1123456[[#This Row],[M (KN.mm)]]/(Table1123456[[#This Row],[b (mm)]]*Table1123456[[#This Row],[h (mm)]]*Table1123456[[#This Row],[L(mm)]]*Table1123456[[#This Row],[fc (Mpa)]])</f>
        <v>2.3194794473115955E-6</v>
      </c>
      <c r="R54" s="145">
        <f>Table1123456[[#This Row],[M (KN.mm)]]/(Table1123456[[#This Row],[b (mm)]]*Table1123456[[#This Row],[h (mm)]]*Table1123456[[#This Row],[L(mm)]]/2)</f>
        <v>3.1591310072383934E-4</v>
      </c>
      <c r="S54" s="145">
        <f>Table1123456[[#This Row],[M (KN.mm)]]/(Table1123456[[#This Row],[a (mm)]]*Table1123456[[#This Row],[b (mm)]]*Table1123456[[#This Row],[h (mm)]]*Table1123456[[#This Row],[L(mm)]]/2)</f>
        <v>1.5550884120140948E-7</v>
      </c>
      <c r="T54" s="145">
        <f>Table1123456[[#This Row],[M (KN.mm)]]/(Table1123456[[#This Row],[a (mm)]]^2*Table1123456[[#This Row],[b (mm)]]*Table1123456[[#This Row],[h (mm)]])</f>
        <v>1.5554864695752064E-7</v>
      </c>
      <c r="U54" s="145">
        <f>Table1123456[[#This Row],[M (KN.mm)]]/(Table1123456[[#This Row],[b (mm)]]*Table1123456[[#This Row],[d (mm)]]*Table1123456[[#This Row],[pho (%)]])</f>
        <v>0.55010660205935802</v>
      </c>
      <c r="V54" s="145">
        <f>E54/(Table1123456[[#This Row],[b (mm)]]*Y54*Table1123456[[#This Row],[fc (Mpa)]]*Table1123456[[#This Row],[a (mm)]])</f>
        <v>2.2841211006978064E-9</v>
      </c>
      <c r="W54" s="111">
        <f>2.97*Table1123456[[#This Row],[d (mm)]]</f>
        <v>2031.4800000000002</v>
      </c>
      <c r="X54" s="160">
        <v>684</v>
      </c>
      <c r="Y54" s="160">
        <v>762</v>
      </c>
      <c r="Z54" s="160">
        <v>508</v>
      </c>
      <c r="AA54" s="160">
        <v>68.099999999999994</v>
      </c>
      <c r="AB54" s="160">
        <v>4516</v>
      </c>
      <c r="AC54" s="160">
        <v>1.3</v>
      </c>
      <c r="AD54" s="160">
        <v>525</v>
      </c>
      <c r="AE54" s="111">
        <f>(1/3-0.21*(MIN(Table1123456[[#This Row],[b (mm)]],Y54)/MAX(Table1123456[[#This Row],[b (mm)]],Y54))*(MIN(Table1123456[[#This Row],[b (mm)]],Y54)^4/(12*MAX(Table1123456[[#This Row],[b (mm)]],Y54)^4)))*MAX(Table1123456[[#This Row],[b (mm)]],Y54)*MIN(Table1123456[[#This Row],[b (mm)]],Y54)^3</f>
        <v>33068302099.026169</v>
      </c>
      <c r="AF54" s="111">
        <f>Table1123456[[#This Row],[b (mm)]]*Y54^3/12</f>
        <v>18730414152</v>
      </c>
      <c r="AG54" s="160">
        <v>4064</v>
      </c>
      <c r="AN54"/>
      <c r="AO54"/>
    </row>
    <row r="55" spans="1:41" x14ac:dyDescent="0.3">
      <c r="A55" s="158" t="s">
        <v>101</v>
      </c>
      <c r="B55" s="147">
        <v>4</v>
      </c>
      <c r="C55" s="111">
        <v>66</v>
      </c>
      <c r="D55" s="111">
        <f>Table1123456[[#This Row],[a (mm)]]/Table1123456[[#This Row],[d (mm)]]</f>
        <v>2.97</v>
      </c>
      <c r="E55" s="111">
        <v>133.44</v>
      </c>
      <c r="F55" s="137">
        <f>Table1123456[[#This Row],[d (mm)]]</f>
        <v>684</v>
      </c>
      <c r="G55" s="135">
        <f t="shared" ref="G55:G63" si="7">E55*W55</f>
        <v>271080.6912</v>
      </c>
      <c r="H55" s="135">
        <f t="shared" si="4"/>
        <v>5.4952635032544495E-7</v>
      </c>
      <c r="I55" s="135">
        <f>G55/(Table1123456[[#This Row],[b (mm)]]*X55^2)</f>
        <v>1.140571902196436E-3</v>
      </c>
      <c r="J55" s="135">
        <f t="shared" si="5"/>
        <v>0.1671588004555232</v>
      </c>
      <c r="K55" s="135">
        <f t="shared" si="6"/>
        <v>1.2851223857627603E-7</v>
      </c>
      <c r="L55" s="135">
        <f>E55/(Table1123456[[#This Row],[b (mm)]]*X55)</f>
        <v>3.8403094350048346E-4</v>
      </c>
      <c r="M55" s="135">
        <f>Table1123456[[#This Row],[M (KN.mm)]]/(Table1123456[[#This Row],[b (mm)]]*Table1123456[[#This Row],[d (mm)]])</f>
        <v>0.78015118110236226</v>
      </c>
      <c r="N55" s="135">
        <f>Table1123456[[#This Row],[M (KN.mm)]]/(Table1123456[[#This Row],[b (mm)]]*Table1123456[[#This Row],[h (mm)]])</f>
        <v>0.70029318618637237</v>
      </c>
      <c r="O55" s="145">
        <f>Table1123456[[#This Row],[M (KN.mm)]]/(Table1123456[[#This Row],[b (mm)]]*Table1123456[[#This Row],[h (mm)]]*Table1123456[[#This Row],[L(mm)]])</f>
        <v>1.7231623675845778E-4</v>
      </c>
      <c r="P55" s="145">
        <f>Table1123456[[#This Row],[M (KN.mm)]]/(Table1123456[[#This Row],[b (mm)]]*Table1123456[[#This Row],[d (mm)]]*Table1123456[[#This Row],[L(mm)]])</f>
        <v>1.9196633393266788E-4</v>
      </c>
      <c r="Q55" s="145">
        <f>Table1123456[[#This Row],[M (KN.mm)]]/(Table1123456[[#This Row],[b (mm)]]*Table1123456[[#This Row],[h (mm)]]*Table1123456[[#This Row],[L(mm)]]*Table1123456[[#This Row],[fc (Mpa)]])</f>
        <v>2.5303412152490127E-6</v>
      </c>
      <c r="R55" s="145">
        <f>Table1123456[[#This Row],[M (KN.mm)]]/(Table1123456[[#This Row],[b (mm)]]*Table1123456[[#This Row],[h (mm)]]*Table1123456[[#This Row],[L(mm)]]/2)</f>
        <v>3.4463247351691555E-4</v>
      </c>
      <c r="S55" s="145">
        <f>Table1123456[[#This Row],[M (KN.mm)]]/(Table1123456[[#This Row],[a (mm)]]*Table1123456[[#This Row],[b (mm)]]*Table1123456[[#This Row],[h (mm)]]*Table1123456[[#This Row],[L(mm)]]/2)</f>
        <v>1.6964600858335573E-7</v>
      </c>
      <c r="T55" s="145">
        <f>Table1123456[[#This Row],[M (KN.mm)]]/(Table1123456[[#This Row],[a (mm)]]^2*Table1123456[[#This Row],[b (mm)]]*Table1123456[[#This Row],[h (mm)]])</f>
        <v>1.6968943304456792E-7</v>
      </c>
      <c r="U55" s="145">
        <f>Table1123456[[#This Row],[M (KN.mm)]]/(Table1123456[[#This Row],[b (mm)]]*Table1123456[[#This Row],[d (mm)]]*Table1123456[[#This Row],[pho (%)]])</f>
        <v>0.60011629315566317</v>
      </c>
      <c r="V55" s="145">
        <f>E55/(Table1123456[[#This Row],[b (mm)]]*Y55*Table1123456[[#This Row],[fc (Mpa)]]*Table1123456[[#This Row],[a (mm)]])</f>
        <v>2.4917684734885159E-9</v>
      </c>
      <c r="W55" s="111">
        <f>2.97*Table1123456[[#This Row],[d (mm)]]</f>
        <v>2031.4800000000002</v>
      </c>
      <c r="X55" s="160">
        <v>684</v>
      </c>
      <c r="Y55" s="160">
        <v>762</v>
      </c>
      <c r="Z55" s="160">
        <v>508</v>
      </c>
      <c r="AA55" s="160">
        <v>68.099999999999994</v>
      </c>
      <c r="AB55" s="160">
        <v>4516</v>
      </c>
      <c r="AC55" s="160">
        <v>1.3</v>
      </c>
      <c r="AD55" s="160">
        <v>525</v>
      </c>
      <c r="AE55" s="111">
        <f>(1/3-0.21*(MIN(Table1123456[[#This Row],[b (mm)]],Y55)/MAX(Table1123456[[#This Row],[b (mm)]],Y55))*(MIN(Table1123456[[#This Row],[b (mm)]],Y55)^4/(12*MAX(Table1123456[[#This Row],[b (mm)]],Y55)^4)))*MAX(Table1123456[[#This Row],[b (mm)]],Y55)*MIN(Table1123456[[#This Row],[b (mm)]],Y55)^3</f>
        <v>33068302099.026169</v>
      </c>
      <c r="AF55" s="111">
        <f>Table1123456[[#This Row],[b (mm)]]*Y55^3/12</f>
        <v>18730414152</v>
      </c>
      <c r="AG55" s="160">
        <v>4064</v>
      </c>
      <c r="AH55" s="138"/>
      <c r="AI55" s="126"/>
    </row>
    <row r="56" spans="1:41" x14ac:dyDescent="0.3">
      <c r="A56" s="158" t="s">
        <v>101</v>
      </c>
      <c r="B56" s="147">
        <v>5</v>
      </c>
      <c r="C56" s="111">
        <v>67</v>
      </c>
      <c r="D56" s="111">
        <f>Table1123456[[#This Row],[a (mm)]]/Table1123456[[#This Row],[d (mm)]]</f>
        <v>2.97</v>
      </c>
      <c r="E56" s="111">
        <v>144.56</v>
      </c>
      <c r="F56" s="137">
        <f>Table1123456[[#This Row],[d (mm)]]</f>
        <v>684</v>
      </c>
      <c r="G56" s="135">
        <f t="shared" si="7"/>
        <v>293670.74880000006</v>
      </c>
      <c r="H56" s="135">
        <f t="shared" si="4"/>
        <v>5.9532021285256544E-7</v>
      </c>
      <c r="I56" s="135">
        <f>G56/(Table1123456[[#This Row],[b (mm)]]*X56^2)</f>
        <v>1.2356195607128059E-3</v>
      </c>
      <c r="J56" s="135">
        <f t="shared" si="5"/>
        <v>0.18108870049348352</v>
      </c>
      <c r="K56" s="135">
        <f t="shared" si="6"/>
        <v>1.3922159179096569E-7</v>
      </c>
      <c r="L56" s="135">
        <f>E56/(Table1123456[[#This Row],[b (mm)]]*X56)</f>
        <v>4.1603352212552381E-4</v>
      </c>
      <c r="M56" s="135">
        <f>Table1123456[[#This Row],[M (KN.mm)]]/(Table1123456[[#This Row],[b (mm)]]*Table1123456[[#This Row],[d (mm)]])</f>
        <v>0.84516377952755928</v>
      </c>
      <c r="N56" s="135">
        <f>Table1123456[[#This Row],[M (KN.mm)]]/(Table1123456[[#This Row],[b (mm)]]*Table1123456[[#This Row],[h (mm)]])</f>
        <v>0.75865095170190355</v>
      </c>
      <c r="O56" s="145">
        <f>Table1123456[[#This Row],[M (KN.mm)]]/(Table1123456[[#This Row],[b (mm)]]*Table1123456[[#This Row],[h (mm)]]*Table1123456[[#This Row],[L(mm)]])</f>
        <v>1.8667592315499597E-4</v>
      </c>
      <c r="P56" s="145">
        <f>Table1123456[[#This Row],[M (KN.mm)]]/(Table1123456[[#This Row],[b (mm)]]*Table1123456[[#This Row],[d (mm)]]*Table1123456[[#This Row],[L(mm)]])</f>
        <v>2.0796352842705689E-4</v>
      </c>
      <c r="Q56" s="145">
        <f>Table1123456[[#This Row],[M (KN.mm)]]/(Table1123456[[#This Row],[b (mm)]]*Table1123456[[#This Row],[h (mm)]]*Table1123456[[#This Row],[L(mm)]]*Table1123456[[#This Row],[fc (Mpa)]])</f>
        <v>2.7412029831864311E-6</v>
      </c>
      <c r="R56" s="145">
        <f>Table1123456[[#This Row],[M (KN.mm)]]/(Table1123456[[#This Row],[b (mm)]]*Table1123456[[#This Row],[h (mm)]]*Table1123456[[#This Row],[L(mm)]]/2)</f>
        <v>3.7335184630999193E-4</v>
      </c>
      <c r="S56" s="145">
        <f>Table1123456[[#This Row],[M (KN.mm)]]/(Table1123456[[#This Row],[a (mm)]]*Table1123456[[#This Row],[b (mm)]]*Table1123456[[#This Row],[h (mm)]]*Table1123456[[#This Row],[L(mm)]]/2)</f>
        <v>1.8378317596530209E-7</v>
      </c>
      <c r="T56" s="145">
        <f>Table1123456[[#This Row],[M (KN.mm)]]/(Table1123456[[#This Row],[a (mm)]]^2*Table1123456[[#This Row],[b (mm)]]*Table1123456[[#This Row],[h (mm)]])</f>
        <v>1.8383021913161529E-7</v>
      </c>
      <c r="U56" s="145">
        <f>Table1123456[[#This Row],[M (KN.mm)]]/(Table1123456[[#This Row],[b (mm)]]*Table1123456[[#This Row],[d (mm)]]*Table1123456[[#This Row],[pho (%)]])</f>
        <v>0.65012598425196855</v>
      </c>
      <c r="V56" s="145">
        <f>E56/(Table1123456[[#This Row],[b (mm)]]*Y56*Table1123456[[#This Row],[fc (Mpa)]]*Table1123456[[#This Row],[a (mm)]])</f>
        <v>2.6994158462792255E-9</v>
      </c>
      <c r="W56" s="111">
        <f>2.97*Table1123456[[#This Row],[d (mm)]]</f>
        <v>2031.4800000000002</v>
      </c>
      <c r="X56" s="160">
        <v>684</v>
      </c>
      <c r="Y56" s="160">
        <v>762</v>
      </c>
      <c r="Z56" s="160">
        <v>508</v>
      </c>
      <c r="AA56" s="160">
        <v>68.099999999999994</v>
      </c>
      <c r="AB56" s="160">
        <v>4516</v>
      </c>
      <c r="AC56" s="160">
        <v>1.3</v>
      </c>
      <c r="AD56" s="160">
        <v>525</v>
      </c>
      <c r="AE56" s="111">
        <f>(1/3-0.21*(MIN(Table1123456[[#This Row],[b (mm)]],Y56)/MAX(Table1123456[[#This Row],[b (mm)]],Y56))*(MIN(Table1123456[[#This Row],[b (mm)]],Y56)^4/(12*MAX(Table1123456[[#This Row],[b (mm)]],Y56)^4)))*MAX(Table1123456[[#This Row],[b (mm)]],Y56)*MIN(Table1123456[[#This Row],[b (mm)]],Y56)^3</f>
        <v>33068302099.026169</v>
      </c>
      <c r="AF56" s="111">
        <f>Table1123456[[#This Row],[b (mm)]]*Y56^3/12</f>
        <v>18730414152</v>
      </c>
      <c r="AG56" s="160">
        <v>4064</v>
      </c>
      <c r="AH56" s="138"/>
      <c r="AI56" s="126"/>
    </row>
    <row r="57" spans="1:41" x14ac:dyDescent="0.3">
      <c r="A57" s="158" t="s">
        <v>101</v>
      </c>
      <c r="B57" s="147">
        <v>6</v>
      </c>
      <c r="C57" s="111">
        <v>68</v>
      </c>
      <c r="D57" s="111">
        <f>Table1123456[[#This Row],[a (mm)]]/Table1123456[[#This Row],[d (mm)]]</f>
        <v>2.97</v>
      </c>
      <c r="E57" s="111">
        <v>155.68</v>
      </c>
      <c r="F57" s="137">
        <f>Table1123456[[#This Row],[d (mm)]]</f>
        <v>684</v>
      </c>
      <c r="G57" s="135">
        <f t="shared" si="7"/>
        <v>316260.80640000006</v>
      </c>
      <c r="H57" s="135">
        <f t="shared" si="4"/>
        <v>6.4111407537968581E-7</v>
      </c>
      <c r="I57" s="135">
        <f>G57/(Table1123456[[#This Row],[b (mm)]]*X57^2)</f>
        <v>1.3306672192291756E-3</v>
      </c>
      <c r="J57" s="135">
        <f t="shared" si="5"/>
        <v>0.19501860053144379</v>
      </c>
      <c r="K57" s="135">
        <f t="shared" si="6"/>
        <v>1.4993094500565538E-7</v>
      </c>
      <c r="L57" s="135">
        <f>E57/(Table1123456[[#This Row],[b (mm)]]*X57)</f>
        <v>4.4803610075056411E-4</v>
      </c>
      <c r="M57" s="135">
        <f>Table1123456[[#This Row],[M (KN.mm)]]/(Table1123456[[#This Row],[b (mm)]]*Table1123456[[#This Row],[d (mm)]])</f>
        <v>0.91017637795275608</v>
      </c>
      <c r="N57" s="135">
        <f>Table1123456[[#This Row],[M (KN.mm)]]/(Table1123456[[#This Row],[b (mm)]]*Table1123456[[#This Row],[h (mm)]])</f>
        <v>0.81700871721743462</v>
      </c>
      <c r="O57" s="145">
        <f>Table1123456[[#This Row],[M (KN.mm)]]/(Table1123456[[#This Row],[b (mm)]]*Table1123456[[#This Row],[h (mm)]]*Table1123456[[#This Row],[L(mm)]])</f>
        <v>2.010356095515341E-4</v>
      </c>
      <c r="P57" s="145">
        <f>Table1123456[[#This Row],[M (KN.mm)]]/(Table1123456[[#This Row],[b (mm)]]*Table1123456[[#This Row],[d (mm)]]*Table1123456[[#This Row],[L(mm)]])</f>
        <v>2.2396072292144589E-4</v>
      </c>
      <c r="Q57" s="145">
        <f>Table1123456[[#This Row],[M (KN.mm)]]/(Table1123456[[#This Row],[b (mm)]]*Table1123456[[#This Row],[h (mm)]]*Table1123456[[#This Row],[L(mm)]]*Table1123456[[#This Row],[fc (Mpa)]])</f>
        <v>2.9520647511238491E-6</v>
      </c>
      <c r="R57" s="145">
        <f>Table1123456[[#This Row],[M (KN.mm)]]/(Table1123456[[#This Row],[b (mm)]]*Table1123456[[#This Row],[h (mm)]]*Table1123456[[#This Row],[L(mm)]]/2)</f>
        <v>4.020712191030682E-4</v>
      </c>
      <c r="S57" s="145">
        <f>Table1123456[[#This Row],[M (KN.mm)]]/(Table1123456[[#This Row],[a (mm)]]*Table1123456[[#This Row],[b (mm)]]*Table1123456[[#This Row],[h (mm)]]*Table1123456[[#This Row],[L(mm)]]/2)</f>
        <v>1.979203433472484E-7</v>
      </c>
      <c r="T57" s="145">
        <f>Table1123456[[#This Row],[M (KN.mm)]]/(Table1123456[[#This Row],[a (mm)]]^2*Table1123456[[#This Row],[b (mm)]]*Table1123456[[#This Row],[h (mm)]])</f>
        <v>1.979710052186626E-7</v>
      </c>
      <c r="U57" s="145">
        <f>Table1123456[[#This Row],[M (KN.mm)]]/(Table1123456[[#This Row],[b (mm)]]*Table1123456[[#This Row],[d (mm)]]*Table1123456[[#This Row],[pho (%)]])</f>
        <v>0.70013567534827381</v>
      </c>
      <c r="V57" s="145">
        <f>E57/(Table1123456[[#This Row],[b (mm)]]*Y57*Table1123456[[#This Row],[fc (Mpa)]]*Table1123456[[#This Row],[a (mm)]])</f>
        <v>2.9070632190699355E-9</v>
      </c>
      <c r="W57" s="111">
        <f>2.97*Table1123456[[#This Row],[d (mm)]]</f>
        <v>2031.4800000000002</v>
      </c>
      <c r="X57" s="160">
        <v>684</v>
      </c>
      <c r="Y57" s="160">
        <v>762</v>
      </c>
      <c r="Z57" s="160">
        <v>508</v>
      </c>
      <c r="AA57" s="160">
        <v>68.099999999999994</v>
      </c>
      <c r="AB57" s="160">
        <v>4516</v>
      </c>
      <c r="AC57" s="160">
        <v>1.3</v>
      </c>
      <c r="AD57" s="160">
        <v>525</v>
      </c>
      <c r="AE57" s="111">
        <f>(1/3-0.21*(MIN(Table1123456[[#This Row],[b (mm)]],Y57)/MAX(Table1123456[[#This Row],[b (mm)]],Y57))*(MIN(Table1123456[[#This Row],[b (mm)]],Y57)^4/(12*MAX(Table1123456[[#This Row],[b (mm)]],Y57)^4)))*MAX(Table1123456[[#This Row],[b (mm)]],Y57)*MIN(Table1123456[[#This Row],[b (mm)]],Y57)^3</f>
        <v>33068302099.026169</v>
      </c>
      <c r="AF57" s="111">
        <f>Table1123456[[#This Row],[b (mm)]]*Y57^3/12</f>
        <v>18730414152</v>
      </c>
      <c r="AG57" s="160">
        <v>4064</v>
      </c>
      <c r="AH57" s="138"/>
      <c r="AI57" s="126"/>
    </row>
    <row r="58" spans="1:41" x14ac:dyDescent="0.3">
      <c r="A58" s="158" t="s">
        <v>101</v>
      </c>
      <c r="B58" s="147">
        <v>7</v>
      </c>
      <c r="C58" s="111">
        <v>69</v>
      </c>
      <c r="D58" s="111">
        <f>Table1123456[[#This Row],[a (mm)]]/Table1123456[[#This Row],[d (mm)]]</f>
        <v>2.97</v>
      </c>
      <c r="E58" s="111">
        <v>166.8</v>
      </c>
      <c r="F58" s="137">
        <f>Table1123456[[#This Row],[d (mm)]]</f>
        <v>684</v>
      </c>
      <c r="G58" s="135">
        <f t="shared" si="7"/>
        <v>338850.86400000006</v>
      </c>
      <c r="H58" s="135">
        <f t="shared" si="4"/>
        <v>6.869079379068063E-7</v>
      </c>
      <c r="I58" s="135">
        <f>G58/(Table1123456[[#This Row],[b (mm)]]*X58^2)</f>
        <v>1.4257148777455453E-3</v>
      </c>
      <c r="J58" s="135">
        <f t="shared" si="5"/>
        <v>0.20894850056940406</v>
      </c>
      <c r="K58" s="135">
        <f t="shared" si="6"/>
        <v>1.6064029822034504E-7</v>
      </c>
      <c r="L58" s="135">
        <f>E58/(Table1123456[[#This Row],[b (mm)]]*X58)</f>
        <v>4.800386793756044E-4</v>
      </c>
      <c r="M58" s="135">
        <f>Table1123456[[#This Row],[M (KN.mm)]]/(Table1123456[[#This Row],[b (mm)]]*Table1123456[[#This Row],[d (mm)]])</f>
        <v>0.97518897637795288</v>
      </c>
      <c r="N58" s="135">
        <f>Table1123456[[#This Row],[M (KN.mm)]]/(Table1123456[[#This Row],[b (mm)]]*Table1123456[[#This Row],[h (mm)]])</f>
        <v>0.87536648273296558</v>
      </c>
      <c r="O58" s="145">
        <f>Table1123456[[#This Row],[M (KN.mm)]]/(Table1123456[[#This Row],[b (mm)]]*Table1123456[[#This Row],[h (mm)]]*Table1123456[[#This Row],[L(mm)]])</f>
        <v>2.1539529594807226E-4</v>
      </c>
      <c r="P58" s="145">
        <f>Table1123456[[#This Row],[M (KN.mm)]]/(Table1123456[[#This Row],[b (mm)]]*Table1123456[[#This Row],[d (mm)]]*Table1123456[[#This Row],[L(mm)]])</f>
        <v>2.3995791741583488E-4</v>
      </c>
      <c r="Q58" s="145">
        <f>Table1123456[[#This Row],[M (KN.mm)]]/(Table1123456[[#This Row],[b (mm)]]*Table1123456[[#This Row],[h (mm)]]*Table1123456[[#This Row],[L(mm)]]*Table1123456[[#This Row],[fc (Mpa)]])</f>
        <v>3.1629265190612667E-6</v>
      </c>
      <c r="R58" s="145">
        <f>Table1123456[[#This Row],[M (KN.mm)]]/(Table1123456[[#This Row],[b (mm)]]*Table1123456[[#This Row],[h (mm)]]*Table1123456[[#This Row],[L(mm)]]/2)</f>
        <v>4.3079059189614452E-4</v>
      </c>
      <c r="S58" s="145">
        <f>Table1123456[[#This Row],[M (KN.mm)]]/(Table1123456[[#This Row],[a (mm)]]*Table1123456[[#This Row],[b (mm)]]*Table1123456[[#This Row],[h (mm)]]*Table1123456[[#This Row],[L(mm)]]/2)</f>
        <v>2.120575107291947E-7</v>
      </c>
      <c r="T58" s="145">
        <f>Table1123456[[#This Row],[M (KN.mm)]]/(Table1123456[[#This Row],[a (mm)]]^2*Table1123456[[#This Row],[b (mm)]]*Table1123456[[#This Row],[h (mm)]])</f>
        <v>2.1211179130570994E-7</v>
      </c>
      <c r="U58" s="145">
        <f>Table1123456[[#This Row],[M (KN.mm)]]/(Table1123456[[#This Row],[b (mm)]]*Table1123456[[#This Row],[d (mm)]]*Table1123456[[#This Row],[pho (%)]])</f>
        <v>0.75014536644457908</v>
      </c>
      <c r="V58" s="145">
        <f>E58/(Table1123456[[#This Row],[b (mm)]]*Y58*Table1123456[[#This Row],[fc (Mpa)]]*Table1123456[[#This Row],[a (mm)]])</f>
        <v>3.114710591860645E-9</v>
      </c>
      <c r="W58" s="111">
        <f>2.97*Table1123456[[#This Row],[d (mm)]]</f>
        <v>2031.4800000000002</v>
      </c>
      <c r="X58" s="160">
        <v>684</v>
      </c>
      <c r="Y58" s="160">
        <v>762</v>
      </c>
      <c r="Z58" s="160">
        <v>508</v>
      </c>
      <c r="AA58" s="160">
        <v>68.099999999999994</v>
      </c>
      <c r="AB58" s="160">
        <v>4516</v>
      </c>
      <c r="AC58" s="160">
        <v>1.3</v>
      </c>
      <c r="AD58" s="160">
        <v>525</v>
      </c>
      <c r="AE58" s="111">
        <f>(1/3-0.21*(MIN(Table1123456[[#This Row],[b (mm)]],Y58)/MAX(Table1123456[[#This Row],[b (mm)]],Y58))*(MIN(Table1123456[[#This Row],[b (mm)]],Y58)^4/(12*MAX(Table1123456[[#This Row],[b (mm)]],Y58)^4)))*MAX(Table1123456[[#This Row],[b (mm)]],Y58)*MIN(Table1123456[[#This Row],[b (mm)]],Y58)^3</f>
        <v>33068302099.026169</v>
      </c>
      <c r="AF58" s="111">
        <f>Table1123456[[#This Row],[b (mm)]]*Y58^3/12</f>
        <v>18730414152</v>
      </c>
      <c r="AG58" s="160">
        <v>4064</v>
      </c>
      <c r="AH58" s="138"/>
      <c r="AI58" s="126"/>
    </row>
    <row r="59" spans="1:41" x14ac:dyDescent="0.3">
      <c r="A59" s="158" t="s">
        <v>101</v>
      </c>
      <c r="B59" s="147">
        <v>8</v>
      </c>
      <c r="C59" s="111">
        <v>70</v>
      </c>
      <c r="D59" s="111">
        <f>Table1123456[[#This Row],[a (mm)]]/Table1123456[[#This Row],[d (mm)]]</f>
        <v>2.97</v>
      </c>
      <c r="E59" s="111">
        <v>177.92000000000002</v>
      </c>
      <c r="F59" s="137">
        <f>Table1123456[[#This Row],[d (mm)]]</f>
        <v>684</v>
      </c>
      <c r="G59" s="135">
        <f t="shared" si="7"/>
        <v>361440.92160000006</v>
      </c>
      <c r="H59" s="135">
        <f t="shared" si="4"/>
        <v>7.3270180043392668E-7</v>
      </c>
      <c r="I59" s="135">
        <f>G59/(Table1123456[[#This Row],[b (mm)]]*X59^2)</f>
        <v>1.5207625362619148E-3</v>
      </c>
      <c r="J59" s="135">
        <f t="shared" si="5"/>
        <v>0.22287840060736433</v>
      </c>
      <c r="K59" s="135">
        <f t="shared" si="6"/>
        <v>1.7134965143503473E-7</v>
      </c>
      <c r="L59" s="135">
        <f>E59/(Table1123456[[#This Row],[b (mm)]]*X59)</f>
        <v>5.1204125800064469E-4</v>
      </c>
      <c r="M59" s="135">
        <f>Table1123456[[#This Row],[M (KN.mm)]]/(Table1123456[[#This Row],[b (mm)]]*Table1123456[[#This Row],[d (mm)]])</f>
        <v>1.0402015748031497</v>
      </c>
      <c r="N59" s="135">
        <f>Table1123456[[#This Row],[M (KN.mm)]]/(Table1123456[[#This Row],[b (mm)]]*Table1123456[[#This Row],[h (mm)]])</f>
        <v>0.93372424824849665</v>
      </c>
      <c r="O59" s="145">
        <f>Table1123456[[#This Row],[M (KN.mm)]]/(Table1123456[[#This Row],[b (mm)]]*Table1123456[[#This Row],[h (mm)]]*Table1123456[[#This Row],[L(mm)]])</f>
        <v>2.297549823446104E-4</v>
      </c>
      <c r="P59" s="145">
        <f>Table1123456[[#This Row],[M (KN.mm)]]/(Table1123456[[#This Row],[b (mm)]]*Table1123456[[#This Row],[d (mm)]]*Table1123456[[#This Row],[L(mm)]])</f>
        <v>2.5595511191022386E-4</v>
      </c>
      <c r="Q59" s="145">
        <f>Table1123456[[#This Row],[M (KN.mm)]]/(Table1123456[[#This Row],[b (mm)]]*Table1123456[[#This Row],[h (mm)]]*Table1123456[[#This Row],[L(mm)]]*Table1123456[[#This Row],[fc (Mpa)]])</f>
        <v>3.3737882869986843E-6</v>
      </c>
      <c r="R59" s="145">
        <f>Table1123456[[#This Row],[M (KN.mm)]]/(Table1123456[[#This Row],[b (mm)]]*Table1123456[[#This Row],[h (mm)]]*Table1123456[[#This Row],[L(mm)]]/2)</f>
        <v>4.5950996468922079E-4</v>
      </c>
      <c r="S59" s="145">
        <f>Table1123456[[#This Row],[M (KN.mm)]]/(Table1123456[[#This Row],[a (mm)]]*Table1123456[[#This Row],[b (mm)]]*Table1123456[[#This Row],[h (mm)]]*Table1123456[[#This Row],[L(mm)]]/2)</f>
        <v>2.2619467811114104E-7</v>
      </c>
      <c r="T59" s="145">
        <f>Table1123456[[#This Row],[M (KN.mm)]]/(Table1123456[[#This Row],[a (mm)]]^2*Table1123456[[#This Row],[b (mm)]]*Table1123456[[#This Row],[h (mm)]])</f>
        <v>2.2625257739275725E-7</v>
      </c>
      <c r="U59" s="145">
        <f>Table1123456[[#This Row],[M (KN.mm)]]/(Table1123456[[#This Row],[b (mm)]]*Table1123456[[#This Row],[d (mm)]]*Table1123456[[#This Row],[pho (%)]])</f>
        <v>0.80015505754088434</v>
      </c>
      <c r="V59" s="145">
        <f>E59/(Table1123456[[#This Row],[b (mm)]]*Y59*Table1123456[[#This Row],[fc (Mpa)]]*Table1123456[[#This Row],[a (mm)]])</f>
        <v>3.322357964651355E-9</v>
      </c>
      <c r="W59" s="111">
        <f>2.97*Table1123456[[#This Row],[d (mm)]]</f>
        <v>2031.4800000000002</v>
      </c>
      <c r="X59" s="160">
        <v>684</v>
      </c>
      <c r="Y59" s="160">
        <v>762</v>
      </c>
      <c r="Z59" s="160">
        <v>508</v>
      </c>
      <c r="AA59" s="160">
        <v>68.099999999999994</v>
      </c>
      <c r="AB59" s="160">
        <v>4516</v>
      </c>
      <c r="AC59" s="160">
        <v>1.3</v>
      </c>
      <c r="AD59" s="160">
        <v>525</v>
      </c>
      <c r="AE59" s="111">
        <f>(1/3-0.21*(MIN(Table1123456[[#This Row],[b (mm)]],Y59)/MAX(Table1123456[[#This Row],[b (mm)]],Y59))*(MIN(Table1123456[[#This Row],[b (mm)]],Y59)^4/(12*MAX(Table1123456[[#This Row],[b (mm)]],Y59)^4)))*MAX(Table1123456[[#This Row],[b (mm)]],Y59)*MIN(Table1123456[[#This Row],[b (mm)]],Y59)^3</f>
        <v>33068302099.026169</v>
      </c>
      <c r="AF59" s="111">
        <f>Table1123456[[#This Row],[b (mm)]]*Y59^3/12</f>
        <v>18730414152</v>
      </c>
      <c r="AG59" s="160">
        <v>4064</v>
      </c>
      <c r="AH59" s="138"/>
      <c r="AI59" s="126"/>
    </row>
    <row r="60" spans="1:41" x14ac:dyDescent="0.3">
      <c r="A60" s="158" t="s">
        <v>101</v>
      </c>
      <c r="B60" s="147">
        <v>9</v>
      </c>
      <c r="C60" s="111">
        <v>71</v>
      </c>
      <c r="D60" s="111">
        <f>Table1123456[[#This Row],[a (mm)]]/Table1123456[[#This Row],[d (mm)]]</f>
        <v>2.97</v>
      </c>
      <c r="E60" s="111">
        <v>189.04000000000002</v>
      </c>
      <c r="F60" s="137">
        <f>Table1123456[[#This Row],[d (mm)]]</f>
        <v>684</v>
      </c>
      <c r="G60" s="135">
        <f t="shared" si="7"/>
        <v>384030.97920000006</v>
      </c>
      <c r="H60" s="135">
        <f t="shared" si="4"/>
        <v>7.7849566296104705E-7</v>
      </c>
      <c r="I60" s="135">
        <f>G60/(Table1123456[[#This Row],[b (mm)]]*X60^2)</f>
        <v>1.6158101947782845E-3</v>
      </c>
      <c r="J60" s="135">
        <f t="shared" si="5"/>
        <v>0.23680830064532457</v>
      </c>
      <c r="K60" s="135">
        <f t="shared" si="6"/>
        <v>1.8205900464972439E-7</v>
      </c>
      <c r="L60" s="135">
        <f>E60/(Table1123456[[#This Row],[b (mm)]]*X60)</f>
        <v>5.4404383662568498E-4</v>
      </c>
      <c r="M60" s="135">
        <f>Table1123456[[#This Row],[M (KN.mm)]]/(Table1123456[[#This Row],[b (mm)]]*Table1123456[[#This Row],[d (mm)]])</f>
        <v>1.1052141732283467</v>
      </c>
      <c r="N60" s="135">
        <f>Table1123456[[#This Row],[M (KN.mm)]]/(Table1123456[[#This Row],[b (mm)]]*Table1123456[[#This Row],[h (mm)]])</f>
        <v>0.99208201376402771</v>
      </c>
      <c r="O60" s="145">
        <f>Table1123456[[#This Row],[M (KN.mm)]]/(Table1123456[[#This Row],[b (mm)]]*Table1123456[[#This Row],[h (mm)]]*Table1123456[[#This Row],[L(mm)]])</f>
        <v>2.4411466874114853E-4</v>
      </c>
      <c r="P60" s="145">
        <f>Table1123456[[#This Row],[M (KN.mm)]]/(Table1123456[[#This Row],[b (mm)]]*Table1123456[[#This Row],[d (mm)]]*Table1123456[[#This Row],[L(mm)]])</f>
        <v>2.7195230640461284E-4</v>
      </c>
      <c r="Q60" s="145">
        <f>Table1123456[[#This Row],[M (KN.mm)]]/(Table1123456[[#This Row],[b (mm)]]*Table1123456[[#This Row],[h (mm)]]*Table1123456[[#This Row],[L(mm)]]*Table1123456[[#This Row],[fc (Mpa)]])</f>
        <v>3.5846500549361023E-6</v>
      </c>
      <c r="R60" s="145">
        <f>Table1123456[[#This Row],[M (KN.mm)]]/(Table1123456[[#This Row],[b (mm)]]*Table1123456[[#This Row],[h (mm)]]*Table1123456[[#This Row],[L(mm)]]/2)</f>
        <v>4.8822933748229706E-4</v>
      </c>
      <c r="S60" s="145">
        <f>Table1123456[[#This Row],[M (KN.mm)]]/(Table1123456[[#This Row],[a (mm)]]*Table1123456[[#This Row],[b (mm)]]*Table1123456[[#This Row],[h (mm)]]*Table1123456[[#This Row],[L(mm)]]/2)</f>
        <v>2.4033184549308732E-7</v>
      </c>
      <c r="T60" s="145">
        <f>Table1123456[[#This Row],[M (KN.mm)]]/(Table1123456[[#This Row],[a (mm)]]^2*Table1123456[[#This Row],[b (mm)]]*Table1123456[[#This Row],[h (mm)]])</f>
        <v>2.4039336347980459E-7</v>
      </c>
      <c r="U60" s="145">
        <f>Table1123456[[#This Row],[M (KN.mm)]]/(Table1123456[[#This Row],[b (mm)]]*Table1123456[[#This Row],[d (mm)]]*Table1123456[[#This Row],[pho (%)]])</f>
        <v>0.8501647486371896</v>
      </c>
      <c r="V60" s="145">
        <f>E60/(Table1123456[[#This Row],[b (mm)]]*Y60*Table1123456[[#This Row],[fc (Mpa)]]*Table1123456[[#This Row],[a (mm)]])</f>
        <v>3.5300053374420645E-9</v>
      </c>
      <c r="W60" s="111">
        <f>2.97*Table1123456[[#This Row],[d (mm)]]</f>
        <v>2031.4800000000002</v>
      </c>
      <c r="X60" s="160">
        <v>684</v>
      </c>
      <c r="Y60" s="160">
        <v>762</v>
      </c>
      <c r="Z60" s="160">
        <v>508</v>
      </c>
      <c r="AA60" s="160">
        <v>68.099999999999994</v>
      </c>
      <c r="AB60" s="160">
        <v>4516</v>
      </c>
      <c r="AC60" s="160">
        <v>1.3</v>
      </c>
      <c r="AD60" s="160">
        <v>525</v>
      </c>
      <c r="AE60" s="111">
        <f>(1/3-0.21*(MIN(Table1123456[[#This Row],[b (mm)]],Y60)/MAX(Table1123456[[#This Row],[b (mm)]],Y60))*(MIN(Table1123456[[#This Row],[b (mm)]],Y60)^4/(12*MAX(Table1123456[[#This Row],[b (mm)]],Y60)^4)))*MAX(Table1123456[[#This Row],[b (mm)]],Y60)*MIN(Table1123456[[#This Row],[b (mm)]],Y60)^3</f>
        <v>33068302099.026169</v>
      </c>
      <c r="AF60" s="111">
        <f>Table1123456[[#This Row],[b (mm)]]*Y60^3/12</f>
        <v>18730414152</v>
      </c>
      <c r="AG60" s="160">
        <v>4064</v>
      </c>
      <c r="AH60" s="138"/>
      <c r="AI60" s="126"/>
    </row>
    <row r="61" spans="1:41" x14ac:dyDescent="0.3">
      <c r="A61" s="158" t="s">
        <v>101</v>
      </c>
      <c r="B61" s="147">
        <v>10</v>
      </c>
      <c r="C61" s="111">
        <v>72</v>
      </c>
      <c r="D61" s="111">
        <f>Table1123456[[#This Row],[a (mm)]]/Table1123456[[#This Row],[d (mm)]]</f>
        <v>2.97</v>
      </c>
      <c r="E61" s="111">
        <v>200.16000000000003</v>
      </c>
      <c r="F61" s="137">
        <f>Table1123456[[#This Row],[d (mm)]]</f>
        <v>684</v>
      </c>
      <c r="G61" s="135">
        <f t="shared" si="7"/>
        <v>406621.03680000012</v>
      </c>
      <c r="H61" s="135">
        <f t="shared" si="4"/>
        <v>8.2428952548816764E-7</v>
      </c>
      <c r="I61" s="135">
        <f>G61/(Table1123456[[#This Row],[b (mm)]]*X61^2)</f>
        <v>1.7108578532946544E-3</v>
      </c>
      <c r="J61" s="135">
        <f t="shared" si="5"/>
        <v>0.2507382006832849</v>
      </c>
      <c r="K61" s="135">
        <f t="shared" si="6"/>
        <v>1.9276835786441406E-7</v>
      </c>
      <c r="L61" s="135">
        <f>E61/(Table1123456[[#This Row],[b (mm)]]*X61)</f>
        <v>5.7604641525072528E-4</v>
      </c>
      <c r="M61" s="135">
        <f>Table1123456[[#This Row],[M (KN.mm)]]/(Table1123456[[#This Row],[b (mm)]]*Table1123456[[#This Row],[d (mm)]])</f>
        <v>1.1702267716535437</v>
      </c>
      <c r="N61" s="135">
        <f>Table1123456[[#This Row],[M (KN.mm)]]/(Table1123456[[#This Row],[b (mm)]]*Table1123456[[#This Row],[h (mm)]])</f>
        <v>1.0504397792795588</v>
      </c>
      <c r="O61" s="145">
        <f>Table1123456[[#This Row],[M (KN.mm)]]/(Table1123456[[#This Row],[b (mm)]]*Table1123456[[#This Row],[h (mm)]]*Table1123456[[#This Row],[L(mm)]])</f>
        <v>2.5847435513768675E-4</v>
      </c>
      <c r="P61" s="145">
        <f>Table1123456[[#This Row],[M (KN.mm)]]/(Table1123456[[#This Row],[b (mm)]]*Table1123456[[#This Row],[d (mm)]]*Table1123456[[#This Row],[L(mm)]])</f>
        <v>2.8794950089900187E-4</v>
      </c>
      <c r="Q61" s="145">
        <f>Table1123456[[#This Row],[M (KN.mm)]]/(Table1123456[[#This Row],[b (mm)]]*Table1123456[[#This Row],[h (mm)]]*Table1123456[[#This Row],[L(mm)]]*Table1123456[[#This Row],[fc (Mpa)]])</f>
        <v>3.7955118228735203E-6</v>
      </c>
      <c r="R61" s="145">
        <f>Table1123456[[#This Row],[M (KN.mm)]]/(Table1123456[[#This Row],[b (mm)]]*Table1123456[[#This Row],[h (mm)]]*Table1123456[[#This Row],[L(mm)]]/2)</f>
        <v>5.1694871027537349E-4</v>
      </c>
      <c r="S61" s="145">
        <f>Table1123456[[#This Row],[M (KN.mm)]]/(Table1123456[[#This Row],[a (mm)]]*Table1123456[[#This Row],[b (mm)]]*Table1123456[[#This Row],[h (mm)]]*Table1123456[[#This Row],[L(mm)]]/2)</f>
        <v>2.5446901287503368E-7</v>
      </c>
      <c r="T61" s="145">
        <f>Table1123456[[#This Row],[M (KN.mm)]]/(Table1123456[[#This Row],[a (mm)]]^2*Table1123456[[#This Row],[b (mm)]]*Table1123456[[#This Row],[h (mm)]])</f>
        <v>2.5453414956685192E-7</v>
      </c>
      <c r="U61" s="145">
        <f>Table1123456[[#This Row],[M (KN.mm)]]/(Table1123456[[#This Row],[b (mm)]]*Table1123456[[#This Row],[d (mm)]]*Table1123456[[#This Row],[pho (%)]])</f>
        <v>0.90017443973349509</v>
      </c>
      <c r="V61" s="145">
        <f>E61/(Table1123456[[#This Row],[b (mm)]]*Y61*Table1123456[[#This Row],[fc (Mpa)]]*Table1123456[[#This Row],[a (mm)]])</f>
        <v>3.7376527102327745E-9</v>
      </c>
      <c r="W61" s="111">
        <f>2.97*Table1123456[[#This Row],[d (mm)]]</f>
        <v>2031.4800000000002</v>
      </c>
      <c r="X61" s="160">
        <v>684</v>
      </c>
      <c r="Y61" s="160">
        <v>762</v>
      </c>
      <c r="Z61" s="160">
        <v>508</v>
      </c>
      <c r="AA61" s="160">
        <v>68.099999999999994</v>
      </c>
      <c r="AB61" s="160">
        <v>4516</v>
      </c>
      <c r="AC61" s="160">
        <v>1.3</v>
      </c>
      <c r="AD61" s="160">
        <v>525</v>
      </c>
      <c r="AE61" s="111">
        <f>(1/3-0.21*(MIN(Table1123456[[#This Row],[b (mm)]],Y61)/MAX(Table1123456[[#This Row],[b (mm)]],Y61))*(MIN(Table1123456[[#This Row],[b (mm)]],Y61)^4/(12*MAX(Table1123456[[#This Row],[b (mm)]],Y61)^4)))*MAX(Table1123456[[#This Row],[b (mm)]],Y61)*MIN(Table1123456[[#This Row],[b (mm)]],Y61)^3</f>
        <v>33068302099.026169</v>
      </c>
      <c r="AF61" s="111">
        <f>Table1123456[[#This Row],[b (mm)]]*Y61^3/12</f>
        <v>18730414152</v>
      </c>
      <c r="AG61" s="160">
        <v>4064</v>
      </c>
      <c r="AH61" s="138"/>
      <c r="AI61" s="126"/>
    </row>
    <row r="62" spans="1:41" x14ac:dyDescent="0.3">
      <c r="A62" s="158" t="s">
        <v>101</v>
      </c>
      <c r="B62" s="147">
        <v>11</v>
      </c>
      <c r="C62" s="111">
        <v>73</v>
      </c>
      <c r="D62" s="111">
        <f>Table1123456[[#This Row],[a (mm)]]/Table1123456[[#This Row],[d (mm)]]</f>
        <v>2.97</v>
      </c>
      <c r="E62" s="111">
        <v>211.28000000000003</v>
      </c>
      <c r="F62" s="137">
        <f>Table1123456[[#This Row],[d (mm)]]</f>
        <v>684</v>
      </c>
      <c r="G62" s="135">
        <f t="shared" si="7"/>
        <v>429211.09440000012</v>
      </c>
      <c r="H62" s="135">
        <f t="shared" si="4"/>
        <v>8.7008338801528802E-7</v>
      </c>
      <c r="I62" s="135">
        <f>G62/(Table1123456[[#This Row],[b (mm)]]*X62^2)</f>
        <v>1.8059055118110241E-3</v>
      </c>
      <c r="J62" s="135">
        <f t="shared" si="5"/>
        <v>0.26466810072124514</v>
      </c>
      <c r="K62" s="135">
        <f t="shared" si="6"/>
        <v>2.0347771107910375E-7</v>
      </c>
      <c r="L62" s="135">
        <f>E62/(Table1123456[[#This Row],[b (mm)]]*X62)</f>
        <v>6.0804899387576557E-4</v>
      </c>
      <c r="M62" s="135">
        <f>Table1123456[[#This Row],[M (KN.mm)]]/(Table1123456[[#This Row],[b (mm)]]*Table1123456[[#This Row],[d (mm)]])</f>
        <v>1.2352393700787405</v>
      </c>
      <c r="N62" s="135">
        <f>Table1123456[[#This Row],[M (KN.mm)]]/(Table1123456[[#This Row],[b (mm)]]*Table1123456[[#This Row],[h (mm)]])</f>
        <v>1.10879754479509</v>
      </c>
      <c r="O62" s="145">
        <f>Table1123456[[#This Row],[M (KN.mm)]]/(Table1123456[[#This Row],[b (mm)]]*Table1123456[[#This Row],[h (mm)]]*Table1123456[[#This Row],[L(mm)]])</f>
        <v>2.7283404153422485E-4</v>
      </c>
      <c r="P62" s="145">
        <f>Table1123456[[#This Row],[M (KN.mm)]]/(Table1123456[[#This Row],[b (mm)]]*Table1123456[[#This Row],[d (mm)]]*Table1123456[[#This Row],[L(mm)]])</f>
        <v>3.0394669539339085E-4</v>
      </c>
      <c r="Q62" s="145">
        <f>Table1123456[[#This Row],[M (KN.mm)]]/(Table1123456[[#This Row],[b (mm)]]*Table1123456[[#This Row],[h (mm)]]*Table1123456[[#This Row],[L(mm)]]*Table1123456[[#This Row],[fc (Mpa)]])</f>
        <v>4.0063735908109379E-6</v>
      </c>
      <c r="R62" s="145">
        <f>Table1123456[[#This Row],[M (KN.mm)]]/(Table1123456[[#This Row],[b (mm)]]*Table1123456[[#This Row],[h (mm)]]*Table1123456[[#This Row],[L(mm)]]/2)</f>
        <v>5.4566808306844971E-4</v>
      </c>
      <c r="S62" s="145">
        <f>Table1123456[[#This Row],[M (KN.mm)]]/(Table1123456[[#This Row],[a (mm)]]*Table1123456[[#This Row],[b (mm)]]*Table1123456[[#This Row],[h (mm)]]*Table1123456[[#This Row],[L(mm)]]/2)</f>
        <v>2.6860618025697998E-7</v>
      </c>
      <c r="T62" s="145">
        <f>Table1123456[[#This Row],[M (KN.mm)]]/(Table1123456[[#This Row],[a (mm)]]^2*Table1123456[[#This Row],[b (mm)]]*Table1123456[[#This Row],[h (mm)]])</f>
        <v>2.6867493565389926E-7</v>
      </c>
      <c r="U62" s="145">
        <f>Table1123456[[#This Row],[M (KN.mm)]]/(Table1123456[[#This Row],[b (mm)]]*Table1123456[[#This Row],[d (mm)]]*Table1123456[[#This Row],[pho (%)]])</f>
        <v>0.95018413082980036</v>
      </c>
      <c r="V62" s="145">
        <f>E62/(Table1123456[[#This Row],[b (mm)]]*Y62*Table1123456[[#This Row],[fc (Mpa)]]*Table1123456[[#This Row],[a (mm)]])</f>
        <v>3.9453000830234841E-9</v>
      </c>
      <c r="W62" s="111">
        <f>2.97*Table1123456[[#This Row],[d (mm)]]</f>
        <v>2031.4800000000002</v>
      </c>
      <c r="X62" s="160">
        <v>684</v>
      </c>
      <c r="Y62" s="160">
        <v>762</v>
      </c>
      <c r="Z62" s="160">
        <v>508</v>
      </c>
      <c r="AA62" s="160">
        <v>68.099999999999994</v>
      </c>
      <c r="AB62" s="160">
        <v>4516</v>
      </c>
      <c r="AC62" s="160">
        <v>1.3</v>
      </c>
      <c r="AD62" s="160">
        <v>525</v>
      </c>
      <c r="AE62" s="111">
        <f>(1/3-0.21*(MIN(Table1123456[[#This Row],[b (mm)]],Y62)/MAX(Table1123456[[#This Row],[b (mm)]],Y62))*(MIN(Table1123456[[#This Row],[b (mm)]],Y62)^4/(12*MAX(Table1123456[[#This Row],[b (mm)]],Y62)^4)))*MAX(Table1123456[[#This Row],[b (mm)]],Y62)*MIN(Table1123456[[#This Row],[b (mm)]],Y62)^3</f>
        <v>33068302099.026169</v>
      </c>
      <c r="AF62" s="111">
        <f>Table1123456[[#This Row],[b (mm)]]*Y62^3/12</f>
        <v>18730414152</v>
      </c>
      <c r="AG62" s="160">
        <v>4064</v>
      </c>
      <c r="AH62" s="138"/>
      <c r="AI62" s="126"/>
    </row>
    <row r="63" spans="1:41" x14ac:dyDescent="0.3">
      <c r="A63" s="158" t="s">
        <v>101</v>
      </c>
      <c r="B63" s="147">
        <v>12</v>
      </c>
      <c r="C63" s="111">
        <v>74</v>
      </c>
      <c r="D63" s="111">
        <f>Table1123456[[#This Row],[a (mm)]]/Table1123456[[#This Row],[d (mm)]]</f>
        <v>2.97</v>
      </c>
      <c r="E63" s="111">
        <v>222.40000000000003</v>
      </c>
      <c r="F63" s="137">
        <f>Table1123456[[#This Row],[d (mm)]]</f>
        <v>684</v>
      </c>
      <c r="G63" s="135">
        <f t="shared" si="7"/>
        <v>451801.15200000012</v>
      </c>
      <c r="H63" s="135">
        <f t="shared" si="4"/>
        <v>9.158772505424084E-7</v>
      </c>
      <c r="I63" s="135">
        <f>G63/(Table1123456[[#This Row],[b (mm)]]*X63^2)</f>
        <v>1.9009531703273938E-3</v>
      </c>
      <c r="J63" s="135">
        <f t="shared" si="5"/>
        <v>0.27859800075920543</v>
      </c>
      <c r="K63" s="135">
        <f t="shared" si="6"/>
        <v>2.1418706429379341E-7</v>
      </c>
      <c r="L63" s="135">
        <f>E63/(Table1123456[[#This Row],[b (mm)]]*X63)</f>
        <v>6.4005157250080586E-4</v>
      </c>
      <c r="M63" s="135">
        <f>Table1123456[[#This Row],[M (KN.mm)]]/(Table1123456[[#This Row],[b (mm)]]*Table1123456[[#This Row],[d (mm)]])</f>
        <v>1.3002519685039373</v>
      </c>
      <c r="N63" s="135">
        <f>Table1123456[[#This Row],[M (KN.mm)]]/(Table1123456[[#This Row],[b (mm)]]*Table1123456[[#This Row],[h (mm)]])</f>
        <v>1.1671553103106209</v>
      </c>
      <c r="O63" s="145">
        <f>Table1123456[[#This Row],[M (KN.mm)]]/(Table1123456[[#This Row],[b (mm)]]*Table1123456[[#This Row],[h (mm)]]*Table1123456[[#This Row],[L(mm)]])</f>
        <v>2.8719372793076302E-4</v>
      </c>
      <c r="P63" s="145">
        <f>Table1123456[[#This Row],[M (KN.mm)]]/(Table1123456[[#This Row],[b (mm)]]*Table1123456[[#This Row],[d (mm)]]*Table1123456[[#This Row],[L(mm)]])</f>
        <v>3.1994388988777983E-4</v>
      </c>
      <c r="Q63" s="145">
        <f>Table1123456[[#This Row],[M (KN.mm)]]/(Table1123456[[#This Row],[b (mm)]]*Table1123456[[#This Row],[h (mm)]]*Table1123456[[#This Row],[L(mm)]]*Table1123456[[#This Row],[fc (Mpa)]])</f>
        <v>4.2172353587483559E-6</v>
      </c>
      <c r="R63" s="145">
        <f>Table1123456[[#This Row],[M (KN.mm)]]/(Table1123456[[#This Row],[b (mm)]]*Table1123456[[#This Row],[h (mm)]]*Table1123456[[#This Row],[L(mm)]]/2)</f>
        <v>5.7438745586152603E-4</v>
      </c>
      <c r="S63" s="145">
        <f>Table1123456[[#This Row],[M (KN.mm)]]/(Table1123456[[#This Row],[a (mm)]]*Table1123456[[#This Row],[b (mm)]]*Table1123456[[#This Row],[h (mm)]]*Table1123456[[#This Row],[L(mm)]]/2)</f>
        <v>2.8274334763892629E-7</v>
      </c>
      <c r="T63" s="145">
        <f>Table1123456[[#This Row],[M (KN.mm)]]/(Table1123456[[#This Row],[a (mm)]]^2*Table1123456[[#This Row],[b (mm)]]*Table1123456[[#This Row],[h (mm)]])</f>
        <v>2.828157217409466E-7</v>
      </c>
      <c r="U63" s="145">
        <f>Table1123456[[#This Row],[M (KN.mm)]]/(Table1123456[[#This Row],[b (mm)]]*Table1123456[[#This Row],[d (mm)]]*Table1123456[[#This Row],[pho (%)]])</f>
        <v>1.0001938219261055</v>
      </c>
      <c r="V63" s="145">
        <f>E63/(Table1123456[[#This Row],[b (mm)]]*Y63*Table1123456[[#This Row],[fc (Mpa)]]*Table1123456[[#This Row],[a (mm)]])</f>
        <v>4.1529474558141936E-9</v>
      </c>
      <c r="W63" s="111">
        <f>2.97*Table1123456[[#This Row],[d (mm)]]</f>
        <v>2031.4800000000002</v>
      </c>
      <c r="X63" s="160">
        <v>684</v>
      </c>
      <c r="Y63" s="160">
        <v>762</v>
      </c>
      <c r="Z63" s="160">
        <v>508</v>
      </c>
      <c r="AA63" s="160">
        <v>68.099999999999994</v>
      </c>
      <c r="AB63" s="160">
        <v>4516</v>
      </c>
      <c r="AC63" s="160">
        <v>1.3</v>
      </c>
      <c r="AD63" s="160">
        <v>525</v>
      </c>
      <c r="AE63" s="111">
        <f>(1/3-0.21*(MIN(Table1123456[[#This Row],[b (mm)]],Y63)/MAX(Table1123456[[#This Row],[b (mm)]],Y63))*(MIN(Table1123456[[#This Row],[b (mm)]],Y63)^4/(12*MAX(Table1123456[[#This Row],[b (mm)]],Y63)^4)))*MAX(Table1123456[[#This Row],[b (mm)]],Y63)*MIN(Table1123456[[#This Row],[b (mm)]],Y63)^3</f>
        <v>33068302099.026169</v>
      </c>
      <c r="AF63" s="111">
        <f>Table1123456[[#This Row],[b (mm)]]*Y63^3/12</f>
        <v>18730414152</v>
      </c>
      <c r="AG63" s="160">
        <v>4064</v>
      </c>
      <c r="AH63" s="138"/>
      <c r="AI63" s="126"/>
    </row>
    <row r="64" spans="1:41" x14ac:dyDescent="0.3">
      <c r="A64" s="159" t="s">
        <v>102</v>
      </c>
      <c r="B64" s="150">
        <v>1</v>
      </c>
      <c r="C64" s="111">
        <v>77</v>
      </c>
      <c r="D64" s="111">
        <f>Table1123456[[#This Row],[a (mm)]]/Table1123456[[#This Row],[d (mm)]]</f>
        <v>3</v>
      </c>
      <c r="E64" s="111">
        <v>175.69600000000003</v>
      </c>
      <c r="F64" s="137">
        <f>Table1123456[[#This Row],[d (mm)]]</f>
        <v>822</v>
      </c>
      <c r="G64" s="135">
        <f>E64*W64</f>
        <v>433266.33600000007</v>
      </c>
      <c r="H64" s="135">
        <f>G64/($AJ$5*AF64*0.001)</f>
        <v>4.2176879883548527E-7</v>
      </c>
      <c r="I64" s="135">
        <f>G64/(Table1123456[[#This Row],[b (mm)]]*X64^2)</f>
        <v>1.0460461294816686E-3</v>
      </c>
      <c r="J64" s="135">
        <f>G64/(AB64*AD64*X64*0.001)</f>
        <v>0.15316203552359162</v>
      </c>
      <c r="K64" s="135">
        <f>E64/($AJ$4*AE64*0.001)</f>
        <v>8.0302838598874895E-8</v>
      </c>
      <c r="L64" s="135">
        <f>E64/(Table1123456[[#This Row],[b (mm)]]*X64)</f>
        <v>3.4868204316055619E-4</v>
      </c>
      <c r="M64" s="135">
        <f>Table1123456[[#This Row],[M (KN.mm)]]/(Table1123456[[#This Row],[b (mm)]]*Table1123456[[#This Row],[d (mm)]])</f>
        <v>0.85984991843393166</v>
      </c>
      <c r="N64" s="135">
        <f>Table1123456[[#This Row],[M (KN.mm)]]/(Table1123456[[#This Row],[b (mm)]]*Table1123456[[#This Row],[h (mm)]])</f>
        <v>0.77330047369003474</v>
      </c>
      <c r="O64" s="145">
        <f>Table1123456[[#This Row],[M (KN.mm)]]/(Table1123456[[#This Row],[b (mm)]]*Table1123456[[#This Row],[h (mm)]]*Table1123456[[#This Row],[L(mm)]])</f>
        <v>1.56919738979309E-4</v>
      </c>
      <c r="P64" s="145">
        <f>Table1123456[[#This Row],[M (KN.mm)]]/(Table1123456[[#This Row],[b (mm)]]*Table1123456[[#This Row],[d (mm)]]*Table1123456[[#This Row],[L(mm)]])</f>
        <v>1.7448253214974262E-4</v>
      </c>
      <c r="Q64" s="145">
        <f>Table1123456[[#This Row],[M (KN.mm)]]/(Table1123456[[#This Row],[b (mm)]]*Table1123456[[#This Row],[h (mm)]]*Table1123456[[#This Row],[L(mm)]]*Table1123456[[#This Row],[fc (Mpa)]])</f>
        <v>2.1525341423773524E-6</v>
      </c>
      <c r="R64" s="145">
        <f>Table1123456[[#This Row],[M (KN.mm)]]/(Table1123456[[#This Row],[b (mm)]]*Table1123456[[#This Row],[h (mm)]]*Table1123456[[#This Row],[L(mm)]]/2)</f>
        <v>3.13839477958618E-4</v>
      </c>
      <c r="S64" s="145">
        <f>Table1123456[[#This Row],[M (KN.mm)]]/(Table1123456[[#This Row],[a (mm)]]*Table1123456[[#This Row],[b (mm)]]*Table1123456[[#This Row],[h (mm)]]*Table1123456[[#This Row],[L(mm)]]/2)</f>
        <v>1.2726661717705515E-7</v>
      </c>
      <c r="T64" s="145">
        <f>Table1123456[[#This Row],[M (KN.mm)]]/(Table1123456[[#This Row],[a (mm)]]^2*Table1123456[[#This Row],[b (mm)]]*Table1123456[[#This Row],[h (mm)]])</f>
        <v>1.2716340013149388E-7</v>
      </c>
      <c r="U64" s="145">
        <f>Table1123456[[#This Row],[M (KN.mm)]]/(Table1123456[[#This Row],[b (mm)]]*Table1123456[[#This Row],[d (mm)]]*Table1123456[[#This Row],[pho (%)]])</f>
        <v>0.66142301417994731</v>
      </c>
      <c r="V64" s="145">
        <f>E64/(Table1123456[[#This Row],[b (mm)]]*Y64*Table1123456[[#This Row],[fc (Mpa)]]*Table1123456[[#This Row],[a (mm)]])</f>
        <v>1.7443539112687771E-9</v>
      </c>
      <c r="W64" s="111">
        <f>3*Table1123456[[#This Row],[d (mm)]]</f>
        <v>2466</v>
      </c>
      <c r="X64" s="160">
        <v>822</v>
      </c>
      <c r="Y64" s="160">
        <v>914</v>
      </c>
      <c r="Z64" s="160">
        <v>613</v>
      </c>
      <c r="AA64" s="160">
        <v>72.900000000000006</v>
      </c>
      <c r="AB64" s="160">
        <v>6555</v>
      </c>
      <c r="AC64" s="160">
        <v>1.3</v>
      </c>
      <c r="AD64" s="160">
        <v>525</v>
      </c>
      <c r="AE64" s="111">
        <f>(1/3-0.21*(MIN(Table1123456[[#This Row],[b (mm)]],Y64)/MAX(Table1123456[[#This Row],[b (mm)]],Y64))*(MIN(Table1123456[[#This Row],[b (mm)]],Y64)^4/(12*MAX(Table1123456[[#This Row],[b (mm)]],Y64)^4)))*MAX(Table1123456[[#This Row],[b (mm)]],Y64)*MIN(Table1123456[[#This Row],[b (mm)]],Y64)^3</f>
        <v>69678906877.611313</v>
      </c>
      <c r="AF64" s="111">
        <f>Table1123456[[#This Row],[b (mm)]]*Y64^3/12</f>
        <v>39004778472.666664</v>
      </c>
      <c r="AG64" s="160">
        <v>4928</v>
      </c>
      <c r="AH64" s="148"/>
      <c r="AI64" s="149"/>
      <c r="AJ64" s="139"/>
      <c r="AK64" s="139"/>
    </row>
    <row r="65" spans="1:42" x14ac:dyDescent="0.3">
      <c r="A65" s="159" t="s">
        <v>102</v>
      </c>
      <c r="B65" s="150">
        <v>2</v>
      </c>
      <c r="C65" s="111">
        <v>78</v>
      </c>
      <c r="D65" s="111">
        <f>Table1123456[[#This Row],[a (mm)]]/Table1123456[[#This Row],[d (mm)]]</f>
        <v>3</v>
      </c>
      <c r="E65" s="111">
        <v>189.04000000000002</v>
      </c>
      <c r="F65" s="137">
        <f>Table1123456[[#This Row],[d (mm)]]</f>
        <v>822</v>
      </c>
      <c r="G65" s="135">
        <f t="shared" ref="G65:G73" si="8">E65*W65</f>
        <v>466172.64000000007</v>
      </c>
      <c r="H65" s="135">
        <f t="shared" ref="H65:H73" si="9">G65/($AJ$5*AF65*0.001)</f>
        <v>4.5380187216476259E-7</v>
      </c>
      <c r="I65" s="135">
        <f>G65/(Table1123456[[#This Row],[b (mm)]]*X65^2)</f>
        <v>1.125492670961289E-3</v>
      </c>
      <c r="J65" s="135">
        <f t="shared" ref="J65:J73" si="10">G65/(AB65*AD65*X65*0.001)</f>
        <v>0.16479459518361123</v>
      </c>
      <c r="K65" s="135">
        <f t="shared" ref="K65:K73" si="11">E65/($AJ$4*AE65*0.001)</f>
        <v>8.6401788365878046E-8</v>
      </c>
      <c r="L65" s="135">
        <f>E65/(Table1123456[[#This Row],[b (mm)]]*X65)</f>
        <v>3.7516422365376298E-4</v>
      </c>
      <c r="M65" s="135">
        <f>Table1123456[[#This Row],[M (KN.mm)]]/(Table1123456[[#This Row],[b (mm)]]*Table1123456[[#This Row],[d (mm)]])</f>
        <v>0.92515497553017956</v>
      </c>
      <c r="N65" s="135">
        <f>Table1123456[[#This Row],[M (KN.mm)]]/(Table1123456[[#This Row],[b (mm)]]*Table1123456[[#This Row],[h (mm)]])</f>
        <v>0.8320321552361134</v>
      </c>
      <c r="O65" s="145">
        <f>Table1123456[[#This Row],[M (KN.mm)]]/(Table1123456[[#This Row],[b (mm)]]*Table1123456[[#This Row],[h (mm)]]*Table1123456[[#This Row],[L(mm)]])</f>
        <v>1.6883769383849704E-4</v>
      </c>
      <c r="P65" s="145">
        <f>Table1123456[[#This Row],[M (KN.mm)]]/(Table1123456[[#This Row],[b (mm)]]*Table1123456[[#This Row],[d (mm)]]*Table1123456[[#This Row],[L(mm)]])</f>
        <v>1.8773437003453321E-4</v>
      </c>
      <c r="Q65" s="145">
        <f>Table1123456[[#This Row],[M (KN.mm)]]/(Table1123456[[#This Row],[b (mm)]]*Table1123456[[#This Row],[h (mm)]]*Table1123456[[#This Row],[L(mm)]]*Table1123456[[#This Row],[fc (Mpa)]])</f>
        <v>2.3160177481275309E-6</v>
      </c>
      <c r="R65" s="145">
        <f>Table1123456[[#This Row],[M (KN.mm)]]/(Table1123456[[#This Row],[b (mm)]]*Table1123456[[#This Row],[h (mm)]]*Table1123456[[#This Row],[L(mm)]]/2)</f>
        <v>3.3767538767699409E-4</v>
      </c>
      <c r="S65" s="145">
        <f>Table1123456[[#This Row],[M (KN.mm)]]/(Table1123456[[#This Row],[a (mm)]]*Table1123456[[#This Row],[b (mm)]]*Table1123456[[#This Row],[h (mm)]]*Table1123456[[#This Row],[L(mm)]]/2)</f>
        <v>1.3693243620316061E-7</v>
      </c>
      <c r="T65" s="145">
        <f>Table1123456[[#This Row],[M (KN.mm)]]/(Table1123456[[#This Row],[a (mm)]]^2*Table1123456[[#This Row],[b (mm)]]*Table1123456[[#This Row],[h (mm)]])</f>
        <v>1.368213798883162E-7</v>
      </c>
      <c r="U65" s="145">
        <f>Table1123456[[#This Row],[M (KN.mm)]]/(Table1123456[[#This Row],[b (mm)]]*Table1123456[[#This Row],[d (mm)]]*Table1123456[[#This Row],[pho (%)]])</f>
        <v>0.71165767348475351</v>
      </c>
      <c r="V65" s="145">
        <f>E65/(Table1123456[[#This Row],[b (mm)]]*Y65*Table1123456[[#This Row],[fc (Mpa)]]*Table1123456[[#This Row],[a (mm)]])</f>
        <v>1.8768364868081778E-9</v>
      </c>
      <c r="W65" s="111">
        <f>3*Table1123456[[#This Row],[d (mm)]]</f>
        <v>2466</v>
      </c>
      <c r="X65" s="160">
        <v>822</v>
      </c>
      <c r="Y65" s="160">
        <v>914</v>
      </c>
      <c r="Z65" s="160">
        <v>613</v>
      </c>
      <c r="AA65" s="160">
        <v>72.900000000000006</v>
      </c>
      <c r="AB65" s="160">
        <v>6555</v>
      </c>
      <c r="AC65" s="160">
        <v>1.3</v>
      </c>
      <c r="AD65" s="160">
        <v>525</v>
      </c>
      <c r="AE65" s="111">
        <f>(1/3-0.21*(MIN(Table1123456[[#This Row],[b (mm)]],Y65)/MAX(Table1123456[[#This Row],[b (mm)]],Y65))*(MIN(Table1123456[[#This Row],[b (mm)]],Y65)^4/(12*MAX(Table1123456[[#This Row],[b (mm)]],Y65)^4)))*MAX(Table1123456[[#This Row],[b (mm)]],Y65)*MIN(Table1123456[[#This Row],[b (mm)]],Y65)^3</f>
        <v>69678906877.611313</v>
      </c>
      <c r="AF65" s="111">
        <f>Table1123456[[#This Row],[b (mm)]]*Y65^3/12</f>
        <v>39004778472.666664</v>
      </c>
      <c r="AG65" s="160">
        <v>4928</v>
      </c>
      <c r="AH65" s="138"/>
      <c r="AI65" s="126"/>
    </row>
    <row r="66" spans="1:42" x14ac:dyDescent="0.3">
      <c r="A66" s="159" t="s">
        <v>102</v>
      </c>
      <c r="B66" s="150">
        <v>3</v>
      </c>
      <c r="C66" s="111">
        <v>79</v>
      </c>
      <c r="D66" s="111">
        <f>Table1123456[[#This Row],[a (mm)]]/Table1123456[[#This Row],[d (mm)]]</f>
        <v>3</v>
      </c>
      <c r="E66" s="111">
        <v>200.16000000000003</v>
      </c>
      <c r="F66" s="137">
        <f>Table1123456[[#This Row],[d (mm)]]</f>
        <v>822</v>
      </c>
      <c r="G66" s="135">
        <f t="shared" si="8"/>
        <v>493594.56000000006</v>
      </c>
      <c r="H66" s="135">
        <f t="shared" si="9"/>
        <v>4.8049609993916041E-7</v>
      </c>
      <c r="I66" s="135">
        <f>G66/(Table1123456[[#This Row],[b (mm)]]*X66^2)</f>
        <v>1.191698122194306E-3</v>
      </c>
      <c r="J66" s="135">
        <f t="shared" si="10"/>
        <v>0.17448839490029425</v>
      </c>
      <c r="K66" s="135">
        <f t="shared" si="11"/>
        <v>9.1484246505047345E-8</v>
      </c>
      <c r="L66" s="135">
        <f>E66/(Table1123456[[#This Row],[b (mm)]]*X66)</f>
        <v>3.9723270739810198E-4</v>
      </c>
      <c r="M66" s="135">
        <f>Table1123456[[#This Row],[M (KN.mm)]]/(Table1123456[[#This Row],[b (mm)]]*Table1123456[[#This Row],[d (mm)]])</f>
        <v>0.97957585644371947</v>
      </c>
      <c r="N66" s="135">
        <f>Table1123456[[#This Row],[M (KN.mm)]]/(Table1123456[[#This Row],[b (mm)]]*Table1123456[[#This Row],[h (mm)]])</f>
        <v>0.88097522319117882</v>
      </c>
      <c r="O66" s="145">
        <f>Table1123456[[#This Row],[M (KN.mm)]]/(Table1123456[[#This Row],[b (mm)]]*Table1123456[[#This Row],[h (mm)]]*Table1123456[[#This Row],[L(mm)]])</f>
        <v>1.7876932288782039E-4</v>
      </c>
      <c r="P66" s="145">
        <f>Table1123456[[#This Row],[M (KN.mm)]]/(Table1123456[[#This Row],[b (mm)]]*Table1123456[[#This Row],[d (mm)]]*Table1123456[[#This Row],[L(mm)]])</f>
        <v>1.9877756827185866E-4</v>
      </c>
      <c r="Q66" s="145">
        <f>Table1123456[[#This Row],[M (KN.mm)]]/(Table1123456[[#This Row],[b (mm)]]*Table1123456[[#This Row],[h (mm)]]*Table1123456[[#This Row],[L(mm)]]*Table1123456[[#This Row],[fc (Mpa)]])</f>
        <v>2.45225408625268E-6</v>
      </c>
      <c r="R66" s="145">
        <f>Table1123456[[#This Row],[M (KN.mm)]]/(Table1123456[[#This Row],[b (mm)]]*Table1123456[[#This Row],[h (mm)]]*Table1123456[[#This Row],[L(mm)]]/2)</f>
        <v>3.5753864577564077E-4</v>
      </c>
      <c r="S66" s="145">
        <f>Table1123456[[#This Row],[M (KN.mm)]]/(Table1123456[[#This Row],[a (mm)]]*Table1123456[[#This Row],[b (mm)]]*Table1123456[[#This Row],[h (mm)]]*Table1123456[[#This Row],[L(mm)]]/2)</f>
        <v>1.4498728539158182E-7</v>
      </c>
      <c r="T66" s="145">
        <f>Table1123456[[#This Row],[M (KN.mm)]]/(Table1123456[[#This Row],[a (mm)]]^2*Table1123456[[#This Row],[b (mm)]]*Table1123456[[#This Row],[h (mm)]])</f>
        <v>1.448696963523348E-7</v>
      </c>
      <c r="U66" s="145">
        <f>Table1123456[[#This Row],[M (KN.mm)]]/(Table1123456[[#This Row],[b (mm)]]*Table1123456[[#This Row],[d (mm)]]*Table1123456[[#This Row],[pho (%)]])</f>
        <v>0.75351988957209193</v>
      </c>
      <c r="V66" s="145">
        <f>E66/(Table1123456[[#This Row],[b (mm)]]*Y66*Table1123456[[#This Row],[fc (Mpa)]]*Table1123456[[#This Row],[a (mm)]])</f>
        <v>1.987238633091012E-9</v>
      </c>
      <c r="W66" s="111">
        <f>3*Table1123456[[#This Row],[d (mm)]]</f>
        <v>2466</v>
      </c>
      <c r="X66" s="160">
        <v>822</v>
      </c>
      <c r="Y66" s="160">
        <v>914</v>
      </c>
      <c r="Z66" s="160">
        <v>613</v>
      </c>
      <c r="AA66" s="160">
        <v>72.900000000000006</v>
      </c>
      <c r="AB66" s="160">
        <v>6555</v>
      </c>
      <c r="AC66" s="160">
        <v>1.3</v>
      </c>
      <c r="AD66" s="160">
        <v>525</v>
      </c>
      <c r="AE66" s="111">
        <f>(1/3-0.21*(MIN(Table1123456[[#This Row],[b (mm)]],Y66)/MAX(Table1123456[[#This Row],[b (mm)]],Y66))*(MIN(Table1123456[[#This Row],[b (mm)]],Y66)^4/(12*MAX(Table1123456[[#This Row],[b (mm)]],Y66)^4)))*MAX(Table1123456[[#This Row],[b (mm)]],Y66)*MIN(Table1123456[[#This Row],[b (mm)]],Y66)^3</f>
        <v>69678906877.611313</v>
      </c>
      <c r="AF66" s="111">
        <f>Table1123456[[#This Row],[b (mm)]]*Y66^3/12</f>
        <v>39004778472.666664</v>
      </c>
      <c r="AG66" s="160">
        <v>4928</v>
      </c>
      <c r="AH66" s="138"/>
      <c r="AI66" s="126"/>
    </row>
    <row r="67" spans="1:42" s="1" customFormat="1" x14ac:dyDescent="0.3">
      <c r="A67" s="159" t="s">
        <v>102</v>
      </c>
      <c r="B67" s="150">
        <v>4</v>
      </c>
      <c r="C67" s="111">
        <v>80</v>
      </c>
      <c r="D67" s="111">
        <f>Table1123456[[#This Row],[a (mm)]]/Table1123456[[#This Row],[d (mm)]]</f>
        <v>3</v>
      </c>
      <c r="E67" s="111">
        <v>211.28000000000003</v>
      </c>
      <c r="F67" s="137">
        <f>Table1123456[[#This Row],[d (mm)]]</f>
        <v>822</v>
      </c>
      <c r="G67" s="135">
        <f t="shared" si="8"/>
        <v>521016.4800000001</v>
      </c>
      <c r="H67" s="135">
        <f t="shared" si="9"/>
        <v>5.0719032771355818E-7</v>
      </c>
      <c r="I67" s="135">
        <f>G67/(Table1123456[[#This Row],[b (mm)]]*X67^2)</f>
        <v>1.2579035734273231E-3</v>
      </c>
      <c r="J67" s="135">
        <f t="shared" si="10"/>
        <v>0.18418219461697727</v>
      </c>
      <c r="K67" s="135">
        <f t="shared" si="11"/>
        <v>9.6566704644216644E-8</v>
      </c>
      <c r="L67" s="135">
        <f>E67/(Table1123456[[#This Row],[b (mm)]]*X67)</f>
        <v>4.1930119114244103E-4</v>
      </c>
      <c r="M67" s="135">
        <f>Table1123456[[#This Row],[M (KN.mm)]]/(Table1123456[[#This Row],[b (mm)]]*Table1123456[[#This Row],[d (mm)]])</f>
        <v>1.0339967373572596</v>
      </c>
      <c r="N67" s="135">
        <f>Table1123456[[#This Row],[M (KN.mm)]]/(Table1123456[[#This Row],[b (mm)]]*Table1123456[[#This Row],[h (mm)]])</f>
        <v>0.92991829114624436</v>
      </c>
      <c r="O67" s="145">
        <f>Table1123456[[#This Row],[M (KN.mm)]]/(Table1123456[[#This Row],[b (mm)]]*Table1123456[[#This Row],[h (mm)]]*Table1123456[[#This Row],[L(mm)]])</f>
        <v>1.8870095193714376E-4</v>
      </c>
      <c r="P67" s="145">
        <f>Table1123456[[#This Row],[M (KN.mm)]]/(Table1123456[[#This Row],[b (mm)]]*Table1123456[[#This Row],[d (mm)]]*Table1123456[[#This Row],[L(mm)]])</f>
        <v>2.0982076650918416E-4</v>
      </c>
      <c r="Q67" s="145">
        <f>Table1123456[[#This Row],[M (KN.mm)]]/(Table1123456[[#This Row],[b (mm)]]*Table1123456[[#This Row],[h (mm)]]*Table1123456[[#This Row],[L(mm)]]*Table1123456[[#This Row],[fc (Mpa)]])</f>
        <v>2.5884904243778291E-6</v>
      </c>
      <c r="R67" s="145">
        <f>Table1123456[[#This Row],[M (KN.mm)]]/(Table1123456[[#This Row],[b (mm)]]*Table1123456[[#This Row],[h (mm)]]*Table1123456[[#This Row],[L(mm)]]/2)</f>
        <v>3.7740190387428751E-4</v>
      </c>
      <c r="S67" s="145">
        <f>Table1123456[[#This Row],[M (KN.mm)]]/(Table1123456[[#This Row],[a (mm)]]*Table1123456[[#This Row],[b (mm)]]*Table1123456[[#This Row],[h (mm)]]*Table1123456[[#This Row],[L(mm)]]/2)</f>
        <v>1.5304213458000304E-7</v>
      </c>
      <c r="T67" s="145">
        <f>Table1123456[[#This Row],[M (KN.mm)]]/(Table1123456[[#This Row],[a (mm)]]^2*Table1123456[[#This Row],[b (mm)]]*Table1123456[[#This Row],[h (mm)]])</f>
        <v>1.529180128163534E-7</v>
      </c>
      <c r="U67" s="145">
        <f>Table1123456[[#This Row],[M (KN.mm)]]/(Table1123456[[#This Row],[b (mm)]]*Table1123456[[#This Row],[d (mm)]]*Table1123456[[#This Row],[pho (%)]])</f>
        <v>0.79538210565943035</v>
      </c>
      <c r="V67" s="145">
        <f>E67/(Table1123456[[#This Row],[b (mm)]]*Y67*Table1123456[[#This Row],[fc (Mpa)]]*Table1123456[[#This Row],[a (mm)]])</f>
        <v>2.0976407793738457E-9</v>
      </c>
      <c r="W67" s="111">
        <f>3*Table1123456[[#This Row],[d (mm)]]</f>
        <v>2466</v>
      </c>
      <c r="X67" s="160">
        <v>822</v>
      </c>
      <c r="Y67" s="160">
        <v>914</v>
      </c>
      <c r="Z67" s="160">
        <v>613</v>
      </c>
      <c r="AA67" s="160">
        <v>72.900000000000006</v>
      </c>
      <c r="AB67" s="160">
        <v>6555</v>
      </c>
      <c r="AC67" s="160">
        <v>1.3</v>
      </c>
      <c r="AD67" s="160">
        <v>525</v>
      </c>
      <c r="AE67" s="111">
        <f>(1/3-0.21*(MIN(Table1123456[[#This Row],[b (mm)]],Y67)/MAX(Table1123456[[#This Row],[b (mm)]],Y67))*(MIN(Table1123456[[#This Row],[b (mm)]],Y67)^4/(12*MAX(Table1123456[[#This Row],[b (mm)]],Y67)^4)))*MAX(Table1123456[[#This Row],[b (mm)]],Y67)*MIN(Table1123456[[#This Row],[b (mm)]],Y67)^3</f>
        <v>69678906877.611313</v>
      </c>
      <c r="AF67" s="111">
        <f>Table1123456[[#This Row],[b (mm)]]*Y67^3/12</f>
        <v>39004778472.666664</v>
      </c>
      <c r="AG67" s="160">
        <v>4928</v>
      </c>
      <c r="AH67" s="138"/>
      <c r="AI67" s="126"/>
      <c r="AL67" s="2"/>
      <c r="AM67" s="2"/>
      <c r="AN67"/>
      <c r="AO67"/>
      <c r="AP67" s="2"/>
    </row>
    <row r="68" spans="1:42" s="1" customFormat="1" x14ac:dyDescent="0.3">
      <c r="A68" s="159" t="s">
        <v>102</v>
      </c>
      <c r="B68" s="150">
        <v>5</v>
      </c>
      <c r="C68" s="111">
        <v>81</v>
      </c>
      <c r="D68" s="111">
        <f>Table1123456[[#This Row],[a (mm)]]/Table1123456[[#This Row],[d (mm)]]</f>
        <v>3</v>
      </c>
      <c r="E68" s="111">
        <v>222.40000000000003</v>
      </c>
      <c r="F68" s="137">
        <f>Table1123456[[#This Row],[d (mm)]]</f>
        <v>822</v>
      </c>
      <c r="G68" s="135">
        <f t="shared" si="8"/>
        <v>548438.40000000014</v>
      </c>
      <c r="H68" s="135">
        <f t="shared" si="9"/>
        <v>5.3388455548795606E-7</v>
      </c>
      <c r="I68" s="135">
        <f>G68/(Table1123456[[#This Row],[b (mm)]]*X68^2)</f>
        <v>1.3241090246603401E-3</v>
      </c>
      <c r="J68" s="135">
        <f t="shared" si="10"/>
        <v>0.19387599433366029</v>
      </c>
      <c r="K68" s="135">
        <f t="shared" si="11"/>
        <v>1.0164916278338594E-7</v>
      </c>
      <c r="L68" s="135">
        <f>E68/(Table1123456[[#This Row],[b (mm)]]*X68)</f>
        <v>4.4136967488678003E-4</v>
      </c>
      <c r="M68" s="135">
        <f>Table1123456[[#This Row],[M (KN.mm)]]/(Table1123456[[#This Row],[b (mm)]]*Table1123456[[#This Row],[d (mm)]])</f>
        <v>1.0884176182707996</v>
      </c>
      <c r="N68" s="135">
        <f>Table1123456[[#This Row],[M (KN.mm)]]/(Table1123456[[#This Row],[b (mm)]]*Table1123456[[#This Row],[h (mm)]])</f>
        <v>0.97886135910131</v>
      </c>
      <c r="O68" s="145">
        <f>Table1123456[[#This Row],[M (KN.mm)]]/(Table1123456[[#This Row],[b (mm)]]*Table1123456[[#This Row],[h (mm)]]*Table1123456[[#This Row],[L(mm)]])</f>
        <v>1.9863258098646712E-4</v>
      </c>
      <c r="P68" s="145">
        <f>Table1123456[[#This Row],[M (KN.mm)]]/(Table1123456[[#This Row],[b (mm)]]*Table1123456[[#This Row],[d (mm)]]*Table1123456[[#This Row],[L(mm)]])</f>
        <v>2.2086396474650967E-4</v>
      </c>
      <c r="Q68" s="145">
        <f>Table1123456[[#This Row],[M (KN.mm)]]/(Table1123456[[#This Row],[b (mm)]]*Table1123456[[#This Row],[h (mm)]]*Table1123456[[#This Row],[L(mm)]]*Table1123456[[#This Row],[fc (Mpa)]])</f>
        <v>2.7247267625029781E-6</v>
      </c>
      <c r="R68" s="145">
        <f>Table1123456[[#This Row],[M (KN.mm)]]/(Table1123456[[#This Row],[b (mm)]]*Table1123456[[#This Row],[h (mm)]]*Table1123456[[#This Row],[L(mm)]]/2)</f>
        <v>3.9726516197293425E-4</v>
      </c>
      <c r="S68" s="145">
        <f>Table1123456[[#This Row],[M (KN.mm)]]/(Table1123456[[#This Row],[a (mm)]]*Table1123456[[#This Row],[b (mm)]]*Table1123456[[#This Row],[h (mm)]]*Table1123456[[#This Row],[L(mm)]]/2)</f>
        <v>1.6109698376842426E-7</v>
      </c>
      <c r="T68" s="145">
        <f>Table1123456[[#This Row],[M (KN.mm)]]/(Table1123456[[#This Row],[a (mm)]]^2*Table1123456[[#This Row],[b (mm)]]*Table1123456[[#This Row],[h (mm)]])</f>
        <v>1.6096632928037202E-7</v>
      </c>
      <c r="U68" s="145">
        <f>Table1123456[[#This Row],[M (KN.mm)]]/(Table1123456[[#This Row],[b (mm)]]*Table1123456[[#This Row],[d (mm)]]*Table1123456[[#This Row],[pho (%)]])</f>
        <v>0.83724432174676888</v>
      </c>
      <c r="V68" s="145">
        <f>E68/(Table1123456[[#This Row],[b (mm)]]*Y68*Table1123456[[#This Row],[fc (Mpa)]]*Table1123456[[#This Row],[a (mm)]])</f>
        <v>2.2080429256566799E-9</v>
      </c>
      <c r="W68" s="111">
        <f>3*Table1123456[[#This Row],[d (mm)]]</f>
        <v>2466</v>
      </c>
      <c r="X68" s="160">
        <v>822</v>
      </c>
      <c r="Y68" s="160">
        <v>914</v>
      </c>
      <c r="Z68" s="160">
        <v>613</v>
      </c>
      <c r="AA68" s="160">
        <v>72.900000000000006</v>
      </c>
      <c r="AB68" s="160">
        <v>6555</v>
      </c>
      <c r="AC68" s="160">
        <v>1.3</v>
      </c>
      <c r="AD68" s="160">
        <v>525</v>
      </c>
      <c r="AE68" s="111">
        <f>(1/3-0.21*(MIN(Table1123456[[#This Row],[b (mm)]],Y68)/MAX(Table1123456[[#This Row],[b (mm)]],Y68))*(MIN(Table1123456[[#This Row],[b (mm)]],Y68)^4/(12*MAX(Table1123456[[#This Row],[b (mm)]],Y68)^4)))*MAX(Table1123456[[#This Row],[b (mm)]],Y68)*MIN(Table1123456[[#This Row],[b (mm)]],Y68)^3</f>
        <v>69678906877.611313</v>
      </c>
      <c r="AF68" s="111">
        <f>Table1123456[[#This Row],[b (mm)]]*Y68^3/12</f>
        <v>39004778472.666664</v>
      </c>
      <c r="AG68" s="160">
        <v>4928</v>
      </c>
      <c r="AH68" s="138"/>
      <c r="AI68" s="126"/>
      <c r="AL68" s="2"/>
      <c r="AM68" s="2"/>
      <c r="AN68"/>
      <c r="AO68"/>
      <c r="AP68" s="2"/>
    </row>
    <row r="69" spans="1:42" s="1" customFormat="1" x14ac:dyDescent="0.3">
      <c r="A69" s="159" t="s">
        <v>102</v>
      </c>
      <c r="B69" s="150">
        <v>6</v>
      </c>
      <c r="C69" s="111">
        <v>82</v>
      </c>
      <c r="D69" s="111">
        <f>Table1123456[[#This Row],[a (mm)]]/Table1123456[[#This Row],[d (mm)]]</f>
        <v>3</v>
      </c>
      <c r="E69" s="111">
        <v>233.52</v>
      </c>
      <c r="F69" s="137">
        <f>Table1123456[[#This Row],[d (mm)]]</f>
        <v>822</v>
      </c>
      <c r="G69" s="135">
        <f t="shared" si="8"/>
        <v>575860.32000000007</v>
      </c>
      <c r="H69" s="135">
        <f t="shared" si="9"/>
        <v>5.6057878326235383E-7</v>
      </c>
      <c r="I69" s="135">
        <f>G69/(Table1123456[[#This Row],[b (mm)]]*X69^2)</f>
        <v>1.390314475893357E-3</v>
      </c>
      <c r="J69" s="135">
        <f t="shared" si="10"/>
        <v>0.20356979405034328</v>
      </c>
      <c r="K69" s="135">
        <f t="shared" si="11"/>
        <v>1.0673162092255523E-7</v>
      </c>
      <c r="L69" s="135">
        <f>E69/(Table1123456[[#This Row],[b (mm)]]*X69)</f>
        <v>4.6343815863111897E-4</v>
      </c>
      <c r="M69" s="135">
        <f>Table1123456[[#This Row],[M (KN.mm)]]/(Table1123456[[#This Row],[b (mm)]]*Table1123456[[#This Row],[d (mm)]])</f>
        <v>1.1428384991843394</v>
      </c>
      <c r="N69" s="135">
        <f>Table1123456[[#This Row],[M (KN.mm)]]/(Table1123456[[#This Row],[b (mm)]]*Table1123456[[#This Row],[h (mm)]])</f>
        <v>1.0278044270563753</v>
      </c>
      <c r="O69" s="145">
        <f>Table1123456[[#This Row],[M (KN.mm)]]/(Table1123456[[#This Row],[b (mm)]]*Table1123456[[#This Row],[h (mm)]]*Table1123456[[#This Row],[L(mm)]])</f>
        <v>2.0856421003579044E-4</v>
      </c>
      <c r="P69" s="145">
        <f>Table1123456[[#This Row],[M (KN.mm)]]/(Table1123456[[#This Row],[b (mm)]]*Table1123456[[#This Row],[d (mm)]]*Table1123456[[#This Row],[L(mm)]])</f>
        <v>2.3190716298383511E-4</v>
      </c>
      <c r="Q69" s="145">
        <f>Table1123456[[#This Row],[M (KN.mm)]]/(Table1123456[[#This Row],[b (mm)]]*Table1123456[[#This Row],[h (mm)]]*Table1123456[[#This Row],[L(mm)]]*Table1123456[[#This Row],[fc (Mpa)]])</f>
        <v>2.8609631006281264E-6</v>
      </c>
      <c r="R69" s="145">
        <f>Table1123456[[#This Row],[M (KN.mm)]]/(Table1123456[[#This Row],[b (mm)]]*Table1123456[[#This Row],[h (mm)]]*Table1123456[[#This Row],[L(mm)]]/2)</f>
        <v>4.1712842007158088E-4</v>
      </c>
      <c r="S69" s="145">
        <f>Table1123456[[#This Row],[M (KN.mm)]]/(Table1123456[[#This Row],[a (mm)]]*Table1123456[[#This Row],[b (mm)]]*Table1123456[[#This Row],[h (mm)]]*Table1123456[[#This Row],[L(mm)]]/2)</f>
        <v>1.6915183295684545E-7</v>
      </c>
      <c r="T69" s="145">
        <f>Table1123456[[#This Row],[M (KN.mm)]]/(Table1123456[[#This Row],[a (mm)]]^2*Table1123456[[#This Row],[b (mm)]]*Table1123456[[#This Row],[h (mm)]])</f>
        <v>1.690146457443906E-7</v>
      </c>
      <c r="U69" s="145">
        <f>Table1123456[[#This Row],[M (KN.mm)]]/(Table1123456[[#This Row],[b (mm)]]*Table1123456[[#This Row],[d (mm)]]*Table1123456[[#This Row],[pho (%)]])</f>
        <v>0.87910653783410719</v>
      </c>
      <c r="V69" s="145">
        <f>E69/(Table1123456[[#This Row],[b (mm)]]*Y69*Table1123456[[#This Row],[fc (Mpa)]]*Table1123456[[#This Row],[a (mm)]])</f>
        <v>2.3184450719395137E-9</v>
      </c>
      <c r="W69" s="111">
        <f>3*Table1123456[[#This Row],[d (mm)]]</f>
        <v>2466</v>
      </c>
      <c r="X69" s="160">
        <v>822</v>
      </c>
      <c r="Y69" s="160">
        <v>914</v>
      </c>
      <c r="Z69" s="160">
        <v>613</v>
      </c>
      <c r="AA69" s="160">
        <v>72.900000000000006</v>
      </c>
      <c r="AB69" s="160">
        <v>6555</v>
      </c>
      <c r="AC69" s="160">
        <v>1.3</v>
      </c>
      <c r="AD69" s="160">
        <v>525</v>
      </c>
      <c r="AE69" s="111">
        <f>(1/3-0.21*(MIN(Table1123456[[#This Row],[b (mm)]],Y69)/MAX(Table1123456[[#This Row],[b (mm)]],Y69))*(MIN(Table1123456[[#This Row],[b (mm)]],Y69)^4/(12*MAX(Table1123456[[#This Row],[b (mm)]],Y69)^4)))*MAX(Table1123456[[#This Row],[b (mm)]],Y69)*MIN(Table1123456[[#This Row],[b (mm)]],Y69)^3</f>
        <v>69678906877.611313</v>
      </c>
      <c r="AF69" s="111">
        <f>Table1123456[[#This Row],[b (mm)]]*Y69^3/12</f>
        <v>39004778472.666664</v>
      </c>
      <c r="AG69" s="160">
        <v>4928</v>
      </c>
      <c r="AH69" s="138"/>
      <c r="AI69" s="126"/>
      <c r="AL69" s="2"/>
      <c r="AM69" s="2"/>
      <c r="AN69"/>
      <c r="AO69"/>
      <c r="AP69" s="2"/>
    </row>
    <row r="70" spans="1:42" s="1" customFormat="1" x14ac:dyDescent="0.3">
      <c r="A70" s="159" t="s">
        <v>102</v>
      </c>
      <c r="B70" s="150">
        <v>7</v>
      </c>
      <c r="C70" s="111">
        <v>83</v>
      </c>
      <c r="D70" s="111">
        <f>Table1123456[[#This Row],[a (mm)]]/Table1123456[[#This Row],[d (mm)]]</f>
        <v>3</v>
      </c>
      <c r="E70" s="111">
        <v>244.64000000000001</v>
      </c>
      <c r="F70" s="137">
        <f>Table1123456[[#This Row],[d (mm)]]</f>
        <v>822</v>
      </c>
      <c r="G70" s="135">
        <f t="shared" si="8"/>
        <v>603282.24</v>
      </c>
      <c r="H70" s="135">
        <f t="shared" si="9"/>
        <v>5.872730110367515E-7</v>
      </c>
      <c r="I70" s="135">
        <f>G70/(Table1123456[[#This Row],[b (mm)]]*X70^2)</f>
        <v>1.4565199271263738E-3</v>
      </c>
      <c r="J70" s="135">
        <f t="shared" si="10"/>
        <v>0.21326359376702625</v>
      </c>
      <c r="K70" s="135">
        <f t="shared" si="11"/>
        <v>1.1181407906172453E-7</v>
      </c>
      <c r="L70" s="135">
        <f>E70/(Table1123456[[#This Row],[b (mm)]]*X70)</f>
        <v>4.8550664237545797E-4</v>
      </c>
      <c r="M70" s="135">
        <f>Table1123456[[#This Row],[M (KN.mm)]]/(Table1123456[[#This Row],[b (mm)]]*Table1123456[[#This Row],[d (mm)]])</f>
        <v>1.1972593800978792</v>
      </c>
      <c r="N70" s="135">
        <f>Table1123456[[#This Row],[M (KN.mm)]]/(Table1123456[[#This Row],[b (mm)]]*Table1123456[[#This Row],[h (mm)]])</f>
        <v>1.0767474950114406</v>
      </c>
      <c r="O70" s="145">
        <f>Table1123456[[#This Row],[M (KN.mm)]]/(Table1123456[[#This Row],[b (mm)]]*Table1123456[[#This Row],[h (mm)]]*Table1123456[[#This Row],[L(mm)]])</f>
        <v>2.1849583908511376E-4</v>
      </c>
      <c r="P70" s="145">
        <f>Table1123456[[#This Row],[M (KN.mm)]]/(Table1123456[[#This Row],[b (mm)]]*Table1123456[[#This Row],[d (mm)]]*Table1123456[[#This Row],[L(mm)]])</f>
        <v>2.4295036122116056E-4</v>
      </c>
      <c r="Q70" s="145">
        <f>Table1123456[[#This Row],[M (KN.mm)]]/(Table1123456[[#This Row],[b (mm)]]*Table1123456[[#This Row],[h (mm)]]*Table1123456[[#This Row],[L(mm)]]*Table1123456[[#This Row],[fc (Mpa)]])</f>
        <v>2.997199438753275E-6</v>
      </c>
      <c r="R70" s="145">
        <f>Table1123456[[#This Row],[M (KN.mm)]]/(Table1123456[[#This Row],[b (mm)]]*Table1123456[[#This Row],[h (mm)]]*Table1123456[[#This Row],[L(mm)]]/2)</f>
        <v>4.3699167817022751E-4</v>
      </c>
      <c r="S70" s="145">
        <f>Table1123456[[#This Row],[M (KN.mm)]]/(Table1123456[[#This Row],[a (mm)]]*Table1123456[[#This Row],[b (mm)]]*Table1123456[[#This Row],[h (mm)]]*Table1123456[[#This Row],[L(mm)]]/2)</f>
        <v>1.7720668214526664E-7</v>
      </c>
      <c r="T70" s="145">
        <f>Table1123456[[#This Row],[M (KN.mm)]]/(Table1123456[[#This Row],[a (mm)]]^2*Table1123456[[#This Row],[b (mm)]]*Table1123456[[#This Row],[h (mm)]])</f>
        <v>1.7706296220840917E-7</v>
      </c>
      <c r="U70" s="145">
        <f>Table1123456[[#This Row],[M (KN.mm)]]/(Table1123456[[#This Row],[b (mm)]]*Table1123456[[#This Row],[d (mm)]]*Table1123456[[#This Row],[pho (%)]])</f>
        <v>0.9209687539214455</v>
      </c>
      <c r="V70" s="145">
        <f>E70/(Table1123456[[#This Row],[b (mm)]]*Y70*Table1123456[[#This Row],[fc (Mpa)]]*Table1123456[[#This Row],[a (mm)]])</f>
        <v>2.4288472182223479E-9</v>
      </c>
      <c r="W70" s="111">
        <f>3*Table1123456[[#This Row],[d (mm)]]</f>
        <v>2466</v>
      </c>
      <c r="X70" s="160">
        <v>822</v>
      </c>
      <c r="Y70" s="160">
        <v>914</v>
      </c>
      <c r="Z70" s="160">
        <v>613</v>
      </c>
      <c r="AA70" s="160">
        <v>72.900000000000006</v>
      </c>
      <c r="AB70" s="160">
        <v>6555</v>
      </c>
      <c r="AC70" s="160">
        <v>1.3</v>
      </c>
      <c r="AD70" s="160">
        <v>525</v>
      </c>
      <c r="AE70" s="111">
        <f>(1/3-0.21*(MIN(Table1123456[[#This Row],[b (mm)]],Y70)/MAX(Table1123456[[#This Row],[b (mm)]],Y70))*(MIN(Table1123456[[#This Row],[b (mm)]],Y70)^4/(12*MAX(Table1123456[[#This Row],[b (mm)]],Y70)^4)))*MAX(Table1123456[[#This Row],[b (mm)]],Y70)*MIN(Table1123456[[#This Row],[b (mm)]],Y70)^3</f>
        <v>69678906877.611313</v>
      </c>
      <c r="AF70" s="111">
        <f>Table1123456[[#This Row],[b (mm)]]*Y70^3/12</f>
        <v>39004778472.666664</v>
      </c>
      <c r="AG70" s="160">
        <v>4928</v>
      </c>
      <c r="AH70" s="138"/>
      <c r="AI70" s="126"/>
      <c r="AL70" s="2"/>
      <c r="AM70" s="2"/>
      <c r="AN70"/>
      <c r="AO70"/>
      <c r="AP70" s="2"/>
    </row>
    <row r="71" spans="1:42" s="1" customFormat="1" x14ac:dyDescent="0.3">
      <c r="A71" s="159" t="s">
        <v>102</v>
      </c>
      <c r="B71" s="150">
        <v>8</v>
      </c>
      <c r="C71" s="111">
        <v>84</v>
      </c>
      <c r="D71" s="111">
        <f>Table1123456[[#This Row],[a (mm)]]/Table1123456[[#This Row],[d (mm)]]</f>
        <v>3</v>
      </c>
      <c r="E71" s="111">
        <v>255.76000000000002</v>
      </c>
      <c r="F71" s="137">
        <f>Table1123456[[#This Row],[d (mm)]]</f>
        <v>822</v>
      </c>
      <c r="G71" s="135">
        <f t="shared" si="8"/>
        <v>630704.16</v>
      </c>
      <c r="H71" s="135">
        <f t="shared" si="9"/>
        <v>6.1396723881114937E-7</v>
      </c>
      <c r="I71" s="135">
        <f>G71/(Table1123456[[#This Row],[b (mm)]]*X71^2)</f>
        <v>1.5227253783593909E-3</v>
      </c>
      <c r="J71" s="135">
        <f t="shared" si="10"/>
        <v>0.2229573934837093</v>
      </c>
      <c r="K71" s="135">
        <f t="shared" si="11"/>
        <v>1.1689653720089383E-7</v>
      </c>
      <c r="L71" s="135">
        <f>E71/(Table1123456[[#This Row],[b (mm)]]*X71)</f>
        <v>5.0757512611979702E-4</v>
      </c>
      <c r="M71" s="135">
        <f>Table1123456[[#This Row],[M (KN.mm)]]/(Table1123456[[#This Row],[b (mm)]]*Table1123456[[#This Row],[d (mm)]])</f>
        <v>1.2516802610114193</v>
      </c>
      <c r="N71" s="135">
        <f>Table1123456[[#This Row],[M (KN.mm)]]/(Table1123456[[#This Row],[b (mm)]]*Table1123456[[#This Row],[h (mm)]])</f>
        <v>1.1256905629665062</v>
      </c>
      <c r="O71" s="145">
        <f>Table1123456[[#This Row],[M (KN.mm)]]/(Table1123456[[#This Row],[b (mm)]]*Table1123456[[#This Row],[h (mm)]]*Table1123456[[#This Row],[L(mm)]])</f>
        <v>2.2842746813443713E-4</v>
      </c>
      <c r="P71" s="145">
        <f>Table1123456[[#This Row],[M (KN.mm)]]/(Table1123456[[#This Row],[b (mm)]]*Table1123456[[#This Row],[d (mm)]]*Table1123456[[#This Row],[L(mm)]])</f>
        <v>2.5399355945848604E-4</v>
      </c>
      <c r="Q71" s="145">
        <f>Table1123456[[#This Row],[M (KN.mm)]]/(Table1123456[[#This Row],[b (mm)]]*Table1123456[[#This Row],[h (mm)]]*Table1123456[[#This Row],[L(mm)]]*Table1123456[[#This Row],[fc (Mpa)]])</f>
        <v>3.1334357768784241E-6</v>
      </c>
      <c r="R71" s="145">
        <f>Table1123456[[#This Row],[M (KN.mm)]]/(Table1123456[[#This Row],[b (mm)]]*Table1123456[[#This Row],[h (mm)]]*Table1123456[[#This Row],[L(mm)]]/2)</f>
        <v>4.5685493626887425E-4</v>
      </c>
      <c r="S71" s="145">
        <f>Table1123456[[#This Row],[M (KN.mm)]]/(Table1123456[[#This Row],[a (mm)]]*Table1123456[[#This Row],[b (mm)]]*Table1123456[[#This Row],[h (mm)]]*Table1123456[[#This Row],[L(mm)]]/2)</f>
        <v>1.8526153133368786E-7</v>
      </c>
      <c r="T71" s="145">
        <f>Table1123456[[#This Row],[M (KN.mm)]]/(Table1123456[[#This Row],[a (mm)]]^2*Table1123456[[#This Row],[b (mm)]]*Table1123456[[#This Row],[h (mm)]])</f>
        <v>1.8511127867242777E-7</v>
      </c>
      <c r="U71" s="145">
        <f>Table1123456[[#This Row],[M (KN.mm)]]/(Table1123456[[#This Row],[b (mm)]]*Table1123456[[#This Row],[d (mm)]]*Table1123456[[#This Row],[pho (%)]])</f>
        <v>0.96283097000878404</v>
      </c>
      <c r="V71" s="145">
        <f>E71/(Table1123456[[#This Row],[b (mm)]]*Y71*Table1123456[[#This Row],[fc (Mpa)]]*Table1123456[[#This Row],[a (mm)]])</f>
        <v>2.5392493645051817E-9</v>
      </c>
      <c r="W71" s="111">
        <f>3*Table1123456[[#This Row],[d (mm)]]</f>
        <v>2466</v>
      </c>
      <c r="X71" s="160">
        <v>822</v>
      </c>
      <c r="Y71" s="160">
        <v>914</v>
      </c>
      <c r="Z71" s="160">
        <v>613</v>
      </c>
      <c r="AA71" s="160">
        <v>72.900000000000006</v>
      </c>
      <c r="AB71" s="160">
        <v>6555</v>
      </c>
      <c r="AC71" s="160">
        <v>1.3</v>
      </c>
      <c r="AD71" s="160">
        <v>525</v>
      </c>
      <c r="AE71" s="111">
        <f>(1/3-0.21*(MIN(Table1123456[[#This Row],[b (mm)]],Y71)/MAX(Table1123456[[#This Row],[b (mm)]],Y71))*(MIN(Table1123456[[#This Row],[b (mm)]],Y71)^4/(12*MAX(Table1123456[[#This Row],[b (mm)]],Y71)^4)))*MAX(Table1123456[[#This Row],[b (mm)]],Y71)*MIN(Table1123456[[#This Row],[b (mm)]],Y71)^3</f>
        <v>69678906877.611313</v>
      </c>
      <c r="AF71" s="111">
        <f>Table1123456[[#This Row],[b (mm)]]*Y71^3/12</f>
        <v>39004778472.666664</v>
      </c>
      <c r="AG71" s="160">
        <v>4928</v>
      </c>
      <c r="AH71" s="138"/>
      <c r="AI71" s="126"/>
      <c r="AL71" s="2"/>
      <c r="AM71" s="2"/>
      <c r="AN71"/>
      <c r="AO71"/>
      <c r="AP71" s="2"/>
    </row>
    <row r="72" spans="1:42" s="1" customFormat="1" x14ac:dyDescent="0.3">
      <c r="A72" s="159" t="s">
        <v>102</v>
      </c>
      <c r="B72" s="150">
        <v>9</v>
      </c>
      <c r="C72" s="111">
        <v>85</v>
      </c>
      <c r="D72" s="111">
        <f>Table1123456[[#This Row],[a (mm)]]/Table1123456[[#This Row],[d (mm)]]</f>
        <v>3</v>
      </c>
      <c r="E72" s="111">
        <v>266.88</v>
      </c>
      <c r="F72" s="137">
        <f>Table1123456[[#This Row],[d (mm)]]</f>
        <v>822</v>
      </c>
      <c r="G72" s="135">
        <f t="shared" si="8"/>
        <v>658126.07999999996</v>
      </c>
      <c r="H72" s="135">
        <f t="shared" si="9"/>
        <v>6.4066146658554704E-7</v>
      </c>
      <c r="I72" s="135">
        <f>G72/(Table1123456[[#This Row],[b (mm)]]*X72^2)</f>
        <v>1.5889308295924077E-3</v>
      </c>
      <c r="J72" s="135">
        <f t="shared" si="10"/>
        <v>0.23265119320039226</v>
      </c>
      <c r="K72" s="135">
        <f t="shared" si="11"/>
        <v>1.219789953400631E-7</v>
      </c>
      <c r="L72" s="135">
        <f>E72/(Table1123456[[#This Row],[b (mm)]]*X72)</f>
        <v>5.2964360986413597E-4</v>
      </c>
      <c r="M72" s="135">
        <f>Table1123456[[#This Row],[M (KN.mm)]]/(Table1123456[[#This Row],[b (mm)]]*Table1123456[[#This Row],[d (mm)]])</f>
        <v>1.3061011419249591</v>
      </c>
      <c r="N72" s="135">
        <f>Table1123456[[#This Row],[M (KN.mm)]]/(Table1123456[[#This Row],[b (mm)]]*Table1123456[[#This Row],[h (mm)]])</f>
        <v>1.1746336309215715</v>
      </c>
      <c r="O72" s="145">
        <f>Table1123456[[#This Row],[M (KN.mm)]]/(Table1123456[[#This Row],[b (mm)]]*Table1123456[[#This Row],[h (mm)]]*Table1123456[[#This Row],[L(mm)]])</f>
        <v>2.3835909718376047E-4</v>
      </c>
      <c r="P72" s="145">
        <f>Table1123456[[#This Row],[M (KN.mm)]]/(Table1123456[[#This Row],[b (mm)]]*Table1123456[[#This Row],[d (mm)]]*Table1123456[[#This Row],[L(mm)]])</f>
        <v>2.6503675769581149E-4</v>
      </c>
      <c r="Q72" s="145">
        <f>Table1123456[[#This Row],[M (KN.mm)]]/(Table1123456[[#This Row],[b (mm)]]*Table1123456[[#This Row],[h (mm)]]*Table1123456[[#This Row],[L(mm)]]*Table1123456[[#This Row],[fc (Mpa)]])</f>
        <v>3.2696721150035723E-6</v>
      </c>
      <c r="R72" s="145">
        <f>Table1123456[[#This Row],[M (KN.mm)]]/(Table1123456[[#This Row],[b (mm)]]*Table1123456[[#This Row],[h (mm)]]*Table1123456[[#This Row],[L(mm)]]/2)</f>
        <v>4.7671819436752094E-4</v>
      </c>
      <c r="S72" s="145">
        <f>Table1123456[[#This Row],[M (KN.mm)]]/(Table1123456[[#This Row],[a (mm)]]*Table1123456[[#This Row],[b (mm)]]*Table1123456[[#This Row],[h (mm)]]*Table1123456[[#This Row],[L(mm)]]/2)</f>
        <v>1.9331638052210905E-7</v>
      </c>
      <c r="T72" s="145">
        <f>Table1123456[[#This Row],[M (KN.mm)]]/(Table1123456[[#This Row],[a (mm)]]^2*Table1123456[[#This Row],[b (mm)]]*Table1123456[[#This Row],[h (mm)]])</f>
        <v>1.9315959513644634E-7</v>
      </c>
      <c r="U72" s="145">
        <f>Table1123456[[#This Row],[M (KN.mm)]]/(Table1123456[[#This Row],[b (mm)]]*Table1123456[[#This Row],[d (mm)]]*Table1123456[[#This Row],[pho (%)]])</f>
        <v>1.0046931860961223</v>
      </c>
      <c r="V72" s="145">
        <f>E72/(Table1123456[[#This Row],[b (mm)]]*Y72*Table1123456[[#This Row],[fc (Mpa)]]*Table1123456[[#This Row],[a (mm)]])</f>
        <v>2.6496515107880154E-9</v>
      </c>
      <c r="W72" s="111">
        <f>3*Table1123456[[#This Row],[d (mm)]]</f>
        <v>2466</v>
      </c>
      <c r="X72" s="160">
        <v>822</v>
      </c>
      <c r="Y72" s="160">
        <v>914</v>
      </c>
      <c r="Z72" s="160">
        <v>613</v>
      </c>
      <c r="AA72" s="160">
        <v>72.900000000000006</v>
      </c>
      <c r="AB72" s="160">
        <v>6555</v>
      </c>
      <c r="AC72" s="160">
        <v>1.3</v>
      </c>
      <c r="AD72" s="160">
        <v>525</v>
      </c>
      <c r="AE72" s="111">
        <f>(1/3-0.21*(MIN(Table1123456[[#This Row],[b (mm)]],Y72)/MAX(Table1123456[[#This Row],[b (mm)]],Y72))*(MIN(Table1123456[[#This Row],[b (mm)]],Y72)^4/(12*MAX(Table1123456[[#This Row],[b (mm)]],Y72)^4)))*MAX(Table1123456[[#This Row],[b (mm)]],Y72)*MIN(Table1123456[[#This Row],[b (mm)]],Y72)^3</f>
        <v>69678906877.611313</v>
      </c>
      <c r="AF72" s="111">
        <f>Table1123456[[#This Row],[b (mm)]]*Y72^3/12</f>
        <v>39004778472.666664</v>
      </c>
      <c r="AG72" s="160">
        <v>4928</v>
      </c>
      <c r="AH72" s="138"/>
      <c r="AI72" s="126"/>
      <c r="AL72" s="2"/>
      <c r="AM72" s="2"/>
      <c r="AN72"/>
      <c r="AO72"/>
      <c r="AP72" s="2"/>
    </row>
    <row r="73" spans="1:42" s="1" customFormat="1" x14ac:dyDescent="0.3">
      <c r="A73" s="159" t="s">
        <v>102</v>
      </c>
      <c r="B73" s="150">
        <v>10</v>
      </c>
      <c r="C73" s="111">
        <v>86</v>
      </c>
      <c r="D73" s="111">
        <f>Table1123456[[#This Row],[a (mm)]]/Table1123456[[#This Row],[d (mm)]]</f>
        <v>3</v>
      </c>
      <c r="E73" s="111">
        <v>278</v>
      </c>
      <c r="F73" s="137">
        <f>Table1123456[[#This Row],[d (mm)]]</f>
        <v>822</v>
      </c>
      <c r="G73" s="135">
        <f t="shared" si="8"/>
        <v>685548</v>
      </c>
      <c r="H73" s="135">
        <f t="shared" si="9"/>
        <v>6.6735569435994492E-7</v>
      </c>
      <c r="I73" s="135">
        <f>G73/(Table1123456[[#This Row],[b (mm)]]*X73^2)</f>
        <v>1.6551362808254247E-3</v>
      </c>
      <c r="J73" s="135">
        <f t="shared" si="10"/>
        <v>0.24234499291707529</v>
      </c>
      <c r="K73" s="135">
        <f t="shared" si="11"/>
        <v>1.270614534792324E-7</v>
      </c>
      <c r="L73" s="135">
        <f>E73/(Table1123456[[#This Row],[b (mm)]]*X73)</f>
        <v>5.5171209360847491E-4</v>
      </c>
      <c r="M73" s="135">
        <f>Table1123456[[#This Row],[M (KN.mm)]]/(Table1123456[[#This Row],[b (mm)]]*Table1123456[[#This Row],[d (mm)]])</f>
        <v>1.3605220228384991</v>
      </c>
      <c r="N73" s="135">
        <f>Table1123456[[#This Row],[M (KN.mm)]]/(Table1123456[[#This Row],[b (mm)]]*Table1123456[[#This Row],[h (mm)]])</f>
        <v>1.2235766988766372</v>
      </c>
      <c r="O73" s="145">
        <f>Table1123456[[#This Row],[M (KN.mm)]]/(Table1123456[[#This Row],[b (mm)]]*Table1123456[[#This Row],[h (mm)]]*Table1123456[[#This Row],[L(mm)]])</f>
        <v>2.4829072623308384E-4</v>
      </c>
      <c r="P73" s="145">
        <f>Table1123456[[#This Row],[M (KN.mm)]]/(Table1123456[[#This Row],[b (mm)]]*Table1123456[[#This Row],[d (mm)]]*Table1123456[[#This Row],[L(mm)]])</f>
        <v>2.7607995593313699E-4</v>
      </c>
      <c r="Q73" s="145">
        <f>Table1123456[[#This Row],[M (KN.mm)]]/(Table1123456[[#This Row],[b (mm)]]*Table1123456[[#This Row],[h (mm)]]*Table1123456[[#This Row],[L(mm)]]*Table1123456[[#This Row],[fc (Mpa)]])</f>
        <v>3.4059084531287214E-6</v>
      </c>
      <c r="R73" s="145">
        <f>Table1123456[[#This Row],[M (KN.mm)]]/(Table1123456[[#This Row],[b (mm)]]*Table1123456[[#This Row],[h (mm)]]*Table1123456[[#This Row],[L(mm)]]/2)</f>
        <v>4.9658145246616768E-4</v>
      </c>
      <c r="S73" s="145">
        <f>Table1123456[[#This Row],[M (KN.mm)]]/(Table1123456[[#This Row],[a (mm)]]*Table1123456[[#This Row],[b (mm)]]*Table1123456[[#This Row],[h (mm)]]*Table1123456[[#This Row],[L(mm)]]/2)</f>
        <v>2.0137122971053027E-7</v>
      </c>
      <c r="T73" s="145">
        <f>Table1123456[[#This Row],[M (KN.mm)]]/(Table1123456[[#This Row],[a (mm)]]^2*Table1123456[[#This Row],[b (mm)]]*Table1123456[[#This Row],[h (mm)]])</f>
        <v>2.0120791160046497E-7</v>
      </c>
      <c r="U73" s="145">
        <f>Table1123456[[#This Row],[M (KN.mm)]]/(Table1123456[[#This Row],[b (mm)]]*Table1123456[[#This Row],[d (mm)]]*Table1123456[[#This Row],[pho (%)]])</f>
        <v>1.0465554021834609</v>
      </c>
      <c r="V73" s="145">
        <f>E73/(Table1123456[[#This Row],[b (mm)]]*Y73*Table1123456[[#This Row],[fc (Mpa)]]*Table1123456[[#This Row],[a (mm)]])</f>
        <v>2.7600536570708496E-9</v>
      </c>
      <c r="W73" s="111">
        <f>3*Table1123456[[#This Row],[d (mm)]]</f>
        <v>2466</v>
      </c>
      <c r="X73" s="160">
        <v>822</v>
      </c>
      <c r="Y73" s="160">
        <v>914</v>
      </c>
      <c r="Z73" s="160">
        <v>613</v>
      </c>
      <c r="AA73" s="160">
        <v>72.900000000000006</v>
      </c>
      <c r="AB73" s="160">
        <v>6555</v>
      </c>
      <c r="AC73" s="160">
        <v>1.3</v>
      </c>
      <c r="AD73" s="160">
        <v>525</v>
      </c>
      <c r="AE73" s="111">
        <f>(1/3-0.21*(MIN(Table1123456[[#This Row],[b (mm)]],Y73)/MAX(Table1123456[[#This Row],[b (mm)]],Y73))*(MIN(Table1123456[[#This Row],[b (mm)]],Y73)^4/(12*MAX(Table1123456[[#This Row],[b (mm)]],Y73)^4)))*MAX(Table1123456[[#This Row],[b (mm)]],Y73)*MIN(Table1123456[[#This Row],[b (mm)]],Y73)^3</f>
        <v>69678906877.611313</v>
      </c>
      <c r="AF73" s="111">
        <f>Table1123456[[#This Row],[b (mm)]]*Y73^3/12</f>
        <v>39004778472.666664</v>
      </c>
      <c r="AG73" s="160">
        <v>4928</v>
      </c>
      <c r="AH73" s="138"/>
      <c r="AI73" s="126"/>
      <c r="AL73" s="2"/>
      <c r="AM73" s="2"/>
      <c r="AN73"/>
      <c r="AO73"/>
      <c r="AP73" s="2"/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D269"/>
  <sheetViews>
    <sheetView zoomScale="55" zoomScaleNormal="55" workbookViewId="0">
      <selection activeCell="Q2" sqref="Q2"/>
    </sheetView>
  </sheetViews>
  <sheetFormatPr defaultRowHeight="14.4" x14ac:dyDescent="0.3"/>
  <cols>
    <col min="1" max="1" width="11" customWidth="1"/>
    <col min="2" max="2" width="7.88671875" customWidth="1"/>
    <col min="3" max="3" width="10.33203125" customWidth="1"/>
    <col min="4" max="4" width="16" customWidth="1"/>
    <col min="5" max="5" width="12.88671875" style="333" customWidth="1"/>
    <col min="6" max="6" width="29.33203125" style="1" customWidth="1"/>
    <col min="7" max="7" width="7.109375" style="1" customWidth="1"/>
    <col min="8" max="8" width="9.88671875" style="1" customWidth="1"/>
    <col min="9" max="9" width="6.33203125" style="294" customWidth="1"/>
    <col min="10" max="10" width="6.6640625" style="1" customWidth="1"/>
    <col min="11" max="11" width="6.109375" style="292" customWidth="1"/>
    <col min="12" max="12" width="8.44140625" style="1" customWidth="1"/>
    <col min="13" max="13" width="7.88671875" style="361" customWidth="1"/>
    <col min="14" max="15" width="11.44140625" style="160" customWidth="1"/>
    <col min="16" max="16" width="8.88671875" style="109"/>
    <col min="28" max="28" width="14" customWidth="1"/>
    <col min="30" max="30" width="13.88671875" customWidth="1"/>
  </cols>
  <sheetData>
    <row r="1" spans="1:30" s="167" customFormat="1" ht="46.5" customHeight="1" x14ac:dyDescent="0.3">
      <c r="A1" s="175"/>
      <c r="B1" s="169"/>
      <c r="C1" s="170" t="s">
        <v>135</v>
      </c>
      <c r="D1" s="170" t="s">
        <v>134</v>
      </c>
      <c r="E1" s="329" t="s">
        <v>124</v>
      </c>
      <c r="F1" s="170" t="s">
        <v>195</v>
      </c>
      <c r="G1" s="170" t="s">
        <v>122</v>
      </c>
      <c r="H1" s="170" t="s">
        <v>123</v>
      </c>
      <c r="I1" s="293" t="s">
        <v>121</v>
      </c>
      <c r="J1" s="168" t="s">
        <v>198</v>
      </c>
      <c r="K1" s="289" t="s">
        <v>125</v>
      </c>
      <c r="L1" s="171"/>
      <c r="M1" s="359" t="s">
        <v>211</v>
      </c>
      <c r="N1" s="170" t="s">
        <v>298</v>
      </c>
      <c r="O1" s="293" t="s">
        <v>299</v>
      </c>
      <c r="P1" s="74"/>
      <c r="Q1" s="167" t="s">
        <v>300</v>
      </c>
      <c r="R1" s="167" t="s">
        <v>174</v>
      </c>
      <c r="AB1"/>
      <c r="AC1" s="167" t="s">
        <v>121</v>
      </c>
      <c r="AD1" t="s">
        <v>215</v>
      </c>
    </row>
    <row r="2" spans="1:30" ht="18" customHeight="1" x14ac:dyDescent="0.3">
      <c r="A2" s="175"/>
      <c r="B2" s="411" t="s">
        <v>137</v>
      </c>
      <c r="C2" s="172">
        <v>1</v>
      </c>
      <c r="D2" s="172" t="s">
        <v>104</v>
      </c>
      <c r="E2" s="330">
        <v>2</v>
      </c>
      <c r="F2" s="173" t="s">
        <v>196</v>
      </c>
      <c r="G2" s="287">
        <v>7.87</v>
      </c>
      <c r="H2" s="287">
        <v>49.2</v>
      </c>
      <c r="I2" s="287">
        <v>4.8099999999999996</v>
      </c>
      <c r="J2" s="287">
        <f>81/25.4</f>
        <v>3.188976377952756</v>
      </c>
      <c r="K2" s="290">
        <v>1.55</v>
      </c>
      <c r="L2" s="288">
        <v>31.4</v>
      </c>
      <c r="M2" s="358">
        <f t="shared" ref="M2:M33" si="0">I2*J2</f>
        <v>15.338976377952756</v>
      </c>
      <c r="N2" s="288">
        <v>26.5</v>
      </c>
      <c r="O2" s="291">
        <v>15.14</v>
      </c>
      <c r="P2" s="109">
        <f>2*SQRT(L2*145.038)*G2*J2*4.44822/1000</f>
        <v>15.06773640218927</v>
      </c>
      <c r="Q2">
        <f>N2*M2</f>
        <v>406.48287401574805</v>
      </c>
      <c r="R2">
        <f>O2*M2</f>
        <v>232.23210236220473</v>
      </c>
      <c r="T2" s="394">
        <v>0</v>
      </c>
      <c r="U2" s="394">
        <v>0</v>
      </c>
      <c r="AB2" t="s">
        <v>219</v>
      </c>
      <c r="AC2">
        <v>1.5</v>
      </c>
      <c r="AD2">
        <f t="array" ref="AD2:AD9">FREQUENCY(I2:I87,AC2:AC9)</f>
        <v>2</v>
      </c>
    </row>
    <row r="3" spans="1:30" ht="17.25" customHeight="1" x14ac:dyDescent="0.3">
      <c r="A3" s="175"/>
      <c r="B3" s="412"/>
      <c r="C3" s="172">
        <v>2</v>
      </c>
      <c r="D3" s="172" t="s">
        <v>105</v>
      </c>
      <c r="E3" s="330">
        <v>2</v>
      </c>
      <c r="F3" s="173" t="s">
        <v>196</v>
      </c>
      <c r="G3" s="287">
        <v>7.87</v>
      </c>
      <c r="H3" s="287">
        <v>49.2</v>
      </c>
      <c r="I3" s="287">
        <v>4.8099999999999996</v>
      </c>
      <c r="J3" s="287">
        <f>81/25.4</f>
        <v>3.188976377952756</v>
      </c>
      <c r="K3" s="290">
        <v>1.55</v>
      </c>
      <c r="L3" s="288">
        <v>31.4</v>
      </c>
      <c r="M3" s="358">
        <f t="shared" si="0"/>
        <v>15.338976377952756</v>
      </c>
      <c r="N3" s="288">
        <v>31.4</v>
      </c>
      <c r="O3" s="291">
        <v>15.14</v>
      </c>
      <c r="P3" s="109">
        <f t="shared" ref="P3:P66" si="1">2*SQRT(L3*145.038)*G3*J3*4.44822/1000</f>
        <v>15.06773640218927</v>
      </c>
      <c r="Q3">
        <f t="shared" ref="Q3:Q66" si="2">N3*M3</f>
        <v>481.6438582677165</v>
      </c>
      <c r="R3">
        <f t="shared" ref="R3:R66" si="3">O3*M3</f>
        <v>232.23210236220473</v>
      </c>
      <c r="T3" s="394">
        <v>2500</v>
      </c>
      <c r="U3" s="394">
        <v>2500</v>
      </c>
      <c r="AB3" t="s">
        <v>216</v>
      </c>
      <c r="AC3">
        <v>2</v>
      </c>
      <c r="AD3">
        <v>6</v>
      </c>
    </row>
    <row r="4" spans="1:30" ht="16.5" customHeight="1" x14ac:dyDescent="0.3">
      <c r="A4" s="175"/>
      <c r="B4" s="412"/>
      <c r="C4" s="172">
        <v>3</v>
      </c>
      <c r="D4" s="172" t="s">
        <v>106</v>
      </c>
      <c r="E4" s="330">
        <v>3</v>
      </c>
      <c r="F4" s="173" t="s">
        <v>196</v>
      </c>
      <c r="G4" s="287">
        <v>7.87</v>
      </c>
      <c r="H4" s="287">
        <v>49.2</v>
      </c>
      <c r="I4" s="287">
        <v>4.8099999999999996</v>
      </c>
      <c r="J4" s="287">
        <f>81/25.4</f>
        <v>3.188976377952756</v>
      </c>
      <c r="K4" s="290">
        <v>1.55</v>
      </c>
      <c r="L4" s="288">
        <v>31.4</v>
      </c>
      <c r="M4" s="358">
        <f t="shared" si="0"/>
        <v>15.338976377952756</v>
      </c>
      <c r="N4" s="288">
        <v>25.5</v>
      </c>
      <c r="O4" s="291">
        <v>15.14</v>
      </c>
      <c r="P4" s="109">
        <f t="shared" si="1"/>
        <v>15.06773640218927</v>
      </c>
      <c r="Q4">
        <f t="shared" si="2"/>
        <v>391.14389763779525</v>
      </c>
      <c r="R4">
        <f t="shared" si="3"/>
        <v>232.23210236220473</v>
      </c>
      <c r="AB4" t="s">
        <v>217</v>
      </c>
      <c r="AC4">
        <v>2.5</v>
      </c>
      <c r="AD4">
        <v>17</v>
      </c>
    </row>
    <row r="5" spans="1:30" ht="15.6" x14ac:dyDescent="0.3">
      <c r="A5" s="175"/>
      <c r="B5" s="412"/>
      <c r="C5" s="172">
        <v>4</v>
      </c>
      <c r="D5" s="172" t="s">
        <v>107</v>
      </c>
      <c r="E5" s="330">
        <v>2</v>
      </c>
      <c r="F5" s="173" t="s">
        <v>196</v>
      </c>
      <c r="G5" s="287">
        <v>7.87</v>
      </c>
      <c r="H5" s="287">
        <v>49.2</v>
      </c>
      <c r="I5" s="287">
        <v>3.68</v>
      </c>
      <c r="J5" s="287">
        <f>126/25.4</f>
        <v>4.9606299212598426</v>
      </c>
      <c r="K5" s="290">
        <v>1.48</v>
      </c>
      <c r="L5" s="288">
        <v>31.4</v>
      </c>
      <c r="M5" s="358">
        <f t="shared" si="0"/>
        <v>18.255118110236221</v>
      </c>
      <c r="N5" s="288">
        <v>33.79</v>
      </c>
      <c r="O5" s="362">
        <v>19.809999999999999</v>
      </c>
      <c r="P5" s="109">
        <f t="shared" si="1"/>
        <v>23.438701070072199</v>
      </c>
      <c r="Q5">
        <f t="shared" si="2"/>
        <v>616.84044094488195</v>
      </c>
      <c r="R5">
        <f t="shared" si="3"/>
        <v>361.63388976377951</v>
      </c>
      <c r="AB5" t="s">
        <v>218</v>
      </c>
      <c r="AC5">
        <v>3</v>
      </c>
      <c r="AD5">
        <v>46</v>
      </c>
    </row>
    <row r="6" spans="1:30" ht="15.6" x14ac:dyDescent="0.3">
      <c r="A6" s="175"/>
      <c r="B6" s="412"/>
      <c r="C6" s="172">
        <v>5</v>
      </c>
      <c r="D6" s="172" t="s">
        <v>108</v>
      </c>
      <c r="E6" s="330">
        <v>3</v>
      </c>
      <c r="F6" s="173" t="s">
        <v>196</v>
      </c>
      <c r="G6" s="287">
        <v>7.87</v>
      </c>
      <c r="H6" s="287">
        <v>49.2</v>
      </c>
      <c r="I6" s="287">
        <v>3.68</v>
      </c>
      <c r="J6" s="287">
        <f>126/25.4</f>
        <v>4.9606299212598426</v>
      </c>
      <c r="K6" s="290">
        <v>1.48</v>
      </c>
      <c r="L6" s="288">
        <v>31.4</v>
      </c>
      <c r="M6" s="358">
        <f t="shared" si="0"/>
        <v>18.255118110236221</v>
      </c>
      <c r="N6" s="288">
        <v>34</v>
      </c>
      <c r="O6" s="362">
        <v>19.809999999999999</v>
      </c>
      <c r="P6" s="109">
        <f t="shared" si="1"/>
        <v>23.438701070072199</v>
      </c>
      <c r="Q6">
        <f t="shared" si="2"/>
        <v>620.67401574803148</v>
      </c>
      <c r="R6">
        <f t="shared" si="3"/>
        <v>361.63388976377951</v>
      </c>
      <c r="AB6" t="s">
        <v>220</v>
      </c>
      <c r="AC6">
        <v>3.5</v>
      </c>
      <c r="AD6">
        <v>7</v>
      </c>
    </row>
    <row r="7" spans="1:30" ht="15.6" x14ac:dyDescent="0.3">
      <c r="A7" s="175"/>
      <c r="B7" s="412"/>
      <c r="C7" s="172">
        <v>6</v>
      </c>
      <c r="D7" s="172" t="s">
        <v>109</v>
      </c>
      <c r="E7" s="330">
        <v>3</v>
      </c>
      <c r="F7" s="173" t="s">
        <v>196</v>
      </c>
      <c r="G7" s="287">
        <v>7.87</v>
      </c>
      <c r="H7" s="287">
        <v>49.2</v>
      </c>
      <c r="I7" s="287">
        <v>3.68</v>
      </c>
      <c r="J7" s="287">
        <f>126/25.4</f>
        <v>4.9606299212598426</v>
      </c>
      <c r="K7" s="290">
        <v>1.48</v>
      </c>
      <c r="L7" s="288">
        <v>31.4</v>
      </c>
      <c r="M7" s="358">
        <f t="shared" si="0"/>
        <v>18.255118110236221</v>
      </c>
      <c r="N7" s="288">
        <v>35.5</v>
      </c>
      <c r="O7" s="362">
        <v>19.809999999999999</v>
      </c>
      <c r="P7" s="109">
        <f t="shared" si="1"/>
        <v>23.438701070072199</v>
      </c>
      <c r="Q7">
        <f t="shared" si="2"/>
        <v>648.05669291338586</v>
      </c>
      <c r="R7">
        <f t="shared" si="3"/>
        <v>361.63388976377951</v>
      </c>
      <c r="AB7" t="s">
        <v>221</v>
      </c>
      <c r="AC7">
        <v>4</v>
      </c>
      <c r="AD7">
        <v>3</v>
      </c>
    </row>
    <row r="8" spans="1:30" ht="15.6" x14ac:dyDescent="0.3">
      <c r="A8" s="175"/>
      <c r="B8" s="412"/>
      <c r="C8" s="172">
        <v>7</v>
      </c>
      <c r="D8" s="172" t="s">
        <v>110</v>
      </c>
      <c r="E8" s="330">
        <v>1</v>
      </c>
      <c r="F8" s="173" t="s">
        <v>196</v>
      </c>
      <c r="G8" s="287">
        <v>7.87</v>
      </c>
      <c r="H8" s="287">
        <v>49.2</v>
      </c>
      <c r="I8" s="287">
        <v>2.81</v>
      </c>
      <c r="J8" s="287">
        <f>139/25.4</f>
        <v>5.4724409448818898</v>
      </c>
      <c r="K8" s="290">
        <v>1.41</v>
      </c>
      <c r="L8" s="288">
        <v>31.4</v>
      </c>
      <c r="M8" s="358">
        <f t="shared" si="0"/>
        <v>15.377559055118111</v>
      </c>
      <c r="N8" s="288">
        <v>41.4</v>
      </c>
      <c r="O8" s="362">
        <v>25.98</v>
      </c>
      <c r="P8" s="109">
        <f t="shared" si="1"/>
        <v>25.85697975190504</v>
      </c>
      <c r="Q8">
        <f t="shared" si="2"/>
        <v>636.63094488188972</v>
      </c>
      <c r="R8">
        <f t="shared" si="3"/>
        <v>399.50898425196851</v>
      </c>
      <c r="AB8" s="317" t="s">
        <v>224</v>
      </c>
      <c r="AC8">
        <v>5</v>
      </c>
      <c r="AD8">
        <v>5</v>
      </c>
    </row>
    <row r="9" spans="1:30" ht="15.6" x14ac:dyDescent="0.3">
      <c r="A9" s="175"/>
      <c r="B9" s="412"/>
      <c r="C9" s="172">
        <v>8</v>
      </c>
      <c r="D9" s="172" t="s">
        <v>111</v>
      </c>
      <c r="E9" s="330">
        <v>3</v>
      </c>
      <c r="F9" s="173" t="s">
        <v>196</v>
      </c>
      <c r="G9" s="287">
        <v>7.87</v>
      </c>
      <c r="H9" s="287">
        <v>49.2</v>
      </c>
      <c r="I9" s="287">
        <v>2.81</v>
      </c>
      <c r="J9" s="287">
        <f>139/25.4</f>
        <v>5.4724409448818898</v>
      </c>
      <c r="K9" s="290">
        <v>1.41</v>
      </c>
      <c r="L9" s="288">
        <v>31.4</v>
      </c>
      <c r="M9" s="358">
        <f t="shared" si="0"/>
        <v>15.377559055118111</v>
      </c>
      <c r="N9" s="288">
        <v>42.3</v>
      </c>
      <c r="O9" s="362">
        <v>25.98</v>
      </c>
      <c r="P9" s="109">
        <f t="shared" si="1"/>
        <v>25.85697975190504</v>
      </c>
      <c r="Q9">
        <f t="shared" si="2"/>
        <v>650.47074803149599</v>
      </c>
      <c r="R9">
        <f t="shared" si="3"/>
        <v>399.50898425196851</v>
      </c>
      <c r="AD9">
        <v>0</v>
      </c>
    </row>
    <row r="10" spans="1:30" ht="15.6" x14ac:dyDescent="0.3">
      <c r="A10" s="175"/>
      <c r="B10" s="412"/>
      <c r="C10" s="172">
        <v>9</v>
      </c>
      <c r="D10" s="172" t="s">
        <v>112</v>
      </c>
      <c r="E10" s="330">
        <v>4</v>
      </c>
      <c r="F10" s="173" t="s">
        <v>196</v>
      </c>
      <c r="G10" s="287">
        <v>7.87</v>
      </c>
      <c r="H10" s="287">
        <v>49.2</v>
      </c>
      <c r="I10" s="287">
        <v>2.81</v>
      </c>
      <c r="J10" s="287">
        <f>139/25.4</f>
        <v>5.4724409448818898</v>
      </c>
      <c r="K10" s="290">
        <v>1.41</v>
      </c>
      <c r="L10" s="288">
        <v>31.4</v>
      </c>
      <c r="M10" s="358">
        <f t="shared" si="0"/>
        <v>15.377559055118111</v>
      </c>
      <c r="N10" s="357">
        <v>57</v>
      </c>
      <c r="O10" s="362">
        <v>25.98</v>
      </c>
      <c r="P10" s="109">
        <f t="shared" si="1"/>
        <v>25.85697975190504</v>
      </c>
      <c r="Q10">
        <f t="shared" si="2"/>
        <v>876.52086614173231</v>
      </c>
      <c r="R10">
        <f t="shared" si="3"/>
        <v>399.50898425196851</v>
      </c>
    </row>
    <row r="11" spans="1:30" ht="15.6" x14ac:dyDescent="0.3">
      <c r="A11" s="175"/>
      <c r="B11" s="412"/>
      <c r="C11" s="172">
        <v>10</v>
      </c>
      <c r="D11" s="172" t="s">
        <v>113</v>
      </c>
      <c r="E11" s="330">
        <v>1</v>
      </c>
      <c r="F11" s="173" t="s">
        <v>196</v>
      </c>
      <c r="G11" s="287">
        <v>7.87</v>
      </c>
      <c r="H11" s="287">
        <v>49.2</v>
      </c>
      <c r="I11" s="287">
        <v>2.39</v>
      </c>
      <c r="J11" s="287">
        <f>163/25.4</f>
        <v>6.4173228346456694</v>
      </c>
      <c r="K11" s="290">
        <v>1.38</v>
      </c>
      <c r="L11" s="288">
        <v>31.4</v>
      </c>
      <c r="M11" s="358">
        <f t="shared" si="0"/>
        <v>15.337401574803151</v>
      </c>
      <c r="N11" s="357">
        <v>50</v>
      </c>
      <c r="O11" s="362">
        <v>30.46</v>
      </c>
      <c r="P11" s="109">
        <f t="shared" si="1"/>
        <v>30.321494241442608</v>
      </c>
      <c r="Q11">
        <f t="shared" si="2"/>
        <v>766.87007874015751</v>
      </c>
      <c r="R11">
        <f t="shared" si="3"/>
        <v>467.17725196850398</v>
      </c>
    </row>
    <row r="12" spans="1:30" ht="15.6" x14ac:dyDescent="0.3">
      <c r="A12" s="175"/>
      <c r="B12" s="412"/>
      <c r="C12" s="172">
        <v>11</v>
      </c>
      <c r="D12" s="172" t="s">
        <v>114</v>
      </c>
      <c r="E12" s="330">
        <v>1</v>
      </c>
      <c r="F12" s="173" t="s">
        <v>196</v>
      </c>
      <c r="G12" s="287">
        <v>7.87</v>
      </c>
      <c r="H12" s="287">
        <v>49.2</v>
      </c>
      <c r="I12" s="287">
        <v>2.39</v>
      </c>
      <c r="J12" s="287">
        <f>163/25.4</f>
        <v>6.4173228346456694</v>
      </c>
      <c r="K12" s="290">
        <v>1.38</v>
      </c>
      <c r="L12" s="288">
        <v>31.4</v>
      </c>
      <c r="M12" s="358">
        <f t="shared" si="0"/>
        <v>15.337401574803151</v>
      </c>
      <c r="N12" s="357">
        <v>50.7</v>
      </c>
      <c r="O12" s="362">
        <v>30.46</v>
      </c>
      <c r="P12" s="109">
        <f t="shared" si="1"/>
        <v>30.321494241442608</v>
      </c>
      <c r="Q12">
        <f t="shared" si="2"/>
        <v>777.60625984251976</v>
      </c>
      <c r="R12">
        <f t="shared" si="3"/>
        <v>467.17725196850398</v>
      </c>
    </row>
    <row r="13" spans="1:30" ht="15.6" x14ac:dyDescent="0.3">
      <c r="A13" s="175"/>
      <c r="B13" s="412"/>
      <c r="C13" s="172">
        <v>12</v>
      </c>
      <c r="D13" s="172" t="s">
        <v>115</v>
      </c>
      <c r="E13" s="330">
        <v>1</v>
      </c>
      <c r="F13" s="173" t="s">
        <v>196</v>
      </c>
      <c r="G13" s="287">
        <v>7.87</v>
      </c>
      <c r="H13" s="287">
        <v>49.2</v>
      </c>
      <c r="I13" s="287">
        <v>2.39</v>
      </c>
      <c r="J13" s="287">
        <f>163/25.4</f>
        <v>6.4173228346456694</v>
      </c>
      <c r="K13" s="290">
        <v>1.38</v>
      </c>
      <c r="L13" s="288">
        <v>31.4</v>
      </c>
      <c r="M13" s="358">
        <f t="shared" si="0"/>
        <v>15.337401574803151</v>
      </c>
      <c r="N13" s="357">
        <v>44.9</v>
      </c>
      <c r="O13" s="362">
        <v>30.46</v>
      </c>
      <c r="P13" s="109">
        <f t="shared" si="1"/>
        <v>30.321494241442608</v>
      </c>
      <c r="Q13">
        <f t="shared" si="2"/>
        <v>688.64933070866141</v>
      </c>
      <c r="R13">
        <f t="shared" si="3"/>
        <v>467.17725196850398</v>
      </c>
    </row>
    <row r="14" spans="1:30" ht="15.6" x14ac:dyDescent="0.3">
      <c r="A14" s="175"/>
      <c r="B14" s="412"/>
      <c r="C14" s="172">
        <v>13</v>
      </c>
      <c r="D14" s="172" t="s">
        <v>116</v>
      </c>
      <c r="E14" s="330">
        <v>5</v>
      </c>
      <c r="F14" s="173" t="s">
        <v>196</v>
      </c>
      <c r="G14" s="287">
        <v>7.87</v>
      </c>
      <c r="H14" s="287">
        <v>49.2</v>
      </c>
      <c r="I14" s="287">
        <v>1.86</v>
      </c>
      <c r="J14" s="287">
        <f>210/25.4</f>
        <v>8.2677165354330722</v>
      </c>
      <c r="K14" s="290">
        <v>1.34</v>
      </c>
      <c r="L14" s="288">
        <v>31.4</v>
      </c>
      <c r="M14" s="358">
        <f t="shared" si="0"/>
        <v>15.377952755905515</v>
      </c>
      <c r="N14" s="363">
        <v>63.25</v>
      </c>
      <c r="O14" s="362">
        <v>39.25</v>
      </c>
      <c r="P14" s="109">
        <f t="shared" si="1"/>
        <v>39.064501783453672</v>
      </c>
      <c r="Q14">
        <f t="shared" si="2"/>
        <v>972.65551181102376</v>
      </c>
      <c r="R14">
        <f t="shared" si="3"/>
        <v>603.58464566929149</v>
      </c>
    </row>
    <row r="15" spans="1:30" ht="15.6" x14ac:dyDescent="0.3">
      <c r="A15" s="175"/>
      <c r="B15" s="412"/>
      <c r="C15" s="172">
        <v>14</v>
      </c>
      <c r="D15" s="172" t="s">
        <v>117</v>
      </c>
      <c r="E15" s="330">
        <v>5</v>
      </c>
      <c r="F15" s="173" t="s">
        <v>196</v>
      </c>
      <c r="G15" s="287">
        <v>7.87</v>
      </c>
      <c r="H15" s="287">
        <v>49.2</v>
      </c>
      <c r="I15" s="287">
        <v>1.86</v>
      </c>
      <c r="J15" s="287">
        <f>210/25.4</f>
        <v>8.2677165354330722</v>
      </c>
      <c r="K15" s="290">
        <v>1.34</v>
      </c>
      <c r="L15" s="288">
        <v>31.4</v>
      </c>
      <c r="M15" s="358">
        <f t="shared" si="0"/>
        <v>15.377952755905515</v>
      </c>
      <c r="N15" s="363">
        <v>70.099999999999994</v>
      </c>
      <c r="O15" s="362">
        <v>39.25</v>
      </c>
      <c r="P15" s="109">
        <f t="shared" si="1"/>
        <v>39.064501783453672</v>
      </c>
      <c r="Q15">
        <f t="shared" si="2"/>
        <v>1077.9944881889764</v>
      </c>
      <c r="R15">
        <f t="shared" si="3"/>
        <v>603.58464566929149</v>
      </c>
    </row>
    <row r="16" spans="1:30" ht="15.6" x14ac:dyDescent="0.3">
      <c r="A16" s="175"/>
      <c r="B16" s="412"/>
      <c r="C16" s="172">
        <v>15</v>
      </c>
      <c r="D16" s="172" t="s">
        <v>118</v>
      </c>
      <c r="E16" s="330">
        <v>3</v>
      </c>
      <c r="F16" s="173" t="s">
        <v>196</v>
      </c>
      <c r="G16" s="287">
        <v>7.87</v>
      </c>
      <c r="H16" s="287">
        <v>49.2</v>
      </c>
      <c r="I16" s="287">
        <v>1.86</v>
      </c>
      <c r="J16" s="287">
        <f>210/25.4</f>
        <v>8.2677165354330722</v>
      </c>
      <c r="K16" s="290">
        <v>1.34</v>
      </c>
      <c r="L16" s="288">
        <v>31.4</v>
      </c>
      <c r="M16" s="358">
        <f t="shared" si="0"/>
        <v>15.377952755905515</v>
      </c>
      <c r="N16" s="363">
        <v>62</v>
      </c>
      <c r="O16" s="362">
        <v>39.25</v>
      </c>
      <c r="P16" s="109">
        <f t="shared" si="1"/>
        <v>39.064501783453672</v>
      </c>
      <c r="Q16">
        <f t="shared" si="2"/>
        <v>953.43307086614186</v>
      </c>
      <c r="R16">
        <f t="shared" si="3"/>
        <v>603.58464566929149</v>
      </c>
    </row>
    <row r="17" spans="1:30" ht="15.6" x14ac:dyDescent="0.3">
      <c r="A17" s="175"/>
      <c r="B17" s="412"/>
      <c r="C17" s="172">
        <v>16</v>
      </c>
      <c r="D17" s="172" t="s">
        <v>119</v>
      </c>
      <c r="E17" s="330">
        <v>5</v>
      </c>
      <c r="F17" s="173" t="s">
        <v>196</v>
      </c>
      <c r="G17" s="287">
        <v>7.87</v>
      </c>
      <c r="H17" s="287">
        <v>49.2</v>
      </c>
      <c r="I17" s="287">
        <v>1.1399999999999999</v>
      </c>
      <c r="J17" s="287">
        <f>307/25.4</f>
        <v>12.086614173228346</v>
      </c>
      <c r="K17" s="290">
        <v>1.3</v>
      </c>
      <c r="L17" s="288">
        <v>31.4</v>
      </c>
      <c r="M17" s="358">
        <f t="shared" si="0"/>
        <v>13.778740157480314</v>
      </c>
      <c r="N17" s="363">
        <v>151</v>
      </c>
      <c r="O17" s="362">
        <v>57.37</v>
      </c>
      <c r="P17" s="109">
        <f t="shared" si="1"/>
        <v>57.108581178667968</v>
      </c>
      <c r="Q17">
        <f t="shared" si="2"/>
        <v>2080.5897637795274</v>
      </c>
      <c r="R17">
        <f t="shared" si="3"/>
        <v>790.48632283464553</v>
      </c>
    </row>
    <row r="18" spans="1:30" ht="18" customHeight="1" x14ac:dyDescent="0.3">
      <c r="A18" s="175"/>
      <c r="B18" s="412"/>
      <c r="C18" s="172">
        <v>17</v>
      </c>
      <c r="D18" s="172" t="s">
        <v>120</v>
      </c>
      <c r="E18" s="330">
        <v>3</v>
      </c>
      <c r="F18" s="173" t="s">
        <v>196</v>
      </c>
      <c r="G18" s="287">
        <v>7.87</v>
      </c>
      <c r="H18" s="287">
        <v>49.2</v>
      </c>
      <c r="I18" s="287">
        <v>1.1399999999999999</v>
      </c>
      <c r="J18" s="287">
        <f>307/25.4</f>
        <v>12.086614173228346</v>
      </c>
      <c r="K18" s="290">
        <v>1.3</v>
      </c>
      <c r="L18" s="288">
        <v>31.4</v>
      </c>
      <c r="M18" s="358">
        <f t="shared" si="0"/>
        <v>13.778740157480314</v>
      </c>
      <c r="N18" s="363">
        <v>187.25</v>
      </c>
      <c r="O18" s="362">
        <v>57.37</v>
      </c>
      <c r="P18" s="109">
        <f t="shared" si="1"/>
        <v>57.108581178667968</v>
      </c>
      <c r="Q18">
        <f t="shared" si="2"/>
        <v>2580.069094488189</v>
      </c>
      <c r="R18">
        <f t="shared" si="3"/>
        <v>790.48632283464553</v>
      </c>
    </row>
    <row r="19" spans="1:30" ht="19.5" customHeight="1" x14ac:dyDescent="0.3">
      <c r="A19" s="175"/>
      <c r="B19" s="413" t="s">
        <v>138</v>
      </c>
      <c r="C19" s="348">
        <v>18</v>
      </c>
      <c r="D19" s="348" t="s">
        <v>55</v>
      </c>
      <c r="E19" s="349">
        <v>9</v>
      </c>
      <c r="F19" s="350" t="s">
        <v>197</v>
      </c>
      <c r="G19" s="351">
        <v>22.5</v>
      </c>
      <c r="H19" s="351">
        <v>194.25</v>
      </c>
      <c r="I19" s="351">
        <v>2.2799999999999998</v>
      </c>
      <c r="J19" s="351">
        <v>26.25</v>
      </c>
      <c r="K19" s="352">
        <v>0.69</v>
      </c>
      <c r="L19" s="351">
        <v>24.82</v>
      </c>
      <c r="M19" s="360">
        <f t="shared" si="0"/>
        <v>59.849999999999994</v>
      </c>
      <c r="N19" s="360">
        <v>324.7</v>
      </c>
      <c r="O19" s="360">
        <v>315.26072484614241</v>
      </c>
      <c r="P19" s="109">
        <f t="shared" si="1"/>
        <v>315.26072484614241</v>
      </c>
      <c r="Q19">
        <f t="shared" si="2"/>
        <v>19433.294999999998</v>
      </c>
      <c r="R19">
        <f t="shared" si="3"/>
        <v>18868.35438204162</v>
      </c>
    </row>
    <row r="20" spans="1:30" ht="15.6" x14ac:dyDescent="0.3">
      <c r="A20" s="175"/>
      <c r="B20" s="413"/>
      <c r="C20" s="348">
        <v>19</v>
      </c>
      <c r="D20" s="348" t="s">
        <v>56</v>
      </c>
      <c r="E20" s="349">
        <v>7</v>
      </c>
      <c r="F20" s="350" t="s">
        <v>197</v>
      </c>
      <c r="G20" s="351">
        <v>22.5</v>
      </c>
      <c r="H20" s="351">
        <v>195</v>
      </c>
      <c r="I20" s="351">
        <v>2.2799999999999998</v>
      </c>
      <c r="J20" s="351">
        <v>26.25</v>
      </c>
      <c r="K20" s="352">
        <v>0.69</v>
      </c>
      <c r="L20" s="351">
        <v>32.4</v>
      </c>
      <c r="M20" s="360">
        <f t="shared" si="0"/>
        <v>59.849999999999994</v>
      </c>
      <c r="N20" s="360">
        <v>293.55</v>
      </c>
      <c r="O20" s="360">
        <v>360.19815692107983</v>
      </c>
      <c r="P20" s="109">
        <f t="shared" si="1"/>
        <v>360.19815692107983</v>
      </c>
      <c r="Q20">
        <f t="shared" si="2"/>
        <v>17568.967499999999</v>
      </c>
      <c r="R20">
        <f t="shared" si="3"/>
        <v>21557.859691726626</v>
      </c>
    </row>
    <row r="21" spans="1:30" ht="15.6" x14ac:dyDescent="0.3">
      <c r="A21" s="175"/>
      <c r="B21" s="413"/>
      <c r="C21" s="348">
        <v>20</v>
      </c>
      <c r="D21" s="348" t="s">
        <v>69</v>
      </c>
      <c r="E21" s="349">
        <v>7</v>
      </c>
      <c r="F21" s="350" t="s">
        <v>197</v>
      </c>
      <c r="G21" s="351">
        <v>9</v>
      </c>
      <c r="H21" s="351">
        <v>78.125</v>
      </c>
      <c r="I21" s="351">
        <v>2.2799999999999998</v>
      </c>
      <c r="J21" s="351">
        <v>10.5</v>
      </c>
      <c r="K21" s="352">
        <v>0.85</v>
      </c>
      <c r="L21" s="351">
        <v>24.82</v>
      </c>
      <c r="M21" s="360">
        <f t="shared" si="0"/>
        <v>23.939999999999998</v>
      </c>
      <c r="N21" s="360">
        <v>75.599999999999994</v>
      </c>
      <c r="O21" s="360">
        <v>50.441715975382785</v>
      </c>
      <c r="P21" s="109">
        <f t="shared" si="1"/>
        <v>50.441715975382785</v>
      </c>
      <c r="Q21">
        <f t="shared" si="2"/>
        <v>1809.8639999999998</v>
      </c>
      <c r="R21">
        <f t="shared" si="3"/>
        <v>1207.5746804506637</v>
      </c>
    </row>
    <row r="22" spans="1:30" ht="15.6" x14ac:dyDescent="0.3">
      <c r="A22" s="175"/>
      <c r="B22" s="413"/>
      <c r="C22" s="348">
        <v>21</v>
      </c>
      <c r="D22" s="348" t="s">
        <v>70</v>
      </c>
      <c r="E22" s="349">
        <v>6</v>
      </c>
      <c r="F22" s="350" t="s">
        <v>197</v>
      </c>
      <c r="G22" s="351">
        <v>9</v>
      </c>
      <c r="H22" s="351">
        <v>78.125</v>
      </c>
      <c r="I22" s="351">
        <v>2.2799999999999998</v>
      </c>
      <c r="J22" s="351">
        <v>10.5</v>
      </c>
      <c r="K22" s="352">
        <v>0.85</v>
      </c>
      <c r="L22" s="351">
        <v>24.82</v>
      </c>
      <c r="M22" s="360">
        <f t="shared" si="0"/>
        <v>23.939999999999998</v>
      </c>
      <c r="N22" s="360">
        <v>88.95</v>
      </c>
      <c r="O22" s="360">
        <v>50.441715975382785</v>
      </c>
      <c r="P22" s="109">
        <f t="shared" si="1"/>
        <v>50.441715975382785</v>
      </c>
      <c r="Q22">
        <f t="shared" si="2"/>
        <v>2129.4629999999997</v>
      </c>
      <c r="R22">
        <f t="shared" si="3"/>
        <v>1207.5746804506637</v>
      </c>
    </row>
    <row r="23" spans="1:30" ht="15.6" x14ac:dyDescent="0.3">
      <c r="A23" s="175"/>
      <c r="B23" s="413"/>
      <c r="C23" s="348">
        <v>22</v>
      </c>
      <c r="D23" s="348" t="s">
        <v>71</v>
      </c>
      <c r="E23" s="349">
        <v>8</v>
      </c>
      <c r="F23" s="350" t="s">
        <v>197</v>
      </c>
      <c r="G23" s="351">
        <v>9</v>
      </c>
      <c r="H23" s="351">
        <v>78.125</v>
      </c>
      <c r="I23" s="351">
        <v>2.2799999999999998</v>
      </c>
      <c r="J23" s="351">
        <v>10.5</v>
      </c>
      <c r="K23" s="352">
        <v>0.55000000000000004</v>
      </c>
      <c r="L23" s="351">
        <v>33.78</v>
      </c>
      <c r="M23" s="360">
        <f t="shared" si="0"/>
        <v>23.939999999999998</v>
      </c>
      <c r="N23" s="360">
        <v>97.85</v>
      </c>
      <c r="O23" s="360">
        <v>58.846249182011164</v>
      </c>
      <c r="P23" s="109">
        <f t="shared" si="1"/>
        <v>58.846249182011164</v>
      </c>
      <c r="Q23">
        <f t="shared" si="2"/>
        <v>2342.5289999999995</v>
      </c>
      <c r="R23">
        <f t="shared" si="3"/>
        <v>1408.7792054173472</v>
      </c>
      <c r="AC23" t="s">
        <v>198</v>
      </c>
      <c r="AD23" t="s">
        <v>215</v>
      </c>
    </row>
    <row r="24" spans="1:30" ht="15.6" x14ac:dyDescent="0.3">
      <c r="A24" s="175"/>
      <c r="B24" s="413"/>
      <c r="C24" s="348">
        <v>23</v>
      </c>
      <c r="D24" s="348" t="s">
        <v>72</v>
      </c>
      <c r="E24" s="349">
        <v>7</v>
      </c>
      <c r="F24" s="350" t="s">
        <v>197</v>
      </c>
      <c r="G24" s="351">
        <v>9</v>
      </c>
      <c r="H24" s="351">
        <f>78+3/16</f>
        <v>78.1875</v>
      </c>
      <c r="I24" s="351">
        <v>2.2799999999999998</v>
      </c>
      <c r="J24" s="351">
        <v>10.5</v>
      </c>
      <c r="K24" s="352">
        <v>0.55000000000000004</v>
      </c>
      <c r="L24" s="351">
        <v>32.4</v>
      </c>
      <c r="M24" s="360">
        <f t="shared" si="0"/>
        <v>23.939999999999998</v>
      </c>
      <c r="N24" s="360">
        <v>86.7</v>
      </c>
      <c r="O24" s="360">
        <v>57.631705107372774</v>
      </c>
      <c r="P24" s="109">
        <f t="shared" si="1"/>
        <v>57.631705107372774</v>
      </c>
      <c r="Q24">
        <f t="shared" si="2"/>
        <v>2075.598</v>
      </c>
      <c r="R24">
        <f t="shared" si="3"/>
        <v>1379.7030202705041</v>
      </c>
      <c r="AB24" t="s">
        <v>222</v>
      </c>
      <c r="AC24">
        <v>5</v>
      </c>
      <c r="AD24">
        <f t="array" ref="AD24:AD35">FREQUENCY(J2:J88,AC24:AC35)</f>
        <v>6</v>
      </c>
    </row>
    <row r="25" spans="1:30" ht="15.6" x14ac:dyDescent="0.3">
      <c r="A25" s="175"/>
      <c r="B25" s="413"/>
      <c r="C25" s="348">
        <v>24</v>
      </c>
      <c r="D25" s="348" t="s">
        <v>73</v>
      </c>
      <c r="E25" s="349">
        <v>4</v>
      </c>
      <c r="F25" s="350" t="s">
        <v>197</v>
      </c>
      <c r="G25" s="351">
        <v>9</v>
      </c>
      <c r="H25" s="351">
        <v>78.125</v>
      </c>
      <c r="I25" s="351">
        <v>2.2799999999999998</v>
      </c>
      <c r="J25" s="351">
        <v>10.5</v>
      </c>
      <c r="K25" s="352">
        <v>0.55000000000000004</v>
      </c>
      <c r="L25" s="351">
        <v>18.600000000000001</v>
      </c>
      <c r="M25" s="360">
        <f t="shared" si="0"/>
        <v>23.939999999999998</v>
      </c>
      <c r="N25" s="360">
        <v>48.924999999999997</v>
      </c>
      <c r="O25" s="360">
        <v>43.666203653414307</v>
      </c>
      <c r="P25" s="109">
        <f t="shared" si="1"/>
        <v>43.666203653414307</v>
      </c>
      <c r="Q25">
        <f t="shared" si="2"/>
        <v>1171.2644999999998</v>
      </c>
      <c r="R25">
        <f t="shared" si="3"/>
        <v>1045.3689154627384</v>
      </c>
      <c r="AB25" s="317" t="s">
        <v>223</v>
      </c>
      <c r="AC25">
        <v>10</v>
      </c>
      <c r="AD25">
        <v>11</v>
      </c>
    </row>
    <row r="26" spans="1:30" ht="15.6" x14ac:dyDescent="0.3">
      <c r="A26" s="175"/>
      <c r="B26" s="413"/>
      <c r="C26" s="348">
        <v>25</v>
      </c>
      <c r="D26" s="348" t="s">
        <v>74</v>
      </c>
      <c r="E26" s="349">
        <v>4</v>
      </c>
      <c r="F26" s="350" t="s">
        <v>197</v>
      </c>
      <c r="G26" s="351">
        <v>9</v>
      </c>
      <c r="H26" s="351">
        <v>78</v>
      </c>
      <c r="I26" s="351">
        <v>2.2799999999999998</v>
      </c>
      <c r="J26" s="351">
        <v>10.5</v>
      </c>
      <c r="K26" s="352">
        <v>0.55000000000000004</v>
      </c>
      <c r="L26" s="351">
        <v>19.3</v>
      </c>
      <c r="M26" s="360">
        <f t="shared" si="0"/>
        <v>23.939999999999998</v>
      </c>
      <c r="N26" s="360">
        <v>51</v>
      </c>
      <c r="O26" s="360">
        <v>44.480290845592471</v>
      </c>
      <c r="P26" s="109">
        <f t="shared" si="1"/>
        <v>44.480290845592471</v>
      </c>
      <c r="Q26">
        <f t="shared" si="2"/>
        <v>1220.9399999999998</v>
      </c>
      <c r="R26">
        <f t="shared" si="3"/>
        <v>1064.8581628434836</v>
      </c>
      <c r="AB26" s="317" t="s">
        <v>225</v>
      </c>
      <c r="AC26">
        <v>15</v>
      </c>
      <c r="AD26">
        <v>32</v>
      </c>
    </row>
    <row r="27" spans="1:30" ht="19.5" customHeight="1" x14ac:dyDescent="0.3">
      <c r="A27" s="175"/>
      <c r="B27" s="414" t="s">
        <v>139</v>
      </c>
      <c r="C27" s="173">
        <v>26</v>
      </c>
      <c r="D27" s="173" t="s">
        <v>126</v>
      </c>
      <c r="E27" s="330">
        <v>11</v>
      </c>
      <c r="F27" s="173" t="s">
        <v>197</v>
      </c>
      <c r="G27" s="173">
        <v>12</v>
      </c>
      <c r="H27" s="173">
        <v>55</v>
      </c>
      <c r="I27" s="173">
        <v>3.01</v>
      </c>
      <c r="J27" s="173">
        <f>232/25.4</f>
        <v>9.1338582677165352</v>
      </c>
      <c r="K27" s="173">
        <v>1.2</v>
      </c>
      <c r="L27" s="173">
        <v>66.099999999999994</v>
      </c>
      <c r="M27" s="358">
        <f t="shared" si="0"/>
        <v>27.492913385826768</v>
      </c>
      <c r="N27" s="160">
        <v>133.5</v>
      </c>
      <c r="O27" s="362">
        <f>P27</f>
        <v>95.475820516409613</v>
      </c>
      <c r="P27" s="109">
        <f t="shared" si="1"/>
        <v>95.475820516409613</v>
      </c>
      <c r="Q27">
        <f t="shared" si="2"/>
        <v>3670.3039370078736</v>
      </c>
      <c r="R27">
        <f t="shared" si="3"/>
        <v>2624.9084638983918</v>
      </c>
      <c r="AB27" s="318" t="s">
        <v>226</v>
      </c>
      <c r="AC27">
        <v>20</v>
      </c>
      <c r="AD27">
        <v>5</v>
      </c>
    </row>
    <row r="28" spans="1:30" ht="15.6" x14ac:dyDescent="0.3">
      <c r="A28" s="175"/>
      <c r="B28" s="414"/>
      <c r="C28" s="173">
        <v>27</v>
      </c>
      <c r="D28" s="173" t="s">
        <v>127</v>
      </c>
      <c r="E28" s="330">
        <v>10</v>
      </c>
      <c r="F28" s="173" t="s">
        <v>197</v>
      </c>
      <c r="G28" s="173">
        <v>12</v>
      </c>
      <c r="H28" s="173">
        <v>126.5</v>
      </c>
      <c r="I28" s="173">
        <v>2.98</v>
      </c>
      <c r="J28" s="173">
        <f>530/25.4</f>
        <v>20.866141732283467</v>
      </c>
      <c r="K28" s="173">
        <v>1.25</v>
      </c>
      <c r="L28" s="173">
        <v>66.099999999999994</v>
      </c>
      <c r="M28" s="358">
        <f t="shared" si="0"/>
        <v>62.181102362204733</v>
      </c>
      <c r="N28" s="160">
        <v>136.6</v>
      </c>
      <c r="O28" s="362">
        <f t="shared" ref="O28:O34" si="4">P28</f>
        <v>218.1128658349013</v>
      </c>
      <c r="P28" s="109">
        <f t="shared" si="1"/>
        <v>218.1128658349013</v>
      </c>
      <c r="Q28">
        <f t="shared" si="2"/>
        <v>8493.9385826771668</v>
      </c>
      <c r="R28">
        <f t="shared" si="3"/>
        <v>13562.498436993825</v>
      </c>
      <c r="AB28" s="318" t="s">
        <v>228</v>
      </c>
      <c r="AC28">
        <v>25</v>
      </c>
      <c r="AD28">
        <v>2</v>
      </c>
    </row>
    <row r="29" spans="1:30" ht="15.6" x14ac:dyDescent="0.3">
      <c r="A29" s="175"/>
      <c r="B29" s="414"/>
      <c r="C29" s="173">
        <v>28</v>
      </c>
      <c r="D29" s="173" t="s">
        <v>128</v>
      </c>
      <c r="E29" s="330">
        <v>10</v>
      </c>
      <c r="F29" s="173" t="s">
        <v>197</v>
      </c>
      <c r="G29" s="173">
        <v>12</v>
      </c>
      <c r="H29" s="173">
        <v>160</v>
      </c>
      <c r="I29" s="173">
        <v>2.98</v>
      </c>
      <c r="J29" s="173">
        <f>681/25.4</f>
        <v>26.811023622047244</v>
      </c>
      <c r="K29" s="173">
        <v>1.24</v>
      </c>
      <c r="L29" s="173">
        <v>65</v>
      </c>
      <c r="M29" s="358">
        <f t="shared" si="0"/>
        <v>79.896850393700788</v>
      </c>
      <c r="N29" s="160">
        <v>146</v>
      </c>
      <c r="O29" s="362">
        <f t="shared" si="4"/>
        <v>277.91275211563118</v>
      </c>
      <c r="P29" s="109">
        <f t="shared" si="1"/>
        <v>277.91275211563118</v>
      </c>
      <c r="Q29">
        <f t="shared" si="2"/>
        <v>11664.940157480316</v>
      </c>
      <c r="R29">
        <f t="shared" si="3"/>
        <v>22204.353578284237</v>
      </c>
      <c r="AB29" s="318" t="s">
        <v>227</v>
      </c>
      <c r="AC29">
        <v>30</v>
      </c>
      <c r="AD29">
        <v>8</v>
      </c>
    </row>
    <row r="30" spans="1:30" ht="15.6" x14ac:dyDescent="0.3">
      <c r="A30" s="175">
        <v>1</v>
      </c>
      <c r="B30" s="414"/>
      <c r="C30" s="173">
        <v>29</v>
      </c>
      <c r="D30" s="173" t="s">
        <v>129</v>
      </c>
      <c r="E30" s="330">
        <v>10</v>
      </c>
      <c r="F30" s="173" t="s">
        <v>197</v>
      </c>
      <c r="G30" s="173">
        <v>12</v>
      </c>
      <c r="H30" s="173">
        <v>194</v>
      </c>
      <c r="I30" s="173">
        <v>3</v>
      </c>
      <c r="J30" s="173">
        <f>822/25.4</f>
        <v>32.362204724409452</v>
      </c>
      <c r="K30" s="173">
        <v>1.3</v>
      </c>
      <c r="L30" s="173">
        <v>74.8</v>
      </c>
      <c r="M30" s="358">
        <f t="shared" si="0"/>
        <v>97.086614173228355</v>
      </c>
      <c r="N30" s="160">
        <v>160</v>
      </c>
      <c r="O30" s="362">
        <f t="shared" si="4"/>
        <v>359.85480101280268</v>
      </c>
      <c r="P30" s="109">
        <f t="shared" si="1"/>
        <v>359.85480101280268</v>
      </c>
      <c r="Q30">
        <f t="shared" si="2"/>
        <v>15533.858267716536</v>
      </c>
      <c r="R30">
        <f t="shared" si="3"/>
        <v>34937.08422431384</v>
      </c>
      <c r="AB30" s="318" t="s">
        <v>229</v>
      </c>
      <c r="AC30">
        <v>35</v>
      </c>
      <c r="AD30">
        <v>2</v>
      </c>
    </row>
    <row r="31" spans="1:30" ht="15.6" x14ac:dyDescent="0.3">
      <c r="A31" s="175"/>
      <c r="B31" s="414"/>
      <c r="C31" s="173">
        <v>30</v>
      </c>
      <c r="D31" s="173" t="s">
        <v>130</v>
      </c>
      <c r="E31" s="330">
        <v>11</v>
      </c>
      <c r="F31" s="173" t="s">
        <v>197</v>
      </c>
      <c r="G31" s="173">
        <v>8</v>
      </c>
      <c r="H31" s="173">
        <v>55</v>
      </c>
      <c r="I31" s="173">
        <v>2.99</v>
      </c>
      <c r="J31" s="173">
        <f>233/25.4</f>
        <v>9.1732283464566926</v>
      </c>
      <c r="K31" s="173">
        <v>1.26</v>
      </c>
      <c r="L31" s="173">
        <v>68.599999999999994</v>
      </c>
      <c r="M31" s="358">
        <f t="shared" si="0"/>
        <v>27.427952755905512</v>
      </c>
      <c r="N31" s="160">
        <v>58.6</v>
      </c>
      <c r="O31" s="362">
        <f t="shared" si="4"/>
        <v>65.122551005708502</v>
      </c>
      <c r="P31" s="109">
        <f t="shared" si="1"/>
        <v>65.122551005708502</v>
      </c>
      <c r="Q31">
        <f t="shared" si="2"/>
        <v>1607.278031496063</v>
      </c>
      <c r="R31">
        <f t="shared" si="3"/>
        <v>1786.1782523286197</v>
      </c>
      <c r="AB31" s="318" t="s">
        <v>230</v>
      </c>
      <c r="AC31">
        <v>40</v>
      </c>
      <c r="AD31">
        <v>7</v>
      </c>
    </row>
    <row r="32" spans="1:30" ht="15.6" x14ac:dyDescent="0.3">
      <c r="A32" s="175"/>
      <c r="B32" s="414"/>
      <c r="C32" s="173">
        <v>31</v>
      </c>
      <c r="D32" s="173" t="s">
        <v>131</v>
      </c>
      <c r="E32" s="330">
        <v>10</v>
      </c>
      <c r="F32" s="173" t="s">
        <v>197</v>
      </c>
      <c r="G32" s="173">
        <v>16</v>
      </c>
      <c r="H32" s="173">
        <v>126.5</v>
      </c>
      <c r="I32" s="173">
        <v>2.99</v>
      </c>
      <c r="J32" s="173">
        <f>529/25.4</f>
        <v>20.826771653543307</v>
      </c>
      <c r="K32" s="173">
        <v>1.2</v>
      </c>
      <c r="L32" s="173">
        <v>64.8</v>
      </c>
      <c r="M32" s="358">
        <f t="shared" si="0"/>
        <v>62.272047244094495</v>
      </c>
      <c r="N32" s="160">
        <v>153.6</v>
      </c>
      <c r="O32" s="362">
        <f t="shared" si="4"/>
        <v>287.39988916950136</v>
      </c>
      <c r="P32" s="109">
        <f t="shared" si="1"/>
        <v>287.39988916950136</v>
      </c>
      <c r="Q32">
        <f t="shared" si="2"/>
        <v>9564.9864566929136</v>
      </c>
      <c r="R32">
        <f t="shared" si="3"/>
        <v>17896.979476310709</v>
      </c>
      <c r="AB32" s="318" t="s">
        <v>231</v>
      </c>
      <c r="AC32">
        <v>45</v>
      </c>
      <c r="AD32">
        <v>0</v>
      </c>
    </row>
    <row r="33" spans="1:30" ht="15.6" x14ac:dyDescent="0.3">
      <c r="A33" s="175"/>
      <c r="B33" s="414"/>
      <c r="C33" s="173">
        <v>32</v>
      </c>
      <c r="D33" s="173" t="s">
        <v>132</v>
      </c>
      <c r="E33" s="330">
        <v>14</v>
      </c>
      <c r="F33" s="173" t="s">
        <v>197</v>
      </c>
      <c r="G33" s="173">
        <v>20</v>
      </c>
      <c r="H33" s="173">
        <v>160</v>
      </c>
      <c r="I33" s="173">
        <v>2.97</v>
      </c>
      <c r="J33" s="173">
        <f>684/25.4</f>
        <v>26.929133858267718</v>
      </c>
      <c r="K33" s="173">
        <v>1.3</v>
      </c>
      <c r="L33" s="173">
        <v>68.099999999999994</v>
      </c>
      <c r="M33" s="358">
        <f t="shared" si="0"/>
        <v>79.979527559055128</v>
      </c>
      <c r="N33" s="160">
        <v>253.7</v>
      </c>
      <c r="O33" s="362">
        <f t="shared" si="4"/>
        <v>476.19309321559643</v>
      </c>
      <c r="P33" s="109">
        <f t="shared" si="1"/>
        <v>476.19309321559643</v>
      </c>
      <c r="Q33">
        <f t="shared" si="2"/>
        <v>20290.806141732286</v>
      </c>
      <c r="R33">
        <f t="shared" si="3"/>
        <v>38085.698622268501</v>
      </c>
      <c r="AB33" s="318" t="s">
        <v>232</v>
      </c>
      <c r="AC33">
        <v>50</v>
      </c>
      <c r="AD33">
        <v>0</v>
      </c>
    </row>
    <row r="34" spans="1:30" ht="15.6" x14ac:dyDescent="0.3">
      <c r="A34" s="175"/>
      <c r="B34" s="415"/>
      <c r="C34" s="173">
        <v>33</v>
      </c>
      <c r="D34" s="173" t="s">
        <v>133</v>
      </c>
      <c r="E34" s="330">
        <v>12</v>
      </c>
      <c r="F34" s="173" t="s">
        <v>197</v>
      </c>
      <c r="G34" s="173">
        <v>24</v>
      </c>
      <c r="H34" s="173">
        <v>194</v>
      </c>
      <c r="I34" s="173">
        <v>3</v>
      </c>
      <c r="J34" s="173">
        <f>822/25.4</f>
        <v>32.362204724409452</v>
      </c>
      <c r="K34" s="173">
        <v>1.3</v>
      </c>
      <c r="L34" s="173">
        <v>72.900000000000006</v>
      </c>
      <c r="M34" s="358">
        <f t="shared" ref="M34:M65" si="5">I34*J34</f>
        <v>97.086614173228355</v>
      </c>
      <c r="N34" s="160">
        <v>330.09</v>
      </c>
      <c r="O34" s="362">
        <f t="shared" si="4"/>
        <v>710.51011021012994</v>
      </c>
      <c r="P34" s="109">
        <f t="shared" si="1"/>
        <v>710.51011021012994</v>
      </c>
      <c r="Q34">
        <f t="shared" si="2"/>
        <v>32047.320472440944</v>
      </c>
      <c r="R34">
        <f t="shared" si="3"/>
        <v>68981.020936148838</v>
      </c>
      <c r="AB34" s="318" t="s">
        <v>233</v>
      </c>
      <c r="AC34">
        <v>55</v>
      </c>
      <c r="AD34">
        <v>0</v>
      </c>
    </row>
    <row r="35" spans="1:30" ht="15.6" x14ac:dyDescent="0.3">
      <c r="A35" s="175"/>
      <c r="B35" s="417" t="s">
        <v>199</v>
      </c>
      <c r="C35" s="348">
        <v>34</v>
      </c>
      <c r="D35" s="348" t="s">
        <v>172</v>
      </c>
      <c r="E35" s="349">
        <v>9</v>
      </c>
      <c r="F35" s="350" t="s">
        <v>197</v>
      </c>
      <c r="G35" s="351">
        <v>22.56</v>
      </c>
      <c r="H35" s="351">
        <v>195</v>
      </c>
      <c r="I35" s="351">
        <v>2.2799999999999998</v>
      </c>
      <c r="J35" s="351">
        <f>26+3/8</f>
        <v>26.375</v>
      </c>
      <c r="K35" s="352">
        <v>0.79</v>
      </c>
      <c r="L35" s="351">
        <v>22.76</v>
      </c>
      <c r="M35" s="360">
        <f t="shared" si="5"/>
        <v>60.134999999999998</v>
      </c>
      <c r="N35" s="360">
        <v>422</v>
      </c>
      <c r="O35" s="360">
        <f>P35</f>
        <v>304.14091473389425</v>
      </c>
      <c r="P35" s="109">
        <f t="shared" si="1"/>
        <v>304.14091473389425</v>
      </c>
      <c r="Q35">
        <f t="shared" si="2"/>
        <v>25376.969999999998</v>
      </c>
      <c r="R35">
        <f t="shared" si="3"/>
        <v>18289.513907522731</v>
      </c>
      <c r="AB35" s="318" t="s">
        <v>234</v>
      </c>
      <c r="AC35">
        <v>60</v>
      </c>
      <c r="AD35">
        <v>9</v>
      </c>
    </row>
    <row r="36" spans="1:30" ht="18" x14ac:dyDescent="0.35">
      <c r="A36" s="174"/>
      <c r="B36" s="418"/>
      <c r="C36" s="348">
        <v>35</v>
      </c>
      <c r="D36" s="348" t="s">
        <v>173</v>
      </c>
      <c r="E36" s="349">
        <v>13</v>
      </c>
      <c r="F36" s="350" t="s">
        <v>197</v>
      </c>
      <c r="G36" s="351">
        <v>22.56</v>
      </c>
      <c r="H36" s="351">
        <v>195</v>
      </c>
      <c r="I36" s="351">
        <v>2.2799999999999998</v>
      </c>
      <c r="J36" s="351">
        <f>26+7/16</f>
        <v>26.4375</v>
      </c>
      <c r="K36" s="352">
        <v>0.79</v>
      </c>
      <c r="L36" s="351">
        <v>31.03</v>
      </c>
      <c r="M36" s="360">
        <f t="shared" si="5"/>
        <v>60.277499999999996</v>
      </c>
      <c r="N36" s="360">
        <v>406</v>
      </c>
      <c r="O36" s="360">
        <f t="shared" ref="O36:O44" si="6">P36</f>
        <v>355.96518421728706</v>
      </c>
      <c r="P36" s="109">
        <f t="shared" si="1"/>
        <v>355.96518421728706</v>
      </c>
      <c r="Q36">
        <f t="shared" si="2"/>
        <v>24472.664999999997</v>
      </c>
      <c r="R36">
        <f t="shared" si="3"/>
        <v>21456.691391657518</v>
      </c>
    </row>
    <row r="37" spans="1:30" ht="15.6" x14ac:dyDescent="0.3">
      <c r="B37" s="418"/>
      <c r="C37" s="348">
        <v>36</v>
      </c>
      <c r="D37" s="348" t="s">
        <v>178</v>
      </c>
      <c r="E37" s="349">
        <v>6</v>
      </c>
      <c r="F37" s="350" t="s">
        <v>197</v>
      </c>
      <c r="G37" s="351">
        <f>9+1/16</f>
        <v>9.0625</v>
      </c>
      <c r="H37" s="351">
        <f>77+7/8</f>
        <v>77.875</v>
      </c>
      <c r="I37" s="351">
        <v>2.2799999999999998</v>
      </c>
      <c r="J37" s="351">
        <f>10+3/4</f>
        <v>10.75</v>
      </c>
      <c r="K37" s="352">
        <v>0.63</v>
      </c>
      <c r="L37" s="351">
        <v>30.34</v>
      </c>
      <c r="M37" s="360">
        <f t="shared" si="5"/>
        <v>24.509999999999998</v>
      </c>
      <c r="N37" s="360">
        <v>60</v>
      </c>
      <c r="O37" s="360">
        <f t="shared" si="6"/>
        <v>57.493854738296953</v>
      </c>
      <c r="P37" s="109">
        <f t="shared" si="1"/>
        <v>57.493854738296953</v>
      </c>
      <c r="Q37">
        <f t="shared" si="2"/>
        <v>1470.6</v>
      </c>
      <c r="R37">
        <f t="shared" si="3"/>
        <v>1409.1743796356582</v>
      </c>
    </row>
    <row r="38" spans="1:30" ht="15.6" x14ac:dyDescent="0.3">
      <c r="B38" s="418"/>
      <c r="C38" s="348">
        <v>37</v>
      </c>
      <c r="D38" s="348" t="s">
        <v>179</v>
      </c>
      <c r="E38" s="349">
        <v>7</v>
      </c>
      <c r="F38" s="350" t="s">
        <v>197</v>
      </c>
      <c r="G38" s="351">
        <v>9</v>
      </c>
      <c r="H38" s="351">
        <f>78+1/16</f>
        <v>78.0625</v>
      </c>
      <c r="I38" s="351">
        <v>2.2799999999999998</v>
      </c>
      <c r="J38" s="351">
        <f>10+3/4</f>
        <v>10.75</v>
      </c>
      <c r="K38" s="352">
        <v>0.63</v>
      </c>
      <c r="L38" s="351">
        <v>31.03</v>
      </c>
      <c r="M38" s="360">
        <f t="shared" si="5"/>
        <v>24.509999999999998</v>
      </c>
      <c r="N38" s="360">
        <v>66.7</v>
      </c>
      <c r="O38" s="360">
        <f t="shared" si="6"/>
        <v>57.742956546489154</v>
      </c>
      <c r="P38" s="109">
        <f t="shared" si="1"/>
        <v>57.742956546489154</v>
      </c>
      <c r="Q38">
        <f t="shared" si="2"/>
        <v>1634.817</v>
      </c>
      <c r="R38">
        <f t="shared" si="3"/>
        <v>1415.2798649544491</v>
      </c>
    </row>
    <row r="39" spans="1:30" ht="15.6" x14ac:dyDescent="0.3">
      <c r="B39" s="418"/>
      <c r="C39" s="348">
        <v>38</v>
      </c>
      <c r="D39" s="348" t="s">
        <v>180</v>
      </c>
      <c r="E39" s="349">
        <v>7</v>
      </c>
      <c r="F39" s="350" t="s">
        <v>197</v>
      </c>
      <c r="G39" s="351">
        <v>9.1</v>
      </c>
      <c r="H39" s="351">
        <f>77+15/16</f>
        <v>77.9375</v>
      </c>
      <c r="I39" s="351">
        <v>2.2799999999999998</v>
      </c>
      <c r="J39" s="351">
        <f>10+11/16</f>
        <v>10.6875</v>
      </c>
      <c r="K39" s="352">
        <v>0.63</v>
      </c>
      <c r="L39" s="351">
        <v>31.03</v>
      </c>
      <c r="M39" s="360">
        <f t="shared" si="5"/>
        <v>24.367499999999996</v>
      </c>
      <c r="N39" s="360">
        <v>68.900000000000006</v>
      </c>
      <c r="O39" s="360">
        <f t="shared" si="6"/>
        <v>58.045099923767296</v>
      </c>
      <c r="P39" s="109">
        <f t="shared" si="1"/>
        <v>58.045099923767296</v>
      </c>
      <c r="Q39">
        <f t="shared" si="2"/>
        <v>1678.9207499999998</v>
      </c>
      <c r="R39">
        <f t="shared" si="3"/>
        <v>1414.4139723923993</v>
      </c>
    </row>
    <row r="40" spans="1:30" ht="15.6" x14ac:dyDescent="0.3">
      <c r="B40" s="418"/>
      <c r="C40" s="348">
        <v>39</v>
      </c>
      <c r="D40" s="348" t="s">
        <v>181</v>
      </c>
      <c r="E40" s="349">
        <v>7</v>
      </c>
      <c r="F40" s="350" t="s">
        <v>197</v>
      </c>
      <c r="G40" s="351">
        <v>9</v>
      </c>
      <c r="H40" s="351">
        <f>78+1/8</f>
        <v>78.125</v>
      </c>
      <c r="I40" s="351">
        <v>2.2799999999999998</v>
      </c>
      <c r="J40" s="351">
        <f>10+11/16</f>
        <v>10.6875</v>
      </c>
      <c r="K40" s="352">
        <v>0.63</v>
      </c>
      <c r="L40" s="351">
        <v>31.71</v>
      </c>
      <c r="M40" s="360">
        <f t="shared" si="5"/>
        <v>24.367499999999996</v>
      </c>
      <c r="N40" s="360">
        <v>64.5</v>
      </c>
      <c r="O40" s="360">
        <f t="shared" si="6"/>
        <v>58.032851892469481</v>
      </c>
      <c r="P40" s="109">
        <f t="shared" si="1"/>
        <v>58.032851892469481</v>
      </c>
      <c r="Q40">
        <f t="shared" si="2"/>
        <v>1571.7037499999997</v>
      </c>
      <c r="R40">
        <f t="shared" si="3"/>
        <v>1414.1155184897498</v>
      </c>
    </row>
    <row r="41" spans="1:30" ht="15.6" x14ac:dyDescent="0.3">
      <c r="B41" s="418"/>
      <c r="C41" s="348">
        <v>40</v>
      </c>
      <c r="D41" s="348" t="s">
        <v>182</v>
      </c>
      <c r="E41" s="349">
        <v>10</v>
      </c>
      <c r="F41" s="350" t="s">
        <v>197</v>
      </c>
      <c r="G41" s="353">
        <v>22.5</v>
      </c>
      <c r="H41" s="351">
        <v>240</v>
      </c>
      <c r="I41" s="351">
        <v>2.85</v>
      </c>
      <c r="J41" s="351">
        <f>26+3/8</f>
        <v>26.375</v>
      </c>
      <c r="K41" s="352">
        <v>0.79</v>
      </c>
      <c r="L41" s="351">
        <v>29.65</v>
      </c>
      <c r="M41" s="360">
        <f t="shared" si="5"/>
        <v>75.168750000000003</v>
      </c>
      <c r="N41" s="360">
        <v>289.12</v>
      </c>
      <c r="O41" s="360">
        <f t="shared" si="6"/>
        <v>346.21389233163654</v>
      </c>
      <c r="P41" s="109">
        <f t="shared" si="1"/>
        <v>346.21389233163654</v>
      </c>
      <c r="Q41">
        <f t="shared" si="2"/>
        <v>21732.789000000001</v>
      </c>
      <c r="R41">
        <f t="shared" si="3"/>
        <v>26024.465519203706</v>
      </c>
    </row>
    <row r="42" spans="1:30" ht="15.6" x14ac:dyDescent="0.3">
      <c r="B42" s="418"/>
      <c r="C42" s="348">
        <v>41</v>
      </c>
      <c r="D42" s="348" t="s">
        <v>183</v>
      </c>
      <c r="E42" s="349">
        <v>10</v>
      </c>
      <c r="F42" s="350" t="s">
        <v>197</v>
      </c>
      <c r="G42" s="351">
        <v>22.5</v>
      </c>
      <c r="H42" s="351">
        <v>240</v>
      </c>
      <c r="I42" s="351">
        <v>2.85</v>
      </c>
      <c r="J42" s="351">
        <f>26+7/16</f>
        <v>26.4375</v>
      </c>
      <c r="K42" s="352">
        <v>0.79</v>
      </c>
      <c r="L42" s="351">
        <v>29.65</v>
      </c>
      <c r="M42" s="360">
        <f t="shared" si="5"/>
        <v>75.346874999999997</v>
      </c>
      <c r="N42" s="360">
        <v>300.2</v>
      </c>
      <c r="O42" s="360">
        <f t="shared" si="6"/>
        <v>347.03430439877314</v>
      </c>
      <c r="P42" s="109">
        <f t="shared" si="1"/>
        <v>347.03430439877314</v>
      </c>
      <c r="Q42">
        <f t="shared" si="2"/>
        <v>22619.131874999999</v>
      </c>
      <c r="R42">
        <f t="shared" si="3"/>
        <v>26147.95035424631</v>
      </c>
    </row>
    <row r="43" spans="1:30" ht="15.6" x14ac:dyDescent="0.3">
      <c r="B43" s="418"/>
      <c r="C43" s="348">
        <v>42</v>
      </c>
      <c r="D43" s="348" t="s">
        <v>184</v>
      </c>
      <c r="E43" s="349">
        <v>6</v>
      </c>
      <c r="F43" s="350" t="s">
        <v>197</v>
      </c>
      <c r="G43" s="351">
        <v>9.1</v>
      </c>
      <c r="H43" s="351">
        <f>89+15/16</f>
        <v>89.9375</v>
      </c>
      <c r="I43" s="351">
        <v>2.85</v>
      </c>
      <c r="J43" s="351">
        <f>10+5/8</f>
        <v>10.625</v>
      </c>
      <c r="K43" s="352">
        <v>0.98</v>
      </c>
      <c r="L43" s="351">
        <v>33.799999999999997</v>
      </c>
      <c r="M43" s="360">
        <f t="shared" si="5"/>
        <v>30.28125</v>
      </c>
      <c r="N43" s="360">
        <v>60</v>
      </c>
      <c r="O43" s="360">
        <f t="shared" si="6"/>
        <v>60.226251930410818</v>
      </c>
      <c r="P43" s="109">
        <f t="shared" si="1"/>
        <v>60.226251930410818</v>
      </c>
      <c r="Q43">
        <f t="shared" si="2"/>
        <v>1816.875</v>
      </c>
      <c r="R43">
        <f t="shared" si="3"/>
        <v>1823.7261912677525</v>
      </c>
    </row>
    <row r="44" spans="1:30" ht="15.6" x14ac:dyDescent="0.3">
      <c r="B44" s="419"/>
      <c r="C44" s="348">
        <v>43</v>
      </c>
      <c r="D44" s="348" t="s">
        <v>185</v>
      </c>
      <c r="E44" s="349">
        <v>7</v>
      </c>
      <c r="F44" s="350" t="s">
        <v>197</v>
      </c>
      <c r="G44" s="351">
        <v>9</v>
      </c>
      <c r="H44" s="351">
        <v>90</v>
      </c>
      <c r="I44" s="351">
        <v>2.85</v>
      </c>
      <c r="J44" s="351">
        <f>10+5/8</f>
        <v>10.625</v>
      </c>
      <c r="K44" s="352">
        <v>0.98</v>
      </c>
      <c r="L44" s="351">
        <v>33.799999999999997</v>
      </c>
      <c r="M44" s="360">
        <f t="shared" si="5"/>
        <v>30.28125</v>
      </c>
      <c r="N44" s="360">
        <v>64.5</v>
      </c>
      <c r="O44" s="360">
        <f t="shared" si="6"/>
        <v>59.564424986120599</v>
      </c>
      <c r="P44" s="109">
        <f t="shared" si="1"/>
        <v>59.564424986120599</v>
      </c>
      <c r="Q44">
        <f t="shared" si="2"/>
        <v>1953.140625</v>
      </c>
      <c r="R44">
        <f t="shared" si="3"/>
        <v>1803.6852441109645</v>
      </c>
    </row>
    <row r="45" spans="1:30" ht="15.6" x14ac:dyDescent="0.3">
      <c r="B45" s="420" t="s">
        <v>200</v>
      </c>
      <c r="C45" s="172">
        <v>44</v>
      </c>
      <c r="D45" s="172" t="s">
        <v>141</v>
      </c>
      <c r="E45" s="330">
        <v>7</v>
      </c>
      <c r="F45" s="173" t="s">
        <v>197</v>
      </c>
      <c r="G45" s="288">
        <f>2016/25.4</f>
        <v>79.370078740157481</v>
      </c>
      <c r="H45" s="287">
        <f t="shared" ref="H45:H50" si="7">I45*J45*2</f>
        <v>212.77165354330711</v>
      </c>
      <c r="I45" s="288">
        <v>2.95</v>
      </c>
      <c r="J45" s="287">
        <f>916/25.4</f>
        <v>36.062992125984252</v>
      </c>
      <c r="K45" s="291">
        <v>0.76</v>
      </c>
      <c r="L45" s="172">
        <v>64</v>
      </c>
      <c r="M45" s="358">
        <f t="shared" si="5"/>
        <v>106.38582677165356</v>
      </c>
      <c r="N45" s="160">
        <v>1220.2</v>
      </c>
      <c r="O45" s="160">
        <f>P45</f>
        <v>2453.385027333662</v>
      </c>
      <c r="P45" s="109">
        <f t="shared" si="1"/>
        <v>2453.385027333662</v>
      </c>
      <c r="Q45">
        <f t="shared" si="2"/>
        <v>129811.98582677168</v>
      </c>
      <c r="R45">
        <f t="shared" si="3"/>
        <v>261005.3945220875</v>
      </c>
      <c r="AC45" t="s">
        <v>122</v>
      </c>
    </row>
    <row r="46" spans="1:30" ht="15.6" x14ac:dyDescent="0.3">
      <c r="B46" s="421"/>
      <c r="C46" s="172">
        <v>45</v>
      </c>
      <c r="D46" s="172" t="s">
        <v>143</v>
      </c>
      <c r="E46" s="330">
        <v>7</v>
      </c>
      <c r="F46" s="173" t="s">
        <v>197</v>
      </c>
      <c r="G46" s="288">
        <f>250/25.4</f>
        <v>9.8425196850393704</v>
      </c>
      <c r="H46" s="287">
        <f t="shared" si="7"/>
        <v>101.50787401574803</v>
      </c>
      <c r="I46" s="288">
        <v>2.95</v>
      </c>
      <c r="J46" s="287">
        <f>437/25.4</f>
        <v>17.204724409448819</v>
      </c>
      <c r="K46" s="291">
        <v>0.91500000000000004</v>
      </c>
      <c r="L46" s="172">
        <v>37.700000000000003</v>
      </c>
      <c r="M46" s="358">
        <f t="shared" si="5"/>
        <v>50.753937007874015</v>
      </c>
      <c r="N46" s="160">
        <v>114.5</v>
      </c>
      <c r="O46" s="160">
        <f t="shared" ref="O46:O87" si="8">P46</f>
        <v>111.39914120993571</v>
      </c>
      <c r="P46" s="109">
        <f t="shared" si="1"/>
        <v>111.39914120993571</v>
      </c>
      <c r="Q46">
        <f t="shared" si="2"/>
        <v>5811.3257874015744</v>
      </c>
      <c r="R46">
        <f t="shared" si="3"/>
        <v>5653.9449957003389</v>
      </c>
      <c r="AB46" t="s">
        <v>222</v>
      </c>
      <c r="AC46">
        <v>5</v>
      </c>
      <c r="AD46">
        <f t="array" ref="AD46:AD59">FREQUENCY(G2:G87,AC46:AC54)</f>
        <v>11</v>
      </c>
    </row>
    <row r="47" spans="1:30" ht="18" customHeight="1" x14ac:dyDescent="0.3">
      <c r="B47" s="421"/>
      <c r="C47" s="172">
        <v>46</v>
      </c>
      <c r="D47" s="172" t="s">
        <v>144</v>
      </c>
      <c r="E47" s="330">
        <v>6</v>
      </c>
      <c r="F47" s="173" t="s">
        <v>197</v>
      </c>
      <c r="G47" s="288">
        <f>250/25.4</f>
        <v>9.8425196850393704</v>
      </c>
      <c r="H47" s="287">
        <f t="shared" si="7"/>
        <v>101.50787401574803</v>
      </c>
      <c r="I47" s="288">
        <v>2.95</v>
      </c>
      <c r="J47" s="287">
        <f>437/25.4</f>
        <v>17.204724409448819</v>
      </c>
      <c r="K47" s="292">
        <v>0.90500000000000003</v>
      </c>
      <c r="L47" s="172">
        <v>38.5</v>
      </c>
      <c r="M47" s="358">
        <f t="shared" si="5"/>
        <v>50.753937007874015</v>
      </c>
      <c r="N47" s="160">
        <v>112</v>
      </c>
      <c r="O47" s="160">
        <f t="shared" si="8"/>
        <v>112.57489031020607</v>
      </c>
      <c r="P47" s="109">
        <f t="shared" si="1"/>
        <v>112.57489031020607</v>
      </c>
      <c r="Q47">
        <f t="shared" si="2"/>
        <v>5684.4409448818897</v>
      </c>
      <c r="R47">
        <f t="shared" si="3"/>
        <v>5713.6188914725262</v>
      </c>
      <c r="AB47" s="317" t="s">
        <v>223</v>
      </c>
      <c r="AC47">
        <v>10</v>
      </c>
      <c r="AD47">
        <v>36</v>
      </c>
    </row>
    <row r="48" spans="1:30" ht="15.6" x14ac:dyDescent="0.3">
      <c r="B48" s="421"/>
      <c r="C48" s="172">
        <v>47</v>
      </c>
      <c r="D48" s="172" t="s">
        <v>145</v>
      </c>
      <c r="E48" s="330">
        <v>7</v>
      </c>
      <c r="F48" s="173" t="s">
        <v>201</v>
      </c>
      <c r="G48" s="288">
        <f>1002/25.4</f>
        <v>39.4488188976378</v>
      </c>
      <c r="H48" s="287">
        <f t="shared" si="7"/>
        <v>101.9724409448819</v>
      </c>
      <c r="I48" s="288">
        <v>2.95</v>
      </c>
      <c r="J48" s="287">
        <f>439/25.4</f>
        <v>17.283464566929133</v>
      </c>
      <c r="K48" s="291">
        <v>0.90900000000000003</v>
      </c>
      <c r="L48" s="172">
        <v>39</v>
      </c>
      <c r="M48" s="358">
        <f t="shared" si="5"/>
        <v>50.986220472440948</v>
      </c>
      <c r="N48" s="160">
        <v>471</v>
      </c>
      <c r="O48" s="160">
        <f t="shared" si="8"/>
        <v>456.19893529712158</v>
      </c>
      <c r="P48" s="109">
        <f t="shared" si="1"/>
        <v>456.19893529712158</v>
      </c>
      <c r="Q48">
        <f t="shared" si="2"/>
        <v>24014.509842519685</v>
      </c>
      <c r="R48">
        <f t="shared" si="3"/>
        <v>23259.859494351862</v>
      </c>
      <c r="AB48" s="317" t="s">
        <v>225</v>
      </c>
      <c r="AC48">
        <v>15</v>
      </c>
      <c r="AD48">
        <v>22</v>
      </c>
    </row>
    <row r="49" spans="2:30" ht="15.6" x14ac:dyDescent="0.3">
      <c r="B49" s="421"/>
      <c r="C49" s="172">
        <v>48</v>
      </c>
      <c r="D49" s="172" t="s">
        <v>146</v>
      </c>
      <c r="E49" s="330">
        <v>6</v>
      </c>
      <c r="F49" s="173" t="s">
        <v>201</v>
      </c>
      <c r="G49" s="288">
        <f>1002/25.4</f>
        <v>39.4488188976378</v>
      </c>
      <c r="H49" s="287">
        <f t="shared" si="7"/>
        <v>101.74015748031498</v>
      </c>
      <c r="I49" s="288">
        <v>2.95</v>
      </c>
      <c r="J49" s="287">
        <f>438/25.4</f>
        <v>17.244094488188978</v>
      </c>
      <c r="K49" s="291">
        <v>0.91100000000000003</v>
      </c>
      <c r="L49" s="172">
        <v>37.9</v>
      </c>
      <c r="M49" s="358">
        <f t="shared" si="5"/>
        <v>50.870078740157489</v>
      </c>
      <c r="N49" s="160">
        <v>440</v>
      </c>
      <c r="O49" s="160">
        <f t="shared" si="8"/>
        <v>448.69492671021681</v>
      </c>
      <c r="P49" s="109">
        <f t="shared" si="1"/>
        <v>448.69492671021681</v>
      </c>
      <c r="Q49">
        <f t="shared" si="2"/>
        <v>22382.834645669296</v>
      </c>
      <c r="R49">
        <f t="shared" si="3"/>
        <v>22825.146252057923</v>
      </c>
      <c r="AB49" s="318" t="s">
        <v>226</v>
      </c>
      <c r="AC49">
        <v>20</v>
      </c>
      <c r="AD49">
        <v>2</v>
      </c>
    </row>
    <row r="50" spans="2:30" ht="15.6" x14ac:dyDescent="0.3">
      <c r="B50" s="421"/>
      <c r="C50" s="172">
        <v>49</v>
      </c>
      <c r="D50" s="172" t="s">
        <v>147</v>
      </c>
      <c r="E50" s="330">
        <v>8</v>
      </c>
      <c r="F50" s="173" t="s">
        <v>201</v>
      </c>
      <c r="G50" s="288">
        <f>3005/25.4</f>
        <v>118.30708661417323</v>
      </c>
      <c r="H50" s="287">
        <f t="shared" si="7"/>
        <v>102.20472440944883</v>
      </c>
      <c r="I50" s="288">
        <v>2.95</v>
      </c>
      <c r="J50" s="287">
        <f>440/25.4</f>
        <v>17.322834645669293</v>
      </c>
      <c r="K50" s="291">
        <v>0.90800000000000003</v>
      </c>
      <c r="L50" s="172">
        <v>40.6</v>
      </c>
      <c r="M50" s="358">
        <f t="shared" si="5"/>
        <v>51.102362204724415</v>
      </c>
      <c r="N50" s="160">
        <v>1282</v>
      </c>
      <c r="O50" s="160">
        <f t="shared" si="8"/>
        <v>1399.1036567734952</v>
      </c>
      <c r="P50" s="109">
        <f t="shared" si="1"/>
        <v>1399.1036567734952</v>
      </c>
      <c r="Q50">
        <f t="shared" si="2"/>
        <v>65513.228346456701</v>
      </c>
      <c r="R50">
        <f t="shared" si="3"/>
        <v>71497.501830393579</v>
      </c>
      <c r="AB50" s="318" t="s">
        <v>228</v>
      </c>
      <c r="AC50">
        <v>25</v>
      </c>
      <c r="AD50">
        <v>7</v>
      </c>
    </row>
    <row r="51" spans="2:30" ht="15.6" x14ac:dyDescent="0.3">
      <c r="B51" s="421"/>
      <c r="C51" s="172">
        <v>50</v>
      </c>
      <c r="D51" s="172" t="s">
        <v>148</v>
      </c>
      <c r="E51" s="330">
        <v>7</v>
      </c>
      <c r="F51" s="173" t="s">
        <v>201</v>
      </c>
      <c r="G51" s="288">
        <f>697/25.4</f>
        <v>27.440944881889767</v>
      </c>
      <c r="H51" s="287">
        <f>1080/25.4</f>
        <v>42.519685039370081</v>
      </c>
      <c r="I51" s="288">
        <v>3.39</v>
      </c>
      <c r="J51" s="287">
        <f>307/25.4</f>
        <v>12.086614173228346</v>
      </c>
      <c r="K51" s="291">
        <v>0.93</v>
      </c>
      <c r="L51" s="172">
        <v>37.5</v>
      </c>
      <c r="M51" s="358">
        <f t="shared" si="5"/>
        <v>40.973622047244092</v>
      </c>
      <c r="N51" s="160">
        <v>237.5</v>
      </c>
      <c r="O51" s="160">
        <f t="shared" si="8"/>
        <v>217.6088277901716</v>
      </c>
      <c r="P51" s="109">
        <f t="shared" si="1"/>
        <v>217.6088277901716</v>
      </c>
      <c r="Q51">
        <f t="shared" si="2"/>
        <v>9731.2352362204711</v>
      </c>
      <c r="R51">
        <f t="shared" si="3"/>
        <v>8916.2218640183182</v>
      </c>
      <c r="AB51" s="318" t="s">
        <v>227</v>
      </c>
      <c r="AC51">
        <v>30</v>
      </c>
      <c r="AD51">
        <v>4</v>
      </c>
    </row>
    <row r="52" spans="2:30" ht="15.6" x14ac:dyDescent="0.3">
      <c r="B52" s="421"/>
      <c r="C52" s="172">
        <v>51</v>
      </c>
      <c r="D52" s="172" t="s">
        <v>150</v>
      </c>
      <c r="E52" s="330">
        <v>6</v>
      </c>
      <c r="F52" s="173" t="s">
        <v>201</v>
      </c>
      <c r="G52" s="288">
        <f>700/25.4</f>
        <v>27.559055118110237</v>
      </c>
      <c r="H52" s="287">
        <f>1080/25.4</f>
        <v>42.519685039370081</v>
      </c>
      <c r="I52" s="288">
        <v>3.39</v>
      </c>
      <c r="J52" s="287">
        <f>306/25.4</f>
        <v>12.047244094488189</v>
      </c>
      <c r="K52" s="291">
        <v>0.93</v>
      </c>
      <c r="L52" s="172">
        <v>37.799999999999997</v>
      </c>
      <c r="M52" s="358">
        <f t="shared" si="5"/>
        <v>40.840157480314964</v>
      </c>
      <c r="N52" s="160">
        <v>253</v>
      </c>
      <c r="O52" s="160">
        <f t="shared" si="8"/>
        <v>218.7031752928074</v>
      </c>
      <c r="P52" s="109">
        <f t="shared" si="1"/>
        <v>218.7031752928074</v>
      </c>
      <c r="Q52">
        <f t="shared" si="2"/>
        <v>10332.559842519686</v>
      </c>
      <c r="R52">
        <f t="shared" si="3"/>
        <v>8931.8721204031826</v>
      </c>
      <c r="AB52" s="318" t="s">
        <v>229</v>
      </c>
      <c r="AC52">
        <v>40</v>
      </c>
      <c r="AD52">
        <v>2</v>
      </c>
    </row>
    <row r="53" spans="2:30" ht="15.6" x14ac:dyDescent="0.3">
      <c r="B53" s="421"/>
      <c r="C53" s="172">
        <v>52</v>
      </c>
      <c r="D53" s="172" t="s">
        <v>149</v>
      </c>
      <c r="E53" s="330">
        <v>6</v>
      </c>
      <c r="F53" s="173" t="s">
        <v>201</v>
      </c>
      <c r="G53" s="288">
        <f>706/25.4</f>
        <v>27.795275590551181</v>
      </c>
      <c r="H53" s="287">
        <f>1080/25.4</f>
        <v>42.519685039370081</v>
      </c>
      <c r="I53" s="288">
        <v>3.39</v>
      </c>
      <c r="J53" s="287">
        <f>306/25.4</f>
        <v>12.047244094488189</v>
      </c>
      <c r="K53" s="291">
        <v>0.93</v>
      </c>
      <c r="L53" s="172">
        <v>37.1</v>
      </c>
      <c r="M53" s="358">
        <f t="shared" si="5"/>
        <v>40.840157480314964</v>
      </c>
      <c r="N53" s="160">
        <v>258.5</v>
      </c>
      <c r="O53" s="160">
        <f t="shared" si="8"/>
        <v>218.52584307051055</v>
      </c>
      <c r="P53" s="109">
        <f t="shared" si="1"/>
        <v>218.52584307051055</v>
      </c>
      <c r="Q53">
        <f t="shared" si="2"/>
        <v>10557.180708661419</v>
      </c>
      <c r="R53">
        <f t="shared" si="3"/>
        <v>8924.6298445182456</v>
      </c>
      <c r="AB53" s="318" t="s">
        <v>236</v>
      </c>
      <c r="AC53">
        <v>80</v>
      </c>
      <c r="AD53">
        <v>1</v>
      </c>
    </row>
    <row r="54" spans="2:30" ht="15.6" x14ac:dyDescent="0.3">
      <c r="B54" s="421"/>
      <c r="C54" s="172">
        <v>53</v>
      </c>
      <c r="D54" s="172" t="s">
        <v>151</v>
      </c>
      <c r="E54" s="330">
        <v>5</v>
      </c>
      <c r="F54" s="173" t="s">
        <v>201</v>
      </c>
      <c r="G54" s="288">
        <f>706/25.4</f>
        <v>27.795275590551181</v>
      </c>
      <c r="H54" s="287">
        <f>1080/25.4</f>
        <v>42.519685039370081</v>
      </c>
      <c r="I54" s="288">
        <v>3.39</v>
      </c>
      <c r="J54" s="287">
        <f>306/25.4</f>
        <v>12.047244094488189</v>
      </c>
      <c r="K54" s="291">
        <v>0.93</v>
      </c>
      <c r="L54" s="172">
        <v>37.1</v>
      </c>
      <c r="M54" s="358">
        <f t="shared" si="5"/>
        <v>40.840157480314964</v>
      </c>
      <c r="N54" s="160">
        <v>248.5</v>
      </c>
      <c r="O54" s="160">
        <f t="shared" si="8"/>
        <v>218.52584307051055</v>
      </c>
      <c r="P54" s="109">
        <f t="shared" si="1"/>
        <v>218.52584307051055</v>
      </c>
      <c r="Q54">
        <f t="shared" si="2"/>
        <v>10148.779133858268</v>
      </c>
      <c r="R54">
        <f t="shared" si="3"/>
        <v>8924.6298445182456</v>
      </c>
      <c r="AB54" s="318" t="s">
        <v>235</v>
      </c>
      <c r="AC54">
        <v>120</v>
      </c>
      <c r="AD54">
        <v>1</v>
      </c>
    </row>
    <row r="55" spans="2:30" ht="15.6" x14ac:dyDescent="0.3">
      <c r="B55" s="421"/>
      <c r="C55" s="172">
        <v>54</v>
      </c>
      <c r="D55" s="172" t="s">
        <v>152</v>
      </c>
      <c r="E55" s="330">
        <v>6</v>
      </c>
      <c r="F55" s="173" t="s">
        <v>197</v>
      </c>
      <c r="G55" s="1">
        <f t="shared" ref="G55:G62" si="9">300/25.4</f>
        <v>11.811023622047244</v>
      </c>
      <c r="H55" s="287">
        <f>8100/25.4</f>
        <v>318.89763779527561</v>
      </c>
      <c r="I55" s="288">
        <v>2.89</v>
      </c>
      <c r="J55" s="287">
        <f t="shared" ref="J55:J62" si="10">1400/25.4</f>
        <v>55.118110236220474</v>
      </c>
      <c r="K55" s="291">
        <v>0.83</v>
      </c>
      <c r="L55" s="172">
        <v>38.4</v>
      </c>
      <c r="M55" s="358">
        <f t="shared" si="5"/>
        <v>159.29133858267718</v>
      </c>
      <c r="N55" s="160">
        <v>249.5</v>
      </c>
      <c r="O55" s="160">
        <f t="shared" si="8"/>
        <v>432.21976677119284</v>
      </c>
      <c r="P55" s="109">
        <f t="shared" si="1"/>
        <v>432.21976677119284</v>
      </c>
      <c r="Q55">
        <f t="shared" si="2"/>
        <v>39743.188976377955</v>
      </c>
      <c r="R55">
        <f t="shared" si="3"/>
        <v>68848.86521087584</v>
      </c>
      <c r="AB55" s="318"/>
      <c r="AC55">
        <v>80</v>
      </c>
      <c r="AD55">
        <v>0</v>
      </c>
    </row>
    <row r="56" spans="2:30" ht="15.6" x14ac:dyDescent="0.3">
      <c r="B56" s="421"/>
      <c r="C56" s="172">
        <v>55</v>
      </c>
      <c r="D56" s="172" t="s">
        <v>153</v>
      </c>
      <c r="E56" s="330">
        <v>6</v>
      </c>
      <c r="F56" s="173" t="s">
        <v>197</v>
      </c>
      <c r="G56" s="288">
        <f t="shared" si="9"/>
        <v>11.811023622047244</v>
      </c>
      <c r="H56" s="287">
        <f t="shared" ref="H56:H62" si="11">8100/25.4</f>
        <v>318.89763779527561</v>
      </c>
      <c r="I56" s="288">
        <v>2.89</v>
      </c>
      <c r="J56" s="287">
        <f t="shared" si="10"/>
        <v>55.118110236220474</v>
      </c>
      <c r="K56" s="291">
        <v>0.83</v>
      </c>
      <c r="L56" s="172">
        <v>40.299999999999997</v>
      </c>
      <c r="M56" s="358">
        <f t="shared" si="5"/>
        <v>159.29133858267718</v>
      </c>
      <c r="N56" s="160">
        <v>227</v>
      </c>
      <c r="O56" s="160">
        <f t="shared" si="8"/>
        <v>442.78360878303693</v>
      </c>
      <c r="P56" s="109">
        <f t="shared" si="1"/>
        <v>442.78360878303693</v>
      </c>
      <c r="Q56">
        <f t="shared" si="2"/>
        <v>36159.13385826772</v>
      </c>
      <c r="R56">
        <f t="shared" si="3"/>
        <v>70531.593745518403</v>
      </c>
      <c r="AB56" s="318"/>
      <c r="AC56">
        <v>120</v>
      </c>
      <c r="AD56" t="e">
        <v>#N/A</v>
      </c>
    </row>
    <row r="57" spans="2:30" ht="15.6" x14ac:dyDescent="0.3">
      <c r="B57" s="421"/>
      <c r="C57" s="172">
        <v>56</v>
      </c>
      <c r="D57" s="172" t="s">
        <v>154</v>
      </c>
      <c r="E57" s="330">
        <v>6</v>
      </c>
      <c r="F57" s="173" t="s">
        <v>197</v>
      </c>
      <c r="G57" s="288">
        <f t="shared" si="9"/>
        <v>11.811023622047244</v>
      </c>
      <c r="H57" s="287">
        <f t="shared" si="11"/>
        <v>318.89763779527561</v>
      </c>
      <c r="I57" s="288">
        <v>2.89</v>
      </c>
      <c r="J57" s="287">
        <f t="shared" si="10"/>
        <v>55.118110236220474</v>
      </c>
      <c r="K57" s="291">
        <v>0.83</v>
      </c>
      <c r="L57" s="172">
        <v>73.599999999999994</v>
      </c>
      <c r="M57" s="358">
        <f t="shared" si="5"/>
        <v>159.29133858267718</v>
      </c>
      <c r="N57" s="160">
        <v>260</v>
      </c>
      <c r="O57" s="160">
        <f t="shared" si="8"/>
        <v>598.38117144774571</v>
      </c>
      <c r="P57" s="109">
        <f t="shared" si="1"/>
        <v>598.38117144774571</v>
      </c>
      <c r="Q57">
        <f t="shared" si="2"/>
        <v>41415.74803149607</v>
      </c>
      <c r="R57">
        <f t="shared" si="3"/>
        <v>95316.937782581866</v>
      </c>
      <c r="AB57" s="318"/>
      <c r="AC57">
        <v>120</v>
      </c>
      <c r="AD57" t="e">
        <v>#N/A</v>
      </c>
    </row>
    <row r="58" spans="2:30" ht="15.6" x14ac:dyDescent="0.3">
      <c r="B58" s="421"/>
      <c r="C58" s="172">
        <v>57</v>
      </c>
      <c r="D58" s="388" t="s">
        <v>155</v>
      </c>
      <c r="E58" s="389">
        <v>6</v>
      </c>
      <c r="F58" s="390" t="s">
        <v>197</v>
      </c>
      <c r="G58" s="391">
        <f t="shared" si="9"/>
        <v>11.811023622047244</v>
      </c>
      <c r="H58" s="391">
        <f t="shared" si="11"/>
        <v>318.89763779527561</v>
      </c>
      <c r="I58" s="391">
        <v>2.89</v>
      </c>
      <c r="J58" s="391">
        <f t="shared" si="10"/>
        <v>55.118110236220474</v>
      </c>
      <c r="K58" s="392">
        <v>1.33</v>
      </c>
      <c r="L58" s="388">
        <v>71.2</v>
      </c>
      <c r="M58" s="393">
        <f t="shared" si="5"/>
        <v>159.29133858267718</v>
      </c>
      <c r="N58" s="125">
        <v>694</v>
      </c>
      <c r="O58" s="160">
        <f t="shared" si="8"/>
        <v>588.5440985337824</v>
      </c>
      <c r="P58" s="123">
        <f t="shared" si="1"/>
        <v>588.5440985337824</v>
      </c>
      <c r="Q58">
        <f t="shared" si="2"/>
        <v>110548.18897637796</v>
      </c>
      <c r="R58">
        <f t="shared" si="3"/>
        <v>93749.977270381249</v>
      </c>
      <c r="AC58">
        <v>130</v>
      </c>
      <c r="AD58" t="e">
        <v>#N/A</v>
      </c>
    </row>
    <row r="59" spans="2:30" ht="15.6" x14ac:dyDescent="0.3">
      <c r="B59" s="421"/>
      <c r="C59" s="172">
        <v>58</v>
      </c>
      <c r="D59" s="172" t="s">
        <v>156</v>
      </c>
      <c r="E59" s="330">
        <v>6</v>
      </c>
      <c r="F59" s="173" t="s">
        <v>197</v>
      </c>
      <c r="G59" s="288">
        <f t="shared" si="9"/>
        <v>11.811023622047244</v>
      </c>
      <c r="H59" s="287">
        <f t="shared" si="11"/>
        <v>318.89763779527561</v>
      </c>
      <c r="I59" s="288">
        <v>2.89</v>
      </c>
      <c r="J59" s="287">
        <f t="shared" si="10"/>
        <v>55.118110236220474</v>
      </c>
      <c r="K59" s="291">
        <v>0.83</v>
      </c>
      <c r="L59" s="172">
        <v>31.4</v>
      </c>
      <c r="M59" s="358">
        <f t="shared" si="5"/>
        <v>159.29133858267718</v>
      </c>
      <c r="N59" s="160">
        <v>249.5</v>
      </c>
      <c r="O59" s="160">
        <f t="shared" si="8"/>
        <v>390.84434845224735</v>
      </c>
      <c r="P59" s="109">
        <f t="shared" si="1"/>
        <v>390.84434845224735</v>
      </c>
      <c r="Q59">
        <f t="shared" si="2"/>
        <v>39743.188976377955</v>
      </c>
      <c r="R59">
        <f t="shared" si="3"/>
        <v>62258.119442432791</v>
      </c>
      <c r="AD59" t="e">
        <v>#N/A</v>
      </c>
    </row>
    <row r="60" spans="2:30" ht="15.6" x14ac:dyDescent="0.3">
      <c r="B60" s="421"/>
      <c r="C60" s="172">
        <v>59</v>
      </c>
      <c r="D60" s="172" t="s">
        <v>157</v>
      </c>
      <c r="E60" s="330">
        <v>6</v>
      </c>
      <c r="F60" s="173" t="s">
        <v>197</v>
      </c>
      <c r="G60" s="288">
        <f t="shared" si="9"/>
        <v>11.811023622047244</v>
      </c>
      <c r="H60" s="287">
        <f t="shared" si="11"/>
        <v>318.89763779527561</v>
      </c>
      <c r="I60" s="288">
        <v>2.89</v>
      </c>
      <c r="J60" s="287">
        <f t="shared" si="10"/>
        <v>55.118110236220474</v>
      </c>
      <c r="K60" s="291">
        <v>0.83</v>
      </c>
      <c r="L60" s="172">
        <v>33.200000000000003</v>
      </c>
      <c r="M60" s="358">
        <f t="shared" si="5"/>
        <v>159.29133858267718</v>
      </c>
      <c r="N60" s="160">
        <v>250</v>
      </c>
      <c r="O60" s="160">
        <f t="shared" si="8"/>
        <v>401.89079055787931</v>
      </c>
      <c r="P60" s="109">
        <f t="shared" si="1"/>
        <v>401.89079055787931</v>
      </c>
      <c r="Q60">
        <f t="shared" si="2"/>
        <v>39822.834645669296</v>
      </c>
      <c r="R60">
        <f t="shared" si="3"/>
        <v>64017.721992014958</v>
      </c>
    </row>
    <row r="61" spans="2:30" ht="15.6" x14ac:dyDescent="0.3">
      <c r="B61" s="421"/>
      <c r="C61" s="172">
        <v>60</v>
      </c>
      <c r="D61" s="172" t="s">
        <v>158</v>
      </c>
      <c r="E61" s="330">
        <v>4</v>
      </c>
      <c r="F61" s="173" t="s">
        <v>197</v>
      </c>
      <c r="G61" s="288">
        <f t="shared" si="9"/>
        <v>11.811023622047244</v>
      </c>
      <c r="H61" s="287">
        <f t="shared" si="11"/>
        <v>318.89763779527561</v>
      </c>
      <c r="I61" s="288">
        <v>2.89</v>
      </c>
      <c r="J61" s="287">
        <f t="shared" si="10"/>
        <v>55.118110236220474</v>
      </c>
      <c r="K61" s="291">
        <v>0.83</v>
      </c>
      <c r="L61" s="172">
        <v>28.1</v>
      </c>
      <c r="M61" s="358">
        <f t="shared" si="5"/>
        <v>159.29133858267718</v>
      </c>
      <c r="N61" s="160">
        <v>226.5</v>
      </c>
      <c r="O61" s="160">
        <f t="shared" si="8"/>
        <v>369.73636943603475</v>
      </c>
      <c r="P61" s="109">
        <f t="shared" si="1"/>
        <v>369.73636943603475</v>
      </c>
      <c r="Q61">
        <f t="shared" si="2"/>
        <v>36079.488188976386</v>
      </c>
      <c r="R61">
        <f t="shared" si="3"/>
        <v>58895.801210165228</v>
      </c>
    </row>
    <row r="62" spans="2:30" ht="15.6" x14ac:dyDescent="0.3">
      <c r="B62" s="421"/>
      <c r="C62" s="172">
        <v>61</v>
      </c>
      <c r="D62" s="172" t="s">
        <v>159</v>
      </c>
      <c r="E62" s="330">
        <v>7</v>
      </c>
      <c r="F62" s="173" t="s">
        <v>197</v>
      </c>
      <c r="G62" s="288">
        <f t="shared" si="9"/>
        <v>11.811023622047244</v>
      </c>
      <c r="H62" s="287">
        <f t="shared" si="11"/>
        <v>318.89763779527561</v>
      </c>
      <c r="I62" s="288">
        <v>2.89</v>
      </c>
      <c r="J62" s="287">
        <f t="shared" si="10"/>
        <v>55.118110236220474</v>
      </c>
      <c r="K62" s="291">
        <v>0.83</v>
      </c>
      <c r="L62" s="172">
        <v>28.5</v>
      </c>
      <c r="M62" s="358">
        <f t="shared" si="5"/>
        <v>159.29133858267718</v>
      </c>
      <c r="N62" s="160">
        <v>272.5</v>
      </c>
      <c r="O62" s="160">
        <f t="shared" si="8"/>
        <v>372.35864604944913</v>
      </c>
      <c r="P62" s="109">
        <f t="shared" si="1"/>
        <v>372.35864604944913</v>
      </c>
      <c r="Q62">
        <f t="shared" si="2"/>
        <v>43406.889763779531</v>
      </c>
      <c r="R62">
        <f t="shared" si="3"/>
        <v>59313.507162050053</v>
      </c>
    </row>
    <row r="63" spans="2:30" ht="15.6" x14ac:dyDescent="0.3">
      <c r="B63" s="421"/>
      <c r="C63" s="172">
        <v>62</v>
      </c>
      <c r="D63" s="172" t="s">
        <v>160</v>
      </c>
      <c r="E63" s="330">
        <v>4</v>
      </c>
      <c r="F63" s="173" t="s">
        <v>197</v>
      </c>
      <c r="G63" s="288">
        <f>122/25.4</f>
        <v>4.8031496062992129</v>
      </c>
      <c r="H63" s="287">
        <f>1620/25.4</f>
        <v>63.779527559055119</v>
      </c>
      <c r="I63" s="288">
        <v>2.89</v>
      </c>
      <c r="J63" s="287">
        <f>280/25.4</f>
        <v>11.023622047244094</v>
      </c>
      <c r="K63" s="291">
        <v>0.83</v>
      </c>
      <c r="L63" s="172">
        <v>41.9</v>
      </c>
      <c r="M63" s="358">
        <f t="shared" si="5"/>
        <v>31.858267716535433</v>
      </c>
      <c r="N63" s="160">
        <v>36.35</v>
      </c>
      <c r="O63" s="160">
        <f t="shared" si="8"/>
        <v>36.721008118325614</v>
      </c>
      <c r="P63" s="109">
        <f t="shared" si="1"/>
        <v>36.721008118325614</v>
      </c>
      <c r="Q63">
        <f t="shared" si="2"/>
        <v>1158.048031496063</v>
      </c>
      <c r="R63">
        <f t="shared" si="3"/>
        <v>1169.8677074546883</v>
      </c>
    </row>
    <row r="64" spans="2:30" ht="15.6" x14ac:dyDescent="0.3">
      <c r="B64" s="421"/>
      <c r="C64" s="172">
        <v>63</v>
      </c>
      <c r="D64" s="172" t="s">
        <v>161</v>
      </c>
      <c r="E64" s="330">
        <v>8</v>
      </c>
      <c r="F64" s="173" t="s">
        <v>197</v>
      </c>
      <c r="G64" s="288">
        <f t="shared" ref="G64:G73" si="12">122/25.4</f>
        <v>4.8031496062992129</v>
      </c>
      <c r="H64" s="287">
        <f t="shared" ref="H64:H73" si="13">1620/25.4</f>
        <v>63.779527559055119</v>
      </c>
      <c r="I64" s="288">
        <v>2.89</v>
      </c>
      <c r="J64" s="287">
        <f t="shared" ref="J64:J73" si="14">280/25.4</f>
        <v>11.023622047244094</v>
      </c>
      <c r="K64" s="291">
        <v>0.83</v>
      </c>
      <c r="L64" s="172">
        <v>41.9</v>
      </c>
      <c r="M64" s="358">
        <f t="shared" si="5"/>
        <v>31.858267716535433</v>
      </c>
      <c r="N64" s="160">
        <v>38.049999999999997</v>
      </c>
      <c r="O64" s="160">
        <f t="shared" si="8"/>
        <v>36.721008118325614</v>
      </c>
      <c r="P64" s="109">
        <f t="shared" si="1"/>
        <v>36.721008118325614</v>
      </c>
      <c r="Q64">
        <f t="shared" si="2"/>
        <v>1212.2070866141732</v>
      </c>
      <c r="R64">
        <f t="shared" si="3"/>
        <v>1169.8677074546883</v>
      </c>
    </row>
    <row r="65" spans="2:18" ht="15.6" x14ac:dyDescent="0.3">
      <c r="B65" s="421"/>
      <c r="C65" s="172">
        <v>64</v>
      </c>
      <c r="D65" s="172" t="s">
        <v>162</v>
      </c>
      <c r="E65" s="330">
        <v>6</v>
      </c>
      <c r="F65" s="173" t="s">
        <v>197</v>
      </c>
      <c r="G65" s="288">
        <f t="shared" si="12"/>
        <v>4.8031496062992129</v>
      </c>
      <c r="H65" s="287">
        <f t="shared" si="13"/>
        <v>63.779527559055119</v>
      </c>
      <c r="I65" s="288">
        <v>2.89</v>
      </c>
      <c r="J65" s="287">
        <f t="shared" si="14"/>
        <v>11.023622047244094</v>
      </c>
      <c r="K65" s="291">
        <v>0.83</v>
      </c>
      <c r="L65" s="172">
        <v>39.200000000000003</v>
      </c>
      <c r="M65" s="358">
        <f t="shared" si="5"/>
        <v>31.858267716535433</v>
      </c>
      <c r="N65" s="160">
        <v>38.85</v>
      </c>
      <c r="O65" s="160">
        <f t="shared" si="8"/>
        <v>35.51817294750655</v>
      </c>
      <c r="P65" s="109">
        <f t="shared" si="1"/>
        <v>35.51817294750655</v>
      </c>
      <c r="Q65">
        <f t="shared" si="2"/>
        <v>1237.6937007874017</v>
      </c>
      <c r="R65">
        <f t="shared" si="3"/>
        <v>1131.5474625638701</v>
      </c>
    </row>
    <row r="66" spans="2:18" ht="15.6" x14ac:dyDescent="0.3">
      <c r="B66" s="421"/>
      <c r="C66" s="172">
        <v>65</v>
      </c>
      <c r="D66" s="172" t="s">
        <v>163</v>
      </c>
      <c r="E66" s="330">
        <v>10</v>
      </c>
      <c r="F66" s="173" t="s">
        <v>197</v>
      </c>
      <c r="G66" s="288">
        <f t="shared" si="12"/>
        <v>4.8031496062992129</v>
      </c>
      <c r="H66" s="287">
        <f t="shared" si="13"/>
        <v>63.779527559055119</v>
      </c>
      <c r="I66" s="288">
        <v>2.89</v>
      </c>
      <c r="J66" s="287">
        <f t="shared" si="14"/>
        <v>11.023622047244094</v>
      </c>
      <c r="K66" s="291">
        <v>0.83</v>
      </c>
      <c r="L66" s="172">
        <v>38.1</v>
      </c>
      <c r="M66" s="358">
        <f t="shared" ref="M66:M87" si="15">I66*J66</f>
        <v>31.858267716535433</v>
      </c>
      <c r="N66" s="160">
        <v>37.950000000000003</v>
      </c>
      <c r="O66" s="160">
        <f t="shared" si="8"/>
        <v>35.016285286734792</v>
      </c>
      <c r="P66" s="109">
        <f t="shared" si="1"/>
        <v>35.016285286734792</v>
      </c>
      <c r="Q66">
        <f t="shared" si="2"/>
        <v>1209.0212598425198</v>
      </c>
      <c r="R66">
        <f t="shared" si="3"/>
        <v>1115.5581911033778</v>
      </c>
    </row>
    <row r="67" spans="2:18" ht="15.6" x14ac:dyDescent="0.3">
      <c r="B67" s="421"/>
      <c r="C67" s="172">
        <v>66</v>
      </c>
      <c r="D67" s="172" t="s">
        <v>164</v>
      </c>
      <c r="E67" s="330">
        <v>10</v>
      </c>
      <c r="F67" s="173" t="s">
        <v>197</v>
      </c>
      <c r="G67" s="288">
        <f t="shared" si="12"/>
        <v>4.8031496062992129</v>
      </c>
      <c r="H67" s="287">
        <f t="shared" si="13"/>
        <v>63.779527559055119</v>
      </c>
      <c r="I67" s="288">
        <v>2.89</v>
      </c>
      <c r="J67" s="287">
        <f t="shared" si="14"/>
        <v>11.023622047244094</v>
      </c>
      <c r="K67" s="291">
        <v>0.83</v>
      </c>
      <c r="L67" s="172">
        <v>29.1</v>
      </c>
      <c r="M67" s="358">
        <f t="shared" si="15"/>
        <v>31.858267716535433</v>
      </c>
      <c r="N67" s="160">
        <v>41.5</v>
      </c>
      <c r="O67" s="160">
        <f t="shared" si="8"/>
        <v>30.602300724370938</v>
      </c>
      <c r="P67" s="109">
        <f t="shared" ref="P67:P87" si="16">2*SQRT(L67*145.038)*G67*J67*4.44822/1000</f>
        <v>30.602300724370938</v>
      </c>
      <c r="Q67">
        <f t="shared" ref="Q67:Q87" si="17">N67*M67</f>
        <v>1322.1181102362204</v>
      </c>
      <c r="R67">
        <f t="shared" ref="R67:R87" si="18">O67*M67</f>
        <v>974.9362892189356</v>
      </c>
    </row>
    <row r="68" spans="2:18" ht="15.6" x14ac:dyDescent="0.3">
      <c r="B68" s="421"/>
      <c r="C68" s="172">
        <v>67</v>
      </c>
      <c r="D68" s="172" t="s">
        <v>165</v>
      </c>
      <c r="E68" s="330">
        <v>7</v>
      </c>
      <c r="F68" s="173" t="s">
        <v>197</v>
      </c>
      <c r="G68" s="288">
        <f t="shared" si="12"/>
        <v>4.8031496062992129</v>
      </c>
      <c r="H68" s="287">
        <f t="shared" si="13"/>
        <v>63.779527559055119</v>
      </c>
      <c r="I68" s="288">
        <v>2.89</v>
      </c>
      <c r="J68" s="287">
        <f t="shared" si="14"/>
        <v>11.023622047244094</v>
      </c>
      <c r="K68" s="291">
        <v>0.83</v>
      </c>
      <c r="L68" s="172">
        <v>29.1</v>
      </c>
      <c r="M68" s="358">
        <f t="shared" si="15"/>
        <v>31.858267716535433</v>
      </c>
      <c r="N68" s="160">
        <v>34.5</v>
      </c>
      <c r="O68" s="160">
        <f t="shared" si="8"/>
        <v>30.602300724370938</v>
      </c>
      <c r="P68" s="109">
        <f t="shared" si="16"/>
        <v>30.602300724370938</v>
      </c>
      <c r="Q68">
        <f t="shared" si="17"/>
        <v>1099.1102362204724</v>
      </c>
      <c r="R68">
        <f t="shared" si="18"/>
        <v>974.9362892189356</v>
      </c>
    </row>
    <row r="69" spans="2:18" ht="15.6" x14ac:dyDescent="0.3">
      <c r="B69" s="421"/>
      <c r="C69" s="172">
        <v>68</v>
      </c>
      <c r="D69" s="172" t="s">
        <v>166</v>
      </c>
      <c r="E69" s="330">
        <v>7</v>
      </c>
      <c r="F69" s="173" t="s">
        <v>197</v>
      </c>
      <c r="G69" s="288">
        <f t="shared" si="12"/>
        <v>4.8031496062992129</v>
      </c>
      <c r="H69" s="287">
        <f t="shared" si="13"/>
        <v>63.779527559055119</v>
      </c>
      <c r="I69" s="288">
        <v>2.89</v>
      </c>
      <c r="J69" s="287">
        <f t="shared" si="14"/>
        <v>11.023622047244094</v>
      </c>
      <c r="K69" s="291">
        <v>0.83</v>
      </c>
      <c r="L69" s="172">
        <v>43.5</v>
      </c>
      <c r="M69" s="358">
        <f t="shared" si="15"/>
        <v>31.858267716535433</v>
      </c>
      <c r="N69" s="160">
        <v>38.25</v>
      </c>
      <c r="O69" s="160">
        <f t="shared" si="8"/>
        <v>37.415556800297637</v>
      </c>
      <c r="P69" s="109">
        <f t="shared" si="16"/>
        <v>37.415556800297637</v>
      </c>
      <c r="Q69">
        <f t="shared" si="17"/>
        <v>1218.5787401574803</v>
      </c>
      <c r="R69">
        <f t="shared" si="18"/>
        <v>1191.99482530712</v>
      </c>
    </row>
    <row r="70" spans="2:18" ht="15.6" x14ac:dyDescent="0.3">
      <c r="B70" s="421"/>
      <c r="C70" s="172">
        <v>69</v>
      </c>
      <c r="D70" s="172" t="s">
        <v>167</v>
      </c>
      <c r="E70" s="330">
        <v>7</v>
      </c>
      <c r="F70" s="173" t="s">
        <v>197</v>
      </c>
      <c r="G70" s="288">
        <f t="shared" si="12"/>
        <v>4.8031496062992129</v>
      </c>
      <c r="H70" s="287">
        <f t="shared" si="13"/>
        <v>63.779527559055119</v>
      </c>
      <c r="I70" s="288">
        <v>2.89</v>
      </c>
      <c r="J70" s="287">
        <f t="shared" si="14"/>
        <v>11.023622047244094</v>
      </c>
      <c r="K70" s="291">
        <v>0.83</v>
      </c>
      <c r="L70" s="172">
        <v>43.5</v>
      </c>
      <c r="M70" s="358">
        <f t="shared" si="15"/>
        <v>31.858267716535433</v>
      </c>
      <c r="N70" s="160">
        <v>40.299999999999997</v>
      </c>
      <c r="O70" s="160">
        <f t="shared" si="8"/>
        <v>37.415556800297637</v>
      </c>
      <c r="P70" s="109">
        <f t="shared" si="16"/>
        <v>37.415556800297637</v>
      </c>
      <c r="Q70">
        <f t="shared" si="17"/>
        <v>1283.8881889763779</v>
      </c>
      <c r="R70">
        <f t="shared" si="18"/>
        <v>1191.99482530712</v>
      </c>
    </row>
    <row r="71" spans="2:18" ht="15.6" x14ac:dyDescent="0.3">
      <c r="B71" s="421"/>
      <c r="C71" s="172">
        <v>70</v>
      </c>
      <c r="D71" s="172" t="s">
        <v>168</v>
      </c>
      <c r="E71" s="330">
        <v>5</v>
      </c>
      <c r="F71" s="173" t="s">
        <v>197</v>
      </c>
      <c r="G71" s="288">
        <f t="shared" si="12"/>
        <v>4.8031496062992129</v>
      </c>
      <c r="H71" s="287">
        <f t="shared" si="13"/>
        <v>63.779527559055119</v>
      </c>
      <c r="I71" s="288">
        <v>2.94</v>
      </c>
      <c r="J71" s="287">
        <f t="shared" si="14"/>
        <v>11.023622047244094</v>
      </c>
      <c r="K71" s="291">
        <v>0.81</v>
      </c>
      <c r="L71" s="172">
        <v>40.6</v>
      </c>
      <c r="M71" s="358">
        <f t="shared" si="15"/>
        <v>32.409448818897637</v>
      </c>
      <c r="N71" s="160">
        <v>24.75</v>
      </c>
      <c r="O71" s="160">
        <f t="shared" si="8"/>
        <v>36.14686198410422</v>
      </c>
      <c r="P71" s="109">
        <f t="shared" si="16"/>
        <v>36.14686198410422</v>
      </c>
      <c r="Q71">
        <f t="shared" si="17"/>
        <v>802.1338582677165</v>
      </c>
      <c r="R71">
        <f t="shared" si="18"/>
        <v>1171.4998734375824</v>
      </c>
    </row>
    <row r="72" spans="2:18" ht="15.6" x14ac:dyDescent="0.3">
      <c r="B72" s="421"/>
      <c r="C72" s="172">
        <v>71</v>
      </c>
      <c r="D72" s="172" t="s">
        <v>169</v>
      </c>
      <c r="E72" s="330">
        <v>9</v>
      </c>
      <c r="F72" s="173" t="s">
        <v>197</v>
      </c>
      <c r="G72" s="288">
        <f t="shared" si="12"/>
        <v>4.8031496062992129</v>
      </c>
      <c r="H72" s="287">
        <f t="shared" si="13"/>
        <v>63.779527559055119</v>
      </c>
      <c r="I72" s="288">
        <v>2.89</v>
      </c>
      <c r="J72" s="287">
        <f t="shared" si="14"/>
        <v>11.023622047244094</v>
      </c>
      <c r="K72" s="291">
        <v>0.83</v>
      </c>
      <c r="L72" s="172">
        <v>73.599999999999994</v>
      </c>
      <c r="M72" s="358">
        <f t="shared" si="15"/>
        <v>31.858267716535433</v>
      </c>
      <c r="N72" s="160">
        <v>37.450000000000003</v>
      </c>
      <c r="O72" s="160">
        <f t="shared" si="8"/>
        <v>48.668335277749989</v>
      </c>
      <c r="P72" s="109">
        <f t="shared" si="16"/>
        <v>48.668335277749989</v>
      </c>
      <c r="Q72">
        <f t="shared" si="17"/>
        <v>1193.0921259842521</v>
      </c>
      <c r="R72">
        <f t="shared" si="18"/>
        <v>1550.4888545966651</v>
      </c>
    </row>
    <row r="73" spans="2:18" ht="15.6" x14ac:dyDescent="0.3">
      <c r="B73" s="421"/>
      <c r="C73" s="172">
        <v>72</v>
      </c>
      <c r="D73" s="172" t="s">
        <v>170</v>
      </c>
      <c r="E73" s="330">
        <v>9</v>
      </c>
      <c r="F73" s="173" t="s">
        <v>197</v>
      </c>
      <c r="G73" s="288">
        <f t="shared" si="12"/>
        <v>4.8031496062992129</v>
      </c>
      <c r="H73" s="287">
        <f t="shared" si="13"/>
        <v>63.779527559055119</v>
      </c>
      <c r="I73" s="291">
        <v>2.89</v>
      </c>
      <c r="J73" s="288">
        <f t="shared" si="14"/>
        <v>11.023622047244094</v>
      </c>
      <c r="K73" s="287">
        <v>1.34</v>
      </c>
      <c r="L73" s="291">
        <v>77.3</v>
      </c>
      <c r="M73" s="358">
        <f t="shared" si="15"/>
        <v>31.858267716535433</v>
      </c>
      <c r="N73" s="160">
        <v>66</v>
      </c>
      <c r="O73" s="160">
        <f t="shared" si="8"/>
        <v>49.876656311454809</v>
      </c>
      <c r="P73" s="109">
        <f t="shared" si="16"/>
        <v>49.876656311454809</v>
      </c>
      <c r="Q73">
        <f t="shared" si="17"/>
        <v>2102.6456692913384</v>
      </c>
      <c r="R73">
        <f t="shared" si="18"/>
        <v>1588.983869575954</v>
      </c>
    </row>
    <row r="74" spans="2:18" ht="15.6" x14ac:dyDescent="0.3">
      <c r="B74" s="422"/>
      <c r="C74" s="172">
        <v>73</v>
      </c>
      <c r="D74" s="172" t="s">
        <v>171</v>
      </c>
      <c r="E74" s="330">
        <v>4</v>
      </c>
      <c r="F74" s="173" t="s">
        <v>197</v>
      </c>
      <c r="G74" s="288">
        <f>295/25.4</f>
        <v>11.614173228346457</v>
      </c>
      <c r="H74" s="287">
        <f>8100/25.4</f>
        <v>318.89763779527561</v>
      </c>
      <c r="I74" s="291">
        <v>2.79</v>
      </c>
      <c r="J74" s="288">
        <f>1450/25.4</f>
        <v>57.086614173228348</v>
      </c>
      <c r="K74" s="287">
        <v>0.25</v>
      </c>
      <c r="L74" s="291">
        <v>35.4</v>
      </c>
      <c r="M74" s="358">
        <f t="shared" si="15"/>
        <v>159.27165354330708</v>
      </c>
      <c r="N74" s="160">
        <v>171.5</v>
      </c>
      <c r="O74" s="160">
        <f t="shared" si="8"/>
        <v>422.65048463655484</v>
      </c>
      <c r="P74" s="109">
        <f t="shared" si="16"/>
        <v>422.65048463655484</v>
      </c>
      <c r="Q74">
        <f t="shared" si="17"/>
        <v>27315.088582677163</v>
      </c>
      <c r="R74">
        <f t="shared" si="18"/>
        <v>67316.241558944195</v>
      </c>
    </row>
    <row r="75" spans="2:18" ht="69.75" customHeight="1" x14ac:dyDescent="0.3">
      <c r="B75" s="295" t="s">
        <v>202</v>
      </c>
      <c r="C75" s="172">
        <v>74</v>
      </c>
      <c r="D75" s="297" t="s">
        <v>193</v>
      </c>
      <c r="E75" s="331">
        <v>10</v>
      </c>
      <c r="F75" s="296" t="s">
        <v>201</v>
      </c>
      <c r="G75" s="297">
        <f>250/25.4</f>
        <v>9.8425196850393704</v>
      </c>
      <c r="H75" s="297">
        <f>23808/25.4</f>
        <v>937.32283464566933</v>
      </c>
      <c r="I75" s="296">
        <v>3.1</v>
      </c>
      <c r="J75" s="297">
        <f>3840/25.4</f>
        <v>151.18110236220474</v>
      </c>
      <c r="K75" s="297">
        <v>0.66</v>
      </c>
      <c r="L75" s="296">
        <v>40</v>
      </c>
      <c r="M75" s="359">
        <f t="shared" si="15"/>
        <v>468.66141732283472</v>
      </c>
      <c r="N75" s="160">
        <v>1365</v>
      </c>
      <c r="O75" s="160">
        <f t="shared" si="8"/>
        <v>1008.3027479373087</v>
      </c>
      <c r="P75" s="109">
        <f t="shared" si="16"/>
        <v>1008.3027479373087</v>
      </c>
      <c r="Q75">
        <f t="shared" si="17"/>
        <v>639722.83464566944</v>
      </c>
      <c r="R75">
        <f t="shared" si="18"/>
        <v>472552.59493880806</v>
      </c>
    </row>
    <row r="76" spans="2:18" ht="69.75" customHeight="1" x14ac:dyDescent="0.3">
      <c r="B76" s="295" t="s">
        <v>203</v>
      </c>
      <c r="C76" s="172">
        <v>75</v>
      </c>
      <c r="D76" s="297" t="s">
        <v>237</v>
      </c>
      <c r="E76" s="331">
        <v>4</v>
      </c>
      <c r="F76" s="296" t="s">
        <v>201</v>
      </c>
      <c r="G76" s="297">
        <f>300/25.4</f>
        <v>11.811023622047244</v>
      </c>
      <c r="H76" s="297">
        <f>2*M76</f>
        <v>425.62204724409452</v>
      </c>
      <c r="I76" s="296">
        <v>2.86</v>
      </c>
      <c r="J76" s="297">
        <f>1890/25.4</f>
        <v>74.409448818897644</v>
      </c>
      <c r="K76" s="297">
        <v>0.74</v>
      </c>
      <c r="L76" s="296">
        <v>31.8</v>
      </c>
      <c r="M76" s="359">
        <f>I76*J76</f>
        <v>212.81102362204726</v>
      </c>
      <c r="N76" s="160">
        <v>230</v>
      </c>
      <c r="O76" s="160">
        <f t="shared" si="8"/>
        <v>530.9899984822747</v>
      </c>
      <c r="P76" s="109">
        <f t="shared" si="16"/>
        <v>530.9899984822747</v>
      </c>
      <c r="Q76">
        <f t="shared" si="17"/>
        <v>48946.535433070872</v>
      </c>
      <c r="R76">
        <f t="shared" si="18"/>
        <v>113000.52511008221</v>
      </c>
    </row>
    <row r="77" spans="2:18" ht="39.75" customHeight="1" x14ac:dyDescent="0.3">
      <c r="B77" s="426" t="s">
        <v>206</v>
      </c>
      <c r="C77" s="172">
        <v>76</v>
      </c>
      <c r="D77" s="297" t="s">
        <v>238</v>
      </c>
      <c r="E77" s="331">
        <v>6</v>
      </c>
      <c r="F77" s="296" t="s">
        <v>201</v>
      </c>
      <c r="G77" s="297">
        <f t="shared" ref="G77:G78" si="19">300/25.4</f>
        <v>11.811023622047244</v>
      </c>
      <c r="H77" s="297">
        <f t="shared" ref="H77:H78" si="20">2*M77</f>
        <v>425.04015748031497</v>
      </c>
      <c r="I77" s="296">
        <v>2.81</v>
      </c>
      <c r="J77" s="297">
        <f>1921/25.4</f>
        <v>75.629921259842519</v>
      </c>
      <c r="K77" s="297">
        <v>0.36</v>
      </c>
      <c r="L77" s="296">
        <v>28.3</v>
      </c>
      <c r="M77" s="359">
        <f>I77*J77</f>
        <v>212.52007874015749</v>
      </c>
      <c r="N77" s="160">
        <v>200</v>
      </c>
      <c r="O77" s="160">
        <f t="shared" si="8"/>
        <v>509.13336600687688</v>
      </c>
      <c r="P77" s="109">
        <f t="shared" si="16"/>
        <v>509.13336600687688</v>
      </c>
      <c r="Q77">
        <f t="shared" si="17"/>
        <v>42504.015748031496</v>
      </c>
      <c r="R77">
        <f t="shared" si="18"/>
        <v>108201.0630330229</v>
      </c>
    </row>
    <row r="78" spans="2:18" ht="33" customHeight="1" x14ac:dyDescent="0.3">
      <c r="B78" s="427"/>
      <c r="C78" s="172">
        <v>77</v>
      </c>
      <c r="D78" s="297" t="s">
        <v>239</v>
      </c>
      <c r="E78" s="331">
        <v>6</v>
      </c>
      <c r="F78" s="296" t="s">
        <v>201</v>
      </c>
      <c r="G78" s="297">
        <f t="shared" si="19"/>
        <v>11.811023622047244</v>
      </c>
      <c r="H78" s="297">
        <f t="shared" si="20"/>
        <v>441.67874015748032</v>
      </c>
      <c r="I78" s="296">
        <v>2.92</v>
      </c>
      <c r="J78" s="297">
        <f>1921/25.4</f>
        <v>75.629921259842519</v>
      </c>
      <c r="K78" s="297">
        <v>1.52</v>
      </c>
      <c r="L78" s="296">
        <v>26.2</v>
      </c>
      <c r="M78" s="359">
        <f t="shared" ref="M78" si="21">I78*J78</f>
        <v>220.83937007874016</v>
      </c>
      <c r="N78" s="160">
        <v>380</v>
      </c>
      <c r="O78" s="160">
        <f t="shared" si="8"/>
        <v>489.8791857548851</v>
      </c>
      <c r="P78" s="109">
        <f t="shared" si="16"/>
        <v>489.8791857548851</v>
      </c>
      <c r="Q78">
        <f t="shared" si="17"/>
        <v>83918.960629921261</v>
      </c>
      <c r="R78">
        <f t="shared" si="18"/>
        <v>108184.61079679496</v>
      </c>
    </row>
    <row r="79" spans="2:18" ht="15.6" x14ac:dyDescent="0.3">
      <c r="B79" s="423" t="s">
        <v>241</v>
      </c>
      <c r="C79" s="172">
        <v>78</v>
      </c>
      <c r="D79" s="173" t="s">
        <v>186</v>
      </c>
      <c r="E79" s="330">
        <v>6</v>
      </c>
      <c r="F79" s="172" t="s">
        <v>204</v>
      </c>
      <c r="G79" s="173">
        <f t="shared" ref="G79:G84" si="22">300/25.4</f>
        <v>11.811023622047244</v>
      </c>
      <c r="H79" s="173">
        <f>4800/25.4</f>
        <v>188.97637795275591</v>
      </c>
      <c r="I79" s="298">
        <f t="shared" ref="I79:I84" si="23">H79/J79/2</f>
        <v>2.5945945945945943</v>
      </c>
      <c r="J79" s="173">
        <f t="shared" ref="J79:J84" si="24">925/25.4</f>
        <v>36.417322834645674</v>
      </c>
      <c r="K79" s="173">
        <v>0.98</v>
      </c>
      <c r="L79" s="172">
        <v>64</v>
      </c>
      <c r="M79" s="358">
        <f t="shared" si="15"/>
        <v>94.488188976377955</v>
      </c>
      <c r="N79" s="160">
        <v>353</v>
      </c>
      <c r="O79" s="160">
        <f t="shared" ref="O79:O84" si="25">P79</f>
        <v>368.67415755023751</v>
      </c>
      <c r="P79" s="109">
        <f t="shared" si="16"/>
        <v>368.67415755023751</v>
      </c>
      <c r="Q79">
        <f t="shared" si="17"/>
        <v>33354.330708661415</v>
      </c>
      <c r="R79">
        <f t="shared" si="18"/>
        <v>34835.353469313784</v>
      </c>
    </row>
    <row r="80" spans="2:18" ht="15.6" x14ac:dyDescent="0.3">
      <c r="B80" s="424"/>
      <c r="C80" s="172">
        <v>79</v>
      </c>
      <c r="D80" s="173" t="s">
        <v>187</v>
      </c>
      <c r="E80" s="330">
        <v>5</v>
      </c>
      <c r="F80" s="172" t="s">
        <v>204</v>
      </c>
      <c r="G80" s="173">
        <f t="shared" si="22"/>
        <v>11.811023622047244</v>
      </c>
      <c r="H80" s="173">
        <f>3600/25.4</f>
        <v>141.73228346456693</v>
      </c>
      <c r="I80" s="298">
        <f t="shared" si="23"/>
        <v>1.9459459459459458</v>
      </c>
      <c r="J80" s="173">
        <f t="shared" si="24"/>
        <v>36.417322834645674</v>
      </c>
      <c r="K80" s="173">
        <v>0.98</v>
      </c>
      <c r="L80" s="172">
        <v>39</v>
      </c>
      <c r="M80" s="358">
        <f t="shared" si="15"/>
        <v>70.866141732283467</v>
      </c>
      <c r="N80" s="160">
        <v>779.75</v>
      </c>
      <c r="O80" s="160">
        <f t="shared" si="25"/>
        <v>287.79617199530611</v>
      </c>
      <c r="P80" s="109">
        <f t="shared" si="16"/>
        <v>287.79617199530611</v>
      </c>
      <c r="Q80">
        <f t="shared" si="17"/>
        <v>55257.874015748035</v>
      </c>
      <c r="R80">
        <f t="shared" si="18"/>
        <v>20395.004314627993</v>
      </c>
    </row>
    <row r="81" spans="2:18" ht="15.6" x14ac:dyDescent="0.3">
      <c r="B81" s="424"/>
      <c r="C81" s="172">
        <v>80</v>
      </c>
      <c r="D81" s="173" t="s">
        <v>188</v>
      </c>
      <c r="E81" s="330">
        <v>7</v>
      </c>
      <c r="F81" s="172" t="s">
        <v>204</v>
      </c>
      <c r="G81" s="173">
        <f t="shared" si="22"/>
        <v>11.811023622047244</v>
      </c>
      <c r="H81" s="173">
        <f>3600/25.4</f>
        <v>141.73228346456693</v>
      </c>
      <c r="I81" s="298">
        <f t="shared" si="23"/>
        <v>1.9459459459459458</v>
      </c>
      <c r="J81" s="173">
        <f t="shared" si="24"/>
        <v>36.417322834645674</v>
      </c>
      <c r="K81" s="173">
        <v>0.98</v>
      </c>
      <c r="L81" s="172">
        <v>45</v>
      </c>
      <c r="M81" s="358">
        <f t="shared" si="15"/>
        <v>70.866141732283467</v>
      </c>
      <c r="O81" s="160">
        <f t="shared" si="25"/>
        <v>309.14267918617435</v>
      </c>
      <c r="P81" s="109">
        <f t="shared" si="16"/>
        <v>309.14267918617435</v>
      </c>
      <c r="Q81">
        <f t="shared" si="17"/>
        <v>0</v>
      </c>
      <c r="R81">
        <f t="shared" si="18"/>
        <v>21907.748918705271</v>
      </c>
    </row>
    <row r="82" spans="2:18" ht="15.6" x14ac:dyDescent="0.3">
      <c r="B82" s="424"/>
      <c r="C82" s="172">
        <v>81</v>
      </c>
      <c r="D82" s="173" t="s">
        <v>189</v>
      </c>
      <c r="E82" s="330">
        <v>7</v>
      </c>
      <c r="F82" s="172" t="s">
        <v>204</v>
      </c>
      <c r="G82" s="173">
        <f t="shared" si="22"/>
        <v>11.811023622047244</v>
      </c>
      <c r="H82" s="173">
        <f>3600/25.4</f>
        <v>141.73228346456693</v>
      </c>
      <c r="I82" s="298">
        <f t="shared" si="23"/>
        <v>1.9459459459459458</v>
      </c>
      <c r="J82" s="173">
        <f t="shared" si="24"/>
        <v>36.417322834645674</v>
      </c>
      <c r="K82" s="173">
        <v>0.98</v>
      </c>
      <c r="L82" s="172">
        <v>39</v>
      </c>
      <c r="M82" s="358">
        <f t="shared" si="15"/>
        <v>70.866141732283467</v>
      </c>
      <c r="N82" s="160">
        <v>1107</v>
      </c>
      <c r="O82" s="160">
        <f t="shared" si="25"/>
        <v>287.79617199530611</v>
      </c>
      <c r="P82" s="109">
        <f t="shared" si="16"/>
        <v>287.79617199530611</v>
      </c>
      <c r="Q82">
        <f t="shared" si="17"/>
        <v>78448.818897637801</v>
      </c>
      <c r="R82">
        <f t="shared" si="18"/>
        <v>20395.004314627993</v>
      </c>
    </row>
    <row r="83" spans="2:18" ht="15.6" x14ac:dyDescent="0.3">
      <c r="B83" s="424"/>
      <c r="C83" s="172">
        <v>82</v>
      </c>
      <c r="D83" s="173" t="s">
        <v>190</v>
      </c>
      <c r="E83" s="330">
        <v>8</v>
      </c>
      <c r="F83" s="172" t="s">
        <v>204</v>
      </c>
      <c r="G83" s="173">
        <f t="shared" si="22"/>
        <v>11.811023622047244</v>
      </c>
      <c r="H83" s="173">
        <f>4800/25.4</f>
        <v>188.97637795275591</v>
      </c>
      <c r="I83" s="298">
        <f t="shared" si="23"/>
        <v>2.5945945945945943</v>
      </c>
      <c r="J83" s="173">
        <f t="shared" si="24"/>
        <v>36.417322834645674</v>
      </c>
      <c r="K83" s="173">
        <v>0.98</v>
      </c>
      <c r="L83" s="172">
        <v>45</v>
      </c>
      <c r="M83" s="358">
        <f t="shared" si="15"/>
        <v>94.488188976377955</v>
      </c>
      <c r="N83" s="160">
        <v>826.5</v>
      </c>
      <c r="O83" s="160">
        <f t="shared" si="25"/>
        <v>309.14267918617435</v>
      </c>
      <c r="P83" s="109">
        <f t="shared" si="16"/>
        <v>309.14267918617435</v>
      </c>
      <c r="Q83">
        <f t="shared" si="17"/>
        <v>78094.488188976378</v>
      </c>
      <c r="R83">
        <f t="shared" si="18"/>
        <v>29210.331891607028</v>
      </c>
    </row>
    <row r="84" spans="2:18" ht="15.6" x14ac:dyDescent="0.3">
      <c r="B84" s="425"/>
      <c r="C84" s="172">
        <v>83</v>
      </c>
      <c r="D84" s="173" t="s">
        <v>191</v>
      </c>
      <c r="E84" s="330">
        <v>9</v>
      </c>
      <c r="F84" s="172" t="s">
        <v>205</v>
      </c>
      <c r="G84" s="173">
        <f t="shared" si="22"/>
        <v>11.811023622047244</v>
      </c>
      <c r="H84" s="173">
        <f>6000/25.4</f>
        <v>236.22047244094489</v>
      </c>
      <c r="I84" s="298">
        <f t="shared" si="23"/>
        <v>3.243243243243243</v>
      </c>
      <c r="J84" s="173">
        <f t="shared" si="24"/>
        <v>36.417322834645674</v>
      </c>
      <c r="K84" s="173">
        <v>0.98</v>
      </c>
      <c r="L84" s="172">
        <v>58</v>
      </c>
      <c r="M84" s="358">
        <f t="shared" si="15"/>
        <v>118.11023622047244</v>
      </c>
      <c r="N84" s="160">
        <v>675.5</v>
      </c>
      <c r="O84" s="160">
        <f t="shared" si="25"/>
        <v>350.96734173726651</v>
      </c>
      <c r="P84" s="109">
        <f t="shared" si="16"/>
        <v>350.96734173726651</v>
      </c>
      <c r="Q84">
        <f t="shared" si="17"/>
        <v>79783.464566929135</v>
      </c>
      <c r="R84">
        <f t="shared" si="18"/>
        <v>41452.835638259829</v>
      </c>
    </row>
    <row r="85" spans="2:18" ht="30" customHeight="1" x14ac:dyDescent="0.3">
      <c r="B85" s="423" t="s">
        <v>242</v>
      </c>
      <c r="C85" s="172">
        <v>84</v>
      </c>
      <c r="D85" s="172" t="s">
        <v>207</v>
      </c>
      <c r="E85" s="330">
        <v>7</v>
      </c>
      <c r="F85" s="336" t="s">
        <v>197</v>
      </c>
      <c r="G85" s="172">
        <f>200/25.4</f>
        <v>7.8740157480314963</v>
      </c>
      <c r="H85" s="172">
        <f>2*I85*J85</f>
        <v>118.11023622047244</v>
      </c>
      <c r="I85" s="173">
        <v>5</v>
      </c>
      <c r="J85" s="173">
        <f>300/25.4</f>
        <v>11.811023622047244</v>
      </c>
      <c r="K85" s="172">
        <v>1.57</v>
      </c>
      <c r="L85" s="172">
        <v>49.2</v>
      </c>
      <c r="M85" s="358">
        <f t="shared" si="15"/>
        <v>59.055118110236222</v>
      </c>
      <c r="N85" s="160">
        <v>79.2</v>
      </c>
      <c r="O85" s="160">
        <f t="shared" si="8"/>
        <v>69.891365221947837</v>
      </c>
      <c r="P85" s="109">
        <f t="shared" si="16"/>
        <v>69.891365221947837</v>
      </c>
      <c r="Q85">
        <f t="shared" si="17"/>
        <v>4677.1653543307093</v>
      </c>
      <c r="R85">
        <f t="shared" si="18"/>
        <v>4127.4428280677857</v>
      </c>
    </row>
    <row r="86" spans="2:18" ht="30.75" customHeight="1" x14ac:dyDescent="0.3">
      <c r="B86" s="424"/>
      <c r="C86" s="172">
        <v>85</v>
      </c>
      <c r="D86" s="172" t="s">
        <v>208</v>
      </c>
      <c r="E86" s="330">
        <v>14</v>
      </c>
      <c r="F86" s="336" t="s">
        <v>210</v>
      </c>
      <c r="G86" s="172">
        <f>200/25.4</f>
        <v>7.8740157480314963</v>
      </c>
      <c r="H86" s="172">
        <f>2*I86*J86</f>
        <v>118.11023622047244</v>
      </c>
      <c r="I86" s="173">
        <v>5</v>
      </c>
      <c r="J86" s="173">
        <f>300/25.4</f>
        <v>11.811023622047244</v>
      </c>
      <c r="K86" s="172">
        <v>2.36</v>
      </c>
      <c r="L86" s="172">
        <v>49.45</v>
      </c>
      <c r="M86" s="358">
        <f t="shared" si="15"/>
        <v>59.055118110236222</v>
      </c>
      <c r="N86" s="160">
        <v>75</v>
      </c>
      <c r="O86" s="160">
        <f t="shared" si="8"/>
        <v>70.068709747650161</v>
      </c>
      <c r="P86" s="109">
        <f t="shared" si="16"/>
        <v>70.068709747650161</v>
      </c>
      <c r="Q86">
        <f t="shared" si="17"/>
        <v>4429.1338582677163</v>
      </c>
      <c r="R86">
        <f t="shared" si="18"/>
        <v>4137.91592997934</v>
      </c>
    </row>
    <row r="87" spans="2:18" ht="29.25" customHeight="1" x14ac:dyDescent="0.3">
      <c r="B87" s="424"/>
      <c r="C87" s="172">
        <v>86</v>
      </c>
      <c r="D87" s="172" t="s">
        <v>209</v>
      </c>
      <c r="E87" s="330">
        <v>7</v>
      </c>
      <c r="F87" s="336" t="s">
        <v>210</v>
      </c>
      <c r="G87" s="172">
        <f>200/25.4</f>
        <v>7.8740157480314963</v>
      </c>
      <c r="H87" s="172">
        <f>2*I87*J87</f>
        <v>70.866141732283467</v>
      </c>
      <c r="I87" s="173">
        <v>3</v>
      </c>
      <c r="J87" s="173">
        <f>300/25.4</f>
        <v>11.811023622047244</v>
      </c>
      <c r="K87" s="172">
        <v>3.14</v>
      </c>
      <c r="L87" s="172">
        <v>54.8</v>
      </c>
      <c r="M87" s="358">
        <f t="shared" si="15"/>
        <v>35.433070866141733</v>
      </c>
      <c r="N87" s="160">
        <v>84.5</v>
      </c>
      <c r="O87" s="160">
        <f t="shared" si="8"/>
        <v>73.761756773501048</v>
      </c>
      <c r="P87" s="109">
        <f t="shared" si="16"/>
        <v>73.761756773501048</v>
      </c>
      <c r="Q87">
        <f t="shared" si="17"/>
        <v>2994.0944881889764</v>
      </c>
      <c r="R87">
        <f t="shared" si="18"/>
        <v>2613.6055549665725</v>
      </c>
    </row>
    <row r="88" spans="2:18" ht="15.6" x14ac:dyDescent="0.3">
      <c r="B88" s="416" t="s">
        <v>136</v>
      </c>
      <c r="C88" s="416"/>
      <c r="D88" s="416"/>
      <c r="E88" s="330">
        <f>SUM(E2:E87)</f>
        <v>563</v>
      </c>
      <c r="F88"/>
      <c r="G88"/>
      <c r="H88"/>
      <c r="I88"/>
      <c r="J88"/>
      <c r="K88"/>
      <c r="L88"/>
      <c r="M88"/>
      <c r="N88"/>
      <c r="O88"/>
      <c r="P88"/>
    </row>
    <row r="89" spans="2:18" x14ac:dyDescent="0.3">
      <c r="E89" s="332"/>
      <c r="F89"/>
      <c r="G89"/>
      <c r="H89"/>
      <c r="I89"/>
      <c r="J89"/>
      <c r="K89"/>
      <c r="L89"/>
      <c r="M89"/>
      <c r="N89"/>
      <c r="O89"/>
      <c r="P89"/>
    </row>
    <row r="90" spans="2:18" x14ac:dyDescent="0.3">
      <c r="E90" s="332"/>
      <c r="F90"/>
      <c r="G90"/>
      <c r="H90"/>
      <c r="I90"/>
      <c r="J90"/>
      <c r="K90"/>
      <c r="L90"/>
      <c r="M90"/>
      <c r="N90"/>
      <c r="O90"/>
      <c r="P90"/>
    </row>
    <row r="91" spans="2:18" x14ac:dyDescent="0.3">
      <c r="D91">
        <f>E88-47-28-42-52</f>
        <v>394</v>
      </c>
      <c r="E91" s="332"/>
      <c r="F91"/>
      <c r="G91"/>
      <c r="H91"/>
      <c r="I91"/>
      <c r="J91"/>
      <c r="K91"/>
      <c r="L91"/>
      <c r="M91"/>
      <c r="N91"/>
      <c r="O91"/>
      <c r="P91"/>
    </row>
    <row r="92" spans="2:18" x14ac:dyDescent="0.3">
      <c r="E92" s="332"/>
      <c r="F92"/>
      <c r="G92"/>
      <c r="H92"/>
      <c r="I92"/>
      <c r="J92"/>
      <c r="K92"/>
      <c r="L92"/>
      <c r="M92"/>
      <c r="N92"/>
      <c r="O92"/>
      <c r="P92"/>
    </row>
    <row r="93" spans="2:18" x14ac:dyDescent="0.3">
      <c r="L93"/>
      <c r="M93"/>
      <c r="N93"/>
      <c r="O93"/>
      <c r="P93"/>
    </row>
    <row r="94" spans="2:18" x14ac:dyDescent="0.3">
      <c r="L94"/>
      <c r="M94"/>
      <c r="N94"/>
      <c r="O94"/>
      <c r="P94"/>
    </row>
    <row r="95" spans="2:18" x14ac:dyDescent="0.3">
      <c r="L95"/>
      <c r="M95"/>
      <c r="N95"/>
      <c r="O95"/>
      <c r="P95"/>
    </row>
    <row r="96" spans="2:18" x14ac:dyDescent="0.3">
      <c r="L96"/>
      <c r="M96"/>
      <c r="N96"/>
      <c r="O96"/>
      <c r="P96"/>
    </row>
    <row r="97" spans="12:16" x14ac:dyDescent="0.3">
      <c r="L97"/>
      <c r="M97"/>
      <c r="N97"/>
      <c r="O97"/>
      <c r="P97"/>
    </row>
    <row r="98" spans="12:16" x14ac:dyDescent="0.3">
      <c r="L98"/>
      <c r="M98"/>
      <c r="N98"/>
      <c r="O98"/>
      <c r="P98"/>
    </row>
    <row r="99" spans="12:16" x14ac:dyDescent="0.3">
      <c r="L99"/>
      <c r="M99"/>
      <c r="N99"/>
      <c r="O99"/>
      <c r="P99"/>
    </row>
    <row r="100" spans="12:16" x14ac:dyDescent="0.3">
      <c r="L100"/>
      <c r="M100"/>
      <c r="N100"/>
      <c r="O100"/>
      <c r="P100"/>
    </row>
    <row r="101" spans="12:16" x14ac:dyDescent="0.3">
      <c r="L101"/>
      <c r="M101"/>
      <c r="N101"/>
      <c r="O101"/>
      <c r="P101"/>
    </row>
    <row r="102" spans="12:16" x14ac:dyDescent="0.3">
      <c r="L102"/>
      <c r="M102"/>
      <c r="N102"/>
      <c r="O102"/>
      <c r="P102"/>
    </row>
    <row r="103" spans="12:16" x14ac:dyDescent="0.3">
      <c r="L103"/>
      <c r="M103"/>
      <c r="N103"/>
      <c r="O103"/>
      <c r="P103"/>
    </row>
    <row r="104" spans="12:16" x14ac:dyDescent="0.3">
      <c r="L104"/>
      <c r="M104"/>
      <c r="N104"/>
      <c r="O104"/>
      <c r="P104"/>
    </row>
    <row r="105" spans="12:16" x14ac:dyDescent="0.3">
      <c r="L105"/>
      <c r="M105"/>
      <c r="N105"/>
      <c r="O105"/>
      <c r="P105"/>
    </row>
    <row r="106" spans="12:16" x14ac:dyDescent="0.3">
      <c r="L106"/>
      <c r="M106"/>
      <c r="N106"/>
      <c r="O106"/>
      <c r="P106"/>
    </row>
    <row r="107" spans="12:16" x14ac:dyDescent="0.3">
      <c r="L107"/>
      <c r="M107"/>
      <c r="N107"/>
      <c r="O107"/>
      <c r="P107"/>
    </row>
    <row r="108" spans="12:16" x14ac:dyDescent="0.3">
      <c r="L108"/>
      <c r="M108"/>
      <c r="N108"/>
      <c r="O108"/>
      <c r="P108"/>
    </row>
    <row r="109" spans="12:16" x14ac:dyDescent="0.3">
      <c r="L109"/>
      <c r="M109"/>
      <c r="N109"/>
      <c r="O109"/>
      <c r="P109"/>
    </row>
    <row r="110" spans="12:16" x14ac:dyDescent="0.3">
      <c r="L110"/>
      <c r="M110"/>
      <c r="N110"/>
      <c r="O110"/>
      <c r="P110"/>
    </row>
    <row r="111" spans="12:16" x14ac:dyDescent="0.3">
      <c r="L111"/>
      <c r="M111"/>
      <c r="N111"/>
      <c r="O111"/>
      <c r="P111"/>
    </row>
    <row r="112" spans="12:16" x14ac:dyDescent="0.3">
      <c r="L112"/>
      <c r="M112"/>
      <c r="N112"/>
      <c r="O112"/>
      <c r="P112"/>
    </row>
    <row r="113" spans="12:16" x14ac:dyDescent="0.3">
      <c r="L113"/>
      <c r="M113"/>
      <c r="N113"/>
      <c r="O113"/>
      <c r="P113"/>
    </row>
    <row r="114" spans="12:16" x14ac:dyDescent="0.3">
      <c r="L114"/>
      <c r="M114"/>
      <c r="N114"/>
      <c r="O114"/>
      <c r="P114"/>
    </row>
    <row r="115" spans="12:16" x14ac:dyDescent="0.3">
      <c r="L115"/>
      <c r="M115"/>
      <c r="N115"/>
      <c r="O115"/>
      <c r="P115"/>
    </row>
    <row r="116" spans="12:16" x14ac:dyDescent="0.3">
      <c r="L116"/>
      <c r="M116"/>
      <c r="N116"/>
      <c r="O116"/>
      <c r="P116"/>
    </row>
    <row r="117" spans="12:16" x14ac:dyDescent="0.3">
      <c r="L117"/>
      <c r="M117"/>
      <c r="N117"/>
      <c r="O117"/>
      <c r="P117"/>
    </row>
    <row r="118" spans="12:16" x14ac:dyDescent="0.3">
      <c r="L118"/>
      <c r="M118"/>
      <c r="N118"/>
      <c r="O118"/>
      <c r="P118"/>
    </row>
    <row r="119" spans="12:16" x14ac:dyDescent="0.3">
      <c r="L119"/>
      <c r="M119"/>
      <c r="N119"/>
      <c r="O119"/>
      <c r="P119"/>
    </row>
    <row r="120" spans="12:16" x14ac:dyDescent="0.3">
      <c r="L120"/>
      <c r="M120"/>
      <c r="N120"/>
      <c r="O120"/>
      <c r="P120"/>
    </row>
    <row r="121" spans="12:16" x14ac:dyDescent="0.3">
      <c r="L121"/>
      <c r="M121"/>
      <c r="N121"/>
      <c r="O121"/>
      <c r="P121"/>
    </row>
    <row r="122" spans="12:16" x14ac:dyDescent="0.3">
      <c r="L122"/>
      <c r="M122"/>
      <c r="N122"/>
      <c r="O122"/>
      <c r="P122"/>
    </row>
    <row r="123" spans="12:16" x14ac:dyDescent="0.3">
      <c r="L123"/>
      <c r="M123"/>
      <c r="N123"/>
      <c r="O123"/>
      <c r="P123"/>
    </row>
    <row r="124" spans="12:16" x14ac:dyDescent="0.3">
      <c r="L124"/>
      <c r="M124"/>
      <c r="N124"/>
      <c r="O124"/>
      <c r="P124"/>
    </row>
    <row r="125" spans="12:16" x14ac:dyDescent="0.3">
      <c r="L125"/>
      <c r="M125"/>
      <c r="N125"/>
      <c r="O125"/>
      <c r="P125"/>
    </row>
    <row r="126" spans="12:16" x14ac:dyDescent="0.3">
      <c r="L126"/>
      <c r="M126"/>
      <c r="N126"/>
      <c r="O126"/>
      <c r="P126"/>
    </row>
    <row r="127" spans="12:16" x14ac:dyDescent="0.3">
      <c r="L127"/>
      <c r="M127"/>
      <c r="N127"/>
      <c r="O127"/>
      <c r="P127"/>
    </row>
    <row r="128" spans="12:16" x14ac:dyDescent="0.3">
      <c r="L128"/>
      <c r="M128"/>
      <c r="N128"/>
      <c r="O128"/>
      <c r="P128"/>
    </row>
    <row r="129" spans="12:16" x14ac:dyDescent="0.3">
      <c r="L129"/>
      <c r="M129"/>
      <c r="N129"/>
      <c r="O129"/>
      <c r="P129"/>
    </row>
    <row r="130" spans="12:16" x14ac:dyDescent="0.3">
      <c r="L130"/>
      <c r="M130"/>
      <c r="N130"/>
      <c r="O130"/>
      <c r="P130"/>
    </row>
    <row r="131" spans="12:16" x14ac:dyDescent="0.3">
      <c r="L131"/>
      <c r="M131"/>
      <c r="N131"/>
      <c r="O131"/>
      <c r="P131"/>
    </row>
    <row r="132" spans="12:16" x14ac:dyDescent="0.3">
      <c r="L132"/>
      <c r="M132"/>
      <c r="N132"/>
      <c r="O132"/>
      <c r="P132"/>
    </row>
    <row r="133" spans="12:16" x14ac:dyDescent="0.3">
      <c r="L133"/>
      <c r="M133"/>
      <c r="N133"/>
      <c r="O133"/>
      <c r="P133"/>
    </row>
    <row r="134" spans="12:16" x14ac:dyDescent="0.3">
      <c r="L134"/>
      <c r="M134"/>
      <c r="N134"/>
      <c r="O134"/>
      <c r="P134"/>
    </row>
    <row r="135" spans="12:16" x14ac:dyDescent="0.3">
      <c r="L135"/>
      <c r="M135"/>
      <c r="N135"/>
      <c r="O135"/>
      <c r="P135"/>
    </row>
    <row r="136" spans="12:16" x14ac:dyDescent="0.3">
      <c r="L136"/>
      <c r="M136"/>
      <c r="N136"/>
      <c r="O136"/>
      <c r="P136"/>
    </row>
    <row r="137" spans="12:16" x14ac:dyDescent="0.3">
      <c r="L137"/>
      <c r="M137"/>
      <c r="N137"/>
      <c r="O137"/>
      <c r="P137"/>
    </row>
    <row r="138" spans="12:16" x14ac:dyDescent="0.3">
      <c r="L138"/>
      <c r="M138"/>
      <c r="N138"/>
      <c r="O138"/>
      <c r="P138"/>
    </row>
    <row r="139" spans="12:16" x14ac:dyDescent="0.3">
      <c r="L139"/>
      <c r="M139"/>
      <c r="N139"/>
      <c r="O139"/>
      <c r="P139"/>
    </row>
    <row r="140" spans="12:16" x14ac:dyDescent="0.3">
      <c r="L140"/>
      <c r="M140"/>
      <c r="N140"/>
      <c r="O140"/>
      <c r="P140"/>
    </row>
    <row r="141" spans="12:16" x14ac:dyDescent="0.3">
      <c r="L141"/>
      <c r="M141"/>
      <c r="N141"/>
      <c r="O141"/>
      <c r="P141"/>
    </row>
    <row r="142" spans="12:16" x14ac:dyDescent="0.3">
      <c r="L142"/>
      <c r="M142"/>
      <c r="N142"/>
      <c r="O142"/>
      <c r="P142"/>
    </row>
    <row r="143" spans="12:16" x14ac:dyDescent="0.3">
      <c r="L143"/>
      <c r="M143"/>
      <c r="N143"/>
      <c r="O143"/>
      <c r="P143"/>
    </row>
    <row r="144" spans="12:16" x14ac:dyDescent="0.3">
      <c r="L144"/>
      <c r="M144"/>
      <c r="N144"/>
      <c r="O144"/>
      <c r="P144"/>
    </row>
    <row r="145" spans="12:16" x14ac:dyDescent="0.3">
      <c r="L145"/>
      <c r="M145"/>
      <c r="N145"/>
      <c r="O145"/>
      <c r="P145"/>
    </row>
    <row r="146" spans="12:16" x14ac:dyDescent="0.3">
      <c r="L146"/>
      <c r="M146"/>
      <c r="N146"/>
      <c r="O146"/>
      <c r="P146"/>
    </row>
    <row r="147" spans="12:16" x14ac:dyDescent="0.3">
      <c r="L147"/>
      <c r="M147"/>
      <c r="N147"/>
      <c r="O147"/>
      <c r="P147"/>
    </row>
    <row r="148" spans="12:16" x14ac:dyDescent="0.3">
      <c r="L148"/>
      <c r="M148"/>
      <c r="N148"/>
      <c r="O148"/>
      <c r="P148"/>
    </row>
    <row r="149" spans="12:16" x14ac:dyDescent="0.3">
      <c r="L149"/>
      <c r="M149"/>
      <c r="N149"/>
      <c r="O149"/>
      <c r="P149"/>
    </row>
    <row r="150" spans="12:16" x14ac:dyDescent="0.3">
      <c r="L150"/>
      <c r="M150"/>
      <c r="N150"/>
      <c r="O150"/>
      <c r="P150"/>
    </row>
    <row r="151" spans="12:16" x14ac:dyDescent="0.3">
      <c r="L151"/>
      <c r="M151"/>
      <c r="N151"/>
      <c r="O151"/>
      <c r="P151"/>
    </row>
    <row r="152" spans="12:16" x14ac:dyDescent="0.3">
      <c r="L152"/>
      <c r="M152"/>
      <c r="N152"/>
      <c r="O152"/>
      <c r="P152"/>
    </row>
    <row r="153" spans="12:16" x14ac:dyDescent="0.3">
      <c r="L153"/>
      <c r="M153"/>
      <c r="N153"/>
      <c r="O153"/>
      <c r="P153"/>
    </row>
    <row r="154" spans="12:16" x14ac:dyDescent="0.3">
      <c r="L154"/>
      <c r="M154"/>
      <c r="N154"/>
      <c r="O154"/>
      <c r="P154"/>
    </row>
    <row r="155" spans="12:16" x14ac:dyDescent="0.3">
      <c r="L155"/>
      <c r="M155"/>
      <c r="N155"/>
      <c r="O155"/>
      <c r="P155"/>
    </row>
    <row r="156" spans="12:16" x14ac:dyDescent="0.3">
      <c r="L156"/>
      <c r="M156"/>
      <c r="N156"/>
      <c r="O156"/>
      <c r="P156"/>
    </row>
    <row r="157" spans="12:16" x14ac:dyDescent="0.3">
      <c r="L157"/>
      <c r="M157"/>
      <c r="N157"/>
      <c r="O157"/>
      <c r="P157"/>
    </row>
    <row r="158" spans="12:16" x14ac:dyDescent="0.3">
      <c r="L158"/>
      <c r="M158"/>
      <c r="N158"/>
      <c r="O158"/>
      <c r="P158"/>
    </row>
    <row r="159" spans="12:16" x14ac:dyDescent="0.3">
      <c r="L159"/>
      <c r="M159"/>
      <c r="N159"/>
      <c r="O159"/>
      <c r="P159"/>
    </row>
    <row r="160" spans="12:16" x14ac:dyDescent="0.3">
      <c r="L160"/>
      <c r="M160"/>
      <c r="N160"/>
      <c r="O160"/>
      <c r="P160"/>
    </row>
    <row r="161" spans="12:16" x14ac:dyDescent="0.3">
      <c r="L161"/>
      <c r="M161"/>
      <c r="N161"/>
      <c r="O161"/>
      <c r="P161"/>
    </row>
    <row r="162" spans="12:16" x14ac:dyDescent="0.3">
      <c r="L162"/>
      <c r="M162"/>
      <c r="N162"/>
      <c r="O162"/>
      <c r="P162"/>
    </row>
    <row r="163" spans="12:16" x14ac:dyDescent="0.3">
      <c r="L163"/>
      <c r="M163"/>
      <c r="N163"/>
      <c r="O163"/>
      <c r="P163"/>
    </row>
    <row r="164" spans="12:16" x14ac:dyDescent="0.3">
      <c r="L164"/>
      <c r="M164"/>
      <c r="N164"/>
      <c r="O164"/>
      <c r="P164"/>
    </row>
    <row r="165" spans="12:16" x14ac:dyDescent="0.3">
      <c r="L165"/>
      <c r="M165"/>
      <c r="N165"/>
      <c r="O165"/>
      <c r="P165"/>
    </row>
    <row r="166" spans="12:16" x14ac:dyDescent="0.3">
      <c r="L166"/>
      <c r="M166"/>
      <c r="N166"/>
      <c r="O166"/>
      <c r="P166"/>
    </row>
    <row r="167" spans="12:16" x14ac:dyDescent="0.3">
      <c r="L167"/>
      <c r="M167"/>
      <c r="N167"/>
      <c r="O167"/>
      <c r="P167"/>
    </row>
    <row r="168" spans="12:16" x14ac:dyDescent="0.3">
      <c r="L168"/>
      <c r="M168"/>
      <c r="N168"/>
      <c r="O168"/>
      <c r="P168"/>
    </row>
    <row r="169" spans="12:16" x14ac:dyDescent="0.3">
      <c r="L169"/>
      <c r="M169"/>
      <c r="N169"/>
      <c r="O169"/>
      <c r="P169"/>
    </row>
    <row r="170" spans="12:16" x14ac:dyDescent="0.3">
      <c r="L170"/>
      <c r="M170"/>
      <c r="N170"/>
      <c r="O170"/>
      <c r="P170"/>
    </row>
    <row r="171" spans="12:16" x14ac:dyDescent="0.3">
      <c r="L171"/>
      <c r="M171"/>
      <c r="N171"/>
      <c r="O171"/>
      <c r="P171"/>
    </row>
    <row r="172" spans="12:16" x14ac:dyDescent="0.3">
      <c r="L172"/>
      <c r="M172"/>
      <c r="N172"/>
      <c r="O172"/>
      <c r="P172"/>
    </row>
    <row r="173" spans="12:16" x14ac:dyDescent="0.3">
      <c r="L173"/>
      <c r="M173"/>
      <c r="N173"/>
      <c r="O173"/>
      <c r="P173"/>
    </row>
    <row r="174" spans="12:16" x14ac:dyDescent="0.3">
      <c r="L174"/>
      <c r="M174"/>
      <c r="N174"/>
      <c r="O174"/>
      <c r="P174"/>
    </row>
    <row r="175" spans="12:16" x14ac:dyDescent="0.3">
      <c r="L175"/>
      <c r="M175"/>
      <c r="N175"/>
      <c r="O175"/>
      <c r="P175"/>
    </row>
    <row r="176" spans="12:16" x14ac:dyDescent="0.3">
      <c r="L176"/>
      <c r="M176"/>
      <c r="N176"/>
      <c r="O176"/>
      <c r="P176"/>
    </row>
    <row r="177" spans="12:16" x14ac:dyDescent="0.3">
      <c r="L177"/>
      <c r="M177"/>
      <c r="N177"/>
      <c r="O177"/>
      <c r="P177"/>
    </row>
    <row r="178" spans="12:16" x14ac:dyDescent="0.3">
      <c r="L178"/>
      <c r="M178"/>
      <c r="N178"/>
      <c r="O178"/>
      <c r="P178"/>
    </row>
    <row r="179" spans="12:16" x14ac:dyDescent="0.3">
      <c r="L179"/>
      <c r="M179"/>
      <c r="N179"/>
      <c r="O179"/>
      <c r="P179"/>
    </row>
    <row r="180" spans="12:16" x14ac:dyDescent="0.3">
      <c r="L180"/>
      <c r="M180"/>
      <c r="N180"/>
      <c r="O180"/>
      <c r="P180"/>
    </row>
    <row r="181" spans="12:16" x14ac:dyDescent="0.3">
      <c r="L181"/>
      <c r="M181"/>
      <c r="N181"/>
      <c r="O181"/>
      <c r="P181"/>
    </row>
    <row r="182" spans="12:16" x14ac:dyDescent="0.3">
      <c r="L182"/>
      <c r="M182"/>
      <c r="N182"/>
      <c r="O182"/>
      <c r="P182"/>
    </row>
    <row r="183" spans="12:16" x14ac:dyDescent="0.3">
      <c r="L183"/>
      <c r="M183"/>
      <c r="N183"/>
      <c r="O183"/>
      <c r="P183"/>
    </row>
    <row r="184" spans="12:16" x14ac:dyDescent="0.3">
      <c r="L184"/>
      <c r="M184"/>
      <c r="N184"/>
      <c r="O184"/>
      <c r="P184"/>
    </row>
    <row r="185" spans="12:16" x14ac:dyDescent="0.3">
      <c r="L185"/>
      <c r="M185"/>
      <c r="N185"/>
      <c r="O185"/>
      <c r="P185"/>
    </row>
    <row r="186" spans="12:16" x14ac:dyDescent="0.3">
      <c r="L186"/>
      <c r="M186"/>
      <c r="N186"/>
      <c r="O186"/>
      <c r="P186"/>
    </row>
    <row r="187" spans="12:16" x14ac:dyDescent="0.3">
      <c r="L187"/>
      <c r="M187"/>
      <c r="N187"/>
      <c r="O187"/>
      <c r="P187"/>
    </row>
    <row r="188" spans="12:16" x14ac:dyDescent="0.3">
      <c r="L188"/>
      <c r="M188"/>
      <c r="N188"/>
      <c r="O188"/>
      <c r="P188"/>
    </row>
    <row r="189" spans="12:16" x14ac:dyDescent="0.3">
      <c r="L189"/>
      <c r="M189"/>
      <c r="N189"/>
      <c r="O189"/>
      <c r="P189"/>
    </row>
    <row r="190" spans="12:16" x14ac:dyDescent="0.3">
      <c r="L190"/>
      <c r="M190"/>
      <c r="N190"/>
      <c r="O190"/>
      <c r="P190"/>
    </row>
    <row r="191" spans="12:16" x14ac:dyDescent="0.3">
      <c r="L191"/>
      <c r="M191"/>
      <c r="N191"/>
      <c r="O191"/>
      <c r="P191"/>
    </row>
    <row r="192" spans="12:16" x14ac:dyDescent="0.3">
      <c r="L192"/>
      <c r="M192"/>
      <c r="N192"/>
      <c r="O192"/>
      <c r="P192"/>
    </row>
    <row r="193" spans="12:16" x14ac:dyDescent="0.3">
      <c r="L193"/>
      <c r="M193"/>
      <c r="N193"/>
      <c r="O193"/>
      <c r="P193"/>
    </row>
    <row r="194" spans="12:16" x14ac:dyDescent="0.3">
      <c r="L194"/>
      <c r="M194"/>
      <c r="N194"/>
      <c r="O194"/>
      <c r="P194"/>
    </row>
    <row r="195" spans="12:16" x14ac:dyDescent="0.3">
      <c r="L195"/>
      <c r="M195"/>
      <c r="N195"/>
      <c r="O195"/>
      <c r="P195"/>
    </row>
    <row r="196" spans="12:16" x14ac:dyDescent="0.3">
      <c r="L196"/>
      <c r="M196"/>
      <c r="N196"/>
      <c r="O196"/>
      <c r="P196"/>
    </row>
    <row r="197" spans="12:16" x14ac:dyDescent="0.3">
      <c r="L197"/>
      <c r="M197"/>
      <c r="N197"/>
      <c r="O197"/>
      <c r="P197"/>
    </row>
    <row r="198" spans="12:16" x14ac:dyDescent="0.3">
      <c r="L198"/>
      <c r="M198"/>
      <c r="N198"/>
      <c r="O198"/>
      <c r="P198"/>
    </row>
    <row r="199" spans="12:16" x14ac:dyDescent="0.3">
      <c r="L199"/>
      <c r="M199"/>
      <c r="N199"/>
      <c r="O199"/>
      <c r="P199"/>
    </row>
    <row r="200" spans="12:16" x14ac:dyDescent="0.3">
      <c r="L200"/>
      <c r="M200"/>
      <c r="N200"/>
      <c r="O200"/>
      <c r="P200"/>
    </row>
    <row r="201" spans="12:16" x14ac:dyDescent="0.3">
      <c r="L201"/>
      <c r="M201"/>
      <c r="N201"/>
      <c r="O201"/>
      <c r="P201"/>
    </row>
    <row r="202" spans="12:16" x14ac:dyDescent="0.3">
      <c r="L202"/>
      <c r="M202"/>
      <c r="N202"/>
      <c r="O202"/>
      <c r="P202"/>
    </row>
    <row r="203" spans="12:16" x14ac:dyDescent="0.3">
      <c r="L203"/>
      <c r="M203"/>
      <c r="N203"/>
      <c r="O203"/>
      <c r="P203"/>
    </row>
    <row r="204" spans="12:16" x14ac:dyDescent="0.3">
      <c r="L204"/>
      <c r="M204"/>
      <c r="N204"/>
      <c r="O204"/>
      <c r="P204"/>
    </row>
    <row r="205" spans="12:16" x14ac:dyDescent="0.3">
      <c r="L205"/>
      <c r="M205"/>
      <c r="N205"/>
      <c r="O205"/>
      <c r="P205"/>
    </row>
    <row r="206" spans="12:16" x14ac:dyDescent="0.3">
      <c r="L206"/>
      <c r="M206"/>
      <c r="N206"/>
      <c r="O206"/>
      <c r="P206"/>
    </row>
    <row r="207" spans="12:16" x14ac:dyDescent="0.3">
      <c r="L207"/>
      <c r="M207"/>
      <c r="N207"/>
      <c r="O207"/>
      <c r="P207"/>
    </row>
    <row r="208" spans="12:16" x14ac:dyDescent="0.3">
      <c r="L208"/>
      <c r="M208"/>
      <c r="N208"/>
      <c r="O208"/>
      <c r="P208"/>
    </row>
    <row r="209" spans="12:16" x14ac:dyDescent="0.3">
      <c r="L209"/>
      <c r="M209"/>
      <c r="N209"/>
      <c r="O209"/>
      <c r="P209"/>
    </row>
    <row r="210" spans="12:16" x14ac:dyDescent="0.3">
      <c r="L210"/>
      <c r="M210"/>
      <c r="N210"/>
      <c r="O210"/>
      <c r="P210"/>
    </row>
    <row r="211" spans="12:16" x14ac:dyDescent="0.3">
      <c r="L211"/>
      <c r="M211"/>
      <c r="N211"/>
      <c r="O211"/>
      <c r="P211"/>
    </row>
    <row r="212" spans="12:16" x14ac:dyDescent="0.3">
      <c r="L212"/>
      <c r="M212"/>
      <c r="N212"/>
      <c r="O212"/>
      <c r="P212"/>
    </row>
    <row r="213" spans="12:16" x14ac:dyDescent="0.3">
      <c r="L213"/>
      <c r="M213"/>
      <c r="N213"/>
      <c r="O213"/>
      <c r="P213"/>
    </row>
    <row r="214" spans="12:16" x14ac:dyDescent="0.3">
      <c r="L214"/>
      <c r="M214"/>
      <c r="N214"/>
      <c r="O214"/>
      <c r="P214"/>
    </row>
    <row r="215" spans="12:16" x14ac:dyDescent="0.3">
      <c r="L215"/>
      <c r="M215"/>
      <c r="N215"/>
      <c r="O215"/>
      <c r="P215"/>
    </row>
    <row r="216" spans="12:16" x14ac:dyDescent="0.3">
      <c r="L216"/>
      <c r="M216"/>
      <c r="N216"/>
      <c r="O216"/>
      <c r="P216"/>
    </row>
    <row r="217" spans="12:16" x14ac:dyDescent="0.3">
      <c r="L217"/>
      <c r="M217"/>
      <c r="N217"/>
      <c r="O217"/>
      <c r="P217"/>
    </row>
    <row r="218" spans="12:16" x14ac:dyDescent="0.3">
      <c r="L218"/>
      <c r="M218"/>
      <c r="N218"/>
      <c r="O218"/>
      <c r="P218"/>
    </row>
    <row r="219" spans="12:16" x14ac:dyDescent="0.3">
      <c r="L219"/>
      <c r="M219"/>
      <c r="N219"/>
      <c r="O219"/>
      <c r="P219"/>
    </row>
    <row r="220" spans="12:16" x14ac:dyDescent="0.3">
      <c r="L220"/>
      <c r="M220"/>
      <c r="N220"/>
      <c r="O220"/>
      <c r="P220"/>
    </row>
    <row r="221" spans="12:16" x14ac:dyDescent="0.3">
      <c r="L221"/>
      <c r="M221"/>
      <c r="N221"/>
      <c r="O221"/>
      <c r="P221"/>
    </row>
    <row r="222" spans="12:16" x14ac:dyDescent="0.3">
      <c r="L222"/>
      <c r="M222"/>
      <c r="N222"/>
      <c r="O222"/>
      <c r="P222"/>
    </row>
    <row r="223" spans="12:16" x14ac:dyDescent="0.3">
      <c r="L223"/>
      <c r="M223"/>
      <c r="N223"/>
      <c r="O223"/>
      <c r="P223"/>
    </row>
    <row r="224" spans="12:16" x14ac:dyDescent="0.3">
      <c r="L224"/>
      <c r="M224"/>
      <c r="N224"/>
      <c r="O224"/>
      <c r="P224"/>
    </row>
    <row r="225" spans="12:16" x14ac:dyDescent="0.3">
      <c r="L225"/>
      <c r="M225"/>
      <c r="N225"/>
      <c r="O225"/>
      <c r="P225"/>
    </row>
    <row r="226" spans="12:16" x14ac:dyDescent="0.3">
      <c r="L226"/>
      <c r="M226"/>
      <c r="N226"/>
      <c r="O226"/>
      <c r="P226"/>
    </row>
    <row r="227" spans="12:16" x14ac:dyDescent="0.3">
      <c r="L227"/>
      <c r="M227"/>
      <c r="N227"/>
      <c r="O227"/>
      <c r="P227"/>
    </row>
    <row r="228" spans="12:16" x14ac:dyDescent="0.3">
      <c r="L228"/>
      <c r="M228"/>
      <c r="N228"/>
      <c r="O228"/>
      <c r="P228"/>
    </row>
    <row r="229" spans="12:16" x14ac:dyDescent="0.3">
      <c r="L229"/>
      <c r="M229"/>
      <c r="N229"/>
      <c r="O229"/>
      <c r="P229"/>
    </row>
    <row r="230" spans="12:16" x14ac:dyDescent="0.3">
      <c r="L230"/>
      <c r="M230"/>
      <c r="N230"/>
      <c r="O230"/>
      <c r="P230"/>
    </row>
    <row r="231" spans="12:16" x14ac:dyDescent="0.3">
      <c r="L231"/>
      <c r="M231"/>
      <c r="N231"/>
      <c r="O231"/>
      <c r="P231"/>
    </row>
    <row r="232" spans="12:16" x14ac:dyDescent="0.3">
      <c r="L232"/>
      <c r="M232"/>
      <c r="N232"/>
      <c r="O232"/>
      <c r="P232"/>
    </row>
    <row r="233" spans="12:16" x14ac:dyDescent="0.3">
      <c r="L233"/>
      <c r="M233"/>
      <c r="N233"/>
      <c r="O233"/>
      <c r="P233"/>
    </row>
    <row r="234" spans="12:16" x14ac:dyDescent="0.3">
      <c r="L234"/>
      <c r="M234"/>
      <c r="N234"/>
      <c r="O234"/>
      <c r="P234"/>
    </row>
    <row r="235" spans="12:16" x14ac:dyDescent="0.3">
      <c r="L235"/>
      <c r="M235"/>
      <c r="N235"/>
      <c r="O235"/>
      <c r="P235"/>
    </row>
    <row r="236" spans="12:16" x14ac:dyDescent="0.3">
      <c r="L236"/>
      <c r="M236"/>
      <c r="N236"/>
      <c r="O236"/>
      <c r="P236"/>
    </row>
    <row r="237" spans="12:16" x14ac:dyDescent="0.3">
      <c r="L237"/>
      <c r="M237"/>
      <c r="N237"/>
      <c r="O237"/>
      <c r="P237"/>
    </row>
    <row r="238" spans="12:16" x14ac:dyDescent="0.3">
      <c r="L238"/>
      <c r="M238"/>
      <c r="N238"/>
      <c r="O238"/>
      <c r="P238"/>
    </row>
    <row r="239" spans="12:16" x14ac:dyDescent="0.3">
      <c r="L239"/>
      <c r="M239"/>
      <c r="N239"/>
      <c r="O239"/>
      <c r="P239"/>
    </row>
    <row r="240" spans="12:16" x14ac:dyDescent="0.3">
      <c r="L240"/>
      <c r="M240"/>
      <c r="N240"/>
      <c r="O240"/>
      <c r="P240"/>
    </row>
    <row r="241" spans="12:16" x14ac:dyDescent="0.3">
      <c r="L241"/>
      <c r="M241"/>
      <c r="N241"/>
      <c r="O241"/>
      <c r="P241"/>
    </row>
    <row r="242" spans="12:16" x14ac:dyDescent="0.3">
      <c r="L242"/>
      <c r="M242"/>
      <c r="N242"/>
      <c r="O242"/>
      <c r="P242"/>
    </row>
    <row r="243" spans="12:16" x14ac:dyDescent="0.3">
      <c r="L243"/>
      <c r="M243"/>
      <c r="N243"/>
      <c r="O243"/>
      <c r="P243"/>
    </row>
    <row r="244" spans="12:16" x14ac:dyDescent="0.3">
      <c r="L244"/>
      <c r="M244"/>
      <c r="N244"/>
      <c r="O244"/>
      <c r="P244"/>
    </row>
    <row r="245" spans="12:16" x14ac:dyDescent="0.3">
      <c r="L245"/>
      <c r="M245"/>
      <c r="N245"/>
      <c r="O245"/>
      <c r="P245"/>
    </row>
    <row r="246" spans="12:16" x14ac:dyDescent="0.3">
      <c r="L246"/>
      <c r="M246"/>
      <c r="N246"/>
      <c r="O246"/>
      <c r="P246"/>
    </row>
    <row r="247" spans="12:16" x14ac:dyDescent="0.3">
      <c r="L247"/>
      <c r="M247"/>
      <c r="N247"/>
      <c r="O247"/>
      <c r="P247"/>
    </row>
    <row r="248" spans="12:16" x14ac:dyDescent="0.3">
      <c r="L248"/>
      <c r="M248"/>
      <c r="N248"/>
      <c r="O248"/>
      <c r="P248"/>
    </row>
    <row r="249" spans="12:16" x14ac:dyDescent="0.3">
      <c r="L249"/>
      <c r="M249"/>
      <c r="N249"/>
      <c r="O249"/>
      <c r="P249"/>
    </row>
    <row r="250" spans="12:16" x14ac:dyDescent="0.3">
      <c r="L250"/>
      <c r="M250"/>
      <c r="N250"/>
      <c r="O250"/>
      <c r="P250"/>
    </row>
    <row r="251" spans="12:16" x14ac:dyDescent="0.3">
      <c r="L251"/>
      <c r="M251"/>
      <c r="N251"/>
      <c r="O251"/>
      <c r="P251"/>
    </row>
    <row r="252" spans="12:16" x14ac:dyDescent="0.3">
      <c r="L252"/>
      <c r="M252"/>
      <c r="N252"/>
      <c r="O252"/>
      <c r="P252"/>
    </row>
    <row r="253" spans="12:16" x14ac:dyDescent="0.3">
      <c r="L253"/>
      <c r="M253"/>
      <c r="N253"/>
      <c r="O253"/>
      <c r="P253"/>
    </row>
    <row r="254" spans="12:16" x14ac:dyDescent="0.3">
      <c r="L254"/>
      <c r="M254"/>
      <c r="N254"/>
      <c r="O254"/>
      <c r="P254"/>
    </row>
    <row r="255" spans="12:16" x14ac:dyDescent="0.3">
      <c r="L255"/>
      <c r="M255"/>
      <c r="N255"/>
      <c r="O255"/>
      <c r="P255"/>
    </row>
    <row r="256" spans="12:16" x14ac:dyDescent="0.3">
      <c r="L256"/>
      <c r="M256"/>
      <c r="N256"/>
      <c r="O256"/>
      <c r="P256"/>
    </row>
    <row r="257" spans="12:16" x14ac:dyDescent="0.3">
      <c r="L257"/>
      <c r="M257"/>
      <c r="N257"/>
      <c r="O257"/>
      <c r="P257"/>
    </row>
    <row r="258" spans="12:16" x14ac:dyDescent="0.3">
      <c r="L258"/>
      <c r="M258"/>
      <c r="N258"/>
      <c r="O258"/>
      <c r="P258"/>
    </row>
    <row r="259" spans="12:16" x14ac:dyDescent="0.3">
      <c r="L259"/>
      <c r="M259"/>
      <c r="N259"/>
      <c r="O259"/>
      <c r="P259"/>
    </row>
    <row r="260" spans="12:16" x14ac:dyDescent="0.3">
      <c r="L260"/>
      <c r="M260"/>
      <c r="N260"/>
      <c r="O260"/>
      <c r="P260"/>
    </row>
    <row r="261" spans="12:16" x14ac:dyDescent="0.3">
      <c r="L261"/>
      <c r="M261"/>
      <c r="N261"/>
      <c r="O261"/>
      <c r="P261"/>
    </row>
    <row r="262" spans="12:16" x14ac:dyDescent="0.3">
      <c r="L262"/>
      <c r="M262"/>
      <c r="N262"/>
      <c r="O262"/>
      <c r="P262"/>
    </row>
    <row r="263" spans="12:16" x14ac:dyDescent="0.3">
      <c r="L263"/>
      <c r="M263"/>
      <c r="N263"/>
      <c r="O263"/>
      <c r="P263"/>
    </row>
    <row r="264" spans="12:16" x14ac:dyDescent="0.3">
      <c r="L264"/>
      <c r="M264"/>
      <c r="N264"/>
      <c r="O264"/>
      <c r="P264"/>
    </row>
    <row r="265" spans="12:16" x14ac:dyDescent="0.3">
      <c r="L265"/>
      <c r="M265"/>
      <c r="N265"/>
      <c r="O265"/>
      <c r="P265"/>
    </row>
    <row r="266" spans="12:16" x14ac:dyDescent="0.3">
      <c r="L266"/>
      <c r="M266"/>
    </row>
    <row r="267" spans="12:16" x14ac:dyDescent="0.3">
      <c r="L267"/>
      <c r="M267"/>
    </row>
    <row r="268" spans="12:16" x14ac:dyDescent="0.3">
      <c r="L268"/>
      <c r="M268"/>
    </row>
    <row r="269" spans="12:16" x14ac:dyDescent="0.3">
      <c r="L269"/>
      <c r="M269"/>
    </row>
  </sheetData>
  <mergeCells count="9">
    <mergeCell ref="B2:B18"/>
    <mergeCell ref="B19:B26"/>
    <mergeCell ref="B27:B34"/>
    <mergeCell ref="B88:D88"/>
    <mergeCell ref="B35:B44"/>
    <mergeCell ref="B45:B74"/>
    <mergeCell ref="B79:B84"/>
    <mergeCell ref="B85:B87"/>
    <mergeCell ref="B77:B78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AS331"/>
  <sheetViews>
    <sheetView zoomScaleNormal="100" workbookViewId="0">
      <selection activeCell="X1" sqref="X1"/>
    </sheetView>
  </sheetViews>
  <sheetFormatPr defaultColWidth="9.109375" defaultRowHeight="14.4" x14ac:dyDescent="0.3"/>
  <cols>
    <col min="1" max="1" width="15" style="140" customWidth="1"/>
    <col min="2" max="2" width="8.33203125" style="2" customWidth="1"/>
    <col min="3" max="3" width="7.44140625" style="2" customWidth="1"/>
    <col min="4" max="4" width="9.44140625" style="188" customWidth="1"/>
    <col min="5" max="5" width="10.88671875" style="188" customWidth="1"/>
    <col min="6" max="6" width="12.88671875" style="2" customWidth="1"/>
    <col min="7" max="7" width="12" style="2" customWidth="1"/>
    <col min="8" max="8" width="10.5546875" style="2" customWidth="1"/>
    <col min="9" max="9" width="10.88671875" style="2" customWidth="1"/>
    <col min="10" max="10" width="17.6640625" style="2" customWidth="1"/>
    <col min="11" max="11" width="8.88671875" style="2" customWidth="1"/>
    <col min="12" max="12" width="8.44140625" style="2" customWidth="1"/>
    <col min="13" max="17" width="10" style="2" customWidth="1"/>
    <col min="18" max="25" width="14.6640625" style="2" customWidth="1"/>
    <col min="26" max="26" width="9.44140625" style="2" customWidth="1"/>
    <col min="27" max="28" width="9.5546875" style="2" customWidth="1"/>
    <col min="29" max="29" width="10.6640625" style="2" customWidth="1"/>
    <col min="30" max="30" width="9.88671875" style="2" customWidth="1"/>
    <col min="31" max="31" width="12.5546875" style="2" customWidth="1"/>
    <col min="32" max="32" width="11.6640625" style="2" customWidth="1"/>
    <col min="33" max="33" width="11" style="2" customWidth="1"/>
    <col min="34" max="34" width="12.44140625" style="2" customWidth="1"/>
    <col min="35" max="36" width="14.33203125" style="2" customWidth="1"/>
    <col min="37" max="37" width="15.33203125" style="2" customWidth="1"/>
    <col min="38" max="38" width="13.5546875" style="2" customWidth="1"/>
    <col min="39" max="39" width="12.44140625" style="1" customWidth="1"/>
    <col min="40" max="40" width="9.109375" style="1"/>
    <col min="41" max="16384" width="9.109375" style="2"/>
  </cols>
  <sheetData>
    <row r="1" spans="1:45" ht="80.25" customHeight="1" x14ac:dyDescent="0.3">
      <c r="A1" s="151" t="s">
        <v>59</v>
      </c>
      <c r="B1" s="104" t="s">
        <v>57</v>
      </c>
      <c r="C1" s="104" t="s">
        <v>58</v>
      </c>
      <c r="D1" s="187" t="s">
        <v>194</v>
      </c>
      <c r="E1" s="189" t="s">
        <v>24</v>
      </c>
      <c r="F1" s="104" t="s">
        <v>63</v>
      </c>
      <c r="G1" s="17" t="s">
        <v>23</v>
      </c>
      <c r="H1" s="17" t="s">
        <v>3</v>
      </c>
      <c r="I1" s="17" t="s">
        <v>13</v>
      </c>
      <c r="J1" s="17" t="s">
        <v>14</v>
      </c>
      <c r="K1" s="17" t="s">
        <v>20</v>
      </c>
      <c r="L1" s="3" t="s">
        <v>19</v>
      </c>
      <c r="M1" s="3" t="s">
        <v>53</v>
      </c>
      <c r="N1" s="3" t="s">
        <v>54</v>
      </c>
      <c r="O1" s="3" t="s">
        <v>79</v>
      </c>
      <c r="P1" s="3" t="s">
        <v>81</v>
      </c>
      <c r="Q1" s="3" t="s">
        <v>82</v>
      </c>
      <c r="R1" s="3" t="s">
        <v>84</v>
      </c>
      <c r="S1" s="3" t="s">
        <v>85</v>
      </c>
      <c r="T1" s="3" t="s">
        <v>88</v>
      </c>
      <c r="U1" s="3" t="s">
        <v>91</v>
      </c>
      <c r="V1" s="3" t="s">
        <v>140</v>
      </c>
      <c r="W1" s="3" t="s">
        <v>103</v>
      </c>
      <c r="X1" s="3" t="s">
        <v>302</v>
      </c>
      <c r="Y1" s="191" t="s">
        <v>240</v>
      </c>
      <c r="Z1" s="3" t="s">
        <v>5</v>
      </c>
      <c r="AA1" s="3" t="s">
        <v>9</v>
      </c>
      <c r="AB1" s="3" t="s">
        <v>12</v>
      </c>
      <c r="AC1" s="3" t="s">
        <v>76</v>
      </c>
      <c r="AD1" s="3" t="s">
        <v>77</v>
      </c>
      <c r="AE1" s="3" t="s">
        <v>10</v>
      </c>
      <c r="AF1" s="3" t="s">
        <v>11</v>
      </c>
      <c r="AG1" s="3" t="s">
        <v>18</v>
      </c>
      <c r="AH1" s="3" t="s">
        <v>15</v>
      </c>
      <c r="AI1" s="3" t="s">
        <v>17</v>
      </c>
      <c r="AJ1" s="3" t="s">
        <v>78</v>
      </c>
      <c r="AK1" s="1" t="s">
        <v>50</v>
      </c>
      <c r="AL1" s="1" t="s">
        <v>75</v>
      </c>
      <c r="AM1" s="1" t="s">
        <v>80</v>
      </c>
      <c r="AN1" s="1" t="s">
        <v>90</v>
      </c>
    </row>
    <row r="2" spans="1:45" x14ac:dyDescent="0.3">
      <c r="A2" s="178" t="s">
        <v>193</v>
      </c>
      <c r="B2" s="176">
        <v>1</v>
      </c>
      <c r="C2" s="176">
        <v>1</v>
      </c>
      <c r="D2" s="176">
        <f>Table1123457910[[#This Row],[a (mm)]]/Table1123457910[[#This Row],[d (mm)]]</f>
        <v>3.1</v>
      </c>
      <c r="E2" s="176">
        <f>251*12/19</f>
        <v>158.52631578947367</v>
      </c>
      <c r="F2" s="137">
        <f>Table1123457910[[#This Row],[d (mm)]]</f>
        <v>3840</v>
      </c>
      <c r="G2" s="111">
        <f>E2*Z2</f>
        <v>1887097.2631578946</v>
      </c>
      <c r="H2" s="111">
        <f>G2/($AM$5*AI2*0.001)</f>
        <v>5.3739406554167626E-8</v>
      </c>
      <c r="I2" s="111">
        <f>G2/(Table1123457910[[#This Row],[b (mm)]]*AA2^2)</f>
        <v>5.1190789473684205E-4</v>
      </c>
      <c r="J2" s="111">
        <f>G2/(AE2*AG2*AA2*0.001)</f>
        <v>0.14182729551150602</v>
      </c>
      <c r="K2" s="111">
        <f>E2/($AM$4*AH2*0.001)</f>
        <v>2.4233323372212084E-7</v>
      </c>
      <c r="L2" s="111">
        <f>E2/(Table1123457910[[#This Row],[b (mm)]]*AA2)</f>
        <v>1.651315789473684E-4</v>
      </c>
      <c r="M2" s="111">
        <f>Table1123457910[[#This Row],[M (KN.mm)]]/(Table1123457910[[#This Row],[b (mm)]]*Table1123457910[[#This Row],[d (mm)]])</f>
        <v>1.9657263157894735</v>
      </c>
      <c r="N2" s="111">
        <f>Table1123457910[[#This Row],[M (KN.mm)]]/(Table1123457910[[#This Row],[b (mm)]]*Table1123457910[[#This Row],[h (mm)]])</f>
        <v>1.8870972631578946</v>
      </c>
      <c r="O2" s="111">
        <f>Table1123457910[[#This Row],[M (KN.mm)]]/(Table1123457910[[#This Row],[b (mm)]]*Table1123457910[[#This Row],[h (mm)]]*Table1123457910[[#This Row],[L(mm)]])</f>
        <v>7.9263157894736839E-5</v>
      </c>
      <c r="P2" s="111">
        <f>Table1123457910[[#This Row],[M (KN.mm)]]/(Table1123457910[[#This Row],[b (mm)]]*Table1123457910[[#This Row],[d (mm)]]*Table1123457910[[#This Row],[L(mm)]])</f>
        <v>8.25657894736842E-5</v>
      </c>
      <c r="Q2" s="111">
        <f>Table1123457910[[#This Row],[M (KN.mm)]]/(Table1123457910[[#This Row],[b (mm)]]*Table1123457910[[#This Row],[h (mm)]]*Table1123457910[[#This Row],[L(mm)]]*Table1123457910[[#This Row],[fc (Mpa)]])</f>
        <v>1.981578947368421E-6</v>
      </c>
      <c r="R2" s="111">
        <f>Table1123457910[[#This Row],[M (KN.mm)]]/(Table1123457910[[#This Row],[b (mm)]]*Table1123457910[[#This Row],[h (mm)]]*Table1123457910[[#This Row],[L(mm)]]/2)</f>
        <v>1.5852631578947368E-4</v>
      </c>
      <c r="S2" s="111">
        <f>Table1123457910[[#This Row],[M (KN.mm)]]/(Table1123457910[[#This Row],[a (mm)]]*Table1123457910[[#This Row],[b (mm)]]*Table1123457910[[#This Row],[h (mm)]]*Table1123457910[[#This Row],[L(mm)]]/2)</f>
        <v>1.3317062818336162E-8</v>
      </c>
      <c r="T2" s="111">
        <f>Table1123457910[[#This Row],[M (KN.mm)]]/(Table1123457910[[#This Row],[a (mm)]]^2*Table1123457910[[#This Row],[b (mm)]]*Table1123457910[[#This Row],[h (mm)]])</f>
        <v>1.3317062818336162E-8</v>
      </c>
      <c r="U2" s="111">
        <f>Table1123457910[[#This Row],[M (KN.mm)]]/(Table1123457910[[#This Row],[b (mm)]]*Table1123457910[[#This Row],[d (mm)]]*Table1123457910[[#This Row],[pho (%)]])</f>
        <v>2.9783732057416268</v>
      </c>
      <c r="V2" s="111">
        <f>E2*224.8/(2*SQRT(Table1123457910[[#This Row],[fc (Mpa)]]*145.037)*Table1123457910[[#This Row],[b (mm)]]*Table1123457910[[#This Row],[d (mm)]]*(1/25.4)^2)</f>
        <v>0.1572151803746186</v>
      </c>
      <c r="W2" s="111">
        <f>Table1123457910[[#This Row],[M (KN.mm)]]/$G$11</f>
        <v>0.11609620721554116</v>
      </c>
      <c r="X2" s="111">
        <f>Table1123457910[[#This Row],[V/(2*sqrt(fc) bd)]]</f>
        <v>0.1572151803746186</v>
      </c>
      <c r="Y2" s="111">
        <f>2*SQRT(Table1123457910[[#This Row],[fc (Mpa)]]*145.037)/Table1123457910[[#This Row],[pho (%)]]*Table1123457910[[#This Row],[a (mm)]]*1/(224.8*25.4^2)</f>
        <v>18.94456501366242</v>
      </c>
      <c r="Z2" s="111">
        <f>3.1*Table1123457910[[#This Row],[d (mm)]]</f>
        <v>11904</v>
      </c>
      <c r="AA2" s="111">
        <v>3840</v>
      </c>
      <c r="AB2" s="111">
        <v>4000</v>
      </c>
      <c r="AC2" s="111">
        <v>250</v>
      </c>
      <c r="AD2" s="7">
        <v>40</v>
      </c>
      <c r="AE2" s="111">
        <f>Table1123457910[[#This Row],[pho (%)]]*Table1123457910[[#This Row],[b (mm)]]*Table1123457910[[#This Row],[h (mm)]]/100</f>
        <v>6600</v>
      </c>
      <c r="AF2" s="111">
        <v>0.66</v>
      </c>
      <c r="AG2" s="111">
        <v>525</v>
      </c>
      <c r="AH2" s="111">
        <f>(1/3-0.21*(MIN(Table1123457910[[#This Row],[b (mm)]],AB2)/MAX(Table1123457910[[#This Row],[b (mm)]],AB2))*(MIN(Table1123457910[[#This Row],[b (mm)]],AB2)^4/(12*MAX(Table1123457910[[#This Row],[b (mm)]],AB2)^4)))*MAX(Table1123457910[[#This Row],[b (mm)]],AB2)*MIN(Table1123457910[[#This Row],[b (mm)]],AB2)^3</f>
        <v>20833332290.252048</v>
      </c>
      <c r="AI2" s="111">
        <f>Table1123457910[[#This Row],[b (mm)]]*AB2^3/12</f>
        <v>1333333333333.3333</v>
      </c>
      <c r="AJ2" s="111">
        <f>Table1123457910[[#This Row],[a (mm)]]*2</f>
        <v>23808</v>
      </c>
      <c r="AK2" s="1"/>
      <c r="AL2" s="1"/>
    </row>
    <row r="3" spans="1:45" x14ac:dyDescent="0.3">
      <c r="A3" s="178" t="s">
        <v>193</v>
      </c>
      <c r="B3" s="176">
        <v>2</v>
      </c>
      <c r="C3" s="176">
        <v>2</v>
      </c>
      <c r="D3" s="176">
        <f>Table1123457910[[#This Row],[a (mm)]]/Table1123457910[[#This Row],[d (mm)]]</f>
        <v>3.1</v>
      </c>
      <c r="E3" s="176">
        <v>377</v>
      </c>
      <c r="F3" s="137">
        <f>Table1123457910[[#This Row],[d (mm)]]</f>
        <v>3840</v>
      </c>
      <c r="G3" s="111">
        <f t="shared" ref="G3:G11" si="0">E3*Z3</f>
        <v>4487808</v>
      </c>
      <c r="H3" s="111">
        <f t="shared" ref="H3:H11" si="1">G3/($AM$5*AI3*0.001)</f>
        <v>1.2780058736636875E-7</v>
      </c>
      <c r="I3" s="111">
        <f>G3/(Table1123457910[[#This Row],[b (mm)]]*AA3^2)</f>
        <v>1.2173958333333334E-3</v>
      </c>
      <c r="J3" s="111">
        <f t="shared" ref="J3:J11" si="2">G3/(AE3*AG3*AA3*0.001)</f>
        <v>0.3372871572871573</v>
      </c>
      <c r="K3" s="111">
        <f t="shared" ref="K3:K11" si="3">E3/($AM$4*AH3*0.001)</f>
        <v>5.7630576133849663E-7</v>
      </c>
      <c r="L3" s="111">
        <f>E3/(Table1123457910[[#This Row],[b (mm)]]*AA3)</f>
        <v>3.9270833333333334E-4</v>
      </c>
      <c r="M3" s="111">
        <f>Table1123457910[[#This Row],[M (KN.mm)]]/(Table1123457910[[#This Row],[b (mm)]]*Table1123457910[[#This Row],[d (mm)]])</f>
        <v>4.6748000000000003</v>
      </c>
      <c r="N3" s="111">
        <f>Table1123457910[[#This Row],[M (KN.mm)]]/(Table1123457910[[#This Row],[b (mm)]]*Table1123457910[[#This Row],[h (mm)]])</f>
        <v>4.4878080000000002</v>
      </c>
      <c r="O3" s="111">
        <f>Table1123457910[[#This Row],[M (KN.mm)]]/(Table1123457910[[#This Row],[b (mm)]]*Table1123457910[[#This Row],[h (mm)]]*Table1123457910[[#This Row],[L(mm)]])</f>
        <v>1.885E-4</v>
      </c>
      <c r="P3" s="111">
        <f>Table1123457910[[#This Row],[M (KN.mm)]]/(Table1123457910[[#This Row],[b (mm)]]*Table1123457910[[#This Row],[d (mm)]]*Table1123457910[[#This Row],[L(mm)]])</f>
        <v>1.9635416666666667E-4</v>
      </c>
      <c r="Q3" s="111">
        <f>Table1123457910[[#This Row],[M (KN.mm)]]/(Table1123457910[[#This Row],[b (mm)]]*Table1123457910[[#This Row],[h (mm)]]*Table1123457910[[#This Row],[L(mm)]]*Table1123457910[[#This Row],[fc (Mpa)]])</f>
        <v>4.7125000000000002E-6</v>
      </c>
      <c r="R3" s="111">
        <f>Table1123457910[[#This Row],[M (KN.mm)]]/(Table1123457910[[#This Row],[b (mm)]]*Table1123457910[[#This Row],[h (mm)]]*Table1123457910[[#This Row],[L(mm)]]/2)</f>
        <v>3.77E-4</v>
      </c>
      <c r="S3" s="111">
        <f>Table1123457910[[#This Row],[M (KN.mm)]]/(Table1123457910[[#This Row],[a (mm)]]*Table1123457910[[#This Row],[b (mm)]]*Table1123457910[[#This Row],[h (mm)]]*Table1123457910[[#This Row],[L(mm)]]/2)</f>
        <v>3.1670026881720429E-8</v>
      </c>
      <c r="T3" s="111">
        <f>Table1123457910[[#This Row],[M (KN.mm)]]/(Table1123457910[[#This Row],[a (mm)]]^2*Table1123457910[[#This Row],[b (mm)]]*Table1123457910[[#This Row],[h (mm)]])</f>
        <v>3.1670026881720429E-8</v>
      </c>
      <c r="U3" s="111">
        <f>Table1123457910[[#This Row],[M (KN.mm)]]/(Table1123457910[[#This Row],[b (mm)]]*Table1123457910[[#This Row],[d (mm)]]*Table1123457910[[#This Row],[pho (%)]])</f>
        <v>7.083030303030303</v>
      </c>
      <c r="V3" s="111">
        <f>E3*224.8/(2*SQRT(Table1123457910[[#This Row],[fc (Mpa)]]*145.037)*Table1123457910[[#This Row],[b (mm)]]*Table1123457910[[#This Row],[d (mm)]]*(1/25.4)^2)</f>
        <v>0.37388191800245457</v>
      </c>
      <c r="W3" s="111">
        <f>Table1123457910[[#This Row],[M (KN.mm)]]/$G$11</f>
        <v>0.27609466543324085</v>
      </c>
      <c r="X3" s="111">
        <f>Table1123457910[[#This Row],[V/(2*sqrt(fc) bd)]]</f>
        <v>0.37388191800245457</v>
      </c>
      <c r="Y3" s="111">
        <f>2*SQRT(Table1123457910[[#This Row],[fc (Mpa)]]*145.037)/Table1123457910[[#This Row],[pho (%)]]*Table1123457910[[#This Row],[a (mm)]]*1/(224.8*25.4^2)</f>
        <v>18.94456501366242</v>
      </c>
      <c r="Z3" s="111">
        <f>3.1*Table1123457910[[#This Row],[d (mm)]]</f>
        <v>11904</v>
      </c>
      <c r="AA3" s="111">
        <v>3840</v>
      </c>
      <c r="AB3" s="111">
        <v>4000</v>
      </c>
      <c r="AC3" s="111">
        <v>250</v>
      </c>
      <c r="AD3" s="7">
        <v>40</v>
      </c>
      <c r="AE3" s="111">
        <f>Table1123457910[[#This Row],[pho (%)]]*Table1123457910[[#This Row],[b (mm)]]*Table1123457910[[#This Row],[h (mm)]]/100</f>
        <v>6600</v>
      </c>
      <c r="AF3" s="111">
        <v>0.66</v>
      </c>
      <c r="AG3" s="111">
        <v>525</v>
      </c>
      <c r="AH3" s="111">
        <f>(1/3-0.21*(MIN(Table1123457910[[#This Row],[b (mm)]],AB3)/MAX(Table1123457910[[#This Row],[b (mm)]],AB3))*(MIN(Table1123457910[[#This Row],[b (mm)]],AB3)^4/(12*MAX(Table1123457910[[#This Row],[b (mm)]],AB3)^4)))*MAX(Table1123457910[[#This Row],[b (mm)]],AB3)*MIN(Table1123457910[[#This Row],[b (mm)]],AB3)^3</f>
        <v>20833332290.252048</v>
      </c>
      <c r="AI3" s="111">
        <f>Table1123457910[[#This Row],[b (mm)]]*AB3^3/12</f>
        <v>1333333333333.3333</v>
      </c>
      <c r="AJ3" s="111">
        <f>Table1123457910[[#This Row],[a (mm)]]*2</f>
        <v>23808</v>
      </c>
      <c r="AK3" s="1"/>
      <c r="AL3" s="1"/>
    </row>
    <row r="4" spans="1:45" x14ac:dyDescent="0.3">
      <c r="A4" s="178" t="s">
        <v>193</v>
      </c>
      <c r="B4" s="176">
        <v>3</v>
      </c>
      <c r="C4" s="176">
        <v>3</v>
      </c>
      <c r="D4" s="176">
        <f>Table1123457910[[#This Row],[a (mm)]]/Table1123457910[[#This Row],[d (mm)]]</f>
        <v>3.1</v>
      </c>
      <c r="E4" s="176">
        <f>500*12/19</f>
        <v>315.78947368421052</v>
      </c>
      <c r="F4" s="137">
        <f>Table1123457910[[#This Row],[d (mm)]]</f>
        <v>3840</v>
      </c>
      <c r="G4" s="111">
        <f t="shared" si="0"/>
        <v>3759157.8947368423</v>
      </c>
      <c r="H4" s="111">
        <f t="shared" si="1"/>
        <v>1.0705061066567256E-7</v>
      </c>
      <c r="I4" s="111">
        <f>G4/(Table1123457910[[#This Row],[b (mm)]]*AA4^2)</f>
        <v>1.0197368421052632E-3</v>
      </c>
      <c r="J4" s="111">
        <f t="shared" si="2"/>
        <v>0.28252449305080884</v>
      </c>
      <c r="K4" s="111">
        <f t="shared" si="3"/>
        <v>4.8273552534287021E-7</v>
      </c>
      <c r="L4" s="111">
        <f>E4/(Table1123457910[[#This Row],[b (mm)]]*AA4)</f>
        <v>3.2894736842105262E-4</v>
      </c>
      <c r="M4" s="111">
        <f>Table1123457910[[#This Row],[M (KN.mm)]]/(Table1123457910[[#This Row],[b (mm)]]*Table1123457910[[#This Row],[d (mm)]])</f>
        <v>3.9157894736842107</v>
      </c>
      <c r="N4" s="111">
        <f>Table1123457910[[#This Row],[M (KN.mm)]]/(Table1123457910[[#This Row],[b (mm)]]*Table1123457910[[#This Row],[h (mm)]])</f>
        <v>3.759157894736842</v>
      </c>
      <c r="O4" s="111">
        <f>Table1123457910[[#This Row],[M (KN.mm)]]/(Table1123457910[[#This Row],[b (mm)]]*Table1123457910[[#This Row],[h (mm)]]*Table1123457910[[#This Row],[L(mm)]])</f>
        <v>1.5789473684210527E-4</v>
      </c>
      <c r="P4" s="111">
        <f>Table1123457910[[#This Row],[M (KN.mm)]]/(Table1123457910[[#This Row],[b (mm)]]*Table1123457910[[#This Row],[d (mm)]]*Table1123457910[[#This Row],[L(mm)]])</f>
        <v>1.6447368421052631E-4</v>
      </c>
      <c r="Q4" s="111">
        <f>Table1123457910[[#This Row],[M (KN.mm)]]/(Table1123457910[[#This Row],[b (mm)]]*Table1123457910[[#This Row],[h (mm)]]*Table1123457910[[#This Row],[L(mm)]]*Table1123457910[[#This Row],[fc (Mpa)]])</f>
        <v>3.9473684210526315E-6</v>
      </c>
      <c r="R4" s="111">
        <f>Table1123457910[[#This Row],[M (KN.mm)]]/(Table1123457910[[#This Row],[b (mm)]]*Table1123457910[[#This Row],[h (mm)]]*Table1123457910[[#This Row],[L(mm)]]/2)</f>
        <v>3.1578947368421053E-4</v>
      </c>
      <c r="S4" s="111">
        <f>Table1123457910[[#This Row],[M (KN.mm)]]/(Table1123457910[[#This Row],[a (mm)]]*Table1123457910[[#This Row],[b (mm)]]*Table1123457910[[#This Row],[h (mm)]]*Table1123457910[[#This Row],[L(mm)]]/2)</f>
        <v>2.6528013582342955E-8</v>
      </c>
      <c r="T4" s="111">
        <f>Table1123457910[[#This Row],[M (KN.mm)]]/(Table1123457910[[#This Row],[a (mm)]]^2*Table1123457910[[#This Row],[b (mm)]]*Table1123457910[[#This Row],[h (mm)]])</f>
        <v>2.6528013582342955E-8</v>
      </c>
      <c r="U4" s="111">
        <f>Table1123457910[[#This Row],[M (KN.mm)]]/(Table1123457910[[#This Row],[b (mm)]]*Table1123457910[[#This Row],[d (mm)]]*Table1123457910[[#This Row],[pho (%)]])</f>
        <v>5.9330143540669855</v>
      </c>
      <c r="V4" s="111">
        <f>E4*224.8/(2*SQRT(Table1123457910[[#This Row],[fc (Mpa)]]*145.037)*Table1123457910[[#This Row],[b (mm)]]*Table1123457910[[#This Row],[d (mm)]]*(1/25.4)^2)</f>
        <v>0.31317765014864268</v>
      </c>
      <c r="W4" s="111">
        <f>Table1123457910[[#This Row],[M (KN.mm)]]/$G$11</f>
        <v>0.23126734505087881</v>
      </c>
      <c r="X4" s="111">
        <f>Table1123457910[[#This Row],[V/(2*sqrt(fc) bd)]]</f>
        <v>0.31317765014864268</v>
      </c>
      <c r="Y4" s="111">
        <f>2*SQRT(Table1123457910[[#This Row],[fc (Mpa)]]*145.037)/Table1123457910[[#This Row],[pho (%)]]*Table1123457910[[#This Row],[a (mm)]]*1/(224.8*25.4^2)</f>
        <v>18.94456501366242</v>
      </c>
      <c r="Z4" s="111">
        <f>3.1*Table1123457910[[#This Row],[d (mm)]]</f>
        <v>11904</v>
      </c>
      <c r="AA4" s="111">
        <v>3840</v>
      </c>
      <c r="AB4" s="111">
        <v>4000</v>
      </c>
      <c r="AC4" s="111">
        <v>250</v>
      </c>
      <c r="AD4" s="7">
        <v>40</v>
      </c>
      <c r="AE4" s="111">
        <f>Table1123457910[[#This Row],[pho (%)]]*Table1123457910[[#This Row],[b (mm)]]*Table1123457910[[#This Row],[h (mm)]]/100</f>
        <v>6600</v>
      </c>
      <c r="AF4" s="111">
        <v>0.66</v>
      </c>
      <c r="AG4" s="111">
        <v>525</v>
      </c>
      <c r="AH4" s="111">
        <f>(1/3-0.21*(MIN(Table1123457910[[#This Row],[b (mm)]],AB4)/MAX(Table1123457910[[#This Row],[b (mm)]],AB4))*(MIN(Table1123457910[[#This Row],[b (mm)]],AB4)^4/(12*MAX(Table1123457910[[#This Row],[b (mm)]],AB4)^4)))*MAX(Table1123457910[[#This Row],[b (mm)]],AB4)*MIN(Table1123457910[[#This Row],[b (mm)]],AB4)^3</f>
        <v>20833332290.252048</v>
      </c>
      <c r="AI4" s="111">
        <f>Table1123457910[[#This Row],[b (mm)]]*AB4^3/12</f>
        <v>1333333333333.3333</v>
      </c>
      <c r="AJ4" s="111">
        <f>Table1123457910[[#This Row],[a (mm)]]*2</f>
        <v>23808</v>
      </c>
      <c r="AK4" s="138"/>
      <c r="AL4" s="126" t="s">
        <v>7</v>
      </c>
      <c r="AM4" s="107">
        <v>31.4</v>
      </c>
    </row>
    <row r="5" spans="1:45" x14ac:dyDescent="0.3">
      <c r="A5" s="178" t="s">
        <v>193</v>
      </c>
      <c r="B5" s="176">
        <v>4</v>
      </c>
      <c r="C5" s="176">
        <v>4</v>
      </c>
      <c r="D5" s="176">
        <f>Table1123457910[[#This Row],[a (mm)]]/Table1123457910[[#This Row],[d (mm)]]</f>
        <v>3.1</v>
      </c>
      <c r="E5" s="176">
        <f>625*12/19</f>
        <v>394.73684210526318</v>
      </c>
      <c r="F5" s="137">
        <f>Table1123457910[[#This Row],[d (mm)]]</f>
        <v>3840</v>
      </c>
      <c r="G5" s="111">
        <f t="shared" si="0"/>
        <v>4698947.3684210526</v>
      </c>
      <c r="H5" s="111">
        <f t="shared" si="1"/>
        <v>1.3381326333209071E-7</v>
      </c>
      <c r="I5" s="111">
        <f>G5/(Table1123457910[[#This Row],[b (mm)]]*AA5^2)</f>
        <v>1.274671052631579E-3</v>
      </c>
      <c r="J5" s="111">
        <f t="shared" si="2"/>
        <v>0.35315561631351106</v>
      </c>
      <c r="K5" s="111">
        <f t="shared" si="3"/>
        <v>6.0341940667858785E-7</v>
      </c>
      <c r="L5" s="111">
        <f>E5/(Table1123457910[[#This Row],[b (mm)]]*AA5)</f>
        <v>4.1118421052631582E-4</v>
      </c>
      <c r="M5" s="111">
        <f>Table1123457910[[#This Row],[M (KN.mm)]]/(Table1123457910[[#This Row],[b (mm)]]*Table1123457910[[#This Row],[d (mm)]])</f>
        <v>4.8947368421052628</v>
      </c>
      <c r="N5" s="111">
        <f>Table1123457910[[#This Row],[M (KN.mm)]]/(Table1123457910[[#This Row],[b (mm)]]*Table1123457910[[#This Row],[h (mm)]])</f>
        <v>4.6989473684210523</v>
      </c>
      <c r="O5" s="111">
        <f>Table1123457910[[#This Row],[M (KN.mm)]]/(Table1123457910[[#This Row],[b (mm)]]*Table1123457910[[#This Row],[h (mm)]]*Table1123457910[[#This Row],[L(mm)]])</f>
        <v>1.9736842105263157E-4</v>
      </c>
      <c r="P5" s="111">
        <f>Table1123457910[[#This Row],[M (KN.mm)]]/(Table1123457910[[#This Row],[b (mm)]]*Table1123457910[[#This Row],[d (mm)]]*Table1123457910[[#This Row],[L(mm)]])</f>
        <v>2.0559210526315788E-4</v>
      </c>
      <c r="Q5" s="111">
        <f>Table1123457910[[#This Row],[M (KN.mm)]]/(Table1123457910[[#This Row],[b (mm)]]*Table1123457910[[#This Row],[h (mm)]]*Table1123457910[[#This Row],[L(mm)]]*Table1123457910[[#This Row],[fc (Mpa)]])</f>
        <v>4.9342105263157895E-6</v>
      </c>
      <c r="R5" s="111">
        <f>Table1123457910[[#This Row],[M (KN.mm)]]/(Table1123457910[[#This Row],[b (mm)]]*Table1123457910[[#This Row],[h (mm)]]*Table1123457910[[#This Row],[L(mm)]]/2)</f>
        <v>3.9473684210526315E-4</v>
      </c>
      <c r="S5" s="111">
        <f>Table1123457910[[#This Row],[M (KN.mm)]]/(Table1123457910[[#This Row],[a (mm)]]*Table1123457910[[#This Row],[b (mm)]]*Table1123457910[[#This Row],[h (mm)]]*Table1123457910[[#This Row],[L(mm)]]/2)</f>
        <v>3.3160016977928693E-8</v>
      </c>
      <c r="T5" s="111">
        <f>Table1123457910[[#This Row],[M (KN.mm)]]/(Table1123457910[[#This Row],[a (mm)]]^2*Table1123457910[[#This Row],[b (mm)]]*Table1123457910[[#This Row],[h (mm)]])</f>
        <v>3.3160016977928693E-8</v>
      </c>
      <c r="U5" s="111">
        <f>Table1123457910[[#This Row],[M (KN.mm)]]/(Table1123457910[[#This Row],[b (mm)]]*Table1123457910[[#This Row],[d (mm)]]*Table1123457910[[#This Row],[pho (%)]])</f>
        <v>7.4162679425837323</v>
      </c>
      <c r="V5" s="111">
        <f>E5*224.8/(2*SQRT(Table1123457910[[#This Row],[fc (Mpa)]]*145.037)*Table1123457910[[#This Row],[b (mm)]]*Table1123457910[[#This Row],[d (mm)]]*(1/25.4)^2)</f>
        <v>0.39147206268580337</v>
      </c>
      <c r="W5" s="111">
        <f>Table1123457910[[#This Row],[M (KN.mm)]]/$G$11</f>
        <v>0.28908418131359853</v>
      </c>
      <c r="X5" s="111">
        <f>Table1123457910[[#This Row],[V/(2*sqrt(fc) bd)]]</f>
        <v>0.39147206268580337</v>
      </c>
      <c r="Y5" s="111">
        <f>2*SQRT(Table1123457910[[#This Row],[fc (Mpa)]]*145.037)/Table1123457910[[#This Row],[pho (%)]]*Table1123457910[[#This Row],[a (mm)]]*1/(224.8*25.4^2)</f>
        <v>18.94456501366242</v>
      </c>
      <c r="Z5" s="111">
        <f>3.1*Table1123457910[[#This Row],[d (mm)]]</f>
        <v>11904</v>
      </c>
      <c r="AA5" s="111">
        <v>3840</v>
      </c>
      <c r="AB5" s="111">
        <v>4000</v>
      </c>
      <c r="AC5" s="111">
        <v>250</v>
      </c>
      <c r="AD5" s="7">
        <v>40</v>
      </c>
      <c r="AE5" s="111">
        <f>Table1123457910[[#This Row],[pho (%)]]*Table1123457910[[#This Row],[b (mm)]]*Table1123457910[[#This Row],[h (mm)]]/100</f>
        <v>6600</v>
      </c>
      <c r="AF5" s="111">
        <v>0.66</v>
      </c>
      <c r="AG5" s="111">
        <v>525</v>
      </c>
      <c r="AH5" s="111">
        <f>(1/3-0.21*(MIN(Table1123457910[[#This Row],[b (mm)]],AB5)/MAX(Table1123457910[[#This Row],[b (mm)]],AB5))*(MIN(Table1123457910[[#This Row],[b (mm)]],AB5)^4/(12*MAX(Table1123457910[[#This Row],[b (mm)]],AB5)^4)))*MAX(Table1123457910[[#This Row],[b (mm)]],AB5)*MIN(Table1123457910[[#This Row],[b (mm)]],AB5)^3</f>
        <v>20833332290.252048</v>
      </c>
      <c r="AI5" s="111">
        <f>Table1123457910[[#This Row],[b (mm)]]*AB5^3/12</f>
        <v>1333333333333.3333</v>
      </c>
      <c r="AJ5" s="111">
        <f>Table1123457910[[#This Row],[a (mm)]]*2</f>
        <v>23808</v>
      </c>
      <c r="AK5" s="138"/>
      <c r="AL5" s="126" t="s">
        <v>8</v>
      </c>
      <c r="AM5" s="107">
        <f>4700*SQRT(AM4)</f>
        <v>26336.780365109171</v>
      </c>
    </row>
    <row r="6" spans="1:45" x14ac:dyDescent="0.3">
      <c r="A6" s="178" t="s">
        <v>193</v>
      </c>
      <c r="B6" s="176">
        <v>5</v>
      </c>
      <c r="C6" s="176">
        <v>5</v>
      </c>
      <c r="D6" s="176">
        <f>Table1123457910[[#This Row],[a (mm)]]/Table1123457910[[#This Row],[d (mm)]]</f>
        <v>3.1</v>
      </c>
      <c r="E6" s="176">
        <f>685*12/19</f>
        <v>432.63157894736844</v>
      </c>
      <c r="F6" s="137">
        <f>Table1123457910[[#This Row],[d (mm)]]</f>
        <v>3840</v>
      </c>
      <c r="G6" s="111">
        <f t="shared" si="0"/>
        <v>5150046.3157894742</v>
      </c>
      <c r="H6" s="111">
        <f t="shared" si="1"/>
        <v>1.4665933661197142E-7</v>
      </c>
      <c r="I6" s="111">
        <f>G6/(Table1123457910[[#This Row],[b (mm)]]*AA6^2)</f>
        <v>1.3970394736842107E-3</v>
      </c>
      <c r="J6" s="111">
        <f t="shared" si="2"/>
        <v>0.38705855547960816</v>
      </c>
      <c r="K6" s="111">
        <f t="shared" si="3"/>
        <v>6.613476697197323E-7</v>
      </c>
      <c r="L6" s="111">
        <f>E6/(Table1123457910[[#This Row],[b (mm)]]*AA6)</f>
        <v>4.506578947368421E-4</v>
      </c>
      <c r="M6" s="111">
        <f>Table1123457910[[#This Row],[M (KN.mm)]]/(Table1123457910[[#This Row],[b (mm)]]*Table1123457910[[#This Row],[d (mm)]])</f>
        <v>5.3646315789473693</v>
      </c>
      <c r="N6" s="111">
        <f>Table1123457910[[#This Row],[M (KN.mm)]]/(Table1123457910[[#This Row],[b (mm)]]*Table1123457910[[#This Row],[h (mm)]])</f>
        <v>5.1500463157894742</v>
      </c>
      <c r="O6" s="111">
        <f>Table1123457910[[#This Row],[M (KN.mm)]]/(Table1123457910[[#This Row],[b (mm)]]*Table1123457910[[#This Row],[h (mm)]]*Table1123457910[[#This Row],[L(mm)]])</f>
        <v>2.1631578947368423E-4</v>
      </c>
      <c r="P6" s="111">
        <f>Table1123457910[[#This Row],[M (KN.mm)]]/(Table1123457910[[#This Row],[b (mm)]]*Table1123457910[[#This Row],[d (mm)]]*Table1123457910[[#This Row],[L(mm)]])</f>
        <v>2.2532894736842108E-4</v>
      </c>
      <c r="Q6" s="111">
        <f>Table1123457910[[#This Row],[M (KN.mm)]]/(Table1123457910[[#This Row],[b (mm)]]*Table1123457910[[#This Row],[h (mm)]]*Table1123457910[[#This Row],[L(mm)]]*Table1123457910[[#This Row],[fc (Mpa)]])</f>
        <v>5.4078947368421056E-6</v>
      </c>
      <c r="R6" s="111">
        <f>Table1123457910[[#This Row],[M (KN.mm)]]/(Table1123457910[[#This Row],[b (mm)]]*Table1123457910[[#This Row],[h (mm)]]*Table1123457910[[#This Row],[L(mm)]]/2)</f>
        <v>4.3263157894736845E-4</v>
      </c>
      <c r="S6" s="111">
        <f>Table1123457910[[#This Row],[M (KN.mm)]]/(Table1123457910[[#This Row],[a (mm)]]*Table1123457910[[#This Row],[b (mm)]]*Table1123457910[[#This Row],[h (mm)]]*Table1123457910[[#This Row],[L(mm)]]/2)</f>
        <v>3.634337860780985E-8</v>
      </c>
      <c r="T6" s="111">
        <f>Table1123457910[[#This Row],[M (KN.mm)]]/(Table1123457910[[#This Row],[a (mm)]]^2*Table1123457910[[#This Row],[b (mm)]]*Table1123457910[[#This Row],[h (mm)]])</f>
        <v>3.634337860780985E-8</v>
      </c>
      <c r="U6" s="111">
        <f>Table1123457910[[#This Row],[M (KN.mm)]]/(Table1123457910[[#This Row],[b (mm)]]*Table1123457910[[#This Row],[d (mm)]]*Table1123457910[[#This Row],[pho (%)]])</f>
        <v>8.1282296650717711</v>
      </c>
      <c r="V6" s="111">
        <f>E6*224.8/(2*SQRT(Table1123457910[[#This Row],[fc (Mpa)]]*145.037)*Table1123457910[[#This Row],[b (mm)]]*Table1123457910[[#This Row],[d (mm)]]*(1/25.4)^2)</f>
        <v>0.42905338070364046</v>
      </c>
      <c r="W6" s="111">
        <f>Table1123457910[[#This Row],[M (KN.mm)]]/$G$11</f>
        <v>0.316836262719704</v>
      </c>
      <c r="X6" s="111">
        <f>Table1123457910[[#This Row],[V/(2*sqrt(fc) bd)]]</f>
        <v>0.42905338070364046</v>
      </c>
      <c r="Y6" s="111">
        <f>2*SQRT(Table1123457910[[#This Row],[fc (Mpa)]]*145.037)/Table1123457910[[#This Row],[pho (%)]]*Table1123457910[[#This Row],[a (mm)]]*1/(224.8*25.4^2)</f>
        <v>18.94456501366242</v>
      </c>
      <c r="Z6" s="111">
        <f>3.1*Table1123457910[[#This Row],[d (mm)]]</f>
        <v>11904</v>
      </c>
      <c r="AA6" s="111">
        <v>3840</v>
      </c>
      <c r="AB6" s="111">
        <v>4000</v>
      </c>
      <c r="AC6" s="111">
        <v>250</v>
      </c>
      <c r="AD6" s="7">
        <v>40</v>
      </c>
      <c r="AE6" s="111">
        <f>Table1123457910[[#This Row],[pho (%)]]*Table1123457910[[#This Row],[b (mm)]]*Table1123457910[[#This Row],[h (mm)]]/100</f>
        <v>6600</v>
      </c>
      <c r="AF6" s="111">
        <v>0.66</v>
      </c>
      <c r="AG6" s="111">
        <v>525</v>
      </c>
      <c r="AH6" s="111">
        <f>(1/3-0.21*(MIN(Table1123457910[[#This Row],[b (mm)]],AB6)/MAX(Table1123457910[[#This Row],[b (mm)]],AB6))*(MIN(Table1123457910[[#This Row],[b (mm)]],AB6)^4/(12*MAX(Table1123457910[[#This Row],[b (mm)]],AB6)^4)))*MAX(Table1123457910[[#This Row],[b (mm)]],AB6)*MIN(Table1123457910[[#This Row],[b (mm)]],AB6)^3</f>
        <v>20833332290.252048</v>
      </c>
      <c r="AI6" s="111">
        <f>Table1123457910[[#This Row],[b (mm)]]*AB6^3/12</f>
        <v>1333333333333.3333</v>
      </c>
      <c r="AJ6" s="111">
        <f>Table1123457910[[#This Row],[a (mm)]]*2</f>
        <v>23808</v>
      </c>
      <c r="AK6" s="138"/>
      <c r="AL6" s="126" t="s">
        <v>16</v>
      </c>
      <c r="AM6" s="107">
        <f>AM5/(2*(1+0.15))</f>
        <v>11450.774071786596</v>
      </c>
    </row>
    <row r="7" spans="1:45" x14ac:dyDescent="0.3">
      <c r="A7" s="178" t="s">
        <v>193</v>
      </c>
      <c r="B7" s="176">
        <v>7</v>
      </c>
      <c r="C7" s="176">
        <v>6</v>
      </c>
      <c r="D7" s="176">
        <f>Table1123457910[[#This Row],[a (mm)]]/Table1123457910[[#This Row],[d (mm)]]</f>
        <v>3.1</v>
      </c>
      <c r="E7" s="176">
        <f>1000*12/19</f>
        <v>631.57894736842104</v>
      </c>
      <c r="F7" s="137">
        <f>Table1123457910[[#This Row],[d (mm)]]</f>
        <v>3840</v>
      </c>
      <c r="G7" s="111">
        <f t="shared" si="0"/>
        <v>7518315.7894736845</v>
      </c>
      <c r="H7" s="111">
        <f t="shared" si="1"/>
        <v>2.1410122133134513E-7</v>
      </c>
      <c r="I7" s="111">
        <f>G7/(Table1123457910[[#This Row],[b (mm)]]*AA7^2)</f>
        <v>2.0394736842105263E-3</v>
      </c>
      <c r="J7" s="111">
        <f t="shared" si="2"/>
        <v>0.56504898610161769</v>
      </c>
      <c r="K7" s="111">
        <f t="shared" si="3"/>
        <v>9.6547105068574043E-7</v>
      </c>
      <c r="L7" s="111">
        <f>E7/(Table1123457910[[#This Row],[b (mm)]]*AA7)</f>
        <v>6.5789473684210525E-4</v>
      </c>
      <c r="M7" s="111">
        <f>Table1123457910[[#This Row],[M (KN.mm)]]/(Table1123457910[[#This Row],[b (mm)]]*Table1123457910[[#This Row],[d (mm)]])</f>
        <v>7.8315789473684214</v>
      </c>
      <c r="N7" s="111">
        <f>Table1123457910[[#This Row],[M (KN.mm)]]/(Table1123457910[[#This Row],[b (mm)]]*Table1123457910[[#This Row],[h (mm)]])</f>
        <v>7.5183157894736841</v>
      </c>
      <c r="O7" s="111">
        <f>Table1123457910[[#This Row],[M (KN.mm)]]/(Table1123457910[[#This Row],[b (mm)]]*Table1123457910[[#This Row],[h (mm)]]*Table1123457910[[#This Row],[L(mm)]])</f>
        <v>3.1578947368421053E-4</v>
      </c>
      <c r="P7" s="111">
        <f>Table1123457910[[#This Row],[M (KN.mm)]]/(Table1123457910[[#This Row],[b (mm)]]*Table1123457910[[#This Row],[d (mm)]]*Table1123457910[[#This Row],[L(mm)]])</f>
        <v>3.2894736842105262E-4</v>
      </c>
      <c r="Q7" s="111">
        <f>Table1123457910[[#This Row],[M (KN.mm)]]/(Table1123457910[[#This Row],[b (mm)]]*Table1123457910[[#This Row],[h (mm)]]*Table1123457910[[#This Row],[L(mm)]]*Table1123457910[[#This Row],[fc (Mpa)]])</f>
        <v>7.8947368421052629E-6</v>
      </c>
      <c r="R7" s="111">
        <f>Table1123457910[[#This Row],[M (KN.mm)]]/(Table1123457910[[#This Row],[b (mm)]]*Table1123457910[[#This Row],[h (mm)]]*Table1123457910[[#This Row],[L(mm)]]/2)</f>
        <v>6.3157894736842106E-4</v>
      </c>
      <c r="S7" s="111">
        <f>Table1123457910[[#This Row],[M (KN.mm)]]/(Table1123457910[[#This Row],[a (mm)]]*Table1123457910[[#This Row],[b (mm)]]*Table1123457910[[#This Row],[h (mm)]]*Table1123457910[[#This Row],[L(mm)]]/2)</f>
        <v>5.305602716468591E-8</v>
      </c>
      <c r="T7" s="111">
        <f>Table1123457910[[#This Row],[M (KN.mm)]]/(Table1123457910[[#This Row],[a (mm)]]^2*Table1123457910[[#This Row],[b (mm)]]*Table1123457910[[#This Row],[h (mm)]])</f>
        <v>5.305602716468591E-8</v>
      </c>
      <c r="U7" s="111">
        <f>Table1123457910[[#This Row],[M (KN.mm)]]/(Table1123457910[[#This Row],[b (mm)]]*Table1123457910[[#This Row],[d (mm)]]*Table1123457910[[#This Row],[pho (%)]])</f>
        <v>11.866028708133971</v>
      </c>
      <c r="V7" s="111">
        <f>E7*224.8/(2*SQRT(Table1123457910[[#This Row],[fc (Mpa)]]*145.037)*Table1123457910[[#This Row],[b (mm)]]*Table1123457910[[#This Row],[d (mm)]]*(1/25.4)^2)</f>
        <v>0.62635530029728537</v>
      </c>
      <c r="W7" s="111">
        <f>Table1123457910[[#This Row],[M (KN.mm)]]/$G$11</f>
        <v>0.46253469010175763</v>
      </c>
      <c r="X7" s="111">
        <f>Table1123457910[[#This Row],[V/(2*sqrt(fc) bd)]]</f>
        <v>0.62635530029728537</v>
      </c>
      <c r="Y7" s="111">
        <f>2*SQRT(Table1123457910[[#This Row],[fc (Mpa)]]*145.037)/Table1123457910[[#This Row],[pho (%)]]*Table1123457910[[#This Row],[a (mm)]]*1/(224.8*25.4^2)</f>
        <v>18.94456501366242</v>
      </c>
      <c r="Z7" s="111">
        <f>3.1*Table1123457910[[#This Row],[d (mm)]]</f>
        <v>11904</v>
      </c>
      <c r="AA7" s="111">
        <v>3840</v>
      </c>
      <c r="AB7" s="111">
        <v>4000</v>
      </c>
      <c r="AC7" s="111">
        <v>250</v>
      </c>
      <c r="AD7" s="7">
        <v>40</v>
      </c>
      <c r="AE7" s="111">
        <f>Table1123457910[[#This Row],[pho (%)]]*Table1123457910[[#This Row],[b (mm)]]*Table1123457910[[#This Row],[h (mm)]]/100</f>
        <v>6600</v>
      </c>
      <c r="AF7" s="111">
        <v>0.66</v>
      </c>
      <c r="AG7" s="111">
        <v>525</v>
      </c>
      <c r="AH7" s="111">
        <f>(1/3-0.21*(MIN(Table1123457910[[#This Row],[b (mm)]],AB7)/MAX(Table1123457910[[#This Row],[b (mm)]],AB7))*(MIN(Table1123457910[[#This Row],[b (mm)]],AB7)^4/(12*MAX(Table1123457910[[#This Row],[b (mm)]],AB7)^4)))*MAX(Table1123457910[[#This Row],[b (mm)]],AB7)*MIN(Table1123457910[[#This Row],[b (mm)]],AB7)^3</f>
        <v>20833332290.252048</v>
      </c>
      <c r="AI7" s="111">
        <f>Table1123457910[[#This Row],[b (mm)]]*AB7^3/12</f>
        <v>1333333333333.3333</v>
      </c>
      <c r="AJ7" s="111">
        <f>Table1123457910[[#This Row],[a (mm)]]*2</f>
        <v>23808</v>
      </c>
      <c r="AK7" s="138"/>
      <c r="AL7" s="107"/>
    </row>
    <row r="8" spans="1:45" x14ac:dyDescent="0.3">
      <c r="A8" s="178" t="s">
        <v>193</v>
      </c>
      <c r="B8" s="176">
        <v>8</v>
      </c>
      <c r="C8" s="176">
        <v>7</v>
      </c>
      <c r="D8" s="176">
        <f>Table1123457910[[#This Row],[a (mm)]]/Table1123457910[[#This Row],[d (mm)]]</f>
        <v>3.1</v>
      </c>
      <c r="E8" s="176">
        <f>1375*12/19</f>
        <v>868.42105263157896</v>
      </c>
      <c r="F8" s="137">
        <f>Table1123457910[[#This Row],[d (mm)]]</f>
        <v>3840</v>
      </c>
      <c r="G8" s="111">
        <f t="shared" si="0"/>
        <v>10337684.210526315</v>
      </c>
      <c r="H8" s="111">
        <f t="shared" si="1"/>
        <v>2.9438917933059952E-7</v>
      </c>
      <c r="I8" s="111">
        <f>G8/(Table1123457910[[#This Row],[b (mm)]]*AA8^2)</f>
        <v>2.8042763157894736E-3</v>
      </c>
      <c r="J8" s="111">
        <f t="shared" si="2"/>
        <v>0.77694235588972427</v>
      </c>
      <c r="K8" s="111">
        <f t="shared" si="3"/>
        <v>1.3275226946928932E-6</v>
      </c>
      <c r="L8" s="111">
        <f>E8/(Table1123457910[[#This Row],[b (mm)]]*AA8)</f>
        <v>9.0460526315789473E-4</v>
      </c>
      <c r="M8" s="111">
        <f>Table1123457910[[#This Row],[M (KN.mm)]]/(Table1123457910[[#This Row],[b (mm)]]*Table1123457910[[#This Row],[d (mm)]])</f>
        <v>10.768421052631579</v>
      </c>
      <c r="N8" s="111">
        <f>Table1123457910[[#This Row],[M (KN.mm)]]/(Table1123457910[[#This Row],[b (mm)]]*Table1123457910[[#This Row],[h (mm)]])</f>
        <v>10.337684210526316</v>
      </c>
      <c r="O8" s="111">
        <f>Table1123457910[[#This Row],[M (KN.mm)]]/(Table1123457910[[#This Row],[b (mm)]]*Table1123457910[[#This Row],[h (mm)]]*Table1123457910[[#This Row],[L(mm)]])</f>
        <v>4.3421052631578949E-4</v>
      </c>
      <c r="P8" s="111">
        <f>Table1123457910[[#This Row],[M (KN.mm)]]/(Table1123457910[[#This Row],[b (mm)]]*Table1123457910[[#This Row],[d (mm)]]*Table1123457910[[#This Row],[L(mm)]])</f>
        <v>4.5230263157894736E-4</v>
      </c>
      <c r="Q8" s="111">
        <f>Table1123457910[[#This Row],[M (KN.mm)]]/(Table1123457910[[#This Row],[b (mm)]]*Table1123457910[[#This Row],[h (mm)]]*Table1123457910[[#This Row],[L(mm)]]*Table1123457910[[#This Row],[fc (Mpa)]])</f>
        <v>1.0855263157894737E-5</v>
      </c>
      <c r="R8" s="111">
        <f>Table1123457910[[#This Row],[M (KN.mm)]]/(Table1123457910[[#This Row],[b (mm)]]*Table1123457910[[#This Row],[h (mm)]]*Table1123457910[[#This Row],[L(mm)]]/2)</f>
        <v>8.6842105263157897E-4</v>
      </c>
      <c r="S8" s="111">
        <f>Table1123457910[[#This Row],[M (KN.mm)]]/(Table1123457910[[#This Row],[a (mm)]]*Table1123457910[[#This Row],[b (mm)]]*Table1123457910[[#This Row],[h (mm)]]*Table1123457910[[#This Row],[L(mm)]]/2)</f>
        <v>7.2952037351443121E-8</v>
      </c>
      <c r="T8" s="111">
        <f>Table1123457910[[#This Row],[M (KN.mm)]]/(Table1123457910[[#This Row],[a (mm)]]^2*Table1123457910[[#This Row],[b (mm)]]*Table1123457910[[#This Row],[h (mm)]])</f>
        <v>7.2952037351443121E-8</v>
      </c>
      <c r="U8" s="111">
        <f>Table1123457910[[#This Row],[M (KN.mm)]]/(Table1123457910[[#This Row],[b (mm)]]*Table1123457910[[#This Row],[d (mm)]]*Table1123457910[[#This Row],[pho (%)]])</f>
        <v>16.315789473684209</v>
      </c>
      <c r="V8" s="111">
        <f>E8*224.8/(2*SQRT(Table1123457910[[#This Row],[fc (Mpa)]]*145.037)*Table1123457910[[#This Row],[b (mm)]]*Table1123457910[[#This Row],[d (mm)]]*(1/25.4)^2)</f>
        <v>0.86123853790876737</v>
      </c>
      <c r="W8" s="111">
        <f>Table1123457910[[#This Row],[M (KN.mm)]]/$G$11</f>
        <v>0.63598519888991678</v>
      </c>
      <c r="X8" s="111">
        <f>Table1123457910[[#This Row],[V/(2*sqrt(fc) bd)]]</f>
        <v>0.86123853790876737</v>
      </c>
      <c r="Y8" s="111">
        <f>2*SQRT(Table1123457910[[#This Row],[fc (Mpa)]]*145.037)/Table1123457910[[#This Row],[pho (%)]]*Table1123457910[[#This Row],[a (mm)]]*1/(224.8*25.4^2)</f>
        <v>18.94456501366242</v>
      </c>
      <c r="Z8" s="111">
        <f>3.1*Table1123457910[[#This Row],[d (mm)]]</f>
        <v>11904</v>
      </c>
      <c r="AA8" s="111">
        <v>3840</v>
      </c>
      <c r="AB8" s="111">
        <v>4000</v>
      </c>
      <c r="AC8" s="111">
        <v>250</v>
      </c>
      <c r="AD8" s="7">
        <v>40</v>
      </c>
      <c r="AE8" s="111">
        <f>Table1123457910[[#This Row],[pho (%)]]*Table1123457910[[#This Row],[b (mm)]]*Table1123457910[[#This Row],[h (mm)]]/100</f>
        <v>6600</v>
      </c>
      <c r="AF8" s="111">
        <v>0.66</v>
      </c>
      <c r="AG8" s="111">
        <v>525</v>
      </c>
      <c r="AH8" s="111">
        <f>(1/3-0.21*(MIN(Table1123457910[[#This Row],[b (mm)]],AB8)/MAX(Table1123457910[[#This Row],[b (mm)]],AB8))*(MIN(Table1123457910[[#This Row],[b (mm)]],AB8)^4/(12*MAX(Table1123457910[[#This Row],[b (mm)]],AB8)^4)))*MAX(Table1123457910[[#This Row],[b (mm)]],AB8)*MIN(Table1123457910[[#This Row],[b (mm)]],AB8)^3</f>
        <v>20833332290.252048</v>
      </c>
      <c r="AI8" s="111">
        <f>Table1123457910[[#This Row],[b (mm)]]*AB8^3/12</f>
        <v>1333333333333.3333</v>
      </c>
      <c r="AJ8" s="111">
        <f>Table1123457910[[#This Row],[a (mm)]]*2</f>
        <v>23808</v>
      </c>
      <c r="AK8"/>
      <c r="AL8"/>
      <c r="AM8"/>
      <c r="AN8"/>
    </row>
    <row r="9" spans="1:45" x14ac:dyDescent="0.3">
      <c r="A9" s="178" t="s">
        <v>193</v>
      </c>
      <c r="B9" s="176">
        <v>9</v>
      </c>
      <c r="C9" s="176">
        <v>8</v>
      </c>
      <c r="D9" s="176">
        <f>Table1123457910[[#This Row],[a (mm)]]/Table1123457910[[#This Row],[d (mm)]]</f>
        <v>3.1</v>
      </c>
      <c r="E9" s="176">
        <f>1750*12/19</f>
        <v>1105.2631578947369</v>
      </c>
      <c r="F9" s="137">
        <f>Table1123457910[[#This Row],[d (mm)]]</f>
        <v>3840</v>
      </c>
      <c r="G9" s="111">
        <f t="shared" si="0"/>
        <v>13157052.631578948</v>
      </c>
      <c r="H9" s="111">
        <f t="shared" si="1"/>
        <v>3.7467713732985401E-7</v>
      </c>
      <c r="I9" s="111">
        <f>G9/(Table1123457910[[#This Row],[b (mm)]]*AA9^2)</f>
        <v>3.5690789473684214E-3</v>
      </c>
      <c r="J9" s="111">
        <f t="shared" si="2"/>
        <v>0.98883572567783107</v>
      </c>
      <c r="K9" s="111">
        <f t="shared" si="3"/>
        <v>1.689574338700046E-6</v>
      </c>
      <c r="L9" s="111">
        <f>E9/(Table1123457910[[#This Row],[b (mm)]]*AA9)</f>
        <v>1.1513157894736843E-3</v>
      </c>
      <c r="M9" s="111">
        <f>Table1123457910[[#This Row],[M (KN.mm)]]/(Table1123457910[[#This Row],[b (mm)]]*Table1123457910[[#This Row],[d (mm)]])</f>
        <v>13.705263157894738</v>
      </c>
      <c r="N9" s="111">
        <f>Table1123457910[[#This Row],[M (KN.mm)]]/(Table1123457910[[#This Row],[b (mm)]]*Table1123457910[[#This Row],[h (mm)]])</f>
        <v>13.157052631578948</v>
      </c>
      <c r="O9" s="111">
        <f>Table1123457910[[#This Row],[M (KN.mm)]]/(Table1123457910[[#This Row],[b (mm)]]*Table1123457910[[#This Row],[h (mm)]]*Table1123457910[[#This Row],[L(mm)]])</f>
        <v>5.526315789473685E-4</v>
      </c>
      <c r="P9" s="111">
        <f>Table1123457910[[#This Row],[M (KN.mm)]]/(Table1123457910[[#This Row],[b (mm)]]*Table1123457910[[#This Row],[d (mm)]]*Table1123457910[[#This Row],[L(mm)]])</f>
        <v>5.7565789473684216E-4</v>
      </c>
      <c r="Q9" s="111">
        <f>Table1123457910[[#This Row],[M (KN.mm)]]/(Table1123457910[[#This Row],[b (mm)]]*Table1123457910[[#This Row],[h (mm)]]*Table1123457910[[#This Row],[L(mm)]]*Table1123457910[[#This Row],[fc (Mpa)]])</f>
        <v>1.3815789473684211E-5</v>
      </c>
      <c r="R9" s="111">
        <f>Table1123457910[[#This Row],[M (KN.mm)]]/(Table1123457910[[#This Row],[b (mm)]]*Table1123457910[[#This Row],[h (mm)]]*Table1123457910[[#This Row],[L(mm)]]/2)</f>
        <v>1.105263157894737E-3</v>
      </c>
      <c r="S9" s="111">
        <f>Table1123457910[[#This Row],[M (KN.mm)]]/(Table1123457910[[#This Row],[a (mm)]]*Table1123457910[[#This Row],[b (mm)]]*Table1123457910[[#This Row],[h (mm)]]*Table1123457910[[#This Row],[L(mm)]]/2)</f>
        <v>9.2848047538200351E-8</v>
      </c>
      <c r="T9" s="111">
        <f>Table1123457910[[#This Row],[M (KN.mm)]]/(Table1123457910[[#This Row],[a (mm)]]^2*Table1123457910[[#This Row],[b (mm)]]*Table1123457910[[#This Row],[h (mm)]])</f>
        <v>9.2848047538200351E-8</v>
      </c>
      <c r="U9" s="111">
        <f>Table1123457910[[#This Row],[M (KN.mm)]]/(Table1123457910[[#This Row],[b (mm)]]*Table1123457910[[#This Row],[d (mm)]]*Table1123457910[[#This Row],[pho (%)]])</f>
        <v>20.76555023923445</v>
      </c>
      <c r="V9" s="111">
        <f>E9*224.8/(2*SQRT(Table1123457910[[#This Row],[fc (Mpa)]]*145.037)*Table1123457910[[#This Row],[b (mm)]]*Table1123457910[[#This Row],[d (mm)]]*(1/25.4)^2)</f>
        <v>1.0961217755202495</v>
      </c>
      <c r="W9" s="111">
        <f>Table1123457910[[#This Row],[M (KN.mm)]]/$G$11</f>
        <v>0.80943570767807593</v>
      </c>
      <c r="X9" s="111">
        <f>Table1123457910[[#This Row],[V/(2*sqrt(fc) bd)]]</f>
        <v>1.0961217755202495</v>
      </c>
      <c r="Y9" s="111">
        <f>2*SQRT(Table1123457910[[#This Row],[fc (Mpa)]]*145.037)/Table1123457910[[#This Row],[pho (%)]]*Table1123457910[[#This Row],[a (mm)]]*1/(224.8*25.4^2)</f>
        <v>18.94456501366242</v>
      </c>
      <c r="Z9" s="111">
        <f>3.1*Table1123457910[[#This Row],[d (mm)]]</f>
        <v>11904</v>
      </c>
      <c r="AA9" s="111">
        <v>3840</v>
      </c>
      <c r="AB9" s="111">
        <v>4000</v>
      </c>
      <c r="AC9" s="111">
        <v>250</v>
      </c>
      <c r="AD9" s="7">
        <v>40</v>
      </c>
      <c r="AE9" s="111">
        <f>Table1123457910[[#This Row],[pho (%)]]*Table1123457910[[#This Row],[b (mm)]]*Table1123457910[[#This Row],[h (mm)]]/100</f>
        <v>6600</v>
      </c>
      <c r="AF9" s="111">
        <v>0.66</v>
      </c>
      <c r="AG9" s="111">
        <v>525</v>
      </c>
      <c r="AH9" s="111">
        <f>(1/3-0.21*(MIN(Table1123457910[[#This Row],[b (mm)]],AB9)/MAX(Table1123457910[[#This Row],[b (mm)]],AB9))*(MIN(Table1123457910[[#This Row],[b (mm)]],AB9)^4/(12*MAX(Table1123457910[[#This Row],[b (mm)]],AB9)^4)))*MAX(Table1123457910[[#This Row],[b (mm)]],AB9)*MIN(Table1123457910[[#This Row],[b (mm)]],AB9)^3</f>
        <v>20833332290.252048</v>
      </c>
      <c r="AI9" s="111">
        <f>Table1123457910[[#This Row],[b (mm)]]*AB9^3/12</f>
        <v>1333333333333.3333</v>
      </c>
      <c r="AJ9" s="111">
        <f>Table1123457910[[#This Row],[a (mm)]]*2</f>
        <v>23808</v>
      </c>
      <c r="AK9"/>
      <c r="AL9"/>
      <c r="AM9"/>
      <c r="AN9"/>
    </row>
    <row r="10" spans="1:45" ht="12.75" customHeight="1" x14ac:dyDescent="0.3">
      <c r="A10" s="178" t="s">
        <v>193</v>
      </c>
      <c r="B10" s="176">
        <v>10</v>
      </c>
      <c r="C10" s="176">
        <v>9</v>
      </c>
      <c r="D10" s="176">
        <f>Table1123457910[[#This Row],[a (mm)]]/Table1123457910[[#This Row],[d (mm)]]</f>
        <v>3.1</v>
      </c>
      <c r="E10" s="176">
        <f>2019*12/19</f>
        <v>1275.1578947368421</v>
      </c>
      <c r="F10" s="137">
        <f>Table1123457910[[#This Row],[d (mm)]]</f>
        <v>3840</v>
      </c>
      <c r="G10" s="111">
        <f t="shared" si="0"/>
        <v>15179479.578947369</v>
      </c>
      <c r="H10" s="111">
        <f t="shared" si="1"/>
        <v>4.3227036586798584E-7</v>
      </c>
      <c r="I10" s="111">
        <f>G10/(Table1123457910[[#This Row],[b (mm)]]*AA10^2)</f>
        <v>4.1176973684210524E-3</v>
      </c>
      <c r="J10" s="111">
        <f t="shared" si="2"/>
        <v>1.1408339029391661</v>
      </c>
      <c r="K10" s="111">
        <f t="shared" si="3"/>
        <v>1.9492860513345103E-6</v>
      </c>
      <c r="L10" s="111">
        <f>E10/(Table1123457910[[#This Row],[b (mm)]]*AA10)</f>
        <v>1.3282894736842104E-3</v>
      </c>
      <c r="M10" s="111">
        <f>Table1123457910[[#This Row],[M (KN.mm)]]/(Table1123457910[[#This Row],[b (mm)]]*Table1123457910[[#This Row],[d (mm)]])</f>
        <v>15.811957894736842</v>
      </c>
      <c r="N10" s="111">
        <f>Table1123457910[[#This Row],[M (KN.mm)]]/(Table1123457910[[#This Row],[b (mm)]]*Table1123457910[[#This Row],[h (mm)]])</f>
        <v>15.179479578947369</v>
      </c>
      <c r="O10" s="111">
        <f>Table1123457910[[#This Row],[M (KN.mm)]]/(Table1123457910[[#This Row],[b (mm)]]*Table1123457910[[#This Row],[h (mm)]]*Table1123457910[[#This Row],[L(mm)]])</f>
        <v>6.375789473684211E-4</v>
      </c>
      <c r="P10" s="111">
        <f>Table1123457910[[#This Row],[M (KN.mm)]]/(Table1123457910[[#This Row],[b (mm)]]*Table1123457910[[#This Row],[d (mm)]]*Table1123457910[[#This Row],[L(mm)]])</f>
        <v>6.6414473684210532E-4</v>
      </c>
      <c r="Q10" s="111">
        <f>Table1123457910[[#This Row],[M (KN.mm)]]/(Table1123457910[[#This Row],[b (mm)]]*Table1123457910[[#This Row],[h (mm)]]*Table1123457910[[#This Row],[L(mm)]]*Table1123457910[[#This Row],[fc (Mpa)]])</f>
        <v>1.5939473684210526E-5</v>
      </c>
      <c r="R10" s="111">
        <f>Table1123457910[[#This Row],[M (KN.mm)]]/(Table1123457910[[#This Row],[b (mm)]]*Table1123457910[[#This Row],[h (mm)]]*Table1123457910[[#This Row],[L(mm)]]/2)</f>
        <v>1.2751578947368422E-3</v>
      </c>
      <c r="S10" s="111">
        <f>Table1123457910[[#This Row],[M (KN.mm)]]/(Table1123457910[[#This Row],[a (mm)]]*Table1123457910[[#This Row],[b (mm)]]*Table1123457910[[#This Row],[h (mm)]]*Table1123457910[[#This Row],[L(mm)]]/2)</f>
        <v>1.0712011884550085E-7</v>
      </c>
      <c r="T10" s="111">
        <f>Table1123457910[[#This Row],[M (KN.mm)]]/(Table1123457910[[#This Row],[a (mm)]]^2*Table1123457910[[#This Row],[b (mm)]]*Table1123457910[[#This Row],[h (mm)]])</f>
        <v>1.0712011884550085E-7</v>
      </c>
      <c r="U10" s="111">
        <f>Table1123457910[[#This Row],[M (KN.mm)]]/(Table1123457910[[#This Row],[b (mm)]]*Table1123457910[[#This Row],[d (mm)]]*Table1123457910[[#This Row],[pho (%)]])</f>
        <v>23.957511961722489</v>
      </c>
      <c r="V10" s="111">
        <f>E10*224.8/(2*SQRT(Table1123457910[[#This Row],[fc (Mpa)]]*145.037)*Table1123457910[[#This Row],[b (mm)]]*Table1123457910[[#This Row],[d (mm)]]*(1/25.4)^2)</f>
        <v>1.2646113513002191</v>
      </c>
      <c r="W10" s="111">
        <f>Table1123457910[[#This Row],[M (KN.mm)]]/$G$11</f>
        <v>0.93385753931544868</v>
      </c>
      <c r="X10" s="111">
        <f>Table1123457910[[#This Row],[V/(2*sqrt(fc) bd)]]</f>
        <v>1.2646113513002191</v>
      </c>
      <c r="Y10" s="111">
        <f>2*SQRT(Table1123457910[[#This Row],[fc (Mpa)]]*145.037)/Table1123457910[[#This Row],[pho (%)]]*Table1123457910[[#This Row],[a (mm)]]*1/(224.8*25.4^2)</f>
        <v>18.94456501366242</v>
      </c>
      <c r="Z10" s="111">
        <f>3.1*Table1123457910[[#This Row],[d (mm)]]</f>
        <v>11904</v>
      </c>
      <c r="AA10" s="111">
        <v>3840</v>
      </c>
      <c r="AB10" s="111">
        <v>4000</v>
      </c>
      <c r="AC10" s="111">
        <v>250</v>
      </c>
      <c r="AD10" s="7">
        <v>40</v>
      </c>
      <c r="AE10" s="111">
        <f>Table1123457910[[#This Row],[pho (%)]]*Table1123457910[[#This Row],[b (mm)]]*Table1123457910[[#This Row],[h (mm)]]/100</f>
        <v>6600</v>
      </c>
      <c r="AF10" s="111">
        <v>0.66</v>
      </c>
      <c r="AG10" s="111">
        <v>525</v>
      </c>
      <c r="AH10" s="111">
        <f>(1/3-0.21*(MIN(Table1123457910[[#This Row],[b (mm)]],AB10)/MAX(Table1123457910[[#This Row],[b (mm)]],AB10))*(MIN(Table1123457910[[#This Row],[b (mm)]],AB10)^4/(12*MAX(Table1123457910[[#This Row],[b (mm)]],AB10)^4)))*MAX(Table1123457910[[#This Row],[b (mm)]],AB10)*MIN(Table1123457910[[#This Row],[b (mm)]],AB10)^3</f>
        <v>20833332290.252048</v>
      </c>
      <c r="AI10" s="111">
        <f>Table1123457910[[#This Row],[b (mm)]]*AB10^3/12</f>
        <v>1333333333333.3333</v>
      </c>
      <c r="AJ10" s="111">
        <f>Table1123457910[[#This Row],[a (mm)]]*2</f>
        <v>23808</v>
      </c>
      <c r="AK10"/>
      <c r="AL10"/>
      <c r="AM10"/>
      <c r="AN10"/>
    </row>
    <row r="11" spans="1:45" x14ac:dyDescent="0.3">
      <c r="A11" s="178" t="s">
        <v>193</v>
      </c>
      <c r="B11" s="176">
        <v>11</v>
      </c>
      <c r="C11" s="176">
        <v>10</v>
      </c>
      <c r="D11" s="176">
        <f>Table1123457910[[#This Row],[a (mm)]]/Table1123457910[[#This Row],[d (mm)]]</f>
        <v>3.1</v>
      </c>
      <c r="E11" s="176">
        <f>2162*12/19</f>
        <v>1365.4736842105262</v>
      </c>
      <c r="F11" s="137">
        <f>Table1123457910[[#This Row],[d (mm)]]</f>
        <v>3840</v>
      </c>
      <c r="G11" s="111">
        <f t="shared" si="0"/>
        <v>16254598.736842105</v>
      </c>
      <c r="H11" s="111">
        <f t="shared" si="1"/>
        <v>4.6288684051836819E-7</v>
      </c>
      <c r="I11" s="111">
        <f>G11/(Table1123457910[[#This Row],[b (mm)]]*AA11^2)</f>
        <v>4.4093421052631577E-3</v>
      </c>
      <c r="J11" s="111">
        <f t="shared" si="2"/>
        <v>1.2216359079516974</v>
      </c>
      <c r="K11" s="111">
        <f t="shared" si="3"/>
        <v>2.0873484115825709E-6</v>
      </c>
      <c r="L11" s="111">
        <f>E11/(Table1123457910[[#This Row],[b (mm)]]*AA11)</f>
        <v>1.4223684210526316E-3</v>
      </c>
      <c r="M11" s="111">
        <f>Table1123457910[[#This Row],[M (KN.mm)]]/(Table1123457910[[#This Row],[b (mm)]]*Table1123457910[[#This Row],[d (mm)]])</f>
        <v>16.931873684210526</v>
      </c>
      <c r="N11" s="111">
        <f>Table1123457910[[#This Row],[M (KN.mm)]]/(Table1123457910[[#This Row],[b (mm)]]*Table1123457910[[#This Row],[h (mm)]])</f>
        <v>16.254598736842105</v>
      </c>
      <c r="O11" s="111">
        <f>Table1123457910[[#This Row],[M (KN.mm)]]/(Table1123457910[[#This Row],[b (mm)]]*Table1123457910[[#This Row],[h (mm)]]*Table1123457910[[#This Row],[L(mm)]])</f>
        <v>6.827368421052631E-4</v>
      </c>
      <c r="P11" s="111">
        <f>Table1123457910[[#This Row],[M (KN.mm)]]/(Table1123457910[[#This Row],[b (mm)]]*Table1123457910[[#This Row],[d (mm)]]*Table1123457910[[#This Row],[L(mm)]])</f>
        <v>7.1118421052631579E-4</v>
      </c>
      <c r="Q11" s="111">
        <f>Table1123457910[[#This Row],[M (KN.mm)]]/(Table1123457910[[#This Row],[b (mm)]]*Table1123457910[[#This Row],[h (mm)]]*Table1123457910[[#This Row],[L(mm)]]*Table1123457910[[#This Row],[fc (Mpa)]])</f>
        <v>1.706842105263158E-5</v>
      </c>
      <c r="R11" s="111">
        <f>Table1123457910[[#This Row],[M (KN.mm)]]/(Table1123457910[[#This Row],[b (mm)]]*Table1123457910[[#This Row],[h (mm)]]*Table1123457910[[#This Row],[L(mm)]]/2)</f>
        <v>1.3654736842105262E-3</v>
      </c>
      <c r="S11" s="111">
        <f>Table1123457910[[#This Row],[M (KN.mm)]]/(Table1123457910[[#This Row],[a (mm)]]*Table1123457910[[#This Row],[b (mm)]]*Table1123457910[[#This Row],[h (mm)]]*Table1123457910[[#This Row],[L(mm)]]/2)</f>
        <v>1.1470713073005094E-7</v>
      </c>
      <c r="T11" s="111">
        <f>Table1123457910[[#This Row],[M (KN.mm)]]/(Table1123457910[[#This Row],[a (mm)]]^2*Table1123457910[[#This Row],[b (mm)]]*Table1123457910[[#This Row],[h (mm)]])</f>
        <v>1.1470713073005094E-7</v>
      </c>
      <c r="U11" s="111">
        <f>Table1123457910[[#This Row],[M (KN.mm)]]/(Table1123457910[[#This Row],[b (mm)]]*Table1123457910[[#This Row],[d (mm)]]*Table1123457910[[#This Row],[pho (%)]])</f>
        <v>25.654354066985647</v>
      </c>
      <c r="V11" s="111">
        <f>E11*224.8/(2*SQRT(Table1123457910[[#This Row],[fc (Mpa)]]*145.037)*Table1123457910[[#This Row],[b (mm)]]*Table1123457910[[#This Row],[d (mm)]]*(1/25.4)^2)</f>
        <v>1.3541801592427309</v>
      </c>
      <c r="W11" s="111">
        <f>Table1123457910[[#This Row],[M (KN.mm)]]/$G$11</f>
        <v>1</v>
      </c>
      <c r="X11" s="111">
        <f>Table1123457910[[#This Row],[V/(2*sqrt(fc) bd)]]</f>
        <v>1.3541801592427309</v>
      </c>
      <c r="Y11" s="111">
        <f>2*SQRT(Table1123457910[[#This Row],[fc (Mpa)]]*145.037)/Table1123457910[[#This Row],[pho (%)]]*Table1123457910[[#This Row],[a (mm)]]*1/(224.8*25.4^2)</f>
        <v>18.94456501366242</v>
      </c>
      <c r="Z11" s="111">
        <f>3.1*Table1123457910[[#This Row],[d (mm)]]</f>
        <v>11904</v>
      </c>
      <c r="AA11" s="111">
        <v>3840</v>
      </c>
      <c r="AB11" s="111">
        <v>4000</v>
      </c>
      <c r="AC11" s="111">
        <v>250</v>
      </c>
      <c r="AD11" s="7">
        <v>40</v>
      </c>
      <c r="AE11" s="111">
        <f>Table1123457910[[#This Row],[pho (%)]]*Table1123457910[[#This Row],[b (mm)]]*Table1123457910[[#This Row],[h (mm)]]/100</f>
        <v>6600</v>
      </c>
      <c r="AF11" s="111">
        <v>0.66</v>
      </c>
      <c r="AG11" s="111">
        <v>525</v>
      </c>
      <c r="AH11" s="111">
        <f>(1/3-0.21*(MIN(Table1123457910[[#This Row],[b (mm)]],AB11)/MAX(Table1123457910[[#This Row],[b (mm)]],AB11))*(MIN(Table1123457910[[#This Row],[b (mm)]],AB11)^4/(12*MAX(Table1123457910[[#This Row],[b (mm)]],AB11)^4)))*MAX(Table1123457910[[#This Row],[b (mm)]],AB11)*MIN(Table1123457910[[#This Row],[b (mm)]],AB11)^3</f>
        <v>20833332290.252048</v>
      </c>
      <c r="AI11" s="111">
        <f>Table1123457910[[#This Row],[b (mm)]]*AB11^3/12</f>
        <v>1333333333333.3333</v>
      </c>
      <c r="AJ11" s="111">
        <f>Table1123457910[[#This Row],[a (mm)]]*2</f>
        <v>23808</v>
      </c>
      <c r="AK11"/>
      <c r="AL11"/>
      <c r="AM11"/>
      <c r="AN11"/>
    </row>
    <row r="12" spans="1:45" ht="17.25" customHeight="1" x14ac:dyDescent="0.3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</row>
    <row r="13" spans="1:45" x14ac:dyDescent="0.3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</row>
    <row r="14" spans="1:45" x14ac:dyDescent="0.3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</row>
    <row r="15" spans="1:45" x14ac:dyDescent="0.3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</row>
    <row r="16" spans="1:45" x14ac:dyDescent="0.3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</row>
    <row r="17" spans="1:45" x14ac:dyDescent="0.3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</row>
    <row r="18" spans="1:45" s="129" customFormat="1" x14ac:dyDescent="0.3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</row>
    <row r="19" spans="1:45" s="129" customFormat="1" x14ac:dyDescent="0.3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</row>
    <row r="20" spans="1:45" s="129" customFormat="1" x14ac:dyDescent="0.3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</row>
    <row r="21" spans="1:45" s="129" customFormat="1" x14ac:dyDescent="0.3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</row>
    <row r="22" spans="1:45" s="129" customFormat="1" ht="16.5" customHeight="1" x14ac:dyDescent="0.3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</row>
    <row r="23" spans="1:45" s="129" customFormat="1" x14ac:dyDescent="0.3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</row>
    <row r="24" spans="1:45" s="129" customFormat="1" x14ac:dyDescent="0.3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</row>
    <row r="25" spans="1:45" s="129" customFormat="1" x14ac:dyDescent="0.3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</row>
    <row r="26" spans="1:45" s="129" customFormat="1" x14ac:dyDescent="0.3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</row>
    <row r="27" spans="1:45" s="129" customFormat="1" x14ac:dyDescent="0.3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</row>
    <row r="28" spans="1:45" s="129" customFormat="1" x14ac:dyDescent="0.3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</row>
    <row r="29" spans="1:45" s="129" customFormat="1" x14ac:dyDescent="0.3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</row>
    <row r="30" spans="1:45" s="129" customFormat="1" x14ac:dyDescent="0.3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</row>
    <row r="31" spans="1:45" x14ac:dyDescent="0.3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</row>
    <row r="32" spans="1:45" x14ac:dyDescent="0.3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</row>
    <row r="33" spans="1:45" x14ac:dyDescent="0.3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</row>
    <row r="34" spans="1:45" x14ac:dyDescent="0.3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</row>
    <row r="35" spans="1:45" x14ac:dyDescent="0.3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</row>
    <row r="36" spans="1:45" x14ac:dyDescent="0.3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</row>
    <row r="37" spans="1:45" x14ac:dyDescent="0.3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</row>
    <row r="38" spans="1:45" x14ac:dyDescent="0.3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</row>
    <row r="39" spans="1:45" x14ac:dyDescent="0.3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</row>
    <row r="40" spans="1:45" x14ac:dyDescent="0.3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</row>
    <row r="41" spans="1:45" x14ac:dyDescent="0.3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</row>
    <row r="42" spans="1:45" x14ac:dyDescent="0.3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</row>
    <row r="43" spans="1:45" x14ac:dyDescent="0.3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</row>
    <row r="44" spans="1:45" customFormat="1" x14ac:dyDescent="0.3"/>
    <row r="45" spans="1:45" x14ac:dyDescent="0.3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</row>
    <row r="46" spans="1:45" x14ac:dyDescent="0.3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</row>
    <row r="47" spans="1:45" x14ac:dyDescent="0.3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</row>
    <row r="48" spans="1:45" x14ac:dyDescent="0.3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</row>
    <row r="49" spans="1:45" x14ac:dyDescent="0.3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</row>
    <row r="50" spans="1:45" x14ac:dyDescent="0.3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</row>
    <row r="51" spans="1:45" x14ac:dyDescent="0.3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</row>
    <row r="52" spans="1:45" x14ac:dyDescent="0.3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</row>
    <row r="53" spans="1:45" x14ac:dyDescent="0.3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</row>
    <row r="54" spans="1:45" x14ac:dyDescent="0.3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</row>
    <row r="55" spans="1:45" x14ac:dyDescent="0.3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</row>
    <row r="56" spans="1:45" x14ac:dyDescent="0.3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</row>
    <row r="57" spans="1:45" x14ac:dyDescent="0.3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</row>
    <row r="58" spans="1:45" x14ac:dyDescent="0.3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</row>
    <row r="59" spans="1:45" x14ac:dyDescent="0.3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</row>
    <row r="60" spans="1:45" x14ac:dyDescent="0.3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</row>
    <row r="61" spans="1:45" x14ac:dyDescent="0.3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</row>
    <row r="62" spans="1:45" x14ac:dyDescent="0.3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</row>
    <row r="63" spans="1:45" x14ac:dyDescent="0.3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</row>
    <row r="64" spans="1:45" s="1" customFormat="1" x14ac:dyDescent="0.3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</row>
    <row r="65" spans="1:45" s="1" customFormat="1" x14ac:dyDescent="0.3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</row>
    <row r="66" spans="1:45" s="1" customFormat="1" x14ac:dyDescent="0.3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</row>
    <row r="67" spans="1:45" x14ac:dyDescent="0.3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</row>
    <row r="68" spans="1:45" x14ac:dyDescent="0.3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</row>
    <row r="69" spans="1:45" x14ac:dyDescent="0.3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</row>
    <row r="70" spans="1:45" x14ac:dyDescent="0.3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</row>
    <row r="71" spans="1:45" x14ac:dyDescent="0.3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</row>
    <row r="72" spans="1:45" x14ac:dyDescent="0.3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</row>
    <row r="73" spans="1:45" x14ac:dyDescent="0.3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</row>
    <row r="74" spans="1:45" x14ac:dyDescent="0.3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</row>
    <row r="75" spans="1:45" x14ac:dyDescent="0.3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</row>
    <row r="76" spans="1:45" x14ac:dyDescent="0.3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</row>
    <row r="77" spans="1:45" x14ac:dyDescent="0.3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</row>
    <row r="78" spans="1:45" x14ac:dyDescent="0.3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</row>
    <row r="79" spans="1:45" x14ac:dyDescent="0.3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</row>
    <row r="80" spans="1:45" x14ac:dyDescent="0.3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</row>
    <row r="81" spans="1:45" x14ac:dyDescent="0.3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</row>
    <row r="82" spans="1:45" x14ac:dyDescent="0.3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</row>
    <row r="83" spans="1:45" x14ac:dyDescent="0.3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</row>
    <row r="84" spans="1:45" x14ac:dyDescent="0.3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</row>
    <row r="85" spans="1:45" x14ac:dyDescent="0.3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</row>
    <row r="86" spans="1:45" x14ac:dyDescent="0.3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</row>
    <row r="87" spans="1:45" x14ac:dyDescent="0.3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</row>
    <row r="88" spans="1:45" x14ac:dyDescent="0.3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</row>
    <row r="89" spans="1:45" x14ac:dyDescent="0.3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</row>
    <row r="90" spans="1:45" x14ac:dyDescent="0.3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</row>
    <row r="91" spans="1:45" x14ac:dyDescent="0.3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</row>
    <row r="92" spans="1:45" x14ac:dyDescent="0.3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</row>
    <row r="93" spans="1:45" x14ac:dyDescent="0.3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</row>
    <row r="94" spans="1:45" x14ac:dyDescent="0.3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</row>
    <row r="95" spans="1:45" x14ac:dyDescent="0.3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</row>
    <row r="96" spans="1:45" x14ac:dyDescent="0.3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</row>
    <row r="97" spans="1:45" x14ac:dyDescent="0.3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</row>
    <row r="98" spans="1:45" x14ac:dyDescent="0.3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</row>
    <row r="99" spans="1:45" x14ac:dyDescent="0.3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</row>
    <row r="100" spans="1:45" x14ac:dyDescent="0.3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</row>
    <row r="101" spans="1:45" x14ac:dyDescent="0.3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</row>
    <row r="102" spans="1:45" x14ac:dyDescent="0.3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</row>
    <row r="103" spans="1:45" x14ac:dyDescent="0.3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</row>
    <row r="104" spans="1:45" x14ac:dyDescent="0.3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</row>
    <row r="105" spans="1:45" x14ac:dyDescent="0.3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</row>
    <row r="106" spans="1:45" x14ac:dyDescent="0.3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</row>
    <row r="107" spans="1:45" x14ac:dyDescent="0.3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</row>
    <row r="108" spans="1:45" x14ac:dyDescent="0.3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</row>
    <row r="109" spans="1:45" x14ac:dyDescent="0.3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</row>
    <row r="110" spans="1:45" x14ac:dyDescent="0.3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</row>
    <row r="111" spans="1:45" x14ac:dyDescent="0.3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</row>
    <row r="112" spans="1:45" x14ac:dyDescent="0.3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</row>
    <row r="113" spans="1:45" x14ac:dyDescent="0.3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</row>
    <row r="114" spans="1:45" x14ac:dyDescent="0.3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</row>
    <row r="115" spans="1:45" x14ac:dyDescent="0.3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</row>
    <row r="116" spans="1:45" x14ac:dyDescent="0.3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</row>
    <row r="117" spans="1:45" x14ac:dyDescent="0.3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</row>
    <row r="118" spans="1:45" x14ac:dyDescent="0.3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</row>
    <row r="119" spans="1:45" x14ac:dyDescent="0.3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</row>
    <row r="120" spans="1:45" x14ac:dyDescent="0.3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</row>
    <row r="121" spans="1:45" x14ac:dyDescent="0.3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</row>
    <row r="122" spans="1:45" x14ac:dyDescent="0.3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</row>
    <row r="123" spans="1:45" x14ac:dyDescent="0.3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</row>
    <row r="124" spans="1:45" x14ac:dyDescent="0.3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</row>
    <row r="125" spans="1:45" x14ac:dyDescent="0.3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</row>
    <row r="126" spans="1:45" x14ac:dyDescent="0.3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</row>
    <row r="127" spans="1:45" x14ac:dyDescent="0.3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</row>
    <row r="128" spans="1:45" x14ac:dyDescent="0.3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</row>
    <row r="129" spans="1:45" x14ac:dyDescent="0.3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</row>
    <row r="130" spans="1:45" x14ac:dyDescent="0.3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</row>
    <row r="131" spans="1:45" x14ac:dyDescent="0.3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</row>
    <row r="132" spans="1:45" x14ac:dyDescent="0.3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</row>
    <row r="133" spans="1:45" x14ac:dyDescent="0.3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</row>
    <row r="134" spans="1:45" x14ac:dyDescent="0.3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</row>
    <row r="135" spans="1:45" x14ac:dyDescent="0.3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</row>
    <row r="136" spans="1:45" x14ac:dyDescent="0.3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</row>
    <row r="137" spans="1:45" x14ac:dyDescent="0.3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</row>
    <row r="138" spans="1:45" x14ac:dyDescent="0.3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</row>
    <row r="139" spans="1:45" x14ac:dyDescent="0.3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</row>
    <row r="140" spans="1:45" x14ac:dyDescent="0.3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</row>
    <row r="141" spans="1:45" x14ac:dyDescent="0.3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</row>
    <row r="142" spans="1:45" x14ac:dyDescent="0.3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</row>
    <row r="143" spans="1:45" x14ac:dyDescent="0.3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</row>
    <row r="144" spans="1:45" x14ac:dyDescent="0.3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</row>
    <row r="145" spans="1:45" x14ac:dyDescent="0.3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</row>
    <row r="146" spans="1:45" x14ac:dyDescent="0.3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</row>
    <row r="147" spans="1:45" x14ac:dyDescent="0.3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</row>
    <row r="148" spans="1:45" x14ac:dyDescent="0.3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</row>
    <row r="149" spans="1:45" x14ac:dyDescent="0.3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</row>
    <row r="150" spans="1:45" x14ac:dyDescent="0.3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</row>
    <row r="151" spans="1:45" x14ac:dyDescent="0.3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</row>
    <row r="152" spans="1:45" x14ac:dyDescent="0.3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</row>
    <row r="153" spans="1:45" x14ac:dyDescent="0.3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</row>
    <row r="154" spans="1:45" x14ac:dyDescent="0.3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</row>
    <row r="155" spans="1:45" x14ac:dyDescent="0.3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</row>
    <row r="156" spans="1:45" x14ac:dyDescent="0.3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</row>
    <row r="157" spans="1:45" x14ac:dyDescent="0.3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</row>
    <row r="158" spans="1:45" x14ac:dyDescent="0.3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</row>
    <row r="159" spans="1:45" x14ac:dyDescent="0.3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</row>
    <row r="160" spans="1:45" x14ac:dyDescent="0.3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</row>
    <row r="161" spans="1:45" x14ac:dyDescent="0.3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</row>
    <row r="162" spans="1:45" x14ac:dyDescent="0.3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</row>
    <row r="163" spans="1:45" x14ac:dyDescent="0.3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</row>
    <row r="164" spans="1:45" x14ac:dyDescent="0.3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</row>
    <row r="165" spans="1:45" x14ac:dyDescent="0.3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</row>
    <row r="166" spans="1:45" x14ac:dyDescent="0.3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</row>
    <row r="167" spans="1:45" x14ac:dyDescent="0.3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</row>
    <row r="168" spans="1:45" x14ac:dyDescent="0.3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</row>
    <row r="169" spans="1:45" x14ac:dyDescent="0.3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</row>
    <row r="170" spans="1:45" x14ac:dyDescent="0.3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</row>
    <row r="171" spans="1:45" x14ac:dyDescent="0.3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</row>
    <row r="172" spans="1:45" x14ac:dyDescent="0.3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</row>
    <row r="173" spans="1:45" x14ac:dyDescent="0.3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</row>
    <row r="174" spans="1:45" x14ac:dyDescent="0.3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</row>
    <row r="175" spans="1:45" x14ac:dyDescent="0.3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</row>
    <row r="176" spans="1:45" x14ac:dyDescent="0.3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</row>
    <row r="177" spans="1:45" x14ac:dyDescent="0.3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</row>
    <row r="178" spans="1:45" x14ac:dyDescent="0.3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</row>
    <row r="179" spans="1:45" x14ac:dyDescent="0.3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</row>
    <row r="180" spans="1:45" x14ac:dyDescent="0.3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</row>
    <row r="181" spans="1:45" x14ac:dyDescent="0.3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</row>
    <row r="182" spans="1:45" x14ac:dyDescent="0.3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</row>
    <row r="183" spans="1:45" x14ac:dyDescent="0.3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</row>
    <row r="184" spans="1:45" x14ac:dyDescent="0.3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</row>
    <row r="185" spans="1:45" x14ac:dyDescent="0.3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</row>
    <row r="186" spans="1:45" x14ac:dyDescent="0.3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</row>
    <row r="187" spans="1:45" x14ac:dyDescent="0.3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</row>
    <row r="188" spans="1:45" x14ac:dyDescent="0.3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</row>
    <row r="189" spans="1:45" x14ac:dyDescent="0.3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</row>
    <row r="190" spans="1:45" x14ac:dyDescent="0.3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</row>
    <row r="191" spans="1:45" x14ac:dyDescent="0.3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</row>
    <row r="192" spans="1:45" x14ac:dyDescent="0.3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</row>
    <row r="193" spans="1:45" x14ac:dyDescent="0.3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</row>
    <row r="194" spans="1:45" x14ac:dyDescent="0.3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</row>
    <row r="195" spans="1:45" x14ac:dyDescent="0.3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</row>
    <row r="196" spans="1:45" x14ac:dyDescent="0.3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</row>
    <row r="197" spans="1:45" x14ac:dyDescent="0.3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</row>
    <row r="198" spans="1:45" x14ac:dyDescent="0.3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</row>
    <row r="199" spans="1:45" x14ac:dyDescent="0.3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</row>
    <row r="200" spans="1:45" x14ac:dyDescent="0.3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</row>
    <row r="201" spans="1:45" x14ac:dyDescent="0.3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</row>
    <row r="202" spans="1:45" x14ac:dyDescent="0.3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</row>
    <row r="203" spans="1:45" x14ac:dyDescent="0.3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</row>
    <row r="204" spans="1:45" x14ac:dyDescent="0.3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</row>
    <row r="205" spans="1:45" x14ac:dyDescent="0.3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</row>
    <row r="206" spans="1:45" x14ac:dyDescent="0.3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</row>
    <row r="207" spans="1:45" x14ac:dyDescent="0.3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</row>
    <row r="208" spans="1:45" x14ac:dyDescent="0.3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</row>
    <row r="209" spans="1:45" x14ac:dyDescent="0.3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</row>
    <row r="210" spans="1:45" x14ac:dyDescent="0.3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</row>
    <row r="211" spans="1:45" x14ac:dyDescent="0.3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</row>
    <row r="212" spans="1:45" x14ac:dyDescent="0.3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</row>
    <row r="213" spans="1:45" x14ac:dyDescent="0.3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</row>
    <row r="214" spans="1:45" x14ac:dyDescent="0.3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</row>
    <row r="215" spans="1:45" x14ac:dyDescent="0.3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</row>
    <row r="216" spans="1:45" x14ac:dyDescent="0.3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</row>
    <row r="217" spans="1:45" x14ac:dyDescent="0.3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</row>
    <row r="218" spans="1:45" x14ac:dyDescent="0.3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</row>
    <row r="219" spans="1:45" x14ac:dyDescent="0.3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</row>
    <row r="220" spans="1:45" x14ac:dyDescent="0.3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</row>
    <row r="221" spans="1:45" x14ac:dyDescent="0.3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</row>
    <row r="222" spans="1:45" x14ac:dyDescent="0.3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</row>
    <row r="223" spans="1:45" x14ac:dyDescent="0.3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</row>
    <row r="224" spans="1:45" x14ac:dyDescent="0.3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</row>
    <row r="225" spans="1:45" x14ac:dyDescent="0.3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</row>
    <row r="226" spans="1:45" x14ac:dyDescent="0.3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</row>
    <row r="227" spans="1:45" x14ac:dyDescent="0.3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</row>
    <row r="228" spans="1:45" x14ac:dyDescent="0.3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</row>
    <row r="229" spans="1:45" x14ac:dyDescent="0.3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</row>
    <row r="230" spans="1:45" x14ac:dyDescent="0.3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</row>
    <row r="231" spans="1:45" x14ac:dyDescent="0.3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</row>
    <row r="232" spans="1:45" x14ac:dyDescent="0.3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</row>
    <row r="233" spans="1:45" x14ac:dyDescent="0.3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</row>
    <row r="234" spans="1:45" x14ac:dyDescent="0.3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</row>
    <row r="235" spans="1:45" x14ac:dyDescent="0.3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</row>
    <row r="236" spans="1:45" x14ac:dyDescent="0.3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</row>
    <row r="237" spans="1:45" x14ac:dyDescent="0.3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</row>
    <row r="238" spans="1:45" x14ac:dyDescent="0.3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</row>
    <row r="239" spans="1:45" x14ac:dyDescent="0.3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</row>
    <row r="240" spans="1:45" x14ac:dyDescent="0.3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</row>
    <row r="241" spans="1:45" x14ac:dyDescent="0.3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</row>
    <row r="242" spans="1:45" x14ac:dyDescent="0.3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</row>
    <row r="243" spans="1:45" x14ac:dyDescent="0.3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</row>
    <row r="244" spans="1:45" x14ac:dyDescent="0.3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</row>
    <row r="245" spans="1:45" x14ac:dyDescent="0.3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</row>
    <row r="246" spans="1:45" x14ac:dyDescent="0.3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</row>
    <row r="247" spans="1:45" x14ac:dyDescent="0.3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</row>
    <row r="248" spans="1:45" x14ac:dyDescent="0.3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</row>
    <row r="249" spans="1:45" x14ac:dyDescent="0.3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</row>
    <row r="250" spans="1:45" x14ac:dyDescent="0.3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</row>
    <row r="251" spans="1:45" x14ac:dyDescent="0.3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</row>
    <row r="252" spans="1:45" x14ac:dyDescent="0.3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</row>
    <row r="253" spans="1:45" x14ac:dyDescent="0.3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</row>
    <row r="254" spans="1:45" x14ac:dyDescent="0.3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</row>
    <row r="255" spans="1:45" x14ac:dyDescent="0.3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</row>
    <row r="256" spans="1:45" x14ac:dyDescent="0.3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</row>
    <row r="257" spans="1:45" x14ac:dyDescent="0.3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</row>
    <row r="258" spans="1:45" x14ac:dyDescent="0.3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</row>
    <row r="259" spans="1:45" x14ac:dyDescent="0.3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</row>
    <row r="260" spans="1:45" x14ac:dyDescent="0.3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</row>
    <row r="261" spans="1:45" x14ac:dyDescent="0.3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</row>
    <row r="262" spans="1:45" x14ac:dyDescent="0.3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</row>
    <row r="263" spans="1:45" x14ac:dyDescent="0.3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</row>
    <row r="264" spans="1:45" x14ac:dyDescent="0.3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</row>
    <row r="265" spans="1:45" x14ac:dyDescent="0.3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</row>
    <row r="266" spans="1:45" x14ac:dyDescent="0.3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</row>
    <row r="267" spans="1:45" x14ac:dyDescent="0.3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</row>
    <row r="268" spans="1:45" x14ac:dyDescent="0.3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</row>
    <row r="269" spans="1:45" x14ac:dyDescent="0.3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</row>
    <row r="270" spans="1:45" x14ac:dyDescent="0.3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</row>
    <row r="271" spans="1:45" x14ac:dyDescent="0.3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</row>
    <row r="272" spans="1:45" x14ac:dyDescent="0.3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</row>
    <row r="273" spans="1:45" x14ac:dyDescent="0.3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</row>
    <row r="274" spans="1:45" x14ac:dyDescent="0.3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</row>
    <row r="275" spans="1:45" x14ac:dyDescent="0.3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</row>
    <row r="276" spans="1:45" x14ac:dyDescent="0.3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</row>
    <row r="277" spans="1:45" x14ac:dyDescent="0.3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</row>
    <row r="278" spans="1:45" x14ac:dyDescent="0.3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</row>
    <row r="279" spans="1:45" x14ac:dyDescent="0.3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</row>
    <row r="280" spans="1:45" x14ac:dyDescent="0.3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</row>
    <row r="281" spans="1:45" x14ac:dyDescent="0.3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</row>
    <row r="282" spans="1:45" x14ac:dyDescent="0.3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</row>
    <row r="283" spans="1:45" x14ac:dyDescent="0.3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</row>
    <row r="284" spans="1:45" x14ac:dyDescent="0.3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</row>
    <row r="285" spans="1:45" x14ac:dyDescent="0.3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</row>
    <row r="286" spans="1:45" x14ac:dyDescent="0.3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</row>
    <row r="287" spans="1:45" x14ac:dyDescent="0.3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</row>
    <row r="288" spans="1:45" x14ac:dyDescent="0.3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</row>
    <row r="289" spans="1:45" x14ac:dyDescent="0.3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</row>
    <row r="290" spans="1:45" x14ac:dyDescent="0.3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</row>
    <row r="291" spans="1:45" x14ac:dyDescent="0.3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</row>
    <row r="292" spans="1:45" x14ac:dyDescent="0.3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</row>
    <row r="293" spans="1:45" x14ac:dyDescent="0.3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</row>
    <row r="294" spans="1:45" x14ac:dyDescent="0.3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</row>
    <row r="295" spans="1:45" x14ac:dyDescent="0.3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</row>
    <row r="296" spans="1:45" x14ac:dyDescent="0.3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</row>
    <row r="297" spans="1:45" x14ac:dyDescent="0.3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</row>
    <row r="298" spans="1:45" x14ac:dyDescent="0.3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</row>
    <row r="299" spans="1:45" x14ac:dyDescent="0.3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</row>
    <row r="300" spans="1:45" x14ac:dyDescent="0.3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</row>
    <row r="301" spans="1:45" x14ac:dyDescent="0.3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</row>
    <row r="302" spans="1:45" x14ac:dyDescent="0.3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</row>
    <row r="303" spans="1:45" x14ac:dyDescent="0.3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</row>
    <row r="304" spans="1:45" x14ac:dyDescent="0.3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</row>
    <row r="305" spans="1:45" x14ac:dyDescent="0.3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</row>
    <row r="306" spans="1:45" x14ac:dyDescent="0.3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</row>
    <row r="307" spans="1:45" x14ac:dyDescent="0.3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</row>
    <row r="308" spans="1:45" x14ac:dyDescent="0.3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</row>
    <row r="309" spans="1:45" x14ac:dyDescent="0.3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</row>
    <row r="310" spans="1:45" x14ac:dyDescent="0.3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</row>
    <row r="311" spans="1:45" x14ac:dyDescent="0.3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</row>
    <row r="312" spans="1:45" x14ac:dyDescent="0.3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</row>
    <row r="313" spans="1:45" x14ac:dyDescent="0.3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</row>
    <row r="314" spans="1:45" x14ac:dyDescent="0.3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</row>
    <row r="315" spans="1:45" x14ac:dyDescent="0.3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</row>
    <row r="316" spans="1:45" x14ac:dyDescent="0.3">
      <c r="A316"/>
      <c r="B316" s="1"/>
      <c r="C316" s="1"/>
      <c r="D316" s="177"/>
      <c r="E316" s="177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</row>
    <row r="317" spans="1:45" x14ac:dyDescent="0.3">
      <c r="A317"/>
      <c r="B317" s="1"/>
      <c r="C317" s="1"/>
      <c r="D317" s="177"/>
      <c r="E317" s="17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</row>
    <row r="318" spans="1:45" x14ac:dyDescent="0.3">
      <c r="A318"/>
      <c r="B318" s="1"/>
      <c r="C318" s="1"/>
      <c r="D318" s="177"/>
      <c r="E318" s="177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</row>
    <row r="319" spans="1:45" x14ac:dyDescent="0.3">
      <c r="A319"/>
      <c r="B319" s="1"/>
      <c r="C319" s="1"/>
      <c r="D319" s="177"/>
      <c r="E319" s="177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</row>
    <row r="320" spans="1:45" x14ac:dyDescent="0.3">
      <c r="A320"/>
      <c r="B320" s="1"/>
      <c r="C320" s="1"/>
      <c r="D320" s="177"/>
      <c r="E320" s="177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</row>
    <row r="321" spans="1:40" x14ac:dyDescent="0.3">
      <c r="A321"/>
      <c r="B321" s="1"/>
      <c r="C321" s="1"/>
      <c r="D321" s="177"/>
      <c r="E321" s="177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</row>
    <row r="322" spans="1:40" x14ac:dyDescent="0.3">
      <c r="A322"/>
      <c r="B322" s="1"/>
      <c r="C322" s="1"/>
      <c r="D322" s="177"/>
      <c r="E322" s="177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</row>
    <row r="323" spans="1:40" x14ac:dyDescent="0.3">
      <c r="A323"/>
      <c r="B323" s="1"/>
      <c r="C323" s="1"/>
      <c r="D323" s="177"/>
      <c r="E323" s="177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</row>
    <row r="324" spans="1:40" x14ac:dyDescent="0.3">
      <c r="A324"/>
      <c r="B324" s="1"/>
      <c r="C324" s="1"/>
      <c r="D324" s="177"/>
      <c r="E324" s="177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</row>
    <row r="325" spans="1:40" x14ac:dyDescent="0.3">
      <c r="A325"/>
      <c r="B325" s="1"/>
      <c r="C325" s="1"/>
      <c r="D325" s="177"/>
      <c r="E325" s="177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</row>
    <row r="326" spans="1:40" x14ac:dyDescent="0.3">
      <c r="A326"/>
      <c r="B326" s="1"/>
      <c r="C326" s="1"/>
      <c r="D326" s="177"/>
      <c r="E326" s="177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</row>
    <row r="327" spans="1:40" x14ac:dyDescent="0.3">
      <c r="A327"/>
      <c r="B327" s="1"/>
      <c r="C327" s="1"/>
      <c r="D327" s="177"/>
      <c r="E327" s="17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</row>
    <row r="328" spans="1:40" x14ac:dyDescent="0.3">
      <c r="A328"/>
      <c r="B328" s="1"/>
      <c r="C328" s="1"/>
      <c r="D328" s="177"/>
      <c r="E328" s="177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</row>
    <row r="329" spans="1:40" x14ac:dyDescent="0.3">
      <c r="A329"/>
      <c r="B329" s="1"/>
      <c r="C329" s="1"/>
      <c r="D329" s="177"/>
      <c r="E329" s="177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</row>
    <row r="330" spans="1:40" x14ac:dyDescent="0.3">
      <c r="A330"/>
      <c r="B330" s="1"/>
      <c r="C330" s="1"/>
      <c r="D330" s="177"/>
      <c r="E330" s="177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</row>
    <row r="331" spans="1:40" x14ac:dyDescent="0.3">
      <c r="A331"/>
      <c r="B331" s="1"/>
      <c r="C331" s="1"/>
      <c r="D331" s="177"/>
      <c r="E331" s="177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</row>
  </sheetData>
  <pageMargins left="0.7" right="0.7" top="0.75" bottom="0.75" header="0.3" footer="0.3"/>
  <pageSetup orientation="portrait" horizontalDpi="0" verticalDpi="0" r:id="rId1"/>
  <drawing r:id="rId2"/>
  <legacyDrawing r:id="rId3"/>
  <tableParts count="1">
    <tablePart r:id="rId4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W324"/>
  <sheetViews>
    <sheetView topLeftCell="A4" zoomScaleNormal="100" workbookViewId="0">
      <selection activeCell="E2" sqref="E2"/>
    </sheetView>
  </sheetViews>
  <sheetFormatPr defaultColWidth="9.109375" defaultRowHeight="14.4" x14ac:dyDescent="0.3"/>
  <cols>
    <col min="1" max="1" width="15" style="140" customWidth="1"/>
    <col min="2" max="2" width="8.33203125" style="2" customWidth="1"/>
    <col min="3" max="3" width="7.44140625" style="2" customWidth="1"/>
    <col min="4" max="4" width="9.44140625" style="188" customWidth="1"/>
    <col min="5" max="5" width="10.88671875" style="188" customWidth="1"/>
    <col min="6" max="6" width="12.88671875" style="2" customWidth="1"/>
    <col min="7" max="7" width="12" style="2" customWidth="1"/>
    <col min="8" max="8" width="10.5546875" style="2" customWidth="1"/>
    <col min="9" max="9" width="10.88671875" style="2" customWidth="1"/>
    <col min="10" max="10" width="17.6640625" style="2" customWidth="1"/>
    <col min="11" max="11" width="8.88671875" style="2" customWidth="1"/>
    <col min="12" max="12" width="8.44140625" style="2" customWidth="1"/>
    <col min="13" max="17" width="10" style="2" customWidth="1"/>
    <col min="18" max="23" width="14.6640625" style="2" customWidth="1"/>
    <col min="24" max="24" width="18.6640625" style="2" customWidth="1"/>
    <col min="25" max="29" width="14.6640625" style="2" customWidth="1"/>
    <col min="30" max="30" width="9.44140625" style="2" customWidth="1"/>
    <col min="31" max="32" width="9.5546875" style="2" customWidth="1"/>
    <col min="33" max="33" width="10.6640625" style="2" customWidth="1"/>
    <col min="34" max="34" width="9.88671875" style="2" customWidth="1"/>
    <col min="35" max="35" width="12.5546875" style="2" customWidth="1"/>
    <col min="36" max="36" width="11.6640625" style="2" customWidth="1"/>
    <col min="37" max="37" width="11" style="2" customWidth="1"/>
    <col min="38" max="38" width="12.44140625" style="2" customWidth="1"/>
    <col min="39" max="40" width="14.33203125" style="2" customWidth="1"/>
    <col min="41" max="41" width="15.33203125" customWidth="1"/>
    <col min="42" max="42" width="13.5546875" style="2" customWidth="1"/>
    <col min="43" max="43" width="12.44140625" style="1" customWidth="1"/>
    <col min="44" max="44" width="9.109375" style="1"/>
    <col min="45" max="16384" width="9.109375" style="2"/>
  </cols>
  <sheetData>
    <row r="1" spans="1:44" ht="80.25" customHeight="1" x14ac:dyDescent="0.3">
      <c r="A1" s="231" t="s">
        <v>59</v>
      </c>
      <c r="B1" s="74" t="s">
        <v>57</v>
      </c>
      <c r="C1" s="74" t="s">
        <v>58</v>
      </c>
      <c r="D1" s="273" t="s">
        <v>194</v>
      </c>
      <c r="E1" s="274" t="s">
        <v>24</v>
      </c>
      <c r="F1" s="74" t="s">
        <v>63</v>
      </c>
      <c r="G1" s="3" t="s">
        <v>23</v>
      </c>
      <c r="H1" s="3" t="s">
        <v>3</v>
      </c>
      <c r="I1" s="3" t="s">
        <v>307</v>
      </c>
      <c r="J1" s="3" t="s">
        <v>14</v>
      </c>
      <c r="K1" s="3" t="s">
        <v>20</v>
      </c>
      <c r="L1" s="3" t="s">
        <v>19</v>
      </c>
      <c r="M1" s="3" t="s">
        <v>53</v>
      </c>
      <c r="N1" s="3" t="s">
        <v>54</v>
      </c>
      <c r="O1" s="3" t="s">
        <v>79</v>
      </c>
      <c r="P1" s="3" t="s">
        <v>81</v>
      </c>
      <c r="Q1" s="3" t="s">
        <v>82</v>
      </c>
      <c r="R1" s="3" t="s">
        <v>84</v>
      </c>
      <c r="S1" s="3" t="s">
        <v>85</v>
      </c>
      <c r="T1" s="3" t="s">
        <v>88</v>
      </c>
      <c r="U1" s="3" t="s">
        <v>91</v>
      </c>
      <c r="V1" s="3" t="s">
        <v>140</v>
      </c>
      <c r="W1" s="3" t="s">
        <v>103</v>
      </c>
      <c r="X1" s="3" t="s">
        <v>302</v>
      </c>
      <c r="Y1" s="191" t="s">
        <v>60</v>
      </c>
      <c r="Z1" s="191" t="s">
        <v>306</v>
      </c>
      <c r="AA1" s="73" t="s">
        <v>304</v>
      </c>
      <c r="AB1" s="73" t="s">
        <v>305</v>
      </c>
      <c r="AC1" s="73" t="s">
        <v>67</v>
      </c>
      <c r="AD1" s="3" t="s">
        <v>5</v>
      </c>
      <c r="AE1" s="3" t="s">
        <v>9</v>
      </c>
      <c r="AF1" s="3" t="s">
        <v>12</v>
      </c>
      <c r="AG1" s="3" t="s">
        <v>76</v>
      </c>
      <c r="AH1" s="3" t="s">
        <v>77</v>
      </c>
      <c r="AI1" s="3" t="s">
        <v>10</v>
      </c>
      <c r="AJ1" s="3" t="s">
        <v>11</v>
      </c>
      <c r="AK1" s="3" t="s">
        <v>18</v>
      </c>
      <c r="AL1" s="3" t="s">
        <v>15</v>
      </c>
      <c r="AM1" s="3" t="s">
        <v>17</v>
      </c>
      <c r="AN1" s="3" t="s">
        <v>78</v>
      </c>
      <c r="AO1" t="s">
        <v>50</v>
      </c>
      <c r="AP1" s="1" t="s">
        <v>75</v>
      </c>
      <c r="AQ1" s="1" t="s">
        <v>80</v>
      </c>
      <c r="AR1" s="1" t="s">
        <v>90</v>
      </c>
    </row>
    <row r="2" spans="1:44" x14ac:dyDescent="0.3">
      <c r="A2" s="143" t="s">
        <v>186</v>
      </c>
      <c r="B2" s="185">
        <v>1</v>
      </c>
      <c r="C2" s="185">
        <v>1</v>
      </c>
      <c r="D2" s="275">
        <f>Table1123457913[[#This Row],[a (mm)]]/Table1123457913[[#This Row],[d (mm)]]</f>
        <v>2.5945945945945947</v>
      </c>
      <c r="E2" s="275">
        <f>277/2</f>
        <v>138.5</v>
      </c>
      <c r="F2" s="137">
        <f>Table1123457913[[#This Row],[d (mm)]]</f>
        <v>925</v>
      </c>
      <c r="G2" s="111">
        <f>E2*AD2</f>
        <v>332400</v>
      </c>
      <c r="H2" s="111">
        <f t="shared" ref="H2:H36" si="0">G2/($AQ$5*AM2*0.001)</f>
        <v>5.0484530818408127E-7</v>
      </c>
      <c r="I2" s="111">
        <f>G2/(Table1123457913[[#This Row],[b (mm)]]*Table1123457913[[#This Row],[h (mm)]]^2)</f>
        <v>1.108E-3</v>
      </c>
      <c r="J2" s="111">
        <f t="shared" ref="J2:J36" si="1">G2/(AI2*AK2*AE2*0.001)</f>
        <v>0.23281590628529403</v>
      </c>
      <c r="K2" s="111">
        <f t="shared" ref="K2:K35" si="2">E2/($AQ$4*AL2*0.001)</f>
        <v>4.9015453429556909E-7</v>
      </c>
      <c r="L2" s="111">
        <f>E2/(Table1123457913[[#This Row],[b (mm)]]*AE2)</f>
        <v>4.9909909909909907E-4</v>
      </c>
      <c r="M2" s="111">
        <f>Table1123457913[[#This Row],[M (KN.mm)]]/(Table1123457913[[#This Row],[b (mm)]]*Table1123457913[[#This Row],[d (mm)]])</f>
        <v>1.1978378378378378</v>
      </c>
      <c r="N2" s="111">
        <f>Table1123457913[[#This Row],[M (KN.mm)]]/(Table1123457913[[#This Row],[b (mm)]]*Table1123457913[[#This Row],[h (mm)]])</f>
        <v>1.1080000000000001</v>
      </c>
      <c r="O2" s="111">
        <f>Table1123457913[[#This Row],[M (KN.mm)]]/(Table1123457913[[#This Row],[b (mm)]]*Table1123457913[[#This Row],[h (mm)]]*Table1123457913[[#This Row],[L(mm)]])</f>
        <v>2.3083333333333332E-4</v>
      </c>
      <c r="P2" s="111">
        <f>Table1123457913[[#This Row],[M (KN.mm)]]/(Table1123457913[[#This Row],[b (mm)]]*Table1123457913[[#This Row],[d (mm)]]*Table1123457913[[#This Row],[L(mm)]])</f>
        <v>2.4954954954954954E-4</v>
      </c>
      <c r="Q2" s="111">
        <f>Table1123457913[[#This Row],[M (KN.mm)]]/(Table1123457913[[#This Row],[b (mm)]]*Table1123457913[[#This Row],[h (mm)]]*Table1123457913[[#This Row],[L(mm)]]*Table1123457913[[#This Row],[fc (Mpa)]])</f>
        <v>3.6067708333333332E-6</v>
      </c>
      <c r="R2" s="111">
        <f>Table1123457913[[#This Row],[M (KN.mm)]]/(Table1123457913[[#This Row],[b (mm)]]*Table1123457913[[#This Row],[h (mm)]]*Table1123457913[[#This Row],[L(mm)]]/2)</f>
        <v>4.6166666666666665E-4</v>
      </c>
      <c r="S2" s="111">
        <f>Table1123457913[[#This Row],[M (KN.mm)]]/(Table1123457913[[#This Row],[a (mm)]]*Table1123457913[[#This Row],[b (mm)]]*Table1123457913[[#This Row],[h (mm)]]*Table1123457913[[#This Row],[L(mm)]]/2)</f>
        <v>1.923611111111111E-7</v>
      </c>
      <c r="T2" s="111">
        <f>Table1123457913[[#This Row],[M (KN.mm)]]/(Table1123457913[[#This Row],[a (mm)]]^2*Table1123457913[[#This Row],[b (mm)]]*Table1123457913[[#This Row],[h (mm)]])</f>
        <v>1.923611111111111E-7</v>
      </c>
      <c r="U2" s="111">
        <f>Table1123457913[[#This Row],[M (KN.mm)]]/(Table1123457913[[#This Row],[b (mm)]]*Table1123457913[[#This Row],[d (mm)]]*Table1123457913[[#This Row],[pho (%)]])</f>
        <v>1.2222835079977936</v>
      </c>
      <c r="V2" s="111">
        <f>E2*224.8/(2*SQRT(Table1123457913[[#This Row],[fc (Mpa)]]*145.037)*Table1123457913[[#This Row],[b (mm)]]*Table1123457913[[#This Row],[d (mm)]]*(1/25.4)^2)</f>
        <v>0.3756567002706418</v>
      </c>
      <c r="W2" s="111">
        <f>Table1123457913[[#This Row],[M (KN.mm)]]/$G$7</f>
        <v>0.3923512747875354</v>
      </c>
      <c r="X2" s="111">
        <f>Table1123457913[[#This Row],[V/(2*sqrt(fc) bd)]]</f>
        <v>0.3756567002706418</v>
      </c>
      <c r="Y2" s="111">
        <f>Table1123457913[[#This Row],[a (mm)]]</f>
        <v>2400</v>
      </c>
      <c r="Z2" s="111">
        <f>Table1123457913[[#This Row],[width]]*Table1123457913[[#This Row],[h (mm)]]^2</f>
        <v>300000000</v>
      </c>
      <c r="AA2" s="111">
        <f>Table1123457913[[#This Row],[b (mm)]]</f>
        <v>300</v>
      </c>
      <c r="AB2" s="111">
        <f>Table1123457913[[#This Row],[a]]/Table1123457913[[#This Row],[h (mm)]]</f>
        <v>2.4</v>
      </c>
      <c r="AC2" s="111">
        <f>Table1123457913[[#This Row],[h (mm)]]</f>
        <v>1000</v>
      </c>
      <c r="AD2" s="111">
        <f t="shared" ref="AD2:AD7" si="3">4800/2</f>
        <v>2400</v>
      </c>
      <c r="AE2" s="111">
        <v>925</v>
      </c>
      <c r="AF2" s="111">
        <v>1000</v>
      </c>
      <c r="AG2" s="111">
        <v>300</v>
      </c>
      <c r="AH2" s="7">
        <v>64</v>
      </c>
      <c r="AI2" s="111">
        <f>Table1123457913[[#This Row],[pho (%)]]*Table1123457913[[#This Row],[b (mm)]]*Table1123457913[[#This Row],[h (mm)]]/100</f>
        <v>2940</v>
      </c>
      <c r="AJ2" s="111">
        <f t="shared" ref="AJ2:AJ36" si="4">0.76+0.22</f>
        <v>0.98</v>
      </c>
      <c r="AK2" s="111">
        <v>525</v>
      </c>
      <c r="AL2" s="111">
        <f>(1/3-0.21*(MIN(Table1123457913[[#This Row],[b (mm)]],AF2)/MAX(Table1123457913[[#This Row],[b (mm)]],AF2))*(MIN(Table1123457913[[#This Row],[b (mm)]],AF2)^4/(12*MAX(Table1123457913[[#This Row],[b (mm)]],AF2)^4)))*MAX(Table1123457913[[#This Row],[b (mm)]],AF2)*MIN(Table1123457913[[#This Row],[b (mm)]],AF2)^3</f>
        <v>8998851825</v>
      </c>
      <c r="AM2" s="111">
        <f>Table1123457913[[#This Row],[b (mm)]]*AF2^3/12</f>
        <v>25000000000</v>
      </c>
      <c r="AN2" s="111">
        <v>4800</v>
      </c>
      <c r="AP2" s="1"/>
    </row>
    <row r="3" spans="1:44" x14ac:dyDescent="0.3">
      <c r="A3" s="143" t="s">
        <v>186</v>
      </c>
      <c r="B3" s="185">
        <v>2</v>
      </c>
      <c r="C3" s="185">
        <v>2</v>
      </c>
      <c r="D3" s="275">
        <f>Table1123457913[[#This Row],[a (mm)]]/Table1123457913[[#This Row],[d (mm)]]</f>
        <v>2.5945945945945947</v>
      </c>
      <c r="E3" s="275">
        <f>402.6/2</f>
        <v>201.3</v>
      </c>
      <c r="F3" s="137">
        <f>Table1123457913[[#This Row],[d (mm)]]</f>
        <v>925</v>
      </c>
      <c r="G3" s="111">
        <f t="shared" ref="G3:G35" si="5">E3*AD3</f>
        <v>483120</v>
      </c>
      <c r="H3" s="111">
        <f t="shared" si="0"/>
        <v>7.3375711579390296E-7</v>
      </c>
      <c r="I3" s="111">
        <f>G3/(Table1123457913[[#This Row],[b (mm)]]*Table1123457913[[#This Row],[h (mm)]]^2)</f>
        <v>1.6103999999999999E-3</v>
      </c>
      <c r="J3" s="111">
        <f t="shared" si="1"/>
        <v>0.33838153021826489</v>
      </c>
      <c r="K3" s="111">
        <f t="shared" si="2"/>
        <v>7.1240511013500409E-7</v>
      </c>
      <c r="L3" s="111">
        <f>E3/(Table1123457913[[#This Row],[b (mm)]]*AE3)</f>
        <v>7.2540540540540546E-4</v>
      </c>
      <c r="M3" s="111">
        <f>Table1123457913[[#This Row],[M (KN.mm)]]/(Table1123457913[[#This Row],[b (mm)]]*Table1123457913[[#This Row],[d (mm)]])</f>
        <v>1.740972972972973</v>
      </c>
      <c r="N3" s="111">
        <f>Table1123457913[[#This Row],[M (KN.mm)]]/(Table1123457913[[#This Row],[b (mm)]]*Table1123457913[[#This Row],[h (mm)]])</f>
        <v>1.6104000000000001</v>
      </c>
      <c r="O3" s="111">
        <f>Table1123457913[[#This Row],[M (KN.mm)]]/(Table1123457913[[#This Row],[b (mm)]]*Table1123457913[[#This Row],[h (mm)]]*Table1123457913[[#This Row],[L(mm)]])</f>
        <v>3.3550000000000002E-4</v>
      </c>
      <c r="P3" s="111">
        <f>Table1123457913[[#This Row],[M (KN.mm)]]/(Table1123457913[[#This Row],[b (mm)]]*Table1123457913[[#This Row],[d (mm)]]*Table1123457913[[#This Row],[L(mm)]])</f>
        <v>3.6270270270270268E-4</v>
      </c>
      <c r="Q3" s="111">
        <f>Table1123457913[[#This Row],[M (KN.mm)]]/(Table1123457913[[#This Row],[b (mm)]]*Table1123457913[[#This Row],[h (mm)]]*Table1123457913[[#This Row],[L(mm)]]*Table1123457913[[#This Row],[fc (Mpa)]])</f>
        <v>5.2421875000000004E-6</v>
      </c>
      <c r="R3" s="111">
        <f>Table1123457913[[#This Row],[M (KN.mm)]]/(Table1123457913[[#This Row],[b (mm)]]*Table1123457913[[#This Row],[h (mm)]]*Table1123457913[[#This Row],[L(mm)]]/2)</f>
        <v>6.7100000000000005E-4</v>
      </c>
      <c r="S3" s="111">
        <f>Table1123457913[[#This Row],[M (KN.mm)]]/(Table1123457913[[#This Row],[a (mm)]]*Table1123457913[[#This Row],[b (mm)]]*Table1123457913[[#This Row],[h (mm)]]*Table1123457913[[#This Row],[L(mm)]]/2)</f>
        <v>2.7958333333333334E-7</v>
      </c>
      <c r="T3" s="111">
        <f>Table1123457913[[#This Row],[M (KN.mm)]]/(Table1123457913[[#This Row],[a (mm)]]^2*Table1123457913[[#This Row],[b (mm)]]*Table1123457913[[#This Row],[h (mm)]])</f>
        <v>2.7958333333333334E-7</v>
      </c>
      <c r="U3" s="111">
        <f>Table1123457913[[#This Row],[M (KN.mm)]]/(Table1123457913[[#This Row],[b (mm)]]*Table1123457913[[#This Row],[d (mm)]]*Table1123457913[[#This Row],[pho (%)]])</f>
        <v>1.7765030336458907</v>
      </c>
      <c r="V3" s="111">
        <f>E3*224.8/(2*SQRT(Table1123457913[[#This Row],[fc (Mpa)]]*145.037)*Table1123457913[[#This Row],[b (mm)]]*Table1123457913[[#This Row],[d (mm)]]*(1/25.4)^2)</f>
        <v>0.54599056869660789</v>
      </c>
      <c r="W3" s="111">
        <f>Table1123457913[[#This Row],[M (KN.mm)]]/$G$7</f>
        <v>0.57025495750708211</v>
      </c>
      <c r="X3" s="111">
        <f>Table1123457913[[#This Row],[V/(2*sqrt(fc) bd)]]</f>
        <v>0.54599056869660789</v>
      </c>
      <c r="Y3" s="111">
        <f>Table1123457913[[#This Row],[a (mm)]]</f>
        <v>2400</v>
      </c>
      <c r="Z3" s="111">
        <f>Table1123457913[[#This Row],[width]]*Table1123457913[[#This Row],[h (mm)]]^2</f>
        <v>300000000</v>
      </c>
      <c r="AA3" s="111">
        <f>Table1123457913[[#This Row],[b (mm)]]</f>
        <v>300</v>
      </c>
      <c r="AB3" s="111">
        <f>Table1123457913[[#This Row],[a]]/Table1123457913[[#This Row],[h (mm)]]</f>
        <v>2.4</v>
      </c>
      <c r="AC3" s="111">
        <f>Table1123457913[[#This Row],[h (mm)]]</f>
        <v>1000</v>
      </c>
      <c r="AD3" s="111">
        <f t="shared" si="3"/>
        <v>2400</v>
      </c>
      <c r="AE3" s="111">
        <v>925</v>
      </c>
      <c r="AF3" s="111">
        <v>1000</v>
      </c>
      <c r="AG3" s="111">
        <v>300</v>
      </c>
      <c r="AH3" s="7">
        <v>64</v>
      </c>
      <c r="AI3" s="111">
        <f>Table1123457913[[#This Row],[pho (%)]]*Table1123457913[[#This Row],[b (mm)]]*Table1123457913[[#This Row],[h (mm)]]/100</f>
        <v>2940</v>
      </c>
      <c r="AJ3" s="111">
        <f t="shared" si="4"/>
        <v>0.98</v>
      </c>
      <c r="AK3" s="111">
        <v>525</v>
      </c>
      <c r="AL3" s="111">
        <f>(1/3-0.21*(MIN(Table1123457913[[#This Row],[b (mm)]],AF3)/MAX(Table1123457913[[#This Row],[b (mm)]],AF3))*(MIN(Table1123457913[[#This Row],[b (mm)]],AF3)^4/(12*MAX(Table1123457913[[#This Row],[b (mm)]],AF3)^4)))*MAX(Table1123457913[[#This Row],[b (mm)]],AF3)*MIN(Table1123457913[[#This Row],[b (mm)]],AF3)^3</f>
        <v>8998851825</v>
      </c>
      <c r="AM3" s="111">
        <f>Table1123457913[[#This Row],[b (mm)]]*AF3^3/12</f>
        <v>25000000000</v>
      </c>
      <c r="AN3" s="111">
        <v>4800</v>
      </c>
      <c r="AP3" s="1"/>
    </row>
    <row r="4" spans="1:44" x14ac:dyDescent="0.3">
      <c r="A4" s="143" t="s">
        <v>186</v>
      </c>
      <c r="B4" s="185">
        <v>3</v>
      </c>
      <c r="C4" s="185">
        <v>3</v>
      </c>
      <c r="D4" s="275">
        <f>Table1123457913[[#This Row],[a (mm)]]/Table1123457913[[#This Row],[d (mm)]]</f>
        <v>2.5945945945945947</v>
      </c>
      <c r="E4" s="275">
        <f>507/2</f>
        <v>253.5</v>
      </c>
      <c r="F4" s="137">
        <f>Table1123457913[[#This Row],[d (mm)]]</f>
        <v>925</v>
      </c>
      <c r="G4" s="111">
        <f t="shared" si="5"/>
        <v>608400</v>
      </c>
      <c r="H4" s="111">
        <f t="shared" si="0"/>
        <v>9.2403094313837265E-7</v>
      </c>
      <c r="I4" s="111">
        <f>G4/(Table1123457913[[#This Row],[b (mm)]]*Table1123457913[[#This Row],[h (mm)]]^2)</f>
        <v>2.0279999999999999E-3</v>
      </c>
      <c r="J4" s="111">
        <f t="shared" si="1"/>
        <v>0.4261287526593649</v>
      </c>
      <c r="K4" s="111">
        <f t="shared" si="2"/>
        <v>8.9714205374676366E-7</v>
      </c>
      <c r="L4" s="111">
        <f>E4/(Table1123457913[[#This Row],[b (mm)]]*AE4)</f>
        <v>9.1351351351351352E-4</v>
      </c>
      <c r="M4" s="111">
        <f>Table1123457913[[#This Row],[M (KN.mm)]]/(Table1123457913[[#This Row],[b (mm)]]*Table1123457913[[#This Row],[d (mm)]])</f>
        <v>2.1924324324324322</v>
      </c>
      <c r="N4" s="111">
        <f>Table1123457913[[#This Row],[M (KN.mm)]]/(Table1123457913[[#This Row],[b (mm)]]*Table1123457913[[#This Row],[h (mm)]])</f>
        <v>2.028</v>
      </c>
      <c r="O4" s="111">
        <f>Table1123457913[[#This Row],[M (KN.mm)]]/(Table1123457913[[#This Row],[b (mm)]]*Table1123457913[[#This Row],[h (mm)]]*Table1123457913[[#This Row],[L(mm)]])</f>
        <v>4.2250000000000002E-4</v>
      </c>
      <c r="P4" s="111">
        <f>Table1123457913[[#This Row],[M (KN.mm)]]/(Table1123457913[[#This Row],[b (mm)]]*Table1123457913[[#This Row],[d (mm)]]*Table1123457913[[#This Row],[L(mm)]])</f>
        <v>4.5675675675675676E-4</v>
      </c>
      <c r="Q4" s="111">
        <f>Table1123457913[[#This Row],[M (KN.mm)]]/(Table1123457913[[#This Row],[b (mm)]]*Table1123457913[[#This Row],[h (mm)]]*Table1123457913[[#This Row],[L(mm)]]*Table1123457913[[#This Row],[fc (Mpa)]])</f>
        <v>6.6015625000000004E-6</v>
      </c>
      <c r="R4" s="111">
        <f>Table1123457913[[#This Row],[M (KN.mm)]]/(Table1123457913[[#This Row],[b (mm)]]*Table1123457913[[#This Row],[h (mm)]]*Table1123457913[[#This Row],[L(mm)]]/2)</f>
        <v>8.4500000000000005E-4</v>
      </c>
      <c r="S4" s="111">
        <f>Table1123457913[[#This Row],[M (KN.mm)]]/(Table1123457913[[#This Row],[a (mm)]]*Table1123457913[[#This Row],[b (mm)]]*Table1123457913[[#This Row],[h (mm)]]*Table1123457913[[#This Row],[L(mm)]]/2)</f>
        <v>3.5208333333333333E-7</v>
      </c>
      <c r="T4" s="111">
        <f>Table1123457913[[#This Row],[M (KN.mm)]]/(Table1123457913[[#This Row],[a (mm)]]^2*Table1123457913[[#This Row],[b (mm)]]*Table1123457913[[#This Row],[h (mm)]])</f>
        <v>3.5208333333333333E-7</v>
      </c>
      <c r="U4" s="111">
        <f>Table1123457913[[#This Row],[M (KN.mm)]]/(Table1123457913[[#This Row],[b (mm)]]*Table1123457913[[#This Row],[d (mm)]]*Table1123457913[[#This Row],[pho (%)]])</f>
        <v>2.2371759514616656</v>
      </c>
      <c r="V4" s="111">
        <f>E4*224.8/(2*SQRT(Table1123457913[[#This Row],[fc (Mpa)]]*145.037)*Table1123457913[[#This Row],[b (mm)]]*Table1123457913[[#This Row],[d (mm)]]*(1/25.4)^2)</f>
        <v>0.68757381601882805</v>
      </c>
      <c r="W4" s="111">
        <f>Table1123457913[[#This Row],[M (KN.mm)]]/$G$7</f>
        <v>0.71813031161473084</v>
      </c>
      <c r="X4" s="111">
        <f>Table1123457913[[#This Row],[V/(2*sqrt(fc) bd)]]</f>
        <v>0.68757381601882805</v>
      </c>
      <c r="Y4" s="111">
        <f>Table1123457913[[#This Row],[a (mm)]]</f>
        <v>2400</v>
      </c>
      <c r="Z4" s="111">
        <f>Table1123457913[[#This Row],[width]]*Table1123457913[[#This Row],[h (mm)]]^2</f>
        <v>300000000</v>
      </c>
      <c r="AA4" s="111">
        <f>Table1123457913[[#This Row],[b (mm)]]</f>
        <v>300</v>
      </c>
      <c r="AB4" s="111">
        <f>Table1123457913[[#This Row],[a]]/Table1123457913[[#This Row],[h (mm)]]</f>
        <v>2.4</v>
      </c>
      <c r="AC4" s="111">
        <f>Table1123457913[[#This Row],[h (mm)]]</f>
        <v>1000</v>
      </c>
      <c r="AD4" s="111">
        <f t="shared" si="3"/>
        <v>2400</v>
      </c>
      <c r="AE4" s="111">
        <v>925</v>
      </c>
      <c r="AF4" s="111">
        <v>1000</v>
      </c>
      <c r="AG4" s="111">
        <v>300</v>
      </c>
      <c r="AH4" s="7">
        <v>64</v>
      </c>
      <c r="AI4" s="111">
        <f>Table1123457913[[#This Row],[pho (%)]]*Table1123457913[[#This Row],[b (mm)]]*Table1123457913[[#This Row],[h (mm)]]/100</f>
        <v>2940</v>
      </c>
      <c r="AJ4" s="111">
        <f t="shared" si="4"/>
        <v>0.98</v>
      </c>
      <c r="AK4" s="111">
        <v>525</v>
      </c>
      <c r="AL4" s="111">
        <f>(1/3-0.21*(MIN(Table1123457913[[#This Row],[b (mm)]],AF4)/MAX(Table1123457913[[#This Row],[b (mm)]],AF4))*(MIN(Table1123457913[[#This Row],[b (mm)]],AF4)^4/(12*MAX(Table1123457913[[#This Row],[b (mm)]],AF4)^4)))*MAX(Table1123457913[[#This Row],[b (mm)]],AF4)*MIN(Table1123457913[[#This Row],[b (mm)]],AF4)^3</f>
        <v>8998851825</v>
      </c>
      <c r="AM4" s="111">
        <f>Table1123457913[[#This Row],[b (mm)]]*AF4^3/12</f>
        <v>25000000000</v>
      </c>
      <c r="AN4" s="111">
        <v>4800</v>
      </c>
      <c r="AP4" s="126" t="s">
        <v>7</v>
      </c>
      <c r="AQ4" s="107">
        <v>31.4</v>
      </c>
    </row>
    <row r="5" spans="1:44" x14ac:dyDescent="0.3">
      <c r="A5" s="143" t="s">
        <v>186</v>
      </c>
      <c r="B5" s="185">
        <v>4</v>
      </c>
      <c r="C5" s="185">
        <v>4</v>
      </c>
      <c r="D5" s="275">
        <f>Table1123457913[[#This Row],[a (mm)]]/Table1123457913[[#This Row],[d (mm)]]</f>
        <v>2.5945945945945947</v>
      </c>
      <c r="E5" s="275">
        <f>597/2</f>
        <v>298.5</v>
      </c>
      <c r="F5" s="137">
        <f>Table1123457913[[#This Row],[d (mm)]]</f>
        <v>925</v>
      </c>
      <c r="G5" s="111">
        <f t="shared" si="5"/>
        <v>716400</v>
      </c>
      <c r="H5" s="111">
        <f t="shared" si="0"/>
        <v>1.0880601046422258E-6</v>
      </c>
      <c r="I5" s="111">
        <f>G5/(Table1123457913[[#This Row],[b (mm)]]*Table1123457913[[#This Row],[h (mm)]]^2)</f>
        <v>2.3879999999999999E-3</v>
      </c>
      <c r="J5" s="111">
        <f t="shared" si="1"/>
        <v>0.50177290993617529</v>
      </c>
      <c r="K5" s="111">
        <f t="shared" si="2"/>
        <v>1.0563980396189701E-6</v>
      </c>
      <c r="L5" s="111">
        <f>E5/(Table1123457913[[#This Row],[b (mm)]]*AE5)</f>
        <v>1.0756756756756757E-3</v>
      </c>
      <c r="M5" s="111">
        <f>Table1123457913[[#This Row],[M (KN.mm)]]/(Table1123457913[[#This Row],[b (mm)]]*Table1123457913[[#This Row],[d (mm)]])</f>
        <v>2.5816216216216215</v>
      </c>
      <c r="N5" s="111">
        <f>Table1123457913[[#This Row],[M (KN.mm)]]/(Table1123457913[[#This Row],[b (mm)]]*Table1123457913[[#This Row],[h (mm)]])</f>
        <v>2.3879999999999999</v>
      </c>
      <c r="O5" s="111">
        <f>Table1123457913[[#This Row],[M (KN.mm)]]/(Table1123457913[[#This Row],[b (mm)]]*Table1123457913[[#This Row],[h (mm)]]*Table1123457913[[#This Row],[L(mm)]])</f>
        <v>4.975E-4</v>
      </c>
      <c r="P5" s="111">
        <f>Table1123457913[[#This Row],[M (KN.mm)]]/(Table1123457913[[#This Row],[b (mm)]]*Table1123457913[[#This Row],[d (mm)]]*Table1123457913[[#This Row],[L(mm)]])</f>
        <v>5.3783783783783784E-4</v>
      </c>
      <c r="Q5" s="111">
        <f>Table1123457913[[#This Row],[M (KN.mm)]]/(Table1123457913[[#This Row],[b (mm)]]*Table1123457913[[#This Row],[h (mm)]]*Table1123457913[[#This Row],[L(mm)]]*Table1123457913[[#This Row],[fc (Mpa)]])</f>
        <v>7.7734375000000001E-6</v>
      </c>
      <c r="R5" s="111">
        <f>Table1123457913[[#This Row],[M (KN.mm)]]/(Table1123457913[[#This Row],[b (mm)]]*Table1123457913[[#This Row],[h (mm)]]*Table1123457913[[#This Row],[L(mm)]]/2)</f>
        <v>9.9500000000000001E-4</v>
      </c>
      <c r="S5" s="111">
        <f>Table1123457913[[#This Row],[M (KN.mm)]]/(Table1123457913[[#This Row],[a (mm)]]*Table1123457913[[#This Row],[b (mm)]]*Table1123457913[[#This Row],[h (mm)]]*Table1123457913[[#This Row],[L(mm)]]/2)</f>
        <v>4.1458333333333332E-7</v>
      </c>
      <c r="T5" s="111">
        <f>Table1123457913[[#This Row],[M (KN.mm)]]/(Table1123457913[[#This Row],[a (mm)]]^2*Table1123457913[[#This Row],[b (mm)]]*Table1123457913[[#This Row],[h (mm)]])</f>
        <v>4.1458333333333332E-7</v>
      </c>
      <c r="U5" s="111">
        <f>Table1123457913[[#This Row],[M (KN.mm)]]/(Table1123457913[[#This Row],[b (mm)]]*Table1123457913[[#This Row],[d (mm)]]*Table1123457913[[#This Row],[pho (%)]])</f>
        <v>2.6343077771649202</v>
      </c>
      <c r="V5" s="111">
        <f>E5*224.8/(2*SQRT(Table1123457913[[#This Row],[fc (Mpa)]]*145.037)*Table1123457913[[#This Row],[b (mm)]]*Table1123457913[[#This Row],[d (mm)]]*(1/25.4)^2)</f>
        <v>0.80962833957246616</v>
      </c>
      <c r="W5" s="111">
        <f>Table1123457913[[#This Row],[M (KN.mm)]]/$G$7</f>
        <v>0.84560906515580736</v>
      </c>
      <c r="X5" s="111">
        <f>Table1123457913[[#This Row],[V/(2*sqrt(fc) bd)]]</f>
        <v>0.80962833957246616</v>
      </c>
      <c r="Y5" s="111">
        <f>Table1123457913[[#This Row],[a (mm)]]</f>
        <v>2400</v>
      </c>
      <c r="Z5" s="111">
        <f>Table1123457913[[#This Row],[width]]*Table1123457913[[#This Row],[h (mm)]]^2</f>
        <v>300000000</v>
      </c>
      <c r="AA5" s="111">
        <f>Table1123457913[[#This Row],[b (mm)]]</f>
        <v>300</v>
      </c>
      <c r="AB5" s="111">
        <f>Table1123457913[[#This Row],[a]]/Table1123457913[[#This Row],[h (mm)]]</f>
        <v>2.4</v>
      </c>
      <c r="AC5" s="111">
        <f>Table1123457913[[#This Row],[h (mm)]]</f>
        <v>1000</v>
      </c>
      <c r="AD5" s="111">
        <f t="shared" si="3"/>
        <v>2400</v>
      </c>
      <c r="AE5" s="111">
        <v>925</v>
      </c>
      <c r="AF5" s="111">
        <v>1000</v>
      </c>
      <c r="AG5" s="111">
        <v>300</v>
      </c>
      <c r="AH5" s="7">
        <v>64</v>
      </c>
      <c r="AI5" s="111">
        <f>Table1123457913[[#This Row],[pho (%)]]*Table1123457913[[#This Row],[b (mm)]]*Table1123457913[[#This Row],[h (mm)]]/100</f>
        <v>2940</v>
      </c>
      <c r="AJ5" s="111">
        <f t="shared" si="4"/>
        <v>0.98</v>
      </c>
      <c r="AK5" s="111">
        <v>525</v>
      </c>
      <c r="AL5" s="111">
        <f>(1/3-0.21*(MIN(Table1123457913[[#This Row],[b (mm)]],AF5)/MAX(Table1123457913[[#This Row],[b (mm)]],AF5))*(MIN(Table1123457913[[#This Row],[b (mm)]],AF5)^4/(12*MAX(Table1123457913[[#This Row],[b (mm)]],AF5)^4)))*MAX(Table1123457913[[#This Row],[b (mm)]],AF5)*MIN(Table1123457913[[#This Row],[b (mm)]],AF5)^3</f>
        <v>8998851825</v>
      </c>
      <c r="AM5" s="111">
        <f>Table1123457913[[#This Row],[b (mm)]]*AF5^3/12</f>
        <v>25000000000</v>
      </c>
      <c r="AN5" s="111">
        <v>4800</v>
      </c>
      <c r="AP5" s="126" t="s">
        <v>8</v>
      </c>
      <c r="AQ5" s="107">
        <f>4700*SQRT(AQ4)</f>
        <v>26336.780365109171</v>
      </c>
    </row>
    <row r="6" spans="1:44" x14ac:dyDescent="0.3">
      <c r="A6" s="143" t="s">
        <v>186</v>
      </c>
      <c r="B6" s="185">
        <v>5</v>
      </c>
      <c r="C6" s="185">
        <v>5</v>
      </c>
      <c r="D6" s="275">
        <f>Table1123457913[[#This Row],[a (mm)]]/Table1123457913[[#This Row],[d (mm)]]</f>
        <v>2.5945945945945947</v>
      </c>
      <c r="E6" s="275">
        <f>678/2</f>
        <v>339</v>
      </c>
      <c r="F6" s="137">
        <f>Table1123457913[[#This Row],[d (mm)]]</f>
        <v>925</v>
      </c>
      <c r="G6" s="111">
        <f t="shared" si="5"/>
        <v>813600</v>
      </c>
      <c r="H6" s="111">
        <f t="shared" si="0"/>
        <v>1.2356863499956936E-6</v>
      </c>
      <c r="I6" s="111">
        <f>G6/(Table1123457913[[#This Row],[b (mm)]]*Table1123457913[[#This Row],[h (mm)]]^2)</f>
        <v>2.712E-3</v>
      </c>
      <c r="J6" s="111">
        <f t="shared" si="1"/>
        <v>0.56985265148530451</v>
      </c>
      <c r="K6" s="111">
        <f t="shared" si="2"/>
        <v>1.199728426903956E-6</v>
      </c>
      <c r="L6" s="111">
        <f>E6/(Table1123457913[[#This Row],[b (mm)]]*AE6)</f>
        <v>1.2216216216216216E-3</v>
      </c>
      <c r="M6" s="111">
        <f>Table1123457913[[#This Row],[M (KN.mm)]]/(Table1123457913[[#This Row],[b (mm)]]*Table1123457913[[#This Row],[d (mm)]])</f>
        <v>2.9318918918918917</v>
      </c>
      <c r="N6" s="111">
        <f>Table1123457913[[#This Row],[M (KN.mm)]]/(Table1123457913[[#This Row],[b (mm)]]*Table1123457913[[#This Row],[h (mm)]])</f>
        <v>2.7120000000000002</v>
      </c>
      <c r="O6" s="111">
        <f>Table1123457913[[#This Row],[M (KN.mm)]]/(Table1123457913[[#This Row],[b (mm)]]*Table1123457913[[#This Row],[h (mm)]]*Table1123457913[[#This Row],[L(mm)]])</f>
        <v>5.6499999999999996E-4</v>
      </c>
      <c r="P6" s="111">
        <f>Table1123457913[[#This Row],[M (KN.mm)]]/(Table1123457913[[#This Row],[b (mm)]]*Table1123457913[[#This Row],[d (mm)]]*Table1123457913[[#This Row],[L(mm)]])</f>
        <v>6.1081081081081079E-4</v>
      </c>
      <c r="Q6" s="111">
        <f>Table1123457913[[#This Row],[M (KN.mm)]]/(Table1123457913[[#This Row],[b (mm)]]*Table1123457913[[#This Row],[h (mm)]]*Table1123457913[[#This Row],[L(mm)]]*Table1123457913[[#This Row],[fc (Mpa)]])</f>
        <v>8.8281249999999994E-6</v>
      </c>
      <c r="R6" s="111">
        <f>Table1123457913[[#This Row],[M (KN.mm)]]/(Table1123457913[[#This Row],[b (mm)]]*Table1123457913[[#This Row],[h (mm)]]*Table1123457913[[#This Row],[L(mm)]]/2)</f>
        <v>1.1299999999999999E-3</v>
      </c>
      <c r="S6" s="111">
        <f>Table1123457913[[#This Row],[M (KN.mm)]]/(Table1123457913[[#This Row],[a (mm)]]*Table1123457913[[#This Row],[b (mm)]]*Table1123457913[[#This Row],[h (mm)]]*Table1123457913[[#This Row],[L(mm)]]/2)</f>
        <v>4.7083333333333331E-7</v>
      </c>
      <c r="T6" s="111">
        <f>Table1123457913[[#This Row],[M (KN.mm)]]/(Table1123457913[[#This Row],[a (mm)]]^2*Table1123457913[[#This Row],[b (mm)]]*Table1123457913[[#This Row],[h (mm)]])</f>
        <v>4.7083333333333331E-7</v>
      </c>
      <c r="U6" s="111">
        <f>Table1123457913[[#This Row],[M (KN.mm)]]/(Table1123457913[[#This Row],[b (mm)]]*Table1123457913[[#This Row],[d (mm)]]*Table1123457913[[#This Row],[pho (%)]])</f>
        <v>2.9917264202978489</v>
      </c>
      <c r="V6" s="111">
        <f>E6*224.8/(2*SQRT(Table1123457913[[#This Row],[fc (Mpa)]]*145.037)*Table1123457913[[#This Row],[b (mm)]]*Table1123457913[[#This Row],[d (mm)]]*(1/25.4)^2)</f>
        <v>0.91947741077074041</v>
      </c>
      <c r="W6" s="111">
        <f>Table1123457913[[#This Row],[M (KN.mm)]]/$G$7</f>
        <v>0.96033994334277617</v>
      </c>
      <c r="X6" s="111">
        <f>Table1123457913[[#This Row],[V/(2*sqrt(fc) bd)]]</f>
        <v>0.91947741077074041</v>
      </c>
      <c r="Y6" s="111">
        <f>Table1123457913[[#This Row],[a (mm)]]</f>
        <v>2400</v>
      </c>
      <c r="Z6" s="111">
        <f>Table1123457913[[#This Row],[width]]*Table1123457913[[#This Row],[h (mm)]]^2</f>
        <v>300000000</v>
      </c>
      <c r="AA6" s="111">
        <f>Table1123457913[[#This Row],[b (mm)]]</f>
        <v>300</v>
      </c>
      <c r="AB6" s="111">
        <f>Table1123457913[[#This Row],[a]]/Table1123457913[[#This Row],[h (mm)]]</f>
        <v>2.4</v>
      </c>
      <c r="AC6" s="111">
        <f>Table1123457913[[#This Row],[h (mm)]]</f>
        <v>1000</v>
      </c>
      <c r="AD6" s="111">
        <f t="shared" si="3"/>
        <v>2400</v>
      </c>
      <c r="AE6" s="111">
        <v>925</v>
      </c>
      <c r="AF6" s="111">
        <v>1000</v>
      </c>
      <c r="AG6" s="111">
        <v>300</v>
      </c>
      <c r="AH6" s="7">
        <v>64</v>
      </c>
      <c r="AI6" s="111">
        <f>Table1123457913[[#This Row],[pho (%)]]*Table1123457913[[#This Row],[b (mm)]]*Table1123457913[[#This Row],[h (mm)]]/100</f>
        <v>2940</v>
      </c>
      <c r="AJ6" s="111">
        <f t="shared" si="4"/>
        <v>0.98</v>
      </c>
      <c r="AK6" s="111">
        <v>525</v>
      </c>
      <c r="AL6" s="111">
        <f>(1/3-0.21*(MIN(Table1123457913[[#This Row],[b (mm)]],AF6)/MAX(Table1123457913[[#This Row],[b (mm)]],AF6))*(MIN(Table1123457913[[#This Row],[b (mm)]],AF6)^4/(12*MAX(Table1123457913[[#This Row],[b (mm)]],AF6)^4)))*MAX(Table1123457913[[#This Row],[b (mm)]],AF6)*MIN(Table1123457913[[#This Row],[b (mm)]],AF6)^3</f>
        <v>8998851825</v>
      </c>
      <c r="AM6" s="111">
        <f>Table1123457913[[#This Row],[b (mm)]]*AF6^3/12</f>
        <v>25000000000</v>
      </c>
      <c r="AN6" s="111">
        <v>4800</v>
      </c>
      <c r="AP6" s="126" t="s">
        <v>16</v>
      </c>
      <c r="AQ6" s="107">
        <f>AQ5/(2*(1+0.15))</f>
        <v>11450.774071786596</v>
      </c>
    </row>
    <row r="7" spans="1:44" x14ac:dyDescent="0.3">
      <c r="A7" s="143" t="s">
        <v>186</v>
      </c>
      <c r="B7" s="185" t="s">
        <v>142</v>
      </c>
      <c r="C7" s="185">
        <v>6</v>
      </c>
      <c r="D7" s="275">
        <f>Table1123457913[[#This Row],[a (mm)]]/Table1123457913[[#This Row],[d (mm)]]</f>
        <v>2.5945945945945947</v>
      </c>
      <c r="E7" s="275">
        <f>706/2</f>
        <v>353</v>
      </c>
      <c r="F7" s="137">
        <f>Table1123457913[[#This Row],[d (mm)]]</f>
        <v>925</v>
      </c>
      <c r="G7" s="111">
        <f t="shared" si="5"/>
        <v>847200</v>
      </c>
      <c r="H7" s="111">
        <f t="shared" si="0"/>
        <v>1.2867176446857811E-6</v>
      </c>
      <c r="I7" s="111">
        <f>G7/(Table1123457913[[#This Row],[b (mm)]]*Table1123457913[[#This Row],[h (mm)]]^2)</f>
        <v>2.8240000000000001E-3</v>
      </c>
      <c r="J7" s="111">
        <f t="shared" si="1"/>
        <v>0.59338638930475662</v>
      </c>
      <c r="K7" s="111">
        <f t="shared" si="2"/>
        <v>1.2492747336197537E-6</v>
      </c>
      <c r="L7" s="111">
        <f>E7/(Table1123457913[[#This Row],[b (mm)]]*AE7)</f>
        <v>1.272072072072072E-3</v>
      </c>
      <c r="M7" s="111">
        <f>Table1123457913[[#This Row],[M (KN.mm)]]/(Table1123457913[[#This Row],[b (mm)]]*Table1123457913[[#This Row],[d (mm)]])</f>
        <v>3.0529729729729729</v>
      </c>
      <c r="N7" s="111">
        <f>Table1123457913[[#This Row],[M (KN.mm)]]/(Table1123457913[[#This Row],[b (mm)]]*Table1123457913[[#This Row],[h (mm)]])</f>
        <v>2.8239999999999998</v>
      </c>
      <c r="O7" s="111">
        <f>Table1123457913[[#This Row],[M (KN.mm)]]/(Table1123457913[[#This Row],[b (mm)]]*Table1123457913[[#This Row],[h (mm)]]*Table1123457913[[#This Row],[L(mm)]])</f>
        <v>5.8833333333333329E-4</v>
      </c>
      <c r="P7" s="111">
        <f>Table1123457913[[#This Row],[M (KN.mm)]]/(Table1123457913[[#This Row],[b (mm)]]*Table1123457913[[#This Row],[d (mm)]]*Table1123457913[[#This Row],[L(mm)]])</f>
        <v>6.3603603603603601E-4</v>
      </c>
      <c r="Q7" s="111">
        <f>Table1123457913[[#This Row],[M (KN.mm)]]/(Table1123457913[[#This Row],[b (mm)]]*Table1123457913[[#This Row],[h (mm)]]*Table1123457913[[#This Row],[L(mm)]]*Table1123457913[[#This Row],[fc (Mpa)]])</f>
        <v>9.1927083333333326E-6</v>
      </c>
      <c r="R7" s="111">
        <f>Table1123457913[[#This Row],[M (KN.mm)]]/(Table1123457913[[#This Row],[b (mm)]]*Table1123457913[[#This Row],[h (mm)]]*Table1123457913[[#This Row],[L(mm)]]/2)</f>
        <v>1.1766666666666666E-3</v>
      </c>
      <c r="S7" s="111">
        <f>Table1123457913[[#This Row],[M (KN.mm)]]/(Table1123457913[[#This Row],[a (mm)]]*Table1123457913[[#This Row],[b (mm)]]*Table1123457913[[#This Row],[h (mm)]]*Table1123457913[[#This Row],[L(mm)]]/2)</f>
        <v>4.9027777777777779E-7</v>
      </c>
      <c r="T7" s="111">
        <f>Table1123457913[[#This Row],[M (KN.mm)]]/(Table1123457913[[#This Row],[a (mm)]]^2*Table1123457913[[#This Row],[b (mm)]]*Table1123457913[[#This Row],[h (mm)]])</f>
        <v>4.9027777777777779E-7</v>
      </c>
      <c r="U7" s="111">
        <f>Table1123457913[[#This Row],[M (KN.mm)]]/(Table1123457913[[#This Row],[b (mm)]]*Table1123457913[[#This Row],[d (mm)]]*Table1123457913[[#This Row],[pho (%)]])</f>
        <v>3.1152785438499726</v>
      </c>
      <c r="V7" s="111">
        <f>E7*224.8/(2*SQRT(Table1123457913[[#This Row],[fc (Mpa)]]*145.037)*Table1123457913[[#This Row],[b (mm)]]*Table1123457913[[#This Row],[d (mm)]]*(1/25.4)^2)</f>
        <v>0.95744992920965011</v>
      </c>
      <c r="W7" s="111">
        <f>Table1123457913[[#This Row],[M (KN.mm)]]/$G$7</f>
        <v>1</v>
      </c>
      <c r="X7" s="111">
        <f>Table1123457913[[#This Row],[V/(2*sqrt(fc) bd)]]</f>
        <v>0.95744992920965011</v>
      </c>
      <c r="Y7" s="111">
        <f>Table1123457913[[#This Row],[a (mm)]]</f>
        <v>2400</v>
      </c>
      <c r="Z7" s="111">
        <f>Table1123457913[[#This Row],[width]]*Table1123457913[[#This Row],[h (mm)]]^2</f>
        <v>300000000</v>
      </c>
      <c r="AA7" s="111">
        <f>Table1123457913[[#This Row],[b (mm)]]</f>
        <v>300</v>
      </c>
      <c r="AB7" s="111">
        <f>Table1123457913[[#This Row],[a]]/Table1123457913[[#This Row],[h (mm)]]</f>
        <v>2.4</v>
      </c>
      <c r="AC7" s="111">
        <f>Table1123457913[[#This Row],[h (mm)]]</f>
        <v>1000</v>
      </c>
      <c r="AD7" s="111">
        <f t="shared" si="3"/>
        <v>2400</v>
      </c>
      <c r="AE7" s="111">
        <v>925</v>
      </c>
      <c r="AF7" s="111">
        <v>1000</v>
      </c>
      <c r="AG7" s="111">
        <v>300</v>
      </c>
      <c r="AH7" s="7">
        <v>64</v>
      </c>
      <c r="AI7" s="111">
        <f>Table1123457913[[#This Row],[pho (%)]]*Table1123457913[[#This Row],[b (mm)]]*Table1123457913[[#This Row],[h (mm)]]/100</f>
        <v>2940</v>
      </c>
      <c r="AJ7" s="111">
        <f t="shared" si="4"/>
        <v>0.98</v>
      </c>
      <c r="AK7" s="111">
        <v>525</v>
      </c>
      <c r="AL7" s="111">
        <f>(1/3-0.21*(MIN(Table1123457913[[#This Row],[b (mm)]],AF7)/MAX(Table1123457913[[#This Row],[b (mm)]],AF7))*(MIN(Table1123457913[[#This Row],[b (mm)]],AF7)^4/(12*MAX(Table1123457913[[#This Row],[b (mm)]],AF7)^4)))*MAX(Table1123457913[[#This Row],[b (mm)]],AF7)*MIN(Table1123457913[[#This Row],[b (mm)]],AF7)^3</f>
        <v>8998851825</v>
      </c>
      <c r="AM7" s="111">
        <f>Table1123457913[[#This Row],[b (mm)]]*AF7^3/12</f>
        <v>25000000000</v>
      </c>
      <c r="AN7" s="111">
        <v>4800</v>
      </c>
      <c r="AP7" s="107"/>
    </row>
    <row r="8" spans="1:44" x14ac:dyDescent="0.3">
      <c r="A8" s="276" t="s">
        <v>187</v>
      </c>
      <c r="B8" s="277">
        <v>1</v>
      </c>
      <c r="C8" s="277">
        <v>7</v>
      </c>
      <c r="D8" s="275">
        <f>Table1123457913[[#This Row],[a (mm)]]/Table1123457913[[#This Row],[d (mm)]]</f>
        <v>1.9459459459459461</v>
      </c>
      <c r="E8" s="278">
        <f>340.5/2</f>
        <v>170.25</v>
      </c>
      <c r="F8" s="137">
        <f>Table1123457913[[#This Row],[d (mm)]]</f>
        <v>925</v>
      </c>
      <c r="G8" s="111">
        <f t="shared" si="5"/>
        <v>306450</v>
      </c>
      <c r="H8" s="111">
        <f t="shared" si="0"/>
        <v>4.6543274576718327E-7</v>
      </c>
      <c r="I8" s="111">
        <f>G8/(Table1123457913[[#This Row],[b (mm)]]*Table1123457913[[#This Row],[h (mm)]]^2)</f>
        <v>1.0215000000000001E-3</v>
      </c>
      <c r="J8" s="111">
        <f t="shared" si="1"/>
        <v>0.21464029627294934</v>
      </c>
      <c r="K8" s="111">
        <f t="shared" si="2"/>
        <v>6.0251847988318152E-7</v>
      </c>
      <c r="L8" s="111">
        <f>E8/(Table1123457913[[#This Row],[b (mm)]]*AE8)</f>
        <v>6.135135135135135E-4</v>
      </c>
      <c r="M8" s="111">
        <f>Table1123457913[[#This Row],[M (KN.mm)]]/(Table1123457913[[#This Row],[b (mm)]]*Table1123457913[[#This Row],[d (mm)]])</f>
        <v>1.1043243243243244</v>
      </c>
      <c r="N8" s="111">
        <f>Table1123457913[[#This Row],[M (KN.mm)]]/(Table1123457913[[#This Row],[b (mm)]]*Table1123457913[[#This Row],[h (mm)]])</f>
        <v>1.0215000000000001</v>
      </c>
      <c r="O8" s="111">
        <f>Table1123457913[[#This Row],[M (KN.mm)]]/(Table1123457913[[#This Row],[b (mm)]]*Table1123457913[[#This Row],[h (mm)]]*Table1123457913[[#This Row],[L(mm)]])</f>
        <v>2.8374999999999999E-4</v>
      </c>
      <c r="P8" s="111">
        <f>Table1123457913[[#This Row],[M (KN.mm)]]/(Table1123457913[[#This Row],[b (mm)]]*Table1123457913[[#This Row],[d (mm)]]*Table1123457913[[#This Row],[L(mm)]])</f>
        <v>3.0675675675675675E-4</v>
      </c>
      <c r="Q8" s="111">
        <f>Table1123457913[[#This Row],[M (KN.mm)]]/(Table1123457913[[#This Row],[b (mm)]]*Table1123457913[[#This Row],[h (mm)]]*Table1123457913[[#This Row],[L(mm)]]*Table1123457913[[#This Row],[fc (Mpa)]])</f>
        <v>7.2756410256410255E-6</v>
      </c>
      <c r="R8" s="111">
        <f>Table1123457913[[#This Row],[M (KN.mm)]]/(Table1123457913[[#This Row],[b (mm)]]*Table1123457913[[#This Row],[h (mm)]]*Table1123457913[[#This Row],[L(mm)]]/2)</f>
        <v>5.6749999999999997E-4</v>
      </c>
      <c r="S8" s="111">
        <f>Table1123457913[[#This Row],[M (KN.mm)]]/(Table1123457913[[#This Row],[a (mm)]]*Table1123457913[[#This Row],[b (mm)]]*Table1123457913[[#This Row],[h (mm)]]*Table1123457913[[#This Row],[L(mm)]]/2)</f>
        <v>3.1527777777777777E-7</v>
      </c>
      <c r="T8" s="111">
        <f>Table1123457913[[#This Row],[M (KN.mm)]]/(Table1123457913[[#This Row],[a (mm)]]^2*Table1123457913[[#This Row],[b (mm)]]*Table1123457913[[#This Row],[h (mm)]])</f>
        <v>3.1527777777777777E-7</v>
      </c>
      <c r="U8" s="111">
        <f>Table1123457913[[#This Row],[M (KN.mm)]]/(Table1123457913[[#This Row],[b (mm)]]*Table1123457913[[#This Row],[d (mm)]]*Table1123457913[[#This Row],[pho (%)]])</f>
        <v>1.1268615554329839</v>
      </c>
      <c r="V8" s="111">
        <f>E8*224.8/(2*SQRT(Table1123457913[[#This Row],[fc (Mpa)]]*145.037)*Table1123457913[[#This Row],[b (mm)]]*Table1123457913[[#This Row],[d (mm)]]*(1/25.4)^2)</f>
        <v>0.59154279641149543</v>
      </c>
      <c r="W8" s="111">
        <f>Table1123457913[[#This Row],[M (KN.mm)]]/$G$12</f>
        <v>0.21833921128566849</v>
      </c>
      <c r="X8" s="111">
        <f>Table1123457913[[#This Row],[V/(2*sqrt(fc) bd)]]</f>
        <v>0.59154279641149543</v>
      </c>
      <c r="Y8" s="111">
        <f>Table1123457913[[#This Row],[a (mm)]]</f>
        <v>1800</v>
      </c>
      <c r="Z8" s="111">
        <f>Table1123457913[[#This Row],[width]]*Table1123457913[[#This Row],[h (mm)]]^2</f>
        <v>300000000</v>
      </c>
      <c r="AA8" s="111">
        <f>Table1123457913[[#This Row],[b (mm)]]</f>
        <v>300</v>
      </c>
      <c r="AB8" s="111">
        <f>Table1123457913[[#This Row],[a]]/Table1123457913[[#This Row],[h (mm)]]</f>
        <v>1.8</v>
      </c>
      <c r="AC8" s="111">
        <f>Table1123457913[[#This Row],[h (mm)]]</f>
        <v>1000</v>
      </c>
      <c r="AD8" s="111">
        <v>1800</v>
      </c>
      <c r="AE8" s="111">
        <v>925</v>
      </c>
      <c r="AF8" s="111">
        <v>1000</v>
      </c>
      <c r="AG8" s="111">
        <v>300</v>
      </c>
      <c r="AH8" s="7">
        <v>39</v>
      </c>
      <c r="AI8" s="111">
        <f>Table1123457913[[#This Row],[pho (%)]]*Table1123457913[[#This Row],[b (mm)]]*Table1123457913[[#This Row],[h (mm)]]/100</f>
        <v>2940</v>
      </c>
      <c r="AJ8" s="111">
        <f t="shared" si="4"/>
        <v>0.98</v>
      </c>
      <c r="AK8" s="111">
        <v>525</v>
      </c>
      <c r="AL8" s="111">
        <f>(1/3-0.21*(MIN(Table1123457913[[#This Row],[b (mm)]],AF8)/MAX(Table1123457913[[#This Row],[b (mm)]],AF8))*(MIN(Table1123457913[[#This Row],[b (mm)]],AF8)^4/(12*MAX(Table1123457913[[#This Row],[b (mm)]],AF8)^4)))*MAX(Table1123457913[[#This Row],[b (mm)]],AF8)*MIN(Table1123457913[[#This Row],[b (mm)]],AF8)^3</f>
        <v>8998851825</v>
      </c>
      <c r="AM8" s="111">
        <f>Table1123457913[[#This Row],[b (mm)]]*AF8^3/12</f>
        <v>25000000000</v>
      </c>
      <c r="AN8" s="111">
        <v>3600</v>
      </c>
      <c r="AP8" s="107"/>
    </row>
    <row r="9" spans="1:44" x14ac:dyDescent="0.3">
      <c r="A9" s="276" t="s">
        <v>187</v>
      </c>
      <c r="B9" s="277">
        <v>2</v>
      </c>
      <c r="C9" s="277">
        <v>8</v>
      </c>
      <c r="D9" s="275">
        <f>Table1123457913[[#This Row],[a (mm)]]/Table1123457913[[#This Row],[d (mm)]]</f>
        <v>1.9459459459459461</v>
      </c>
      <c r="E9" s="278">
        <f>678.5/2</f>
        <v>339.25</v>
      </c>
      <c r="F9" s="137">
        <f>Table1123457913[[#This Row],[d (mm)]]</f>
        <v>925</v>
      </c>
      <c r="G9" s="111">
        <f t="shared" si="5"/>
        <v>610650</v>
      </c>
      <c r="H9" s="111">
        <f t="shared" si="0"/>
        <v>9.274482173363696E-7</v>
      </c>
      <c r="I9" s="111">
        <f>G9/(Table1123457913[[#This Row],[b (mm)]]*Table1123457913[[#This Row],[h (mm)]]^2)</f>
        <v>2.0355E-3</v>
      </c>
      <c r="J9" s="111">
        <f t="shared" si="1"/>
        <v>0.42770467260263179</v>
      </c>
      <c r="K9" s="111">
        <f t="shared" si="2"/>
        <v>1.200613182381024E-6</v>
      </c>
      <c r="L9" s="111">
        <f>E9/(Table1123457913[[#This Row],[b (mm)]]*AE9)</f>
        <v>1.2225225225225226E-3</v>
      </c>
      <c r="M9" s="111">
        <f>Table1123457913[[#This Row],[M (KN.mm)]]/(Table1123457913[[#This Row],[b (mm)]]*Table1123457913[[#This Row],[d (mm)]])</f>
        <v>2.2005405405405405</v>
      </c>
      <c r="N9" s="111">
        <f>Table1123457913[[#This Row],[M (KN.mm)]]/(Table1123457913[[#This Row],[b (mm)]]*Table1123457913[[#This Row],[h (mm)]])</f>
        <v>2.0354999999999999</v>
      </c>
      <c r="O9" s="111">
        <f>Table1123457913[[#This Row],[M (KN.mm)]]/(Table1123457913[[#This Row],[b (mm)]]*Table1123457913[[#This Row],[h (mm)]]*Table1123457913[[#This Row],[L(mm)]])</f>
        <v>5.6541666666666665E-4</v>
      </c>
      <c r="P9" s="111">
        <f>Table1123457913[[#This Row],[M (KN.mm)]]/(Table1123457913[[#This Row],[b (mm)]]*Table1123457913[[#This Row],[d (mm)]]*Table1123457913[[#This Row],[L(mm)]])</f>
        <v>6.1126126126126131E-4</v>
      </c>
      <c r="Q9" s="111">
        <f>Table1123457913[[#This Row],[M (KN.mm)]]/(Table1123457913[[#This Row],[b (mm)]]*Table1123457913[[#This Row],[h (mm)]]*Table1123457913[[#This Row],[L(mm)]]*Table1123457913[[#This Row],[fc (Mpa)]])</f>
        <v>1.4497863247863248E-5</v>
      </c>
      <c r="R9" s="111">
        <f>Table1123457913[[#This Row],[M (KN.mm)]]/(Table1123457913[[#This Row],[b (mm)]]*Table1123457913[[#This Row],[h (mm)]]*Table1123457913[[#This Row],[L(mm)]]/2)</f>
        <v>1.1308333333333333E-3</v>
      </c>
      <c r="S9" s="111">
        <f>Table1123457913[[#This Row],[M (KN.mm)]]/(Table1123457913[[#This Row],[a (mm)]]*Table1123457913[[#This Row],[b (mm)]]*Table1123457913[[#This Row],[h (mm)]]*Table1123457913[[#This Row],[L(mm)]]/2)</f>
        <v>6.2824074074074075E-7</v>
      </c>
      <c r="T9" s="111">
        <f>Table1123457913[[#This Row],[M (KN.mm)]]/(Table1123457913[[#This Row],[a (mm)]]^2*Table1123457913[[#This Row],[b (mm)]]*Table1123457913[[#This Row],[h (mm)]])</f>
        <v>6.2824074074074075E-7</v>
      </c>
      <c r="U9" s="111">
        <f>Table1123457913[[#This Row],[M (KN.mm)]]/(Table1123457913[[#This Row],[b (mm)]]*Table1123457913[[#This Row],[d (mm)]]*Table1123457913[[#This Row],[pho (%)]])</f>
        <v>2.2454495311638167</v>
      </c>
      <c r="V9" s="111">
        <f>E9*224.8/(2*SQRT(Table1123457913[[#This Row],[fc (Mpa)]]*145.037)*Table1123457913[[#This Row],[b (mm)]]*Table1123457913[[#This Row],[d (mm)]]*(1/25.4)^2)</f>
        <v>1.1787424004851679</v>
      </c>
      <c r="W9" s="111">
        <f>Table1123457913[[#This Row],[M (KN.mm)]]/$G$12</f>
        <v>0.43507534466175057</v>
      </c>
      <c r="X9" s="111">
        <f>Table1123457913[[#This Row],[V/(2*sqrt(fc) bd)]]</f>
        <v>1.1787424004851679</v>
      </c>
      <c r="Y9" s="111">
        <f>Table1123457913[[#This Row],[a (mm)]]</f>
        <v>1800</v>
      </c>
      <c r="Z9" s="111">
        <f>Table1123457913[[#This Row],[width]]*Table1123457913[[#This Row],[h (mm)]]^2</f>
        <v>300000000</v>
      </c>
      <c r="AA9" s="111">
        <f>Table1123457913[[#This Row],[b (mm)]]</f>
        <v>300</v>
      </c>
      <c r="AB9" s="111">
        <f>Table1123457913[[#This Row],[a]]/Table1123457913[[#This Row],[h (mm)]]</f>
        <v>1.8</v>
      </c>
      <c r="AC9" s="111">
        <f>Table1123457913[[#This Row],[h (mm)]]</f>
        <v>1000</v>
      </c>
      <c r="AD9" s="111">
        <v>1800</v>
      </c>
      <c r="AE9" s="111">
        <v>925</v>
      </c>
      <c r="AF9" s="111">
        <v>1000</v>
      </c>
      <c r="AG9" s="111">
        <v>300</v>
      </c>
      <c r="AH9" s="7">
        <v>39</v>
      </c>
      <c r="AI9" s="111">
        <f>Table1123457913[[#This Row],[pho (%)]]*Table1123457913[[#This Row],[b (mm)]]*Table1123457913[[#This Row],[h (mm)]]/100</f>
        <v>2940</v>
      </c>
      <c r="AJ9" s="111">
        <f t="shared" si="4"/>
        <v>0.98</v>
      </c>
      <c r="AK9" s="111">
        <v>525</v>
      </c>
      <c r="AL9" s="111">
        <f>(1/3-0.21*(MIN(Table1123457913[[#This Row],[b (mm)]],AF9)/MAX(Table1123457913[[#This Row],[b (mm)]],AF9))*(MIN(Table1123457913[[#This Row],[b (mm)]],AF9)^4/(12*MAX(Table1123457913[[#This Row],[b (mm)]],AF9)^4)))*MAX(Table1123457913[[#This Row],[b (mm)]],AF9)*MIN(Table1123457913[[#This Row],[b (mm)]],AF9)^3</f>
        <v>8998851825</v>
      </c>
      <c r="AM9" s="111">
        <f>Table1123457913[[#This Row],[b (mm)]]*AF9^3/12</f>
        <v>25000000000</v>
      </c>
      <c r="AN9" s="111">
        <v>3600</v>
      </c>
      <c r="AP9" s="107"/>
    </row>
    <row r="10" spans="1:44" ht="12.75" customHeight="1" x14ac:dyDescent="0.3">
      <c r="A10" s="276" t="s">
        <v>187</v>
      </c>
      <c r="B10" s="277">
        <v>3</v>
      </c>
      <c r="C10" s="277">
        <v>9</v>
      </c>
      <c r="D10" s="275">
        <f>Table1123457913[[#This Row],[a (mm)]]/Table1123457913[[#This Row],[d (mm)]]</f>
        <v>1.9459459459459461</v>
      </c>
      <c r="E10" s="278">
        <f>889/2</f>
        <v>444.5</v>
      </c>
      <c r="F10" s="137">
        <f>Table1123457913[[#This Row],[d (mm)]]</f>
        <v>925</v>
      </c>
      <c r="G10" s="111">
        <f t="shared" si="5"/>
        <v>800100</v>
      </c>
      <c r="H10" s="111">
        <f t="shared" si="0"/>
        <v>1.215182704807712E-6</v>
      </c>
      <c r="I10" s="111">
        <f>G10/(Table1123457913[[#This Row],[b (mm)]]*Table1123457913[[#This Row],[h (mm)]]^2)</f>
        <v>2.6670000000000001E-3</v>
      </c>
      <c r="J10" s="111">
        <f t="shared" si="1"/>
        <v>0.56039713182570328</v>
      </c>
      <c r="K10" s="111">
        <f t="shared" si="2"/>
        <v>1.5730952382265736E-6</v>
      </c>
      <c r="L10" s="111">
        <f>E10/(Table1123457913[[#This Row],[b (mm)]]*AE10)</f>
        <v>1.6018018018018017E-3</v>
      </c>
      <c r="M10" s="111">
        <f>Table1123457913[[#This Row],[M (KN.mm)]]/(Table1123457913[[#This Row],[b (mm)]]*Table1123457913[[#This Row],[d (mm)]])</f>
        <v>2.8832432432432431</v>
      </c>
      <c r="N10" s="111">
        <f>Table1123457913[[#This Row],[M (KN.mm)]]/(Table1123457913[[#This Row],[b (mm)]]*Table1123457913[[#This Row],[h (mm)]])</f>
        <v>2.6669999999999998</v>
      </c>
      <c r="O10" s="111">
        <f>Table1123457913[[#This Row],[M (KN.mm)]]/(Table1123457913[[#This Row],[b (mm)]]*Table1123457913[[#This Row],[h (mm)]]*Table1123457913[[#This Row],[L(mm)]])</f>
        <v>7.4083333333333336E-4</v>
      </c>
      <c r="P10" s="111">
        <f>Table1123457913[[#This Row],[M (KN.mm)]]/(Table1123457913[[#This Row],[b (mm)]]*Table1123457913[[#This Row],[d (mm)]]*Table1123457913[[#This Row],[L(mm)]])</f>
        <v>8.0090090090090087E-4</v>
      </c>
      <c r="Q10" s="111">
        <f>Table1123457913[[#This Row],[M (KN.mm)]]/(Table1123457913[[#This Row],[b (mm)]]*Table1123457913[[#This Row],[h (mm)]]*Table1123457913[[#This Row],[L(mm)]]*Table1123457913[[#This Row],[fc (Mpa)]])</f>
        <v>1.8995726495726496E-5</v>
      </c>
      <c r="R10" s="111">
        <f>Table1123457913[[#This Row],[M (KN.mm)]]/(Table1123457913[[#This Row],[b (mm)]]*Table1123457913[[#This Row],[h (mm)]]*Table1123457913[[#This Row],[L(mm)]]/2)</f>
        <v>1.4816666666666667E-3</v>
      </c>
      <c r="S10" s="111">
        <f>Table1123457913[[#This Row],[M (KN.mm)]]/(Table1123457913[[#This Row],[a (mm)]]*Table1123457913[[#This Row],[b (mm)]]*Table1123457913[[#This Row],[h (mm)]]*Table1123457913[[#This Row],[L(mm)]]/2)</f>
        <v>8.2314814814814814E-7</v>
      </c>
      <c r="T10" s="111">
        <f>Table1123457913[[#This Row],[M (KN.mm)]]/(Table1123457913[[#This Row],[a (mm)]]^2*Table1123457913[[#This Row],[b (mm)]]*Table1123457913[[#This Row],[h (mm)]])</f>
        <v>8.2314814814814814E-7</v>
      </c>
      <c r="U10" s="111">
        <f>Table1123457913[[#This Row],[M (KN.mm)]]/(Table1123457913[[#This Row],[b (mm)]]*Table1123457913[[#This Row],[d (mm)]]*Table1123457913[[#This Row],[pho (%)]])</f>
        <v>2.942084942084942</v>
      </c>
      <c r="V10" s="111">
        <f>E10*224.8/(2*SQRT(Table1123457913[[#This Row],[fc (Mpa)]]*145.037)*Table1123457913[[#This Row],[b (mm)]]*Table1123457913[[#This Row],[d (mm)]]*(1/25.4)^2)</f>
        <v>1.5444391953298662</v>
      </c>
      <c r="W10" s="111">
        <f>Table1123457913[[#This Row],[M (KN.mm)]]/$G$12</f>
        <v>0.57005450464892593</v>
      </c>
      <c r="X10" s="111">
        <f>Table1123457913[[#This Row],[V/(2*sqrt(fc) bd)]]</f>
        <v>1.5444391953298662</v>
      </c>
      <c r="Y10" s="111">
        <f>Table1123457913[[#This Row],[a (mm)]]</f>
        <v>1800</v>
      </c>
      <c r="Z10" s="111">
        <f>Table1123457913[[#This Row],[width]]*Table1123457913[[#This Row],[h (mm)]]^2</f>
        <v>300000000</v>
      </c>
      <c r="AA10" s="111">
        <f>Table1123457913[[#This Row],[b (mm)]]</f>
        <v>300</v>
      </c>
      <c r="AB10" s="111">
        <f>Table1123457913[[#This Row],[a]]/Table1123457913[[#This Row],[h (mm)]]</f>
        <v>1.8</v>
      </c>
      <c r="AC10" s="111">
        <f>Table1123457913[[#This Row],[h (mm)]]</f>
        <v>1000</v>
      </c>
      <c r="AD10" s="111">
        <v>1800</v>
      </c>
      <c r="AE10" s="111">
        <v>925</v>
      </c>
      <c r="AF10" s="111">
        <v>1000</v>
      </c>
      <c r="AG10" s="111">
        <v>300</v>
      </c>
      <c r="AH10" s="7">
        <v>39</v>
      </c>
      <c r="AI10" s="111">
        <f>Table1123457913[[#This Row],[pho (%)]]*Table1123457913[[#This Row],[b (mm)]]*Table1123457913[[#This Row],[h (mm)]]/100</f>
        <v>2940</v>
      </c>
      <c r="AJ10" s="111">
        <f t="shared" si="4"/>
        <v>0.98</v>
      </c>
      <c r="AK10" s="111">
        <v>525</v>
      </c>
      <c r="AL10" s="111">
        <f>(1/3-0.21*(MIN(Table1123457913[[#This Row],[b (mm)]],AF10)/MAX(Table1123457913[[#This Row],[b (mm)]],AF10))*(MIN(Table1123457913[[#This Row],[b (mm)]],AF10)^4/(12*MAX(Table1123457913[[#This Row],[b (mm)]],AF10)^4)))*MAX(Table1123457913[[#This Row],[b (mm)]],AF10)*MIN(Table1123457913[[#This Row],[b (mm)]],AF10)^3</f>
        <v>8998851825</v>
      </c>
      <c r="AM10" s="111">
        <f>Table1123457913[[#This Row],[b (mm)]]*AF10^3/12</f>
        <v>25000000000</v>
      </c>
      <c r="AN10" s="111">
        <v>3600</v>
      </c>
      <c r="AP10" s="107"/>
    </row>
    <row r="11" spans="1:44" x14ac:dyDescent="0.3">
      <c r="A11" s="276" t="s">
        <v>187</v>
      </c>
      <c r="B11" s="277">
        <v>4</v>
      </c>
      <c r="C11" s="277">
        <v>10</v>
      </c>
      <c r="D11" s="275">
        <f>Table1123457913[[#This Row],[a (mm)]]/Table1123457913[[#This Row],[d (mm)]]</f>
        <v>1.9459459459459461</v>
      </c>
      <c r="E11" s="278">
        <f>1202/2</f>
        <v>601</v>
      </c>
      <c r="F11" s="137">
        <f>Table1123457913[[#This Row],[d (mm)]]</f>
        <v>925</v>
      </c>
      <c r="G11" s="111">
        <f t="shared" si="5"/>
        <v>1081800</v>
      </c>
      <c r="H11" s="111">
        <f t="shared" si="0"/>
        <v>1.6430254343969289E-6</v>
      </c>
      <c r="I11" s="111">
        <f>G11/(Table1123457913[[#This Row],[b (mm)]]*Table1123457913[[#This Row],[h (mm)]]^2)</f>
        <v>3.6059999999999998E-3</v>
      </c>
      <c r="J11" s="111">
        <f t="shared" si="1"/>
        <v>0.75770230872271693</v>
      </c>
      <c r="K11" s="111">
        <f t="shared" si="2"/>
        <v>2.1269521668710252E-6</v>
      </c>
      <c r="L11" s="111">
        <f>E11/(Table1123457913[[#This Row],[b (mm)]]*AE11)</f>
        <v>2.165765765765766E-3</v>
      </c>
      <c r="M11" s="111">
        <f>Table1123457913[[#This Row],[M (KN.mm)]]/(Table1123457913[[#This Row],[b (mm)]]*Table1123457913[[#This Row],[d (mm)]])</f>
        <v>3.8983783783783785</v>
      </c>
      <c r="N11" s="111">
        <f>Table1123457913[[#This Row],[M (KN.mm)]]/(Table1123457913[[#This Row],[b (mm)]]*Table1123457913[[#This Row],[h (mm)]])</f>
        <v>3.6059999999999999</v>
      </c>
      <c r="O11" s="111">
        <f>Table1123457913[[#This Row],[M (KN.mm)]]/(Table1123457913[[#This Row],[b (mm)]]*Table1123457913[[#This Row],[h (mm)]]*Table1123457913[[#This Row],[L(mm)]])</f>
        <v>1.0016666666666668E-3</v>
      </c>
      <c r="P11" s="111">
        <f>Table1123457913[[#This Row],[M (KN.mm)]]/(Table1123457913[[#This Row],[b (mm)]]*Table1123457913[[#This Row],[d (mm)]]*Table1123457913[[#This Row],[L(mm)]])</f>
        <v>1.082882882882883E-3</v>
      </c>
      <c r="Q11" s="111">
        <f>Table1123457913[[#This Row],[M (KN.mm)]]/(Table1123457913[[#This Row],[b (mm)]]*Table1123457913[[#This Row],[h (mm)]]*Table1123457913[[#This Row],[L(mm)]]*Table1123457913[[#This Row],[fc (Mpa)]])</f>
        <v>2.5683760683760682E-5</v>
      </c>
      <c r="R11" s="111">
        <f>Table1123457913[[#This Row],[M (KN.mm)]]/(Table1123457913[[#This Row],[b (mm)]]*Table1123457913[[#This Row],[h (mm)]]*Table1123457913[[#This Row],[L(mm)]]/2)</f>
        <v>2.0033333333333335E-3</v>
      </c>
      <c r="S11" s="111">
        <f>Table1123457913[[#This Row],[M (KN.mm)]]/(Table1123457913[[#This Row],[a (mm)]]*Table1123457913[[#This Row],[b (mm)]]*Table1123457913[[#This Row],[h (mm)]]*Table1123457913[[#This Row],[L(mm)]]/2)</f>
        <v>1.112962962962963E-6</v>
      </c>
      <c r="T11" s="111">
        <f>Table1123457913[[#This Row],[M (KN.mm)]]/(Table1123457913[[#This Row],[a (mm)]]^2*Table1123457913[[#This Row],[b (mm)]]*Table1123457913[[#This Row],[h (mm)]])</f>
        <v>1.112962962962963E-6</v>
      </c>
      <c r="U11" s="111">
        <f>Table1123457913[[#This Row],[M (KN.mm)]]/(Table1123457913[[#This Row],[b (mm)]]*Table1123457913[[#This Row],[d (mm)]]*Table1123457913[[#This Row],[pho (%)]])</f>
        <v>3.9779371207942638</v>
      </c>
      <c r="V11" s="111">
        <f>E11*224.8/(2*SQRT(Table1123457913[[#This Row],[fc (Mpa)]]*145.037)*Table1123457913[[#This Row],[b (mm)]]*Table1123457913[[#This Row],[d (mm)]]*(1/25.4)^2)</f>
        <v>2.0882068760253087</v>
      </c>
      <c r="W11" s="111">
        <f>Table1123457913[[#This Row],[M (KN.mm)]]/$G$12</f>
        <v>0.770759858929144</v>
      </c>
      <c r="X11" s="111">
        <f>Table1123457913[[#This Row],[V/(2*sqrt(fc) bd)]]</f>
        <v>2.0882068760253087</v>
      </c>
      <c r="Y11" s="111">
        <f>Table1123457913[[#This Row],[a (mm)]]</f>
        <v>1800</v>
      </c>
      <c r="Z11" s="111">
        <f>Table1123457913[[#This Row],[width]]*Table1123457913[[#This Row],[h (mm)]]^2</f>
        <v>300000000</v>
      </c>
      <c r="AA11" s="111">
        <f>Table1123457913[[#This Row],[b (mm)]]</f>
        <v>300</v>
      </c>
      <c r="AB11" s="111">
        <f>Table1123457913[[#This Row],[a]]/Table1123457913[[#This Row],[h (mm)]]</f>
        <v>1.8</v>
      </c>
      <c r="AC11" s="111">
        <f>Table1123457913[[#This Row],[h (mm)]]</f>
        <v>1000</v>
      </c>
      <c r="AD11" s="111">
        <v>1800</v>
      </c>
      <c r="AE11" s="111">
        <v>925</v>
      </c>
      <c r="AF11" s="111">
        <v>1000</v>
      </c>
      <c r="AG11" s="111">
        <v>300</v>
      </c>
      <c r="AH11" s="7">
        <v>39</v>
      </c>
      <c r="AI11" s="111">
        <f>Table1123457913[[#This Row],[pho (%)]]*Table1123457913[[#This Row],[b (mm)]]*Table1123457913[[#This Row],[h (mm)]]/100</f>
        <v>2940</v>
      </c>
      <c r="AJ11" s="111">
        <f t="shared" si="4"/>
        <v>0.98</v>
      </c>
      <c r="AK11" s="111">
        <v>525</v>
      </c>
      <c r="AL11" s="111">
        <f>(1/3-0.21*(MIN(Table1123457913[[#This Row],[b (mm)]],AF11)/MAX(Table1123457913[[#This Row],[b (mm)]],AF11))*(MIN(Table1123457913[[#This Row],[b (mm)]],AF11)^4/(12*MAX(Table1123457913[[#This Row],[b (mm)]],AF11)^4)))*MAX(Table1123457913[[#This Row],[b (mm)]],AF11)*MIN(Table1123457913[[#This Row],[b (mm)]],AF11)^3</f>
        <v>8998851825</v>
      </c>
      <c r="AM11" s="111">
        <f>Table1123457913[[#This Row],[b (mm)]]*AF11^3/12</f>
        <v>25000000000</v>
      </c>
      <c r="AN11" s="111">
        <v>3600</v>
      </c>
      <c r="AP11" s="107"/>
    </row>
    <row r="12" spans="1:44" ht="17.25" customHeight="1" x14ac:dyDescent="0.3">
      <c r="A12" s="276" t="s">
        <v>187</v>
      </c>
      <c r="B12" s="277" t="s">
        <v>142</v>
      </c>
      <c r="C12" s="277">
        <v>11</v>
      </c>
      <c r="D12" s="275">
        <f>Table1123457913[[#This Row],[a (mm)]]/Table1123457913[[#This Row],[d (mm)]]</f>
        <v>1.9459459459459461</v>
      </c>
      <c r="E12" s="278">
        <f>1559.5/2</f>
        <v>779.75</v>
      </c>
      <c r="F12" s="137">
        <f>Table1123457913[[#This Row],[d (mm)]]</f>
        <v>925</v>
      </c>
      <c r="G12" s="111">
        <f t="shared" si="5"/>
        <v>1403550</v>
      </c>
      <c r="H12" s="111">
        <f t="shared" si="0"/>
        <v>2.1316956447104914E-6</v>
      </c>
      <c r="I12" s="111">
        <f>G12/(Table1123457913[[#This Row],[b (mm)]]*Table1123457913[[#This Row],[h (mm)]]^2)</f>
        <v>4.6785000000000004E-3</v>
      </c>
      <c r="J12" s="111">
        <f t="shared" si="1"/>
        <v>0.98305886060988101</v>
      </c>
      <c r="K12" s="111">
        <f t="shared" si="2"/>
        <v>2.7595523329745124E-6</v>
      </c>
      <c r="L12" s="111">
        <f>E12/(Table1123457913[[#This Row],[b (mm)]]*AE12)</f>
        <v>2.8099099099099098E-3</v>
      </c>
      <c r="M12" s="111">
        <f>Table1123457913[[#This Row],[M (KN.mm)]]/(Table1123457913[[#This Row],[b (mm)]]*Table1123457913[[#This Row],[d (mm)]])</f>
        <v>5.0578378378378375</v>
      </c>
      <c r="N12" s="111">
        <f>Table1123457913[[#This Row],[M (KN.mm)]]/(Table1123457913[[#This Row],[b (mm)]]*Table1123457913[[#This Row],[h (mm)]])</f>
        <v>4.6784999999999997</v>
      </c>
      <c r="O12" s="111">
        <f>Table1123457913[[#This Row],[M (KN.mm)]]/(Table1123457913[[#This Row],[b (mm)]]*Table1123457913[[#This Row],[h (mm)]]*Table1123457913[[#This Row],[L(mm)]])</f>
        <v>1.2995833333333334E-3</v>
      </c>
      <c r="P12" s="111">
        <f>Table1123457913[[#This Row],[M (KN.mm)]]/(Table1123457913[[#This Row],[b (mm)]]*Table1123457913[[#This Row],[d (mm)]]*Table1123457913[[#This Row],[L(mm)]])</f>
        <v>1.4049549549549549E-3</v>
      </c>
      <c r="Q12" s="111">
        <f>Table1123457913[[#This Row],[M (KN.mm)]]/(Table1123457913[[#This Row],[b (mm)]]*Table1123457913[[#This Row],[h (mm)]]*Table1123457913[[#This Row],[L(mm)]]*Table1123457913[[#This Row],[fc (Mpa)]])</f>
        <v>3.3322649572649573E-5</v>
      </c>
      <c r="R12" s="111">
        <f>Table1123457913[[#This Row],[M (KN.mm)]]/(Table1123457913[[#This Row],[b (mm)]]*Table1123457913[[#This Row],[h (mm)]]*Table1123457913[[#This Row],[L(mm)]]/2)</f>
        <v>2.5991666666666667E-3</v>
      </c>
      <c r="S12" s="111">
        <f>Table1123457913[[#This Row],[M (KN.mm)]]/(Table1123457913[[#This Row],[a (mm)]]*Table1123457913[[#This Row],[b (mm)]]*Table1123457913[[#This Row],[h (mm)]]*Table1123457913[[#This Row],[L(mm)]]/2)</f>
        <v>1.4439814814814814E-6</v>
      </c>
      <c r="T12" s="111">
        <f>Table1123457913[[#This Row],[M (KN.mm)]]/(Table1123457913[[#This Row],[a (mm)]]^2*Table1123457913[[#This Row],[b (mm)]]*Table1123457913[[#This Row],[h (mm)]])</f>
        <v>1.4439814814814814E-6</v>
      </c>
      <c r="U12" s="111">
        <f>Table1123457913[[#This Row],[M (KN.mm)]]/(Table1123457913[[#This Row],[b (mm)]]*Table1123457913[[#This Row],[d (mm)]]*Table1123457913[[#This Row],[pho (%)]])</f>
        <v>5.1610590182018754</v>
      </c>
      <c r="V12" s="111">
        <f>E12*224.8/(2*SQRT(Table1123457913[[#This Row],[fc (Mpa)]]*145.037)*Table1123457913[[#This Row],[b (mm)]]*Table1123457913[[#This Row],[d (mm)]]*(1/25.4)^2)</f>
        <v>2.7092833803340004</v>
      </c>
      <c r="W12" s="111">
        <f>Table1123457913[[#This Row],[M (KN.mm)]]/$G$12</f>
        <v>1</v>
      </c>
      <c r="X12" s="111">
        <f>Table1123457913[[#This Row],[V/(2*sqrt(fc) bd)]]</f>
        <v>2.7092833803340004</v>
      </c>
      <c r="Y12" s="111">
        <f>Table1123457913[[#This Row],[a (mm)]]</f>
        <v>1800</v>
      </c>
      <c r="Z12" s="111">
        <f>Table1123457913[[#This Row],[width]]*Table1123457913[[#This Row],[h (mm)]]^2</f>
        <v>300000000</v>
      </c>
      <c r="AA12" s="111">
        <f>Table1123457913[[#This Row],[b (mm)]]</f>
        <v>300</v>
      </c>
      <c r="AB12" s="111">
        <f>Table1123457913[[#This Row],[a]]/Table1123457913[[#This Row],[h (mm)]]</f>
        <v>1.8</v>
      </c>
      <c r="AC12" s="111">
        <f>Table1123457913[[#This Row],[h (mm)]]</f>
        <v>1000</v>
      </c>
      <c r="AD12" s="111">
        <v>1800</v>
      </c>
      <c r="AE12" s="111">
        <v>925</v>
      </c>
      <c r="AF12" s="111">
        <v>1000</v>
      </c>
      <c r="AG12" s="111">
        <v>300</v>
      </c>
      <c r="AH12" s="7">
        <v>39</v>
      </c>
      <c r="AI12" s="111">
        <f>Table1123457913[[#This Row],[pho (%)]]*Table1123457913[[#This Row],[b (mm)]]*Table1123457913[[#This Row],[h (mm)]]/100</f>
        <v>2940</v>
      </c>
      <c r="AJ12" s="111">
        <f t="shared" si="4"/>
        <v>0.98</v>
      </c>
      <c r="AK12" s="111">
        <v>525</v>
      </c>
      <c r="AL12" s="111">
        <f>(1/3-0.21*(MIN(Table1123457913[[#This Row],[b (mm)]],AF12)/MAX(Table1123457913[[#This Row],[b (mm)]],AF12))*(MIN(Table1123457913[[#This Row],[b (mm)]],AF12)^4/(12*MAX(Table1123457913[[#This Row],[b (mm)]],AF12)^4)))*MAX(Table1123457913[[#This Row],[b (mm)]],AF12)*MIN(Table1123457913[[#This Row],[b (mm)]],AF12)^3</f>
        <v>8998851825</v>
      </c>
      <c r="AM12" s="111">
        <f>Table1123457913[[#This Row],[b (mm)]]*AF12^3/12</f>
        <v>25000000000</v>
      </c>
      <c r="AN12" s="111">
        <v>3600</v>
      </c>
      <c r="AP12" s="107"/>
    </row>
    <row r="13" spans="1:44" s="129" customFormat="1" x14ac:dyDescent="0.3">
      <c r="A13" s="164" t="s">
        <v>189</v>
      </c>
      <c r="B13" s="281">
        <v>1</v>
      </c>
      <c r="C13" s="281">
        <v>19</v>
      </c>
      <c r="D13" s="275">
        <f>Table1123457913[[#This Row],[a (mm)]]/Table1123457913[[#This Row],[d (mm)]]</f>
        <v>1.6216216216216217</v>
      </c>
      <c r="E13" s="282">
        <f>467/2</f>
        <v>233.5</v>
      </c>
      <c r="F13" s="137">
        <f>Table1123457913[[#This Row],[d (mm)]]</f>
        <v>925</v>
      </c>
      <c r="G13" s="111">
        <f t="shared" si="5"/>
        <v>350250</v>
      </c>
      <c r="H13" s="111">
        <f t="shared" si="0"/>
        <v>5.3195568348819031E-7</v>
      </c>
      <c r="I13" s="111">
        <f>G13/(Table1123457913[[#This Row],[b (mm)]]*Table1123457913[[#This Row],[h (mm)]]^2)</f>
        <v>1.1674999999999999E-3</v>
      </c>
      <c r="J13" s="111">
        <f t="shared" si="1"/>
        <v>0.24531820450187797</v>
      </c>
      <c r="K13" s="111">
        <f t="shared" si="2"/>
        <v>8.2636161558133844E-7</v>
      </c>
      <c r="L13" s="111">
        <f>E13/(Table1123457913[[#This Row],[b (mm)]]*AE13)</f>
        <v>8.4144144144144141E-4</v>
      </c>
      <c r="M13" s="111">
        <f>Table1123457913[[#This Row],[M (KN.mm)]]/(Table1123457913[[#This Row],[b (mm)]]*Table1123457913[[#This Row],[d (mm)]])</f>
        <v>1.2621621621621621</v>
      </c>
      <c r="N13" s="111">
        <f>Table1123457913[[#This Row],[M (KN.mm)]]/(Table1123457913[[#This Row],[b (mm)]]*Table1123457913[[#This Row],[h (mm)]])</f>
        <v>1.1675</v>
      </c>
      <c r="O13" s="111">
        <f>Table1123457913[[#This Row],[M (KN.mm)]]/(Table1123457913[[#This Row],[b (mm)]]*Table1123457913[[#This Row],[h (mm)]]*Table1123457913[[#This Row],[L(mm)]])</f>
        <v>3.8916666666666668E-4</v>
      </c>
      <c r="P13" s="111">
        <f>Table1123457913[[#This Row],[M (KN.mm)]]/(Table1123457913[[#This Row],[b (mm)]]*Table1123457913[[#This Row],[d (mm)]]*Table1123457913[[#This Row],[L(mm)]])</f>
        <v>4.207207207207207E-4</v>
      </c>
      <c r="Q13" s="111">
        <f>Table1123457913[[#This Row],[M (KN.mm)]]/(Table1123457913[[#This Row],[b (mm)]]*Table1123457913[[#This Row],[h (mm)]]*Table1123457913[[#This Row],[L(mm)]]*Table1123457913[[#This Row],[fc (Mpa)]])</f>
        <v>9.9786324786324794E-6</v>
      </c>
      <c r="R13" s="111">
        <f>Table1123457913[[#This Row],[M (KN.mm)]]/(Table1123457913[[#This Row],[b (mm)]]*Table1123457913[[#This Row],[h (mm)]]*Table1123457913[[#This Row],[L(mm)]]/2)</f>
        <v>7.7833333333333335E-4</v>
      </c>
      <c r="S13" s="111">
        <f>Table1123457913[[#This Row],[M (KN.mm)]]/(Table1123457913[[#This Row],[a (mm)]]*Table1123457913[[#This Row],[b (mm)]]*Table1123457913[[#This Row],[h (mm)]]*Table1123457913[[#This Row],[L(mm)]]/2)</f>
        <v>5.1888888888888892E-7</v>
      </c>
      <c r="T13" s="111">
        <f>Table1123457913[[#This Row],[M (KN.mm)]]/(Table1123457913[[#This Row],[a (mm)]]^2*Table1123457913[[#This Row],[b (mm)]]*Table1123457913[[#This Row],[h (mm)]])</f>
        <v>5.1888888888888892E-7</v>
      </c>
      <c r="U13" s="111">
        <f>Table1123457913[[#This Row],[M (KN.mm)]]/(Table1123457913[[#This Row],[b (mm)]]*Table1123457913[[#This Row],[d (mm)]]*Table1123457913[[#This Row],[pho (%)]])</f>
        <v>1.2879205736348593</v>
      </c>
      <c r="V13" s="111">
        <f>E13*224.8/(2*SQRT(Table1123457913[[#This Row],[fc (Mpa)]]*145.037)*Table1123457913[[#This Row],[b (mm)]]*Table1123457913[[#This Row],[d (mm)]]*(1/25.4)^2)</f>
        <v>0.81130832870534031</v>
      </c>
      <c r="W13" s="111">
        <f>Table1123457913[[#This Row],[M (KN.mm)]]/$G$19</f>
        <v>0.21083521444695261</v>
      </c>
      <c r="X13" s="111">
        <f>Table1123457913[[#This Row],[V/(2*sqrt(fc) bd)]]</f>
        <v>0.81130832870534031</v>
      </c>
      <c r="Y13" s="111">
        <f>Table1123457913[[#This Row],[a (mm)]]</f>
        <v>1500</v>
      </c>
      <c r="Z13" s="111">
        <f>Table1123457913[[#This Row],[width]]*Table1123457913[[#This Row],[h (mm)]]^2</f>
        <v>300000000</v>
      </c>
      <c r="AA13" s="111">
        <f>Table1123457913[[#This Row],[b (mm)]]</f>
        <v>300</v>
      </c>
      <c r="AB13" s="111">
        <f>Table1123457913[[#This Row],[a]]/Table1123457913[[#This Row],[h (mm)]]</f>
        <v>1.5</v>
      </c>
      <c r="AC13" s="111">
        <f>Table1123457913[[#This Row],[h (mm)]]</f>
        <v>1000</v>
      </c>
      <c r="AD13" s="111">
        <v>1500</v>
      </c>
      <c r="AE13" s="111">
        <v>925</v>
      </c>
      <c r="AF13" s="111">
        <v>1000</v>
      </c>
      <c r="AG13" s="111">
        <v>300</v>
      </c>
      <c r="AH13" s="7">
        <v>39</v>
      </c>
      <c r="AI13" s="111">
        <f>Table1123457913[[#This Row],[pho (%)]]*Table1123457913[[#This Row],[b (mm)]]*Table1123457913[[#This Row],[h (mm)]]/100</f>
        <v>2940</v>
      </c>
      <c r="AJ13" s="160">
        <f t="shared" si="4"/>
        <v>0.98</v>
      </c>
      <c r="AK13" s="160">
        <v>525</v>
      </c>
      <c r="AL13" s="111">
        <f>(1/3-0.21*(MIN(Table1123457913[[#This Row],[b (mm)]],AF13)/MAX(Table1123457913[[#This Row],[b (mm)]],AF13))*(MIN(Table1123457913[[#This Row],[b (mm)]],AF13)^4/(12*MAX(Table1123457913[[#This Row],[b (mm)]],AF13)^4)))*MAX(Table1123457913[[#This Row],[b (mm)]],AF13)*MIN(Table1123457913[[#This Row],[b (mm)]],AF13)^3</f>
        <v>8998851825</v>
      </c>
      <c r="AM13" s="111">
        <f>Table1123457913[[#This Row],[b (mm)]]*AF13^3/12</f>
        <v>25000000000</v>
      </c>
      <c r="AN13" s="111">
        <v>3000</v>
      </c>
      <c r="AO13"/>
      <c r="AP13" s="128"/>
      <c r="AQ13" s="138"/>
      <c r="AR13" s="1"/>
    </row>
    <row r="14" spans="1:44" s="129" customFormat="1" x14ac:dyDescent="0.3">
      <c r="A14" s="164" t="s">
        <v>189</v>
      </c>
      <c r="B14" s="281">
        <v>2</v>
      </c>
      <c r="C14" s="281">
        <v>20</v>
      </c>
      <c r="D14" s="275">
        <f>Table1123457913[[#This Row],[a (mm)]]/Table1123457913[[#This Row],[d (mm)]]</f>
        <v>1.6216216216216217</v>
      </c>
      <c r="E14" s="282">
        <f>802/2</f>
        <v>401</v>
      </c>
      <c r="F14" s="137">
        <f>Table1123457913[[#This Row],[d (mm)]]</f>
        <v>925</v>
      </c>
      <c r="G14" s="111">
        <f t="shared" si="5"/>
        <v>601500</v>
      </c>
      <c r="H14" s="111">
        <f t="shared" si="0"/>
        <v>9.1355130226451535E-7</v>
      </c>
      <c r="I14" s="111">
        <f>G14/(Table1123457913[[#This Row],[b (mm)]]*Table1123457913[[#This Row],[h (mm)]]^2)</f>
        <v>2.0049999999999998E-3</v>
      </c>
      <c r="J14" s="111">
        <f t="shared" si="1"/>
        <v>0.42129593150001315</v>
      </c>
      <c r="K14" s="111">
        <f t="shared" si="2"/>
        <v>1.4191477852167741E-6</v>
      </c>
      <c r="L14" s="111">
        <f>E14/(Table1123457913[[#This Row],[b (mm)]]*AE14)</f>
        <v>1.445045045045045E-3</v>
      </c>
      <c r="M14" s="111">
        <f>Table1123457913[[#This Row],[M (KN.mm)]]/(Table1123457913[[#This Row],[b (mm)]]*Table1123457913[[#This Row],[d (mm)]])</f>
        <v>2.1675675675675676</v>
      </c>
      <c r="N14" s="111">
        <f>Table1123457913[[#This Row],[M (KN.mm)]]/(Table1123457913[[#This Row],[b (mm)]]*Table1123457913[[#This Row],[h (mm)]])</f>
        <v>2.0049999999999999</v>
      </c>
      <c r="O14" s="111">
        <f>Table1123457913[[#This Row],[M (KN.mm)]]/(Table1123457913[[#This Row],[b (mm)]]*Table1123457913[[#This Row],[h (mm)]]*Table1123457913[[#This Row],[L(mm)]])</f>
        <v>6.6833333333333328E-4</v>
      </c>
      <c r="P14" s="111">
        <f>Table1123457913[[#This Row],[M (KN.mm)]]/(Table1123457913[[#This Row],[b (mm)]]*Table1123457913[[#This Row],[d (mm)]]*Table1123457913[[#This Row],[L(mm)]])</f>
        <v>7.225225225225225E-4</v>
      </c>
      <c r="Q14" s="111">
        <f>Table1123457913[[#This Row],[M (KN.mm)]]/(Table1123457913[[#This Row],[b (mm)]]*Table1123457913[[#This Row],[h (mm)]]*Table1123457913[[#This Row],[L(mm)]]*Table1123457913[[#This Row],[fc (Mpa)]])</f>
        <v>1.7136752136752138E-5</v>
      </c>
      <c r="R14" s="111">
        <f>Table1123457913[[#This Row],[M (KN.mm)]]/(Table1123457913[[#This Row],[b (mm)]]*Table1123457913[[#This Row],[h (mm)]]*Table1123457913[[#This Row],[L(mm)]]/2)</f>
        <v>1.3366666666666666E-3</v>
      </c>
      <c r="S14" s="111">
        <f>Table1123457913[[#This Row],[M (KN.mm)]]/(Table1123457913[[#This Row],[a (mm)]]*Table1123457913[[#This Row],[b (mm)]]*Table1123457913[[#This Row],[h (mm)]]*Table1123457913[[#This Row],[L(mm)]]/2)</f>
        <v>8.9111111111111113E-7</v>
      </c>
      <c r="T14" s="111">
        <f>Table1123457913[[#This Row],[M (KN.mm)]]/(Table1123457913[[#This Row],[a (mm)]]^2*Table1123457913[[#This Row],[b (mm)]]*Table1123457913[[#This Row],[h (mm)]])</f>
        <v>8.9111111111111113E-7</v>
      </c>
      <c r="U14" s="111">
        <f>Table1123457913[[#This Row],[M (KN.mm)]]/(Table1123457913[[#This Row],[b (mm)]]*Table1123457913[[#This Row],[d (mm)]]*Table1123457913[[#This Row],[pho (%)]])</f>
        <v>2.2118036403750692</v>
      </c>
      <c r="V14" s="111">
        <f>E14*224.8/(2*SQRT(Table1123457913[[#This Row],[fc (Mpa)]]*145.037)*Table1123457913[[#This Row],[b (mm)]]*Table1123457913[[#This Row],[d (mm)]]*(1/25.4)^2)</f>
        <v>1.393296101973625</v>
      </c>
      <c r="W14" s="111">
        <f>Table1123457913[[#This Row],[M (KN.mm)]]/$G$19</f>
        <v>0.36207674943566592</v>
      </c>
      <c r="X14" s="111">
        <f>Table1123457913[[#This Row],[V/(2*sqrt(fc) bd)]]</f>
        <v>1.393296101973625</v>
      </c>
      <c r="Y14" s="111">
        <f>Table1123457913[[#This Row],[a (mm)]]</f>
        <v>1500</v>
      </c>
      <c r="Z14" s="111">
        <f>Table1123457913[[#This Row],[width]]*Table1123457913[[#This Row],[h (mm)]]^2</f>
        <v>300000000</v>
      </c>
      <c r="AA14" s="111">
        <f>Table1123457913[[#This Row],[b (mm)]]</f>
        <v>300</v>
      </c>
      <c r="AB14" s="111">
        <f>Table1123457913[[#This Row],[a]]/Table1123457913[[#This Row],[h (mm)]]</f>
        <v>1.5</v>
      </c>
      <c r="AC14" s="111">
        <f>Table1123457913[[#This Row],[h (mm)]]</f>
        <v>1000</v>
      </c>
      <c r="AD14" s="111">
        <v>1500</v>
      </c>
      <c r="AE14" s="111">
        <v>925</v>
      </c>
      <c r="AF14" s="111">
        <v>1000</v>
      </c>
      <c r="AG14" s="111">
        <v>300</v>
      </c>
      <c r="AH14" s="7">
        <v>39</v>
      </c>
      <c r="AI14" s="111">
        <f>Table1123457913[[#This Row],[pho (%)]]*Table1123457913[[#This Row],[b (mm)]]*Table1123457913[[#This Row],[h (mm)]]/100</f>
        <v>2940</v>
      </c>
      <c r="AJ14" s="160">
        <f t="shared" si="4"/>
        <v>0.98</v>
      </c>
      <c r="AK14" s="160">
        <v>525</v>
      </c>
      <c r="AL14" s="111">
        <f>(1/3-0.21*(MIN(Table1123457913[[#This Row],[b (mm)]],AF14)/MAX(Table1123457913[[#This Row],[b (mm)]],AF14))*(MIN(Table1123457913[[#This Row],[b (mm)]],AF14)^4/(12*MAX(Table1123457913[[#This Row],[b (mm)]],AF14)^4)))*MAX(Table1123457913[[#This Row],[b (mm)]],AF14)*MIN(Table1123457913[[#This Row],[b (mm)]],AF14)^3</f>
        <v>8998851825</v>
      </c>
      <c r="AM14" s="111">
        <f>Table1123457913[[#This Row],[b (mm)]]*AF14^3/12</f>
        <v>25000000000</v>
      </c>
      <c r="AN14" s="111">
        <v>3000</v>
      </c>
      <c r="AO14"/>
      <c r="AP14" s="128"/>
      <c r="AQ14" s="138"/>
      <c r="AR14" s="1"/>
    </row>
    <row r="15" spans="1:44" s="129" customFormat="1" ht="16.5" customHeight="1" x14ac:dyDescent="0.3">
      <c r="A15" s="164" t="s">
        <v>189</v>
      </c>
      <c r="B15" s="281">
        <v>3</v>
      </c>
      <c r="C15" s="281">
        <v>21</v>
      </c>
      <c r="D15" s="275">
        <f>Table1123457913[[#This Row],[a (mm)]]/Table1123457913[[#This Row],[d (mm)]]</f>
        <v>1.6216216216216217</v>
      </c>
      <c r="E15" s="282">
        <f>1105/2</f>
        <v>552.5</v>
      </c>
      <c r="F15" s="137">
        <f>Table1123457913[[#This Row],[d (mm)]]</f>
        <v>925</v>
      </c>
      <c r="G15" s="111">
        <f t="shared" si="5"/>
        <v>828750</v>
      </c>
      <c r="H15" s="111">
        <f t="shared" si="0"/>
        <v>1.2586959962622062E-6</v>
      </c>
      <c r="I15" s="111">
        <f>G15/(Table1123457913[[#This Row],[b (mm)]]*Table1123457913[[#This Row],[h (mm)]]^2)</f>
        <v>2.7625000000000002E-3</v>
      </c>
      <c r="J15" s="111">
        <f t="shared" si="1"/>
        <v>0.58046384576996823</v>
      </c>
      <c r="K15" s="111">
        <f t="shared" si="2"/>
        <v>1.9553096043198695E-6</v>
      </c>
      <c r="L15" s="111">
        <f>E15/(Table1123457913[[#This Row],[b (mm)]]*AE15)</f>
        <v>1.9909909909909909E-3</v>
      </c>
      <c r="M15" s="111">
        <f>Table1123457913[[#This Row],[M (KN.mm)]]/(Table1123457913[[#This Row],[b (mm)]]*Table1123457913[[#This Row],[d (mm)]])</f>
        <v>2.9864864864864864</v>
      </c>
      <c r="N15" s="111">
        <f>Table1123457913[[#This Row],[M (KN.mm)]]/(Table1123457913[[#This Row],[b (mm)]]*Table1123457913[[#This Row],[h (mm)]])</f>
        <v>2.7625000000000002</v>
      </c>
      <c r="O15" s="111">
        <f>Table1123457913[[#This Row],[M (KN.mm)]]/(Table1123457913[[#This Row],[b (mm)]]*Table1123457913[[#This Row],[h (mm)]]*Table1123457913[[#This Row],[L(mm)]])</f>
        <v>9.2083333333333329E-4</v>
      </c>
      <c r="P15" s="111">
        <f>Table1123457913[[#This Row],[M (KN.mm)]]/(Table1123457913[[#This Row],[b (mm)]]*Table1123457913[[#This Row],[d (mm)]]*Table1123457913[[#This Row],[L(mm)]])</f>
        <v>9.9549549549549543E-4</v>
      </c>
      <c r="Q15" s="111">
        <f>Table1123457913[[#This Row],[M (KN.mm)]]/(Table1123457913[[#This Row],[b (mm)]]*Table1123457913[[#This Row],[h (mm)]]*Table1123457913[[#This Row],[L(mm)]]*Table1123457913[[#This Row],[fc (Mpa)]])</f>
        <v>2.3611111111111111E-5</v>
      </c>
      <c r="R15" s="111">
        <f>Table1123457913[[#This Row],[M (KN.mm)]]/(Table1123457913[[#This Row],[b (mm)]]*Table1123457913[[#This Row],[h (mm)]]*Table1123457913[[#This Row],[L(mm)]]/2)</f>
        <v>1.8416666666666666E-3</v>
      </c>
      <c r="S15" s="111">
        <f>Table1123457913[[#This Row],[M (KN.mm)]]/(Table1123457913[[#This Row],[a (mm)]]*Table1123457913[[#This Row],[b (mm)]]*Table1123457913[[#This Row],[h (mm)]]*Table1123457913[[#This Row],[L(mm)]]/2)</f>
        <v>1.2277777777777777E-6</v>
      </c>
      <c r="T15" s="111">
        <f>Table1123457913[[#This Row],[M (KN.mm)]]/(Table1123457913[[#This Row],[a (mm)]]^2*Table1123457913[[#This Row],[b (mm)]]*Table1123457913[[#This Row],[h (mm)]])</f>
        <v>1.2277777777777777E-6</v>
      </c>
      <c r="U15" s="111">
        <f>Table1123457913[[#This Row],[M (KN.mm)]]/(Table1123457913[[#This Row],[b (mm)]]*Table1123457913[[#This Row],[d (mm)]]*Table1123457913[[#This Row],[pho (%)]])</f>
        <v>3.0474351902923331</v>
      </c>
      <c r="V15" s="111">
        <f>E15*224.8/(2*SQRT(Table1123457913[[#This Row],[fc (Mpa)]]*145.037)*Table1123457913[[#This Row],[b (mm)]]*Table1123457913[[#This Row],[d (mm)]]*(1/25.4)^2)</f>
        <v>1.9196910133177751</v>
      </c>
      <c r="W15" s="111">
        <f>Table1123457913[[#This Row],[M (KN.mm)]]/$G$19</f>
        <v>0.49887133182844245</v>
      </c>
      <c r="X15" s="111">
        <f>Table1123457913[[#This Row],[V/(2*sqrt(fc) bd)]]</f>
        <v>1.9196910133177751</v>
      </c>
      <c r="Y15" s="111">
        <f>Table1123457913[[#This Row],[a (mm)]]</f>
        <v>1500</v>
      </c>
      <c r="Z15" s="111">
        <f>Table1123457913[[#This Row],[width]]*Table1123457913[[#This Row],[h (mm)]]^2</f>
        <v>300000000</v>
      </c>
      <c r="AA15" s="111">
        <f>Table1123457913[[#This Row],[b (mm)]]</f>
        <v>300</v>
      </c>
      <c r="AB15" s="111">
        <f>Table1123457913[[#This Row],[a]]/Table1123457913[[#This Row],[h (mm)]]</f>
        <v>1.5</v>
      </c>
      <c r="AC15" s="111">
        <f>Table1123457913[[#This Row],[h (mm)]]</f>
        <v>1000</v>
      </c>
      <c r="AD15" s="111">
        <v>1500</v>
      </c>
      <c r="AE15" s="111">
        <v>925</v>
      </c>
      <c r="AF15" s="111">
        <v>1000</v>
      </c>
      <c r="AG15" s="111">
        <v>300</v>
      </c>
      <c r="AH15" s="7">
        <v>39</v>
      </c>
      <c r="AI15" s="111">
        <f>Table1123457913[[#This Row],[pho (%)]]*Table1123457913[[#This Row],[b (mm)]]*Table1123457913[[#This Row],[h (mm)]]/100</f>
        <v>2940</v>
      </c>
      <c r="AJ15" s="160">
        <f t="shared" si="4"/>
        <v>0.98</v>
      </c>
      <c r="AK15" s="160">
        <v>525</v>
      </c>
      <c r="AL15" s="111">
        <f>(1/3-0.21*(MIN(Table1123457913[[#This Row],[b (mm)]],AF15)/MAX(Table1123457913[[#This Row],[b (mm)]],AF15))*(MIN(Table1123457913[[#This Row],[b (mm)]],AF15)^4/(12*MAX(Table1123457913[[#This Row],[b (mm)]],AF15)^4)))*MAX(Table1123457913[[#This Row],[b (mm)]],AF15)*MIN(Table1123457913[[#This Row],[b (mm)]],AF15)^3</f>
        <v>8998851825</v>
      </c>
      <c r="AM15" s="111">
        <f>Table1123457913[[#This Row],[b (mm)]]*AF15^3/12</f>
        <v>25000000000</v>
      </c>
      <c r="AN15" s="111">
        <v>3000</v>
      </c>
      <c r="AO15"/>
      <c r="AP15" s="138"/>
      <c r="AQ15" s="138"/>
      <c r="AR15" s="1"/>
    </row>
    <row r="16" spans="1:44" s="129" customFormat="1" x14ac:dyDescent="0.3">
      <c r="A16" s="164" t="s">
        <v>189</v>
      </c>
      <c r="B16" s="281">
        <v>4</v>
      </c>
      <c r="C16" s="281">
        <v>22</v>
      </c>
      <c r="D16" s="275">
        <f>Table1123457913[[#This Row],[a (mm)]]/Table1123457913[[#This Row],[d (mm)]]</f>
        <v>1.6216216216216217</v>
      </c>
      <c r="E16" s="282">
        <f>1432/2</f>
        <v>716</v>
      </c>
      <c r="F16" s="137">
        <f>Table1123457913[[#This Row],[d (mm)]]</f>
        <v>925</v>
      </c>
      <c r="G16" s="111">
        <f t="shared" si="5"/>
        <v>1074000</v>
      </c>
      <c r="H16" s="111">
        <f t="shared" si="0"/>
        <v>1.6311788838438728E-6</v>
      </c>
      <c r="I16" s="111">
        <f>G16/(Table1123457913[[#This Row],[b (mm)]]*Table1123457913[[#This Row],[h (mm)]]^2)</f>
        <v>3.5799999999999998E-3</v>
      </c>
      <c r="J16" s="111">
        <f t="shared" si="1"/>
        <v>0.75223911958605838</v>
      </c>
      <c r="K16" s="111">
        <f t="shared" si="2"/>
        <v>2.53393968632222E-6</v>
      </c>
      <c r="L16" s="111">
        <f>E16/(Table1123457913[[#This Row],[b (mm)]]*AE16)</f>
        <v>2.5801801801801803E-3</v>
      </c>
      <c r="M16" s="111">
        <f>Table1123457913[[#This Row],[M (KN.mm)]]/(Table1123457913[[#This Row],[b (mm)]]*Table1123457913[[#This Row],[d (mm)]])</f>
        <v>3.8702702702702703</v>
      </c>
      <c r="N16" s="111">
        <f>Table1123457913[[#This Row],[M (KN.mm)]]/(Table1123457913[[#This Row],[b (mm)]]*Table1123457913[[#This Row],[h (mm)]])</f>
        <v>3.58</v>
      </c>
      <c r="O16" s="111">
        <f>Table1123457913[[#This Row],[M (KN.mm)]]/(Table1123457913[[#This Row],[b (mm)]]*Table1123457913[[#This Row],[h (mm)]]*Table1123457913[[#This Row],[L(mm)]])</f>
        <v>1.1933333333333334E-3</v>
      </c>
      <c r="P16" s="111">
        <f>Table1123457913[[#This Row],[M (KN.mm)]]/(Table1123457913[[#This Row],[b (mm)]]*Table1123457913[[#This Row],[d (mm)]]*Table1123457913[[#This Row],[L(mm)]])</f>
        <v>1.2900900900900901E-3</v>
      </c>
      <c r="Q16" s="111">
        <f>Table1123457913[[#This Row],[M (KN.mm)]]/(Table1123457913[[#This Row],[b (mm)]]*Table1123457913[[#This Row],[h (mm)]]*Table1123457913[[#This Row],[L(mm)]]*Table1123457913[[#This Row],[fc (Mpa)]])</f>
        <v>3.0598290598290596E-5</v>
      </c>
      <c r="R16" s="111">
        <f>Table1123457913[[#This Row],[M (KN.mm)]]/(Table1123457913[[#This Row],[b (mm)]]*Table1123457913[[#This Row],[h (mm)]]*Table1123457913[[#This Row],[L(mm)]]/2)</f>
        <v>2.3866666666666667E-3</v>
      </c>
      <c r="S16" s="111">
        <f>Table1123457913[[#This Row],[M (KN.mm)]]/(Table1123457913[[#This Row],[a (mm)]]*Table1123457913[[#This Row],[b (mm)]]*Table1123457913[[#This Row],[h (mm)]]*Table1123457913[[#This Row],[L(mm)]]/2)</f>
        <v>1.5911111111111111E-6</v>
      </c>
      <c r="T16" s="111">
        <f>Table1123457913[[#This Row],[M (KN.mm)]]/(Table1123457913[[#This Row],[a (mm)]]^2*Table1123457913[[#This Row],[b (mm)]]*Table1123457913[[#This Row],[h (mm)]])</f>
        <v>1.5911111111111111E-6</v>
      </c>
      <c r="U16" s="111">
        <f>Table1123457913[[#This Row],[M (KN.mm)]]/(Table1123457913[[#This Row],[b (mm)]]*Table1123457913[[#This Row],[d (mm)]]*Table1123457913[[#This Row],[pho (%)]])</f>
        <v>3.9492553778268062</v>
      </c>
      <c r="V16" s="111">
        <f>E16*224.8/(2*SQRT(Table1123457913[[#This Row],[fc (Mpa)]]*145.037)*Table1123457913[[#This Row],[b (mm)]]*Table1123457913[[#This Row],[d (mm)]]*(1/25.4)^2)</f>
        <v>2.4877805711050263</v>
      </c>
      <c r="W16" s="111">
        <f>Table1123457913[[#This Row],[M (KN.mm)]]/$G$19</f>
        <v>0.64650112866817155</v>
      </c>
      <c r="X16" s="111">
        <f>Table1123457913[[#This Row],[V/(2*sqrt(fc) bd)]]</f>
        <v>2.4877805711050263</v>
      </c>
      <c r="Y16" s="111">
        <f>Table1123457913[[#This Row],[a (mm)]]</f>
        <v>1500</v>
      </c>
      <c r="Z16" s="111">
        <f>Table1123457913[[#This Row],[width]]*Table1123457913[[#This Row],[h (mm)]]^2</f>
        <v>300000000</v>
      </c>
      <c r="AA16" s="111">
        <f>Table1123457913[[#This Row],[b (mm)]]</f>
        <v>300</v>
      </c>
      <c r="AB16" s="111">
        <f>Table1123457913[[#This Row],[a]]/Table1123457913[[#This Row],[h (mm)]]</f>
        <v>1.5</v>
      </c>
      <c r="AC16" s="111">
        <f>Table1123457913[[#This Row],[h (mm)]]</f>
        <v>1000</v>
      </c>
      <c r="AD16" s="111">
        <v>1500</v>
      </c>
      <c r="AE16" s="111">
        <v>925</v>
      </c>
      <c r="AF16" s="111">
        <v>1000</v>
      </c>
      <c r="AG16" s="111">
        <v>300</v>
      </c>
      <c r="AH16" s="7">
        <v>39</v>
      </c>
      <c r="AI16" s="111">
        <f>Table1123457913[[#This Row],[pho (%)]]*Table1123457913[[#This Row],[b (mm)]]*Table1123457913[[#This Row],[h (mm)]]/100</f>
        <v>2940</v>
      </c>
      <c r="AJ16" s="160">
        <f t="shared" si="4"/>
        <v>0.98</v>
      </c>
      <c r="AK16" s="160">
        <v>525</v>
      </c>
      <c r="AL16" s="111">
        <f>(1/3-0.21*(MIN(Table1123457913[[#This Row],[b (mm)]],AF16)/MAX(Table1123457913[[#This Row],[b (mm)]],AF16))*(MIN(Table1123457913[[#This Row],[b (mm)]],AF16)^4/(12*MAX(Table1123457913[[#This Row],[b (mm)]],AF16)^4)))*MAX(Table1123457913[[#This Row],[b (mm)]],AF16)*MIN(Table1123457913[[#This Row],[b (mm)]],AF16)^3</f>
        <v>8998851825</v>
      </c>
      <c r="AM16" s="111">
        <f>Table1123457913[[#This Row],[b (mm)]]*AF16^3/12</f>
        <v>25000000000</v>
      </c>
      <c r="AN16" s="111">
        <v>3000</v>
      </c>
      <c r="AO16"/>
      <c r="AP16" s="138"/>
      <c r="AQ16" s="138"/>
      <c r="AR16" s="1"/>
    </row>
    <row r="17" spans="1:49" s="129" customFormat="1" x14ac:dyDescent="0.3">
      <c r="A17" s="164" t="s">
        <v>189</v>
      </c>
      <c r="B17" s="281">
        <v>5</v>
      </c>
      <c r="C17" s="281">
        <v>23</v>
      </c>
      <c r="D17" s="275">
        <f>Table1123457913[[#This Row],[a (mm)]]/Table1123457913[[#This Row],[d (mm)]]</f>
        <v>1.6216216216216217</v>
      </c>
      <c r="E17" s="282">
        <f>1711/2</f>
        <v>855.5</v>
      </c>
      <c r="F17" s="137">
        <f>Table1123457913[[#This Row],[d (mm)]]</f>
        <v>925</v>
      </c>
      <c r="G17" s="111">
        <f t="shared" si="5"/>
        <v>1283250</v>
      </c>
      <c r="H17" s="111">
        <f t="shared" si="0"/>
        <v>1.948985384257588E-6</v>
      </c>
      <c r="I17" s="111">
        <f>G17/(Table1123457913[[#This Row],[b (mm)]]*Table1123457913[[#This Row],[h (mm)]]^2)</f>
        <v>4.2775000000000001E-3</v>
      </c>
      <c r="J17" s="111">
        <f t="shared" si="1"/>
        <v>0.89879967430987839</v>
      </c>
      <c r="K17" s="111">
        <f t="shared" si="2"/>
        <v>3.0276332425260601E-6</v>
      </c>
      <c r="L17" s="111">
        <f>E17/(Table1123457913[[#This Row],[b (mm)]]*AE17)</f>
        <v>3.082882882882883E-3</v>
      </c>
      <c r="M17" s="111">
        <f>Table1123457913[[#This Row],[M (KN.mm)]]/(Table1123457913[[#This Row],[b (mm)]]*Table1123457913[[#This Row],[d (mm)]])</f>
        <v>4.6243243243243244</v>
      </c>
      <c r="N17" s="111">
        <f>Table1123457913[[#This Row],[M (KN.mm)]]/(Table1123457913[[#This Row],[b (mm)]]*Table1123457913[[#This Row],[h (mm)]])</f>
        <v>4.2774999999999999</v>
      </c>
      <c r="O17" s="111">
        <f>Table1123457913[[#This Row],[M (KN.mm)]]/(Table1123457913[[#This Row],[b (mm)]]*Table1123457913[[#This Row],[h (mm)]]*Table1123457913[[#This Row],[L(mm)]])</f>
        <v>1.4258333333333334E-3</v>
      </c>
      <c r="P17" s="111">
        <f>Table1123457913[[#This Row],[M (KN.mm)]]/(Table1123457913[[#This Row],[b (mm)]]*Table1123457913[[#This Row],[d (mm)]]*Table1123457913[[#This Row],[L(mm)]])</f>
        <v>1.5414414414414415E-3</v>
      </c>
      <c r="Q17" s="111">
        <f>Table1123457913[[#This Row],[M (KN.mm)]]/(Table1123457913[[#This Row],[b (mm)]]*Table1123457913[[#This Row],[h (mm)]]*Table1123457913[[#This Row],[L(mm)]]*Table1123457913[[#This Row],[fc (Mpa)]])</f>
        <v>3.6559829059829062E-5</v>
      </c>
      <c r="R17" s="111">
        <f>Table1123457913[[#This Row],[M (KN.mm)]]/(Table1123457913[[#This Row],[b (mm)]]*Table1123457913[[#This Row],[h (mm)]]*Table1123457913[[#This Row],[L(mm)]]/2)</f>
        <v>2.8516666666666668E-3</v>
      </c>
      <c r="S17" s="111">
        <f>Table1123457913[[#This Row],[M (KN.mm)]]/(Table1123457913[[#This Row],[a (mm)]]*Table1123457913[[#This Row],[b (mm)]]*Table1123457913[[#This Row],[h (mm)]]*Table1123457913[[#This Row],[L(mm)]]/2)</f>
        <v>1.9011111111111111E-6</v>
      </c>
      <c r="T17" s="111">
        <f>Table1123457913[[#This Row],[M (KN.mm)]]/(Table1123457913[[#This Row],[a (mm)]]^2*Table1123457913[[#This Row],[b (mm)]]*Table1123457913[[#This Row],[h (mm)]])</f>
        <v>1.9011111111111111E-6</v>
      </c>
      <c r="U17" s="111">
        <f>Table1123457913[[#This Row],[M (KN.mm)]]/(Table1123457913[[#This Row],[b (mm)]]*Table1123457913[[#This Row],[d (mm)]]*Table1123457913[[#This Row],[pho (%)]])</f>
        <v>4.7186982901268619</v>
      </c>
      <c r="V17" s="111">
        <f>E17*224.8/(2*SQRT(Table1123457913[[#This Row],[fc (Mpa)]]*145.037)*Table1123457913[[#This Row],[b (mm)]]*Table1123457913[[#This Row],[d (mm)]]*(1/25.4)^2)</f>
        <v>2.9724808360060755</v>
      </c>
      <c r="W17" s="111">
        <f>Table1123457913[[#This Row],[M (KN.mm)]]/$G$19</f>
        <v>0.77246049661399552</v>
      </c>
      <c r="X17" s="111">
        <f>Table1123457913[[#This Row],[V/(2*sqrt(fc) bd)]]</f>
        <v>2.9724808360060755</v>
      </c>
      <c r="Y17" s="111">
        <f>Table1123457913[[#This Row],[a (mm)]]</f>
        <v>1500</v>
      </c>
      <c r="Z17" s="111">
        <f>Table1123457913[[#This Row],[width]]*Table1123457913[[#This Row],[h (mm)]]^2</f>
        <v>300000000</v>
      </c>
      <c r="AA17" s="111">
        <f>Table1123457913[[#This Row],[b (mm)]]</f>
        <v>300</v>
      </c>
      <c r="AB17" s="111">
        <f>Table1123457913[[#This Row],[a]]/Table1123457913[[#This Row],[h (mm)]]</f>
        <v>1.5</v>
      </c>
      <c r="AC17" s="111">
        <f>Table1123457913[[#This Row],[h (mm)]]</f>
        <v>1000</v>
      </c>
      <c r="AD17" s="111">
        <v>1500</v>
      </c>
      <c r="AE17" s="111">
        <v>925</v>
      </c>
      <c r="AF17" s="111">
        <v>1000</v>
      </c>
      <c r="AG17" s="111">
        <v>300</v>
      </c>
      <c r="AH17" s="7">
        <v>39</v>
      </c>
      <c r="AI17" s="111">
        <f>Table1123457913[[#This Row],[pho (%)]]*Table1123457913[[#This Row],[b (mm)]]*Table1123457913[[#This Row],[h (mm)]]/100</f>
        <v>2940</v>
      </c>
      <c r="AJ17" s="160">
        <f t="shared" si="4"/>
        <v>0.98</v>
      </c>
      <c r="AK17" s="160">
        <v>525</v>
      </c>
      <c r="AL17" s="111">
        <f>(1/3-0.21*(MIN(Table1123457913[[#This Row],[b (mm)]],AF17)/MAX(Table1123457913[[#This Row],[b (mm)]],AF17))*(MIN(Table1123457913[[#This Row],[b (mm)]],AF17)^4/(12*MAX(Table1123457913[[#This Row],[b (mm)]],AF17)^4)))*MAX(Table1123457913[[#This Row],[b (mm)]],AF17)*MIN(Table1123457913[[#This Row],[b (mm)]],AF17)^3</f>
        <v>8998851825</v>
      </c>
      <c r="AM17" s="111">
        <f>Table1123457913[[#This Row],[b (mm)]]*AF17^3/12</f>
        <v>25000000000</v>
      </c>
      <c r="AN17" s="111">
        <v>3000</v>
      </c>
      <c r="AO17"/>
      <c r="AP17" s="138"/>
      <c r="AQ17" s="138"/>
      <c r="AR17" s="1"/>
    </row>
    <row r="18" spans="1:49" s="129" customFormat="1" x14ac:dyDescent="0.3">
      <c r="A18" s="164" t="s">
        <v>189</v>
      </c>
      <c r="B18" s="281">
        <v>6</v>
      </c>
      <c r="C18" s="281">
        <v>24</v>
      </c>
      <c r="D18" s="275">
        <f>Table1123457913[[#This Row],[a (mm)]]/Table1123457913[[#This Row],[d (mm)]]</f>
        <v>1.6216216216216217</v>
      </c>
      <c r="E18" s="282">
        <f>2009/2</f>
        <v>1004.5</v>
      </c>
      <c r="F18" s="137">
        <f>Table1123457913[[#This Row],[d (mm)]]</f>
        <v>925</v>
      </c>
      <c r="G18" s="111">
        <f t="shared" si="5"/>
        <v>1506750</v>
      </c>
      <c r="H18" s="111">
        <f t="shared" si="0"/>
        <v>2.2884346212586175E-6</v>
      </c>
      <c r="I18" s="111">
        <f>G18/(Table1123457913[[#This Row],[b (mm)]]*Table1123457913[[#This Row],[h (mm)]]^2)</f>
        <v>5.0225000000000001E-3</v>
      </c>
      <c r="J18" s="111">
        <f t="shared" si="1"/>
        <v>1.0553410553410554</v>
      </c>
      <c r="K18" s="111">
        <f t="shared" si="2"/>
        <v>3.5549475068584774E-6</v>
      </c>
      <c r="L18" s="111">
        <f>E18/(Table1123457913[[#This Row],[b (mm)]]*AE18)</f>
        <v>3.6198198198198199E-3</v>
      </c>
      <c r="M18" s="111">
        <f>Table1123457913[[#This Row],[M (KN.mm)]]/(Table1123457913[[#This Row],[b (mm)]]*Table1123457913[[#This Row],[d (mm)]])</f>
        <v>5.42972972972973</v>
      </c>
      <c r="N18" s="111">
        <f>Table1123457913[[#This Row],[M (KN.mm)]]/(Table1123457913[[#This Row],[b (mm)]]*Table1123457913[[#This Row],[h (mm)]])</f>
        <v>5.0225</v>
      </c>
      <c r="O18" s="111">
        <f>Table1123457913[[#This Row],[M (KN.mm)]]/(Table1123457913[[#This Row],[b (mm)]]*Table1123457913[[#This Row],[h (mm)]]*Table1123457913[[#This Row],[L(mm)]])</f>
        <v>1.6741666666666667E-3</v>
      </c>
      <c r="P18" s="111">
        <f>Table1123457913[[#This Row],[M (KN.mm)]]/(Table1123457913[[#This Row],[b (mm)]]*Table1123457913[[#This Row],[d (mm)]]*Table1123457913[[#This Row],[L(mm)]])</f>
        <v>1.80990990990991E-3</v>
      </c>
      <c r="Q18" s="111">
        <f>Table1123457913[[#This Row],[M (KN.mm)]]/(Table1123457913[[#This Row],[b (mm)]]*Table1123457913[[#This Row],[h (mm)]]*Table1123457913[[#This Row],[L(mm)]]*Table1123457913[[#This Row],[fc (Mpa)]])</f>
        <v>4.2927350427350424E-5</v>
      </c>
      <c r="R18" s="111">
        <f>Table1123457913[[#This Row],[M (KN.mm)]]/(Table1123457913[[#This Row],[b (mm)]]*Table1123457913[[#This Row],[h (mm)]]*Table1123457913[[#This Row],[L(mm)]]/2)</f>
        <v>3.3483333333333334E-3</v>
      </c>
      <c r="S18" s="111">
        <f>Table1123457913[[#This Row],[M (KN.mm)]]/(Table1123457913[[#This Row],[a (mm)]]*Table1123457913[[#This Row],[b (mm)]]*Table1123457913[[#This Row],[h (mm)]]*Table1123457913[[#This Row],[L(mm)]]/2)</f>
        <v>2.2322222222222224E-6</v>
      </c>
      <c r="T18" s="111">
        <f>Table1123457913[[#This Row],[M (KN.mm)]]/(Table1123457913[[#This Row],[a (mm)]]^2*Table1123457913[[#This Row],[b (mm)]]*Table1123457913[[#This Row],[h (mm)]])</f>
        <v>2.2322222222222224E-6</v>
      </c>
      <c r="U18" s="111">
        <f>Table1123457913[[#This Row],[M (KN.mm)]]/(Table1123457913[[#This Row],[b (mm)]]*Table1123457913[[#This Row],[d (mm)]]*Table1123457913[[#This Row],[pho (%)]])</f>
        <v>5.5405405405405403</v>
      </c>
      <c r="V18" s="111">
        <f>E18*224.8/(2*SQRT(Table1123457913[[#This Row],[fc (Mpa)]]*145.037)*Table1123457913[[#This Row],[b (mm)]]*Table1123457913[[#This Row],[d (mm)]]*(1/25.4)^2)</f>
        <v>3.4901893626745792</v>
      </c>
      <c r="W18" s="111">
        <f>Table1123457913[[#This Row],[M (KN.mm)]]/$G$19</f>
        <v>0.90699774266365685</v>
      </c>
      <c r="X18" s="111">
        <f>Table1123457913[[#This Row],[V/(2*sqrt(fc) bd)]]</f>
        <v>3.4901893626745792</v>
      </c>
      <c r="Y18" s="111">
        <f>Table1123457913[[#This Row],[a (mm)]]</f>
        <v>1500</v>
      </c>
      <c r="Z18" s="111">
        <f>Table1123457913[[#This Row],[width]]*Table1123457913[[#This Row],[h (mm)]]^2</f>
        <v>300000000</v>
      </c>
      <c r="AA18" s="111">
        <f>Table1123457913[[#This Row],[b (mm)]]</f>
        <v>300</v>
      </c>
      <c r="AB18" s="111">
        <f>Table1123457913[[#This Row],[a]]/Table1123457913[[#This Row],[h (mm)]]</f>
        <v>1.5</v>
      </c>
      <c r="AC18" s="111">
        <f>Table1123457913[[#This Row],[h (mm)]]</f>
        <v>1000</v>
      </c>
      <c r="AD18" s="111">
        <v>1500</v>
      </c>
      <c r="AE18" s="111">
        <v>925</v>
      </c>
      <c r="AF18" s="111">
        <v>1000</v>
      </c>
      <c r="AG18" s="111">
        <v>300</v>
      </c>
      <c r="AH18" s="7">
        <v>39</v>
      </c>
      <c r="AI18" s="111">
        <f>Table1123457913[[#This Row],[pho (%)]]*Table1123457913[[#This Row],[b (mm)]]*Table1123457913[[#This Row],[h (mm)]]/100</f>
        <v>2940</v>
      </c>
      <c r="AJ18" s="160">
        <f t="shared" si="4"/>
        <v>0.98</v>
      </c>
      <c r="AK18" s="160">
        <v>525</v>
      </c>
      <c r="AL18" s="111">
        <f>(1/3-0.21*(MIN(Table1123457913[[#This Row],[b (mm)]],AF18)/MAX(Table1123457913[[#This Row],[b (mm)]],AF18))*(MIN(Table1123457913[[#This Row],[b (mm)]],AF18)^4/(12*MAX(Table1123457913[[#This Row],[b (mm)]],AF18)^4)))*MAX(Table1123457913[[#This Row],[b (mm)]],AF18)*MIN(Table1123457913[[#This Row],[b (mm)]],AF18)^3</f>
        <v>8998851825</v>
      </c>
      <c r="AM18" s="111">
        <f>Table1123457913[[#This Row],[b (mm)]]*AF18^3/12</f>
        <v>25000000000</v>
      </c>
      <c r="AN18" s="111">
        <v>3000</v>
      </c>
      <c r="AO18"/>
      <c r="AP18" s="138"/>
      <c r="AQ18" s="138"/>
      <c r="AR18" s="1"/>
    </row>
    <row r="19" spans="1:49" s="129" customFormat="1" x14ac:dyDescent="0.3">
      <c r="A19" s="164" t="s">
        <v>189</v>
      </c>
      <c r="B19" s="281" t="s">
        <v>142</v>
      </c>
      <c r="C19" s="281">
        <v>25</v>
      </c>
      <c r="D19" s="275">
        <f>Table1123457913[[#This Row],[a (mm)]]/Table1123457913[[#This Row],[d (mm)]]</f>
        <v>1.6216216216216217</v>
      </c>
      <c r="E19" s="282">
        <f>2215/2</f>
        <v>1107.5</v>
      </c>
      <c r="F19" s="137">
        <f>Table1123457913[[#This Row],[d (mm)]]</f>
        <v>925</v>
      </c>
      <c r="G19" s="111">
        <f t="shared" si="5"/>
        <v>1661250</v>
      </c>
      <c r="H19" s="111">
        <f t="shared" si="0"/>
        <v>2.5230874495210741E-6</v>
      </c>
      <c r="I19" s="111">
        <f>G19/(Table1123457913[[#This Row],[b (mm)]]*Table1123457913[[#This Row],[h (mm)]]^2)</f>
        <v>5.5374999999999999E-3</v>
      </c>
      <c r="J19" s="111">
        <f t="shared" si="1"/>
        <v>1.1635542247787145</v>
      </c>
      <c r="K19" s="111">
        <f t="shared" si="2"/>
        <v>3.9194667634104173E-6</v>
      </c>
      <c r="L19" s="111">
        <f>E19/(Table1123457913[[#This Row],[b (mm)]]*AE19)</f>
        <v>3.9909909909909913E-3</v>
      </c>
      <c r="M19" s="111">
        <f>Table1123457913[[#This Row],[M (KN.mm)]]/(Table1123457913[[#This Row],[b (mm)]]*Table1123457913[[#This Row],[d (mm)]])</f>
        <v>5.9864864864864868</v>
      </c>
      <c r="N19" s="111">
        <f>Table1123457913[[#This Row],[M (KN.mm)]]/(Table1123457913[[#This Row],[b (mm)]]*Table1123457913[[#This Row],[h (mm)]])</f>
        <v>5.5374999999999996</v>
      </c>
      <c r="O19" s="111">
        <f>Table1123457913[[#This Row],[M (KN.mm)]]/(Table1123457913[[#This Row],[b (mm)]]*Table1123457913[[#This Row],[h (mm)]]*Table1123457913[[#This Row],[L(mm)]])</f>
        <v>1.8458333333333334E-3</v>
      </c>
      <c r="P19" s="111">
        <f>Table1123457913[[#This Row],[M (KN.mm)]]/(Table1123457913[[#This Row],[b (mm)]]*Table1123457913[[#This Row],[d (mm)]]*Table1123457913[[#This Row],[L(mm)]])</f>
        <v>1.9954954954954957E-3</v>
      </c>
      <c r="Q19" s="111">
        <f>Table1123457913[[#This Row],[M (KN.mm)]]/(Table1123457913[[#This Row],[b (mm)]]*Table1123457913[[#This Row],[h (mm)]]*Table1123457913[[#This Row],[L(mm)]]*Table1123457913[[#This Row],[fc (Mpa)]])</f>
        <v>4.7329059829059831E-5</v>
      </c>
      <c r="R19" s="111">
        <f>Table1123457913[[#This Row],[M (KN.mm)]]/(Table1123457913[[#This Row],[b (mm)]]*Table1123457913[[#This Row],[h (mm)]]*Table1123457913[[#This Row],[L(mm)]]/2)</f>
        <v>3.6916666666666669E-3</v>
      </c>
      <c r="S19" s="111">
        <f>Table1123457913[[#This Row],[M (KN.mm)]]/(Table1123457913[[#This Row],[a (mm)]]*Table1123457913[[#This Row],[b (mm)]]*Table1123457913[[#This Row],[h (mm)]]*Table1123457913[[#This Row],[L(mm)]]/2)</f>
        <v>2.461111111111111E-6</v>
      </c>
      <c r="T19" s="111">
        <f>Table1123457913[[#This Row],[M (KN.mm)]]/(Table1123457913[[#This Row],[a (mm)]]^2*Table1123457913[[#This Row],[b (mm)]]*Table1123457913[[#This Row],[h (mm)]])</f>
        <v>2.461111111111111E-6</v>
      </c>
      <c r="U19" s="111">
        <f>Table1123457913[[#This Row],[M (KN.mm)]]/(Table1123457913[[#This Row],[b (mm)]]*Table1123457913[[#This Row],[d (mm)]]*Table1123457913[[#This Row],[pho (%)]])</f>
        <v>6.1086596800882518</v>
      </c>
      <c r="V19" s="111">
        <f>E19*224.8/(2*SQRT(Table1123457913[[#This Row],[fc (Mpa)]]*145.037)*Table1123457913[[#This Row],[b (mm)]]*Table1123457913[[#This Row],[d (mm)]]*(1/25.4)^2)</f>
        <v>3.8480684113111963</v>
      </c>
      <c r="W19" s="111">
        <f>Table1123457913[[#This Row],[M (KN.mm)]]/$G$19</f>
        <v>1</v>
      </c>
      <c r="X19" s="111">
        <f>Table1123457913[[#This Row],[V/(2*sqrt(fc) bd)]]</f>
        <v>3.8480684113111963</v>
      </c>
      <c r="Y19" s="111">
        <f>Table1123457913[[#This Row],[a (mm)]]</f>
        <v>1500</v>
      </c>
      <c r="Z19" s="111">
        <f>Table1123457913[[#This Row],[width]]*Table1123457913[[#This Row],[h (mm)]]^2</f>
        <v>300000000</v>
      </c>
      <c r="AA19" s="111">
        <f>Table1123457913[[#This Row],[b (mm)]]</f>
        <v>300</v>
      </c>
      <c r="AB19" s="111">
        <f>Table1123457913[[#This Row],[a]]/Table1123457913[[#This Row],[h (mm)]]</f>
        <v>1.5</v>
      </c>
      <c r="AC19" s="111">
        <f>Table1123457913[[#This Row],[h (mm)]]</f>
        <v>1000</v>
      </c>
      <c r="AD19" s="111">
        <v>1500</v>
      </c>
      <c r="AE19" s="111">
        <v>925</v>
      </c>
      <c r="AF19" s="111">
        <v>1000</v>
      </c>
      <c r="AG19" s="111">
        <v>300</v>
      </c>
      <c r="AH19" s="7">
        <v>39</v>
      </c>
      <c r="AI19" s="111">
        <f>Table1123457913[[#This Row],[pho (%)]]*Table1123457913[[#This Row],[b (mm)]]*Table1123457913[[#This Row],[h (mm)]]/100</f>
        <v>2940</v>
      </c>
      <c r="AJ19" s="160">
        <f t="shared" si="4"/>
        <v>0.98</v>
      </c>
      <c r="AK19" s="160">
        <v>525</v>
      </c>
      <c r="AL19" s="111">
        <f>(1/3-0.21*(MIN(Table1123457913[[#This Row],[b (mm)]],AF19)/MAX(Table1123457913[[#This Row],[b (mm)]],AF19))*(MIN(Table1123457913[[#This Row],[b (mm)]],AF19)^4/(12*MAX(Table1123457913[[#This Row],[b (mm)]],AF19)^4)))*MAX(Table1123457913[[#This Row],[b (mm)]],AF19)*MIN(Table1123457913[[#This Row],[b (mm)]],AF19)^3</f>
        <v>8998851825</v>
      </c>
      <c r="AM19" s="111">
        <f>Table1123457913[[#This Row],[b (mm)]]*AF19^3/12</f>
        <v>25000000000</v>
      </c>
      <c r="AN19" s="111">
        <v>3000</v>
      </c>
      <c r="AO19"/>
      <c r="AP19" s="138"/>
      <c r="AQ19" s="138"/>
      <c r="AR19" s="1"/>
    </row>
    <row r="20" spans="1:49" s="129" customFormat="1" x14ac:dyDescent="0.3">
      <c r="A20" s="150" t="s">
        <v>190</v>
      </c>
      <c r="B20" s="283">
        <v>1</v>
      </c>
      <c r="C20" s="283">
        <v>26</v>
      </c>
      <c r="D20" s="275">
        <f>Table1123457913[[#This Row],[a (mm)]]/Table1123457913[[#This Row],[d (mm)]]</f>
        <v>2.5945945945945947</v>
      </c>
      <c r="E20" s="284">
        <f>450.9/2</f>
        <v>225.45</v>
      </c>
      <c r="F20" s="137">
        <f>Table1123457913[[#This Row],[d (mm)]]</f>
        <v>925</v>
      </c>
      <c r="G20" s="111">
        <f t="shared" si="5"/>
        <v>541080</v>
      </c>
      <c r="H20" s="111">
        <f t="shared" si="0"/>
        <v>8.2178609913430415E-7</v>
      </c>
      <c r="I20" s="111">
        <f>G20/(Table1123457913[[#This Row],[b (mm)]]*Table1123457913[[#This Row],[h (mm)]]^2)</f>
        <v>1.8036E-3</v>
      </c>
      <c r="J20" s="111">
        <f t="shared" si="1"/>
        <v>0.37897722795681982</v>
      </c>
      <c r="K20" s="111">
        <f t="shared" si="2"/>
        <v>7.9787248921975482E-7</v>
      </c>
      <c r="L20" s="111">
        <f>E20/(Table1123457913[[#This Row],[b (mm)]]*AE20)</f>
        <v>8.1243243243243239E-4</v>
      </c>
      <c r="M20" s="111">
        <f>Table1123457913[[#This Row],[M (KN.mm)]]/(Table1123457913[[#This Row],[b (mm)]]*Table1123457913[[#This Row],[d (mm)]])</f>
        <v>1.9498378378378378</v>
      </c>
      <c r="N20" s="111">
        <f>Table1123457913[[#This Row],[M (KN.mm)]]/(Table1123457913[[#This Row],[b (mm)]]*Table1123457913[[#This Row],[h (mm)]])</f>
        <v>1.8036000000000001</v>
      </c>
      <c r="O20" s="111">
        <f>Table1123457913[[#This Row],[M (KN.mm)]]/(Table1123457913[[#This Row],[b (mm)]]*Table1123457913[[#This Row],[h (mm)]]*Table1123457913[[#This Row],[L(mm)]])</f>
        <v>3.7575E-4</v>
      </c>
      <c r="P20" s="111">
        <f>Table1123457913[[#This Row],[M (KN.mm)]]/(Table1123457913[[#This Row],[b (mm)]]*Table1123457913[[#This Row],[d (mm)]]*Table1123457913[[#This Row],[L(mm)]])</f>
        <v>4.062162162162162E-4</v>
      </c>
      <c r="Q20" s="111">
        <f>Table1123457913[[#This Row],[M (KN.mm)]]/(Table1123457913[[#This Row],[b (mm)]]*Table1123457913[[#This Row],[h (mm)]]*Table1123457913[[#This Row],[L(mm)]]*Table1123457913[[#This Row],[fc (Mpa)]])</f>
        <v>8.3499999999999997E-6</v>
      </c>
      <c r="R20" s="111">
        <f>Table1123457913[[#This Row],[M (KN.mm)]]/(Table1123457913[[#This Row],[b (mm)]]*Table1123457913[[#This Row],[h (mm)]]*Table1123457913[[#This Row],[L(mm)]]/2)</f>
        <v>7.515E-4</v>
      </c>
      <c r="S20" s="111">
        <f>Table1123457913[[#This Row],[M (KN.mm)]]/(Table1123457913[[#This Row],[a (mm)]]*Table1123457913[[#This Row],[b (mm)]]*Table1123457913[[#This Row],[h (mm)]]*Table1123457913[[#This Row],[L(mm)]]/2)</f>
        <v>3.1312500000000002E-7</v>
      </c>
      <c r="T20" s="111">
        <f>Table1123457913[[#This Row],[M (KN.mm)]]/(Table1123457913[[#This Row],[a (mm)]]^2*Table1123457913[[#This Row],[b (mm)]]*Table1123457913[[#This Row],[h (mm)]])</f>
        <v>3.1312500000000002E-7</v>
      </c>
      <c r="U20" s="111">
        <f>Table1123457913[[#This Row],[M (KN.mm)]]/(Table1123457913[[#This Row],[b (mm)]]*Table1123457913[[#This Row],[d (mm)]]*Table1123457913[[#This Row],[pho (%)]])</f>
        <v>1.9896304467733039</v>
      </c>
      <c r="V20" s="111">
        <f>E20*224.8/(2*SQRT(Table1123457913[[#This Row],[fc (Mpa)]]*145.037)*Table1123457913[[#This Row],[b (mm)]]*Table1123457913[[#This Row],[d (mm)]]*(1/25.4)^2)</f>
        <v>0.7292481494681029</v>
      </c>
      <c r="W20" s="111">
        <f>Table1123457913[[#This Row],[M (KN.mm)]]/$G$27</f>
        <v>0.27277676950998186</v>
      </c>
      <c r="X20" s="111">
        <f>Table1123457913[[#This Row],[V/(2*sqrt(fc) bd)]]</f>
        <v>0.7292481494681029</v>
      </c>
      <c r="Y20" s="111">
        <f>Table1123457913[[#This Row],[a (mm)]]</f>
        <v>2400</v>
      </c>
      <c r="Z20" s="111">
        <f>Table1123457913[[#This Row],[width]]*Table1123457913[[#This Row],[h (mm)]]^2</f>
        <v>300000000</v>
      </c>
      <c r="AA20" s="111">
        <f>Table1123457913[[#This Row],[b (mm)]]</f>
        <v>300</v>
      </c>
      <c r="AB20" s="111">
        <f>Table1123457913[[#This Row],[a]]/Table1123457913[[#This Row],[h (mm)]]</f>
        <v>2.4</v>
      </c>
      <c r="AC20" s="111">
        <f>Table1123457913[[#This Row],[h (mm)]]</f>
        <v>1000</v>
      </c>
      <c r="AD20" s="111">
        <v>2400</v>
      </c>
      <c r="AE20" s="111">
        <v>925</v>
      </c>
      <c r="AF20" s="111">
        <v>1000</v>
      </c>
      <c r="AG20" s="111">
        <v>300</v>
      </c>
      <c r="AH20" s="7">
        <v>45</v>
      </c>
      <c r="AI20" s="111">
        <f>Table1123457913[[#This Row],[pho (%)]]*Table1123457913[[#This Row],[b (mm)]]*Table1123457913[[#This Row],[h (mm)]]/100</f>
        <v>2940</v>
      </c>
      <c r="AJ20" s="160">
        <f t="shared" si="4"/>
        <v>0.98</v>
      </c>
      <c r="AK20" s="160">
        <v>525</v>
      </c>
      <c r="AL20" s="111">
        <f>(1/3-0.21*(MIN(Table1123457913[[#This Row],[b (mm)]],AF20)/MAX(Table1123457913[[#This Row],[b (mm)]],AF20))*(MIN(Table1123457913[[#This Row],[b (mm)]],AF20)^4/(12*MAX(Table1123457913[[#This Row],[b (mm)]],AF20)^4)))*MAX(Table1123457913[[#This Row],[b (mm)]],AF20)*MIN(Table1123457913[[#This Row],[b (mm)]],AF20)^3</f>
        <v>8998851825</v>
      </c>
      <c r="AM20" s="111">
        <f>Table1123457913[[#This Row],[b (mm)]]*AF20^3/12</f>
        <v>25000000000</v>
      </c>
      <c r="AN20" s="111">
        <v>4800</v>
      </c>
      <c r="AO20"/>
      <c r="AP20" s="138"/>
      <c r="AQ20" s="138"/>
      <c r="AR20" s="1"/>
    </row>
    <row r="21" spans="1:49" s="129" customFormat="1" x14ac:dyDescent="0.3">
      <c r="A21" s="150" t="s">
        <v>190</v>
      </c>
      <c r="B21" s="283">
        <v>2</v>
      </c>
      <c r="C21" s="283">
        <v>27</v>
      </c>
      <c r="D21" s="275">
        <f>Table1123457913[[#This Row],[a (mm)]]/Table1123457913[[#This Row],[d (mm)]]</f>
        <v>2.5945945945945947</v>
      </c>
      <c r="E21" s="284">
        <f>534.1/2</f>
        <v>267.05</v>
      </c>
      <c r="F21" s="137">
        <f>Table1123457913[[#This Row],[d (mm)]]</f>
        <v>925</v>
      </c>
      <c r="G21" s="111">
        <f t="shared" si="5"/>
        <v>640920</v>
      </c>
      <c r="H21" s="111">
        <f t="shared" si="0"/>
        <v>9.7342194621342166E-7</v>
      </c>
      <c r="I21" s="111">
        <f>G21/(Table1123457913[[#This Row],[b (mm)]]*Table1123457913[[#This Row],[h (mm)]]^2)</f>
        <v>2.1364000000000001E-3</v>
      </c>
      <c r="J21" s="111">
        <f t="shared" si="1"/>
        <v>0.4489060489060489</v>
      </c>
      <c r="K21" s="111">
        <f t="shared" si="2"/>
        <v>9.4509580060383917E-7</v>
      </c>
      <c r="L21" s="111">
        <f>E21/(Table1123457913[[#This Row],[b (mm)]]*AE21)</f>
        <v>9.6234234234234234E-4</v>
      </c>
      <c r="M21" s="111">
        <f>Table1123457913[[#This Row],[M (KN.mm)]]/(Table1123457913[[#This Row],[b (mm)]]*Table1123457913[[#This Row],[d (mm)]])</f>
        <v>2.3096216216216217</v>
      </c>
      <c r="N21" s="111">
        <f>Table1123457913[[#This Row],[M (KN.mm)]]/(Table1123457913[[#This Row],[b (mm)]]*Table1123457913[[#This Row],[h (mm)]])</f>
        <v>2.1364000000000001</v>
      </c>
      <c r="O21" s="111">
        <f>Table1123457913[[#This Row],[M (KN.mm)]]/(Table1123457913[[#This Row],[b (mm)]]*Table1123457913[[#This Row],[h (mm)]]*Table1123457913[[#This Row],[L(mm)]])</f>
        <v>4.4508333333333336E-4</v>
      </c>
      <c r="P21" s="111">
        <f>Table1123457913[[#This Row],[M (KN.mm)]]/(Table1123457913[[#This Row],[b (mm)]]*Table1123457913[[#This Row],[d (mm)]]*Table1123457913[[#This Row],[L(mm)]])</f>
        <v>4.8117117117117117E-4</v>
      </c>
      <c r="Q21" s="111">
        <f>Table1123457913[[#This Row],[M (KN.mm)]]/(Table1123457913[[#This Row],[b (mm)]]*Table1123457913[[#This Row],[h (mm)]]*Table1123457913[[#This Row],[L(mm)]]*Table1123457913[[#This Row],[fc (Mpa)]])</f>
        <v>9.8907407407407405E-6</v>
      </c>
      <c r="R21" s="111">
        <f>Table1123457913[[#This Row],[M (KN.mm)]]/(Table1123457913[[#This Row],[b (mm)]]*Table1123457913[[#This Row],[h (mm)]]*Table1123457913[[#This Row],[L(mm)]]/2)</f>
        <v>8.9016666666666671E-4</v>
      </c>
      <c r="S21" s="111">
        <f>Table1123457913[[#This Row],[M (KN.mm)]]/(Table1123457913[[#This Row],[a (mm)]]*Table1123457913[[#This Row],[b (mm)]]*Table1123457913[[#This Row],[h (mm)]]*Table1123457913[[#This Row],[L(mm)]]/2)</f>
        <v>3.7090277777777777E-7</v>
      </c>
      <c r="T21" s="111">
        <f>Table1123457913[[#This Row],[M (KN.mm)]]/(Table1123457913[[#This Row],[a (mm)]]^2*Table1123457913[[#This Row],[b (mm)]]*Table1123457913[[#This Row],[h (mm)]])</f>
        <v>3.7090277777777777E-7</v>
      </c>
      <c r="U21" s="111">
        <f>Table1123457913[[#This Row],[M (KN.mm)]]/(Table1123457913[[#This Row],[b (mm)]]*Table1123457913[[#This Row],[d (mm)]]*Table1123457913[[#This Row],[pho (%)]])</f>
        <v>2.3567567567567567</v>
      </c>
      <c r="V21" s="111">
        <f>E21*224.8/(2*SQRT(Table1123457913[[#This Row],[fc (Mpa)]]*145.037)*Table1123457913[[#This Row],[b (mm)]]*Table1123457913[[#This Row],[d (mm)]]*(1/25.4)^2)</f>
        <v>0.86380890803041421</v>
      </c>
      <c r="W21" s="111">
        <f>Table1123457913[[#This Row],[M (KN.mm)]]/$G$27</f>
        <v>0.32310949788263765</v>
      </c>
      <c r="X21" s="111">
        <f>Table1123457913[[#This Row],[V/(2*sqrt(fc) bd)]]</f>
        <v>0.86380890803041421</v>
      </c>
      <c r="Y21" s="111">
        <f>Table1123457913[[#This Row],[a (mm)]]</f>
        <v>2400</v>
      </c>
      <c r="Z21" s="111">
        <f>Table1123457913[[#This Row],[width]]*Table1123457913[[#This Row],[h (mm)]]^2</f>
        <v>300000000</v>
      </c>
      <c r="AA21" s="111">
        <f>Table1123457913[[#This Row],[b (mm)]]</f>
        <v>300</v>
      </c>
      <c r="AB21" s="111">
        <f>Table1123457913[[#This Row],[a]]/Table1123457913[[#This Row],[h (mm)]]</f>
        <v>2.4</v>
      </c>
      <c r="AC21" s="111">
        <f>Table1123457913[[#This Row],[h (mm)]]</f>
        <v>1000</v>
      </c>
      <c r="AD21" s="111">
        <v>2400</v>
      </c>
      <c r="AE21" s="111">
        <v>925</v>
      </c>
      <c r="AF21" s="111">
        <v>1000</v>
      </c>
      <c r="AG21" s="111">
        <v>300</v>
      </c>
      <c r="AH21" s="7">
        <v>45</v>
      </c>
      <c r="AI21" s="111">
        <f>Table1123457913[[#This Row],[pho (%)]]*Table1123457913[[#This Row],[b (mm)]]*Table1123457913[[#This Row],[h (mm)]]/100</f>
        <v>2940</v>
      </c>
      <c r="AJ21" s="160">
        <f t="shared" si="4"/>
        <v>0.98</v>
      </c>
      <c r="AK21" s="160">
        <v>525</v>
      </c>
      <c r="AL21" s="111">
        <f>(1/3-0.21*(MIN(Table1123457913[[#This Row],[b (mm)]],AF21)/MAX(Table1123457913[[#This Row],[b (mm)]],AF21))*(MIN(Table1123457913[[#This Row],[b (mm)]],AF21)^4/(12*MAX(Table1123457913[[#This Row],[b (mm)]],AF21)^4)))*MAX(Table1123457913[[#This Row],[b (mm)]],AF21)*MIN(Table1123457913[[#This Row],[b (mm)]],AF21)^3</f>
        <v>8998851825</v>
      </c>
      <c r="AM21" s="111">
        <f>Table1123457913[[#This Row],[b (mm)]]*AF21^3/12</f>
        <v>25000000000</v>
      </c>
      <c r="AN21" s="111">
        <v>4800</v>
      </c>
      <c r="AO21"/>
      <c r="AP21" s="138"/>
      <c r="AQ21" s="138"/>
      <c r="AR21" s="1"/>
    </row>
    <row r="22" spans="1:49" s="129" customFormat="1" x14ac:dyDescent="0.3">
      <c r="A22" s="150" t="s">
        <v>190</v>
      </c>
      <c r="B22" s="283">
        <v>3</v>
      </c>
      <c r="C22" s="283">
        <v>28</v>
      </c>
      <c r="D22" s="275">
        <f>Table1123457913[[#This Row],[a (mm)]]/Table1123457913[[#This Row],[d (mm)]]</f>
        <v>2.5945945945945947</v>
      </c>
      <c r="E22" s="284">
        <f>586.2/2</f>
        <v>293.10000000000002</v>
      </c>
      <c r="F22" s="137">
        <f>Table1123457913[[#This Row],[d (mm)]]</f>
        <v>925</v>
      </c>
      <c r="G22" s="111">
        <f t="shared" si="5"/>
        <v>703440</v>
      </c>
      <c r="H22" s="111">
        <f t="shared" si="0"/>
        <v>1.0683766052617634E-6</v>
      </c>
      <c r="I22" s="111">
        <f>G22/(Table1123457913[[#This Row],[b (mm)]]*Table1123457913[[#This Row],[h (mm)]]^2)</f>
        <v>2.3448000000000002E-3</v>
      </c>
      <c r="J22" s="111">
        <f t="shared" si="1"/>
        <v>0.49269561106295801</v>
      </c>
      <c r="K22" s="111">
        <f t="shared" si="2"/>
        <v>1.0372873213143054E-6</v>
      </c>
      <c r="L22" s="111">
        <f>E22/(Table1123457913[[#This Row],[b (mm)]]*AE22)</f>
        <v>1.0562162162162164E-3</v>
      </c>
      <c r="M22" s="111">
        <f>Table1123457913[[#This Row],[M (KN.mm)]]/(Table1123457913[[#This Row],[b (mm)]]*Table1123457913[[#This Row],[d (mm)]])</f>
        <v>2.534918918918919</v>
      </c>
      <c r="N22" s="111">
        <f>Table1123457913[[#This Row],[M (KN.mm)]]/(Table1123457913[[#This Row],[b (mm)]]*Table1123457913[[#This Row],[h (mm)]])</f>
        <v>2.3448000000000002</v>
      </c>
      <c r="O22" s="111">
        <f>Table1123457913[[#This Row],[M (KN.mm)]]/(Table1123457913[[#This Row],[b (mm)]]*Table1123457913[[#This Row],[h (mm)]]*Table1123457913[[#This Row],[L(mm)]])</f>
        <v>4.885E-4</v>
      </c>
      <c r="P22" s="111">
        <f>Table1123457913[[#This Row],[M (KN.mm)]]/(Table1123457913[[#This Row],[b (mm)]]*Table1123457913[[#This Row],[d (mm)]]*Table1123457913[[#This Row],[L(mm)]])</f>
        <v>5.2810810810810808E-4</v>
      </c>
      <c r="Q22" s="111">
        <f>Table1123457913[[#This Row],[M (KN.mm)]]/(Table1123457913[[#This Row],[b (mm)]]*Table1123457913[[#This Row],[h (mm)]]*Table1123457913[[#This Row],[L(mm)]]*Table1123457913[[#This Row],[fc (Mpa)]])</f>
        <v>1.0855555555555556E-5</v>
      </c>
      <c r="R22" s="111">
        <f>Table1123457913[[#This Row],[M (KN.mm)]]/(Table1123457913[[#This Row],[b (mm)]]*Table1123457913[[#This Row],[h (mm)]]*Table1123457913[[#This Row],[L(mm)]]/2)</f>
        <v>9.77E-4</v>
      </c>
      <c r="S22" s="111">
        <f>Table1123457913[[#This Row],[M (KN.mm)]]/(Table1123457913[[#This Row],[a (mm)]]*Table1123457913[[#This Row],[b (mm)]]*Table1123457913[[#This Row],[h (mm)]]*Table1123457913[[#This Row],[L(mm)]]/2)</f>
        <v>4.0708333333333334E-7</v>
      </c>
      <c r="T22" s="111">
        <f>Table1123457913[[#This Row],[M (KN.mm)]]/(Table1123457913[[#This Row],[a (mm)]]^2*Table1123457913[[#This Row],[b (mm)]]*Table1123457913[[#This Row],[h (mm)]])</f>
        <v>4.0708333333333334E-7</v>
      </c>
      <c r="U22" s="111">
        <f>Table1123457913[[#This Row],[M (KN.mm)]]/(Table1123457913[[#This Row],[b (mm)]]*Table1123457913[[#This Row],[d (mm)]]*Table1123457913[[#This Row],[pho (%)]])</f>
        <v>2.5866519580805294</v>
      </c>
      <c r="V22" s="111">
        <f>E22*224.8/(2*SQRT(Table1123457913[[#This Row],[fc (Mpa)]]*145.037)*Table1123457913[[#This Row],[b (mm)]]*Table1123457913[[#This Row],[d (mm)]]*(1/25.4)^2)</f>
        <v>0.94807111381282305</v>
      </c>
      <c r="W22" s="111">
        <f>Table1123457913[[#This Row],[M (KN.mm)]]/$G$27</f>
        <v>0.35462794918330309</v>
      </c>
      <c r="X22" s="111">
        <f>Table1123457913[[#This Row],[V/(2*sqrt(fc) bd)]]</f>
        <v>0.94807111381282305</v>
      </c>
      <c r="Y22" s="111">
        <f>Table1123457913[[#This Row],[a (mm)]]</f>
        <v>2400</v>
      </c>
      <c r="Z22" s="111">
        <f>Table1123457913[[#This Row],[width]]*Table1123457913[[#This Row],[h (mm)]]^2</f>
        <v>300000000</v>
      </c>
      <c r="AA22" s="111">
        <f>Table1123457913[[#This Row],[b (mm)]]</f>
        <v>300</v>
      </c>
      <c r="AB22" s="111">
        <f>Table1123457913[[#This Row],[a]]/Table1123457913[[#This Row],[h (mm)]]</f>
        <v>2.4</v>
      </c>
      <c r="AC22" s="111">
        <f>Table1123457913[[#This Row],[h (mm)]]</f>
        <v>1000</v>
      </c>
      <c r="AD22" s="111">
        <v>2400</v>
      </c>
      <c r="AE22" s="111">
        <v>925</v>
      </c>
      <c r="AF22" s="111">
        <v>1000</v>
      </c>
      <c r="AG22" s="111">
        <v>300</v>
      </c>
      <c r="AH22" s="7">
        <v>45</v>
      </c>
      <c r="AI22" s="111">
        <f>Table1123457913[[#This Row],[pho (%)]]*Table1123457913[[#This Row],[b (mm)]]*Table1123457913[[#This Row],[h (mm)]]/100</f>
        <v>2940</v>
      </c>
      <c r="AJ22" s="160">
        <f t="shared" si="4"/>
        <v>0.98</v>
      </c>
      <c r="AK22" s="160">
        <v>525</v>
      </c>
      <c r="AL22" s="111">
        <f>(1/3-0.21*(MIN(Table1123457913[[#This Row],[b (mm)]],AF22)/MAX(Table1123457913[[#This Row],[b (mm)]],AF22))*(MIN(Table1123457913[[#This Row],[b (mm)]],AF22)^4/(12*MAX(Table1123457913[[#This Row],[b (mm)]],AF22)^4)))*MAX(Table1123457913[[#This Row],[b (mm)]],AF22)*MIN(Table1123457913[[#This Row],[b (mm)]],AF22)^3</f>
        <v>8998851825</v>
      </c>
      <c r="AM22" s="111">
        <f>Table1123457913[[#This Row],[b (mm)]]*AF22^3/12</f>
        <v>25000000000</v>
      </c>
      <c r="AN22" s="111">
        <v>4800</v>
      </c>
      <c r="AO22"/>
      <c r="AP22" s="138"/>
      <c r="AQ22" s="138"/>
      <c r="AR22" s="1"/>
    </row>
    <row r="23" spans="1:49" s="129" customFormat="1" x14ac:dyDescent="0.3">
      <c r="A23" s="150" t="s">
        <v>190</v>
      </c>
      <c r="B23" s="283">
        <v>4</v>
      </c>
      <c r="C23" s="283">
        <v>29</v>
      </c>
      <c r="D23" s="275">
        <f>Table1123457913[[#This Row],[a (mm)]]/Table1123457913[[#This Row],[d (mm)]]</f>
        <v>2.5945945945945947</v>
      </c>
      <c r="E23" s="284">
        <f>645.9/2</f>
        <v>322.95</v>
      </c>
      <c r="F23" s="137">
        <f>Table1123457913[[#This Row],[d (mm)]]</f>
        <v>925</v>
      </c>
      <c r="G23" s="111">
        <f>E23*AD23</f>
        <v>775080</v>
      </c>
      <c r="H23" s="111">
        <f t="shared" si="0"/>
        <v>1.1771826157259859E-6</v>
      </c>
      <c r="I23" s="111">
        <f>G23/(Table1123457913[[#This Row],[b (mm)]]*Table1123457913[[#This Row],[h (mm)]]^2)</f>
        <v>2.5836000000000001E-3</v>
      </c>
      <c r="J23" s="111">
        <f t="shared" si="1"/>
        <v>0.54287290205657557</v>
      </c>
      <c r="K23" s="111">
        <f>E23/($AQ$4*AL23*0.001)</f>
        <v>1.1429271252762023E-6</v>
      </c>
      <c r="L23" s="111">
        <f>E23/(Table1123457913[[#This Row],[b (mm)]]*AE23)</f>
        <v>1.1637837837837838E-3</v>
      </c>
      <c r="M23" s="111">
        <f>Table1123457913[[#This Row],[M (KN.mm)]]/(Table1123457913[[#This Row],[b (mm)]]*Table1123457913[[#This Row],[d (mm)]])</f>
        <v>2.7930810810810809</v>
      </c>
      <c r="N23" s="111">
        <f>Table1123457913[[#This Row],[M (KN.mm)]]/(Table1123457913[[#This Row],[b (mm)]]*Table1123457913[[#This Row],[h (mm)]])</f>
        <v>2.5836000000000001</v>
      </c>
      <c r="O23" s="111">
        <f>Table1123457913[[#This Row],[M (KN.mm)]]/(Table1123457913[[#This Row],[b (mm)]]*Table1123457913[[#This Row],[h (mm)]]*Table1123457913[[#This Row],[L(mm)]])</f>
        <v>5.3824999999999999E-4</v>
      </c>
      <c r="P23" s="111">
        <f>Table1123457913[[#This Row],[M (KN.mm)]]/(Table1123457913[[#This Row],[b (mm)]]*Table1123457913[[#This Row],[d (mm)]]*Table1123457913[[#This Row],[L(mm)]])</f>
        <v>5.818918918918919E-4</v>
      </c>
      <c r="Q23" s="111">
        <f>Table1123457913[[#This Row],[M (KN.mm)]]/(Table1123457913[[#This Row],[b (mm)]]*Table1123457913[[#This Row],[h (mm)]]*Table1123457913[[#This Row],[L(mm)]]*Table1123457913[[#This Row],[fc (Mpa)]])</f>
        <v>1.196111111111111E-5</v>
      </c>
      <c r="R23" s="111">
        <f>Table1123457913[[#This Row],[M (KN.mm)]]/(Table1123457913[[#This Row],[b (mm)]]*Table1123457913[[#This Row],[h (mm)]]*Table1123457913[[#This Row],[L(mm)]]/2)</f>
        <v>1.0765E-3</v>
      </c>
      <c r="S23" s="111">
        <f>Table1123457913[[#This Row],[M (KN.mm)]]/(Table1123457913[[#This Row],[a (mm)]]*Table1123457913[[#This Row],[b (mm)]]*Table1123457913[[#This Row],[h (mm)]]*Table1123457913[[#This Row],[L(mm)]]/2)</f>
        <v>4.4854166666666668E-7</v>
      </c>
      <c r="T23" s="111">
        <f>Table1123457913[[#This Row],[M (KN.mm)]]/(Table1123457913[[#This Row],[a (mm)]]^2*Table1123457913[[#This Row],[b (mm)]]*Table1123457913[[#This Row],[h (mm)]])</f>
        <v>4.4854166666666668E-7</v>
      </c>
      <c r="U23" s="111">
        <f>Table1123457913[[#This Row],[M (KN.mm)]]/(Table1123457913[[#This Row],[b (mm)]]*Table1123457913[[#This Row],[d (mm)]]*Table1123457913[[#This Row],[pho (%)]])</f>
        <v>2.8500827357970215</v>
      </c>
      <c r="V23" s="111">
        <f>E23*224.8/(2*SQRT(Table1123457913[[#This Row],[fc (Mpa)]]*145.037)*Table1123457913[[#This Row],[b (mm)]]*Table1123457913[[#This Row],[d (mm)]]*(1/25.4)^2)</f>
        <v>1.04462492734852</v>
      </c>
      <c r="W23" s="111">
        <f>Table1123457913[[#This Row],[M (KN.mm)]]/$G$27</f>
        <v>0.39074410163339385</v>
      </c>
      <c r="X23" s="111">
        <f>Table1123457913[[#This Row],[V/(2*sqrt(fc) bd)]]</f>
        <v>1.04462492734852</v>
      </c>
      <c r="Y23" s="111">
        <f>Table1123457913[[#This Row],[a (mm)]]</f>
        <v>2400</v>
      </c>
      <c r="Z23" s="111">
        <f>Table1123457913[[#This Row],[width]]*Table1123457913[[#This Row],[h (mm)]]^2</f>
        <v>300000000</v>
      </c>
      <c r="AA23" s="111">
        <f>Table1123457913[[#This Row],[b (mm)]]</f>
        <v>300</v>
      </c>
      <c r="AB23" s="111">
        <f>Table1123457913[[#This Row],[a]]/Table1123457913[[#This Row],[h (mm)]]</f>
        <v>2.4</v>
      </c>
      <c r="AC23" s="111">
        <f>Table1123457913[[#This Row],[h (mm)]]</f>
        <v>1000</v>
      </c>
      <c r="AD23" s="111">
        <v>2400</v>
      </c>
      <c r="AE23" s="111">
        <v>925</v>
      </c>
      <c r="AF23" s="111">
        <v>1000</v>
      </c>
      <c r="AG23" s="111">
        <v>300</v>
      </c>
      <c r="AH23" s="7">
        <v>45</v>
      </c>
      <c r="AI23" s="111">
        <f>Table1123457913[[#This Row],[pho (%)]]*Table1123457913[[#This Row],[b (mm)]]*Table1123457913[[#This Row],[h (mm)]]/100</f>
        <v>2940</v>
      </c>
      <c r="AJ23" s="160">
        <f t="shared" si="4"/>
        <v>0.98</v>
      </c>
      <c r="AK23" s="160">
        <v>525</v>
      </c>
      <c r="AL23" s="111">
        <f>(1/3-0.21*(MIN(Table1123457913[[#This Row],[b (mm)]],AF23)/MAX(Table1123457913[[#This Row],[b (mm)]],AF23))*(MIN(Table1123457913[[#This Row],[b (mm)]],AF23)^4/(12*MAX(Table1123457913[[#This Row],[b (mm)]],AF23)^4)))*MAX(Table1123457913[[#This Row],[b (mm)]],AF23)*MIN(Table1123457913[[#This Row],[b (mm)]],AF23)^3</f>
        <v>8998851825</v>
      </c>
      <c r="AM23" s="111">
        <f>Table1123457913[[#This Row],[b (mm)]]*AF23^3/12</f>
        <v>25000000000</v>
      </c>
      <c r="AN23" s="111">
        <v>4800</v>
      </c>
      <c r="AO23"/>
      <c r="AP23" s="138"/>
      <c r="AQ23" s="138"/>
      <c r="AR23" s="1"/>
    </row>
    <row r="24" spans="1:49" x14ac:dyDescent="0.3">
      <c r="A24" s="150" t="s">
        <v>190</v>
      </c>
      <c r="B24" s="283">
        <v>5</v>
      </c>
      <c r="C24" s="283">
        <v>30</v>
      </c>
      <c r="D24" s="275">
        <f>Table1123457913[[#This Row],[a (mm)]]/Table1123457913[[#This Row],[d (mm)]]</f>
        <v>2.5945945945945947</v>
      </c>
      <c r="E24" s="284">
        <f>683/2</f>
        <v>341.5</v>
      </c>
      <c r="F24" s="137">
        <f>Table1123457913[[#This Row],[d (mm)]]</f>
        <v>925</v>
      </c>
      <c r="G24" s="111">
        <f>E24*AD24</f>
        <v>819600</v>
      </c>
      <c r="H24" s="111">
        <f t="shared" si="0"/>
        <v>1.2447990811903521E-6</v>
      </c>
      <c r="I24" s="111">
        <f>G24/(Table1123457913[[#This Row],[b (mm)]]*Table1123457913[[#This Row],[h (mm)]]^2)</f>
        <v>2.7320000000000001E-3</v>
      </c>
      <c r="J24" s="111">
        <f t="shared" si="1"/>
        <v>0.57405510466734955</v>
      </c>
      <c r="K24" s="111">
        <f>E24/($AQ$4*AL24*0.001)</f>
        <v>1.2085759816746342E-6</v>
      </c>
      <c r="L24" s="111">
        <f>E24/(Table1123457913[[#This Row],[b (mm)]]*AE24)</f>
        <v>1.2306306306306305E-3</v>
      </c>
      <c r="M24" s="111">
        <f>Table1123457913[[#This Row],[M (KN.mm)]]/(Table1123457913[[#This Row],[b (mm)]]*Table1123457913[[#This Row],[d (mm)]])</f>
        <v>2.9535135135135135</v>
      </c>
      <c r="N24" s="111">
        <f>Table1123457913[[#This Row],[M (KN.mm)]]/(Table1123457913[[#This Row],[b (mm)]]*Table1123457913[[#This Row],[h (mm)]])</f>
        <v>2.7320000000000002</v>
      </c>
      <c r="O24" s="111">
        <f>Table1123457913[[#This Row],[M (KN.mm)]]/(Table1123457913[[#This Row],[b (mm)]]*Table1123457913[[#This Row],[h (mm)]]*Table1123457913[[#This Row],[L(mm)]])</f>
        <v>5.6916666666666671E-4</v>
      </c>
      <c r="P24" s="111">
        <f>Table1123457913[[#This Row],[M (KN.mm)]]/(Table1123457913[[#This Row],[b (mm)]]*Table1123457913[[#This Row],[d (mm)]]*Table1123457913[[#This Row],[L(mm)]])</f>
        <v>6.1531531531531527E-4</v>
      </c>
      <c r="Q24" s="111">
        <f>Table1123457913[[#This Row],[M (KN.mm)]]/(Table1123457913[[#This Row],[b (mm)]]*Table1123457913[[#This Row],[h (mm)]]*Table1123457913[[#This Row],[L(mm)]]*Table1123457913[[#This Row],[fc (Mpa)]])</f>
        <v>1.2648148148148148E-5</v>
      </c>
      <c r="R24" s="111">
        <f>Table1123457913[[#This Row],[M (KN.mm)]]/(Table1123457913[[#This Row],[b (mm)]]*Table1123457913[[#This Row],[h (mm)]]*Table1123457913[[#This Row],[L(mm)]]/2)</f>
        <v>1.1383333333333334E-3</v>
      </c>
      <c r="S24" s="111">
        <f>Table1123457913[[#This Row],[M (KN.mm)]]/(Table1123457913[[#This Row],[a (mm)]]*Table1123457913[[#This Row],[b (mm)]]*Table1123457913[[#This Row],[h (mm)]]*Table1123457913[[#This Row],[L(mm)]]/2)</f>
        <v>4.7430555555555556E-7</v>
      </c>
      <c r="T24" s="111">
        <f>Table1123457913[[#This Row],[M (KN.mm)]]/(Table1123457913[[#This Row],[a (mm)]]^2*Table1123457913[[#This Row],[b (mm)]]*Table1123457913[[#This Row],[h (mm)]])</f>
        <v>4.7430555555555556E-7</v>
      </c>
      <c r="U24" s="111">
        <f>Table1123457913[[#This Row],[M (KN.mm)]]/(Table1123457913[[#This Row],[b (mm)]]*Table1123457913[[#This Row],[d (mm)]]*Table1123457913[[#This Row],[pho (%)]])</f>
        <v>3.0137892995035851</v>
      </c>
      <c r="V24" s="111">
        <f>E24*224.8/(2*SQRT(Table1123457913[[#This Row],[fc (Mpa)]]*145.037)*Table1123457913[[#This Row],[b (mm)]]*Table1123457913[[#This Row],[d (mm)]]*(1/25.4)^2)</f>
        <v>1.1046273809862812</v>
      </c>
      <c r="W24" s="111">
        <f>Table1123457913[[#This Row],[M (KN.mm)]]/$G$27</f>
        <v>0.41318814277071991</v>
      </c>
      <c r="X24" s="111">
        <f>Table1123457913[[#This Row],[V/(2*sqrt(fc) bd)]]</f>
        <v>1.1046273809862812</v>
      </c>
      <c r="Y24" s="111">
        <f>Table1123457913[[#This Row],[a (mm)]]</f>
        <v>2400</v>
      </c>
      <c r="Z24" s="111">
        <f>Table1123457913[[#This Row],[width]]*Table1123457913[[#This Row],[h (mm)]]^2</f>
        <v>300000000</v>
      </c>
      <c r="AA24" s="111">
        <f>Table1123457913[[#This Row],[b (mm)]]</f>
        <v>300</v>
      </c>
      <c r="AB24" s="111">
        <f>Table1123457913[[#This Row],[a]]/Table1123457913[[#This Row],[h (mm)]]</f>
        <v>2.4</v>
      </c>
      <c r="AC24" s="111">
        <f>Table1123457913[[#This Row],[h (mm)]]</f>
        <v>1000</v>
      </c>
      <c r="AD24" s="111">
        <v>2400</v>
      </c>
      <c r="AE24" s="111">
        <v>925</v>
      </c>
      <c r="AF24" s="111">
        <v>1000</v>
      </c>
      <c r="AG24" s="111">
        <v>300</v>
      </c>
      <c r="AH24" s="7">
        <v>45</v>
      </c>
      <c r="AI24" s="111">
        <f>Table1123457913[[#This Row],[pho (%)]]*Table1123457913[[#This Row],[b (mm)]]*Table1123457913[[#This Row],[h (mm)]]/100</f>
        <v>2940</v>
      </c>
      <c r="AJ24" s="160">
        <f t="shared" si="4"/>
        <v>0.98</v>
      </c>
      <c r="AK24" s="160">
        <v>525</v>
      </c>
      <c r="AL24" s="111">
        <f>(1/3-0.21*(MIN(Table1123457913[[#This Row],[b (mm)]],AF24)/MAX(Table1123457913[[#This Row],[b (mm)]],AF24))*(MIN(Table1123457913[[#This Row],[b (mm)]],AF24)^4/(12*MAX(Table1123457913[[#This Row],[b (mm)]],AF24)^4)))*MAX(Table1123457913[[#This Row],[b (mm)]],AF24)*MIN(Table1123457913[[#This Row],[b (mm)]],AF24)^3</f>
        <v>8998851825</v>
      </c>
      <c r="AM24" s="111">
        <f>Table1123457913[[#This Row],[b (mm)]]*AF24^3/12</f>
        <v>25000000000</v>
      </c>
      <c r="AN24" s="111">
        <v>4800</v>
      </c>
      <c r="AP24" s="1"/>
    </row>
    <row r="25" spans="1:49" x14ac:dyDescent="0.3">
      <c r="A25" s="150" t="s">
        <v>190</v>
      </c>
      <c r="B25" s="283">
        <v>6</v>
      </c>
      <c r="C25" s="283">
        <v>31</v>
      </c>
      <c r="D25" s="275">
        <f>Table1123457913[[#This Row],[a (mm)]]/Table1123457913[[#This Row],[d (mm)]]</f>
        <v>2.5945945945945947</v>
      </c>
      <c r="E25" s="284">
        <f>794/2</f>
        <v>397</v>
      </c>
      <c r="F25" s="137">
        <f>Table1123457913[[#This Row],[d (mm)]]</f>
        <v>925</v>
      </c>
      <c r="G25" s="111">
        <f t="shared" si="5"/>
        <v>952800</v>
      </c>
      <c r="H25" s="111">
        <f t="shared" si="0"/>
        <v>1.4471017137117709E-6</v>
      </c>
      <c r="I25" s="111">
        <f>G25/(Table1123457913[[#This Row],[b (mm)]]*Table1123457913[[#This Row],[h (mm)]]^2)</f>
        <v>3.176E-3</v>
      </c>
      <c r="J25" s="111">
        <f t="shared" si="1"/>
        <v>0.667349565308749</v>
      </c>
      <c r="K25" s="111">
        <f t="shared" si="2"/>
        <v>1.4049916975836891E-6</v>
      </c>
      <c r="L25" s="111">
        <f>E25/(Table1123457913[[#This Row],[b (mm)]]*AE25)</f>
        <v>1.4306306306306306E-3</v>
      </c>
      <c r="M25" s="111">
        <f>Table1123457913[[#This Row],[M (KN.mm)]]/(Table1123457913[[#This Row],[b (mm)]]*Table1123457913[[#This Row],[d (mm)]])</f>
        <v>3.4335135135135135</v>
      </c>
      <c r="N25" s="111">
        <f>Table1123457913[[#This Row],[M (KN.mm)]]/(Table1123457913[[#This Row],[b (mm)]]*Table1123457913[[#This Row],[h (mm)]])</f>
        <v>3.1760000000000002</v>
      </c>
      <c r="O25" s="111">
        <f>Table1123457913[[#This Row],[M (KN.mm)]]/(Table1123457913[[#This Row],[b (mm)]]*Table1123457913[[#This Row],[h (mm)]]*Table1123457913[[#This Row],[L(mm)]])</f>
        <v>6.6166666666666663E-4</v>
      </c>
      <c r="P25" s="111">
        <f>Table1123457913[[#This Row],[M (KN.mm)]]/(Table1123457913[[#This Row],[b (mm)]]*Table1123457913[[#This Row],[d (mm)]]*Table1123457913[[#This Row],[L(mm)]])</f>
        <v>7.1531531531531531E-4</v>
      </c>
      <c r="Q25" s="111">
        <f>Table1123457913[[#This Row],[M (KN.mm)]]/(Table1123457913[[#This Row],[b (mm)]]*Table1123457913[[#This Row],[h (mm)]]*Table1123457913[[#This Row],[L(mm)]]*Table1123457913[[#This Row],[fc (Mpa)]])</f>
        <v>1.4703703703703703E-5</v>
      </c>
      <c r="R25" s="111">
        <f>Table1123457913[[#This Row],[M (KN.mm)]]/(Table1123457913[[#This Row],[b (mm)]]*Table1123457913[[#This Row],[h (mm)]]*Table1123457913[[#This Row],[L(mm)]]/2)</f>
        <v>1.3233333333333333E-3</v>
      </c>
      <c r="S25" s="111">
        <f>Table1123457913[[#This Row],[M (KN.mm)]]/(Table1123457913[[#This Row],[a (mm)]]*Table1123457913[[#This Row],[b (mm)]]*Table1123457913[[#This Row],[h (mm)]]*Table1123457913[[#This Row],[L(mm)]]/2)</f>
        <v>5.5138888888888893E-7</v>
      </c>
      <c r="T25" s="111">
        <f>Table1123457913[[#This Row],[M (KN.mm)]]/(Table1123457913[[#This Row],[a (mm)]]^2*Table1123457913[[#This Row],[b (mm)]]*Table1123457913[[#This Row],[h (mm)]])</f>
        <v>5.5138888888888893E-7</v>
      </c>
      <c r="U25" s="111">
        <f>Table1123457913[[#This Row],[M (KN.mm)]]/(Table1123457913[[#This Row],[b (mm)]]*Table1123457913[[#This Row],[d (mm)]]*Table1123457913[[#This Row],[pho (%)]])</f>
        <v>3.5035852178709321</v>
      </c>
      <c r="V25" s="111">
        <f>E25*224.8/(2*SQRT(Table1123457913[[#This Row],[fc (Mpa)]]*145.037)*Table1123457913[[#This Row],[b (mm)]]*Table1123457913[[#This Row],[d (mm)]]*(1/25.4)^2)</f>
        <v>1.2841495468566726</v>
      </c>
      <c r="W25" s="111">
        <f>Table1123457913[[#This Row],[M (KN.mm)]]/$G$27</f>
        <v>0.48033877797943136</v>
      </c>
      <c r="X25" s="111">
        <f>Table1123457913[[#This Row],[V/(2*sqrt(fc) bd)]]</f>
        <v>1.2841495468566726</v>
      </c>
      <c r="Y25" s="111">
        <f>Table1123457913[[#This Row],[a (mm)]]</f>
        <v>2400</v>
      </c>
      <c r="Z25" s="111">
        <f>Table1123457913[[#This Row],[width]]*Table1123457913[[#This Row],[h (mm)]]^2</f>
        <v>300000000</v>
      </c>
      <c r="AA25" s="111">
        <f>Table1123457913[[#This Row],[b (mm)]]</f>
        <v>300</v>
      </c>
      <c r="AB25" s="111">
        <f>Table1123457913[[#This Row],[a]]/Table1123457913[[#This Row],[h (mm)]]</f>
        <v>2.4</v>
      </c>
      <c r="AC25" s="111">
        <f>Table1123457913[[#This Row],[h (mm)]]</f>
        <v>1000</v>
      </c>
      <c r="AD25" s="111">
        <v>2400</v>
      </c>
      <c r="AE25" s="111">
        <v>925</v>
      </c>
      <c r="AF25" s="111">
        <v>1000</v>
      </c>
      <c r="AG25" s="111">
        <v>300</v>
      </c>
      <c r="AH25" s="7">
        <v>45</v>
      </c>
      <c r="AI25" s="111">
        <f>Table1123457913[[#This Row],[pho (%)]]*Table1123457913[[#This Row],[b (mm)]]*Table1123457913[[#This Row],[h (mm)]]/100</f>
        <v>2940</v>
      </c>
      <c r="AJ25" s="160">
        <f t="shared" si="4"/>
        <v>0.98</v>
      </c>
      <c r="AK25" s="160">
        <v>525</v>
      </c>
      <c r="AL25" s="111">
        <f>(1/3-0.21*(MIN(Table1123457913[[#This Row],[b (mm)]],AF25)/MAX(Table1123457913[[#This Row],[b (mm)]],AF25))*(MIN(Table1123457913[[#This Row],[b (mm)]],AF25)^4/(12*MAX(Table1123457913[[#This Row],[b (mm)]],AF25)^4)))*MAX(Table1123457913[[#This Row],[b (mm)]],AF25)*MIN(Table1123457913[[#This Row],[b (mm)]],AF25)^3</f>
        <v>8998851825</v>
      </c>
      <c r="AM25" s="111">
        <f>Table1123457913[[#This Row],[b (mm)]]*AF25^3/12</f>
        <v>25000000000</v>
      </c>
      <c r="AN25" s="111">
        <v>4800</v>
      </c>
      <c r="AP25" s="1"/>
    </row>
    <row r="26" spans="1:49" x14ac:dyDescent="0.3">
      <c r="A26" s="150" t="s">
        <v>190</v>
      </c>
      <c r="B26" s="283">
        <v>7</v>
      </c>
      <c r="C26" s="283">
        <v>32</v>
      </c>
      <c r="D26" s="275">
        <f>Table1123457913[[#This Row],[a (mm)]]/Table1123457913[[#This Row],[d (mm)]]</f>
        <v>2.5945945945945947</v>
      </c>
      <c r="E26" s="284">
        <f>1088/2</f>
        <v>544</v>
      </c>
      <c r="F26" s="137">
        <f>Table1123457913[[#This Row],[d (mm)]]</f>
        <v>925</v>
      </c>
      <c r="G26" s="111">
        <f t="shared" si="5"/>
        <v>1305600</v>
      </c>
      <c r="H26" s="111">
        <f t="shared" si="0"/>
        <v>1.9829303079576911E-6</v>
      </c>
      <c r="I26" s="111">
        <f>G26/(Table1123457913[[#This Row],[b (mm)]]*Table1123457913[[#This Row],[h (mm)]]^2)</f>
        <v>4.352E-3</v>
      </c>
      <c r="J26" s="111">
        <f t="shared" si="1"/>
        <v>0.91445381241299606</v>
      </c>
      <c r="K26" s="111">
        <f t="shared" si="2"/>
        <v>1.9252279180995637E-6</v>
      </c>
      <c r="L26" s="111">
        <f>E26/(Table1123457913[[#This Row],[b (mm)]]*AE26)</f>
        <v>1.9603603603603604E-3</v>
      </c>
      <c r="M26" s="111">
        <f>Table1123457913[[#This Row],[M (KN.mm)]]/(Table1123457913[[#This Row],[b (mm)]]*Table1123457913[[#This Row],[d (mm)]])</f>
        <v>4.7048648648648648</v>
      </c>
      <c r="N26" s="111">
        <f>Table1123457913[[#This Row],[M (KN.mm)]]/(Table1123457913[[#This Row],[b (mm)]]*Table1123457913[[#This Row],[h (mm)]])</f>
        <v>4.3520000000000003</v>
      </c>
      <c r="O26" s="111">
        <f>Table1123457913[[#This Row],[M (KN.mm)]]/(Table1123457913[[#This Row],[b (mm)]]*Table1123457913[[#This Row],[h (mm)]]*Table1123457913[[#This Row],[L(mm)]])</f>
        <v>9.0666666666666662E-4</v>
      </c>
      <c r="P26" s="111">
        <f>Table1123457913[[#This Row],[M (KN.mm)]]/(Table1123457913[[#This Row],[b (mm)]]*Table1123457913[[#This Row],[d (mm)]]*Table1123457913[[#This Row],[L(mm)]])</f>
        <v>9.8018018018018022E-4</v>
      </c>
      <c r="Q26" s="111">
        <f>Table1123457913[[#This Row],[M (KN.mm)]]/(Table1123457913[[#This Row],[b (mm)]]*Table1123457913[[#This Row],[h (mm)]]*Table1123457913[[#This Row],[L(mm)]]*Table1123457913[[#This Row],[fc (Mpa)]])</f>
        <v>2.0148148148148149E-5</v>
      </c>
      <c r="R26" s="111">
        <f>Table1123457913[[#This Row],[M (KN.mm)]]/(Table1123457913[[#This Row],[b (mm)]]*Table1123457913[[#This Row],[h (mm)]]*Table1123457913[[#This Row],[L(mm)]]/2)</f>
        <v>1.8133333333333332E-3</v>
      </c>
      <c r="S26" s="111">
        <f>Table1123457913[[#This Row],[M (KN.mm)]]/(Table1123457913[[#This Row],[a (mm)]]*Table1123457913[[#This Row],[b (mm)]]*Table1123457913[[#This Row],[h (mm)]]*Table1123457913[[#This Row],[L(mm)]]/2)</f>
        <v>7.5555555555555551E-7</v>
      </c>
      <c r="T26" s="111">
        <f>Table1123457913[[#This Row],[M (KN.mm)]]/(Table1123457913[[#This Row],[a (mm)]]^2*Table1123457913[[#This Row],[b (mm)]]*Table1123457913[[#This Row],[h (mm)]])</f>
        <v>7.5555555555555551E-7</v>
      </c>
      <c r="U26" s="111">
        <f>Table1123457913[[#This Row],[M (KN.mm)]]/(Table1123457913[[#This Row],[b (mm)]]*Table1123457913[[#This Row],[d (mm)]]*Table1123457913[[#This Row],[pho (%)]])</f>
        <v>4.8008825151682295</v>
      </c>
      <c r="V26" s="111">
        <f>E26*224.8/(2*SQRT(Table1123457913[[#This Row],[fc (Mpa)]]*145.037)*Table1123457913[[#This Row],[b (mm)]]*Table1123457913[[#This Row],[d (mm)]]*(1/25.4)^2)</f>
        <v>1.7596406888917631</v>
      </c>
      <c r="W26" s="111">
        <f>Table1123457913[[#This Row],[M (KN.mm)]]/$G$27</f>
        <v>0.6581972171808832</v>
      </c>
      <c r="X26" s="111">
        <f>Table1123457913[[#This Row],[V/(2*sqrt(fc) bd)]]</f>
        <v>1.7596406888917631</v>
      </c>
      <c r="Y26" s="111">
        <f>Table1123457913[[#This Row],[a (mm)]]</f>
        <v>2400</v>
      </c>
      <c r="Z26" s="111">
        <f>Table1123457913[[#This Row],[width]]*Table1123457913[[#This Row],[h (mm)]]^2</f>
        <v>300000000</v>
      </c>
      <c r="AA26" s="111">
        <f>Table1123457913[[#This Row],[b (mm)]]</f>
        <v>300</v>
      </c>
      <c r="AB26" s="111">
        <f>Table1123457913[[#This Row],[a]]/Table1123457913[[#This Row],[h (mm)]]</f>
        <v>2.4</v>
      </c>
      <c r="AC26" s="111">
        <f>Table1123457913[[#This Row],[h (mm)]]</f>
        <v>1000</v>
      </c>
      <c r="AD26" s="111">
        <v>2400</v>
      </c>
      <c r="AE26" s="111">
        <v>925</v>
      </c>
      <c r="AF26" s="111">
        <v>1000</v>
      </c>
      <c r="AG26" s="111">
        <v>300</v>
      </c>
      <c r="AH26" s="7">
        <v>45</v>
      </c>
      <c r="AI26" s="111">
        <f>Table1123457913[[#This Row],[pho (%)]]*Table1123457913[[#This Row],[b (mm)]]*Table1123457913[[#This Row],[h (mm)]]/100</f>
        <v>2940</v>
      </c>
      <c r="AJ26" s="160">
        <f t="shared" si="4"/>
        <v>0.98</v>
      </c>
      <c r="AK26" s="160">
        <v>525</v>
      </c>
      <c r="AL26" s="111">
        <f>(1/3-0.21*(MIN(Table1123457913[[#This Row],[b (mm)]],AF26)/MAX(Table1123457913[[#This Row],[b (mm)]],AF26))*(MIN(Table1123457913[[#This Row],[b (mm)]],AF26)^4/(12*MAX(Table1123457913[[#This Row],[b (mm)]],AF26)^4)))*MAX(Table1123457913[[#This Row],[b (mm)]],AF26)*MIN(Table1123457913[[#This Row],[b (mm)]],AF26)^3</f>
        <v>8998851825</v>
      </c>
      <c r="AM26" s="111">
        <f>Table1123457913[[#This Row],[b (mm)]]*AF26^3/12</f>
        <v>25000000000</v>
      </c>
      <c r="AN26" s="111">
        <v>4800</v>
      </c>
      <c r="AP26" s="1"/>
    </row>
    <row r="27" spans="1:49" x14ac:dyDescent="0.3">
      <c r="A27" s="150" t="s">
        <v>190</v>
      </c>
      <c r="B27" s="283" t="s">
        <v>142</v>
      </c>
      <c r="C27" s="283">
        <v>33</v>
      </c>
      <c r="D27" s="275">
        <f>Table1123457913[[#This Row],[a (mm)]]/Table1123457913[[#This Row],[d (mm)]]</f>
        <v>2.5945945945945947</v>
      </c>
      <c r="E27" s="284">
        <f>1653/2</f>
        <v>826.5</v>
      </c>
      <c r="F27" s="137">
        <f>Table1123457913[[#This Row],[d (mm)]]</f>
        <v>925</v>
      </c>
      <c r="G27" s="111">
        <f t="shared" si="5"/>
        <v>1983600</v>
      </c>
      <c r="H27" s="111">
        <f t="shared" si="0"/>
        <v>3.0126689329541025E-6</v>
      </c>
      <c r="I27" s="111">
        <f>G27/(Table1123457913[[#This Row],[b (mm)]]*Table1123457913[[#This Row],[h (mm)]]^2)</f>
        <v>6.6119999999999998E-3</v>
      </c>
      <c r="J27" s="111">
        <f t="shared" si="1"/>
        <v>1.3893310219840833</v>
      </c>
      <c r="K27" s="111">
        <f t="shared" si="2"/>
        <v>2.9250016071861939E-6</v>
      </c>
      <c r="L27" s="111">
        <f>E27/(Table1123457913[[#This Row],[b (mm)]]*AE27)</f>
        <v>2.9783783783783784E-3</v>
      </c>
      <c r="M27" s="111">
        <f>Table1123457913[[#This Row],[M (KN.mm)]]/(Table1123457913[[#This Row],[b (mm)]]*Table1123457913[[#This Row],[d (mm)]])</f>
        <v>7.1481081081081079</v>
      </c>
      <c r="N27" s="111">
        <f>Table1123457913[[#This Row],[M (KN.mm)]]/(Table1123457913[[#This Row],[b (mm)]]*Table1123457913[[#This Row],[h (mm)]])</f>
        <v>6.6120000000000001</v>
      </c>
      <c r="O27" s="111">
        <f>Table1123457913[[#This Row],[M (KN.mm)]]/(Table1123457913[[#This Row],[b (mm)]]*Table1123457913[[#This Row],[h (mm)]]*Table1123457913[[#This Row],[L(mm)]])</f>
        <v>1.3775E-3</v>
      </c>
      <c r="P27" s="111">
        <f>Table1123457913[[#This Row],[M (KN.mm)]]/(Table1123457913[[#This Row],[b (mm)]]*Table1123457913[[#This Row],[d (mm)]]*Table1123457913[[#This Row],[L(mm)]])</f>
        <v>1.4891891891891892E-3</v>
      </c>
      <c r="Q27" s="111">
        <f>Table1123457913[[#This Row],[M (KN.mm)]]/(Table1123457913[[#This Row],[b (mm)]]*Table1123457913[[#This Row],[h (mm)]]*Table1123457913[[#This Row],[L(mm)]]*Table1123457913[[#This Row],[fc (Mpa)]])</f>
        <v>3.0611111111111111E-5</v>
      </c>
      <c r="R27" s="111">
        <f>Table1123457913[[#This Row],[M (KN.mm)]]/(Table1123457913[[#This Row],[b (mm)]]*Table1123457913[[#This Row],[h (mm)]]*Table1123457913[[#This Row],[L(mm)]]/2)</f>
        <v>2.7550000000000001E-3</v>
      </c>
      <c r="S27" s="111">
        <f>Table1123457913[[#This Row],[M (KN.mm)]]/(Table1123457913[[#This Row],[a (mm)]]*Table1123457913[[#This Row],[b (mm)]]*Table1123457913[[#This Row],[h (mm)]]*Table1123457913[[#This Row],[L(mm)]]/2)</f>
        <v>1.1479166666666668E-6</v>
      </c>
      <c r="T27" s="111">
        <f>Table1123457913[[#This Row],[M (KN.mm)]]/(Table1123457913[[#This Row],[a (mm)]]^2*Table1123457913[[#This Row],[b (mm)]]*Table1123457913[[#This Row],[h (mm)]])</f>
        <v>1.1479166666666668E-6</v>
      </c>
      <c r="U27" s="111">
        <f>Table1123457913[[#This Row],[M (KN.mm)]]/(Table1123457913[[#This Row],[b (mm)]]*Table1123457913[[#This Row],[d (mm)]]*Table1123457913[[#This Row],[pho (%)]])</f>
        <v>7.2939878654164367</v>
      </c>
      <c r="V27" s="111">
        <f>E27*224.8/(2*SQRT(Table1123457913[[#This Row],[fc (Mpa)]]*145.037)*Table1123457913[[#This Row],[b (mm)]]*Table1123457913[[#This Row],[d (mm)]]*(1/25.4)^2)</f>
        <v>2.6734246863401507</v>
      </c>
      <c r="W27" s="111">
        <f>Table1123457913[[#This Row],[M (KN.mm)]]/$G$27</f>
        <v>1</v>
      </c>
      <c r="X27" s="111">
        <f>Table1123457913[[#This Row],[V/(2*sqrt(fc) bd)]]</f>
        <v>2.6734246863401507</v>
      </c>
      <c r="Y27" s="111">
        <f>Table1123457913[[#This Row],[a (mm)]]</f>
        <v>2400</v>
      </c>
      <c r="Z27" s="111">
        <f>Table1123457913[[#This Row],[width]]*Table1123457913[[#This Row],[h (mm)]]^2</f>
        <v>300000000</v>
      </c>
      <c r="AA27" s="111">
        <f>Table1123457913[[#This Row],[b (mm)]]</f>
        <v>300</v>
      </c>
      <c r="AB27" s="111">
        <f>Table1123457913[[#This Row],[a]]/Table1123457913[[#This Row],[h (mm)]]</f>
        <v>2.4</v>
      </c>
      <c r="AC27" s="111">
        <f>Table1123457913[[#This Row],[h (mm)]]</f>
        <v>1000</v>
      </c>
      <c r="AD27" s="111">
        <v>2400</v>
      </c>
      <c r="AE27" s="111">
        <v>925</v>
      </c>
      <c r="AF27" s="111">
        <v>1000</v>
      </c>
      <c r="AG27" s="111">
        <v>300</v>
      </c>
      <c r="AH27" s="7">
        <v>45</v>
      </c>
      <c r="AI27" s="111">
        <f>Table1123457913[[#This Row],[pho (%)]]*Table1123457913[[#This Row],[b (mm)]]*Table1123457913[[#This Row],[h (mm)]]/100</f>
        <v>2940</v>
      </c>
      <c r="AJ27" s="160">
        <f t="shared" si="4"/>
        <v>0.98</v>
      </c>
      <c r="AK27" s="160">
        <v>525</v>
      </c>
      <c r="AL27" s="111">
        <f>(1/3-0.21*(MIN(Table1123457913[[#This Row],[b (mm)]],AF27)/MAX(Table1123457913[[#This Row],[b (mm)]],AF27))*(MIN(Table1123457913[[#This Row],[b (mm)]],AF27)^4/(12*MAX(Table1123457913[[#This Row],[b (mm)]],AF27)^4)))*MAX(Table1123457913[[#This Row],[b (mm)]],AF27)*MIN(Table1123457913[[#This Row],[b (mm)]],AF27)^3</f>
        <v>8998851825</v>
      </c>
      <c r="AM27" s="111">
        <f>Table1123457913[[#This Row],[b (mm)]]*AF27^3/12</f>
        <v>25000000000</v>
      </c>
      <c r="AN27" s="111">
        <v>4800</v>
      </c>
      <c r="AP27" s="1"/>
    </row>
    <row r="28" spans="1:49" x14ac:dyDescent="0.3">
      <c r="A28" s="163" t="s">
        <v>191</v>
      </c>
      <c r="B28" s="285">
        <v>1</v>
      </c>
      <c r="C28" s="285">
        <v>34</v>
      </c>
      <c r="D28" s="275">
        <f>Table1123457913[[#This Row],[a (mm)]]/Table1123457913[[#This Row],[d (mm)]]</f>
        <v>3.2432432432432434</v>
      </c>
      <c r="E28" s="286">
        <f>269.4/2</f>
        <v>134.69999999999999</v>
      </c>
      <c r="F28" s="137">
        <f>Table1123457913[[#This Row],[d (mm)]]</f>
        <v>925</v>
      </c>
      <c r="G28" s="111">
        <f t="shared" si="5"/>
        <v>404099.99999999994</v>
      </c>
      <c r="H28" s="111">
        <f t="shared" si="0"/>
        <v>6.1374244596025041E-7</v>
      </c>
      <c r="I28" s="111">
        <f>G28/(Table1123457913[[#This Row],[b (mm)]]*Table1123457913[[#This Row],[h (mm)]]^2)</f>
        <v>1.3469999999999999E-3</v>
      </c>
      <c r="J28" s="111">
        <f t="shared" si="1"/>
        <v>0.28303522181073199</v>
      </c>
      <c r="K28" s="111">
        <f t="shared" si="2"/>
        <v>4.7670625104413824E-7</v>
      </c>
      <c r="L28" s="111">
        <f>E28/(Table1123457913[[#This Row],[b (mm)]]*AE28)</f>
        <v>4.8540540540540538E-4</v>
      </c>
      <c r="M28" s="111">
        <f>Table1123457913[[#This Row],[M (KN.mm)]]/(Table1123457913[[#This Row],[b (mm)]]*Table1123457913[[#This Row],[d (mm)]])</f>
        <v>1.456216216216216</v>
      </c>
      <c r="N28" s="111">
        <f>Table1123457913[[#This Row],[M (KN.mm)]]/(Table1123457913[[#This Row],[b (mm)]]*Table1123457913[[#This Row],[h (mm)]])</f>
        <v>1.3469999999999998</v>
      </c>
      <c r="O28" s="111">
        <f>Table1123457913[[#This Row],[M (KN.mm)]]/(Table1123457913[[#This Row],[b (mm)]]*Table1123457913[[#This Row],[h (mm)]]*Table1123457913[[#This Row],[L(mm)]])</f>
        <v>2.2449999999999995E-4</v>
      </c>
      <c r="P28" s="111">
        <f>Table1123457913[[#This Row],[M (KN.mm)]]/(Table1123457913[[#This Row],[b (mm)]]*Table1123457913[[#This Row],[d (mm)]]*Table1123457913[[#This Row],[L(mm)]])</f>
        <v>2.4270270270270266E-4</v>
      </c>
      <c r="Q28" s="111">
        <f>Table1123457913[[#This Row],[M (KN.mm)]]/(Table1123457913[[#This Row],[b (mm)]]*Table1123457913[[#This Row],[h (mm)]]*Table1123457913[[#This Row],[L(mm)]]*Table1123457913[[#This Row],[fc (Mpa)]])</f>
        <v>3.870689655172413E-6</v>
      </c>
      <c r="R28" s="111">
        <f>Table1123457913[[#This Row],[M (KN.mm)]]/(Table1123457913[[#This Row],[b (mm)]]*Table1123457913[[#This Row],[h (mm)]]*Table1123457913[[#This Row],[L(mm)]]/2)</f>
        <v>4.4899999999999991E-4</v>
      </c>
      <c r="S28" s="111">
        <f>Table1123457913[[#This Row],[M (KN.mm)]]/(Table1123457913[[#This Row],[a (mm)]]*Table1123457913[[#This Row],[b (mm)]]*Table1123457913[[#This Row],[h (mm)]]*Table1123457913[[#This Row],[L(mm)]]/2)</f>
        <v>1.4966666666666664E-7</v>
      </c>
      <c r="T28" s="111">
        <f>Table1123457913[[#This Row],[M (KN.mm)]]/(Table1123457913[[#This Row],[a (mm)]]^2*Table1123457913[[#This Row],[b (mm)]]*Table1123457913[[#This Row],[h (mm)]])</f>
        <v>1.4966666666666664E-7</v>
      </c>
      <c r="U28" s="111">
        <f>Table1123457913[[#This Row],[M (KN.mm)]]/(Table1123457913[[#This Row],[b (mm)]]*Table1123457913[[#This Row],[d (mm)]]*Table1123457913[[#This Row],[pho (%)]])</f>
        <v>1.485934914506343</v>
      </c>
      <c r="V28" s="111">
        <f>E28*224.8/(2*SQRT(Table1123457913[[#This Row],[fc (Mpa)]]*145.037)*Table1123457913[[#This Row],[b (mm)]]*Table1123457913[[#This Row],[d (mm)]]*(1/25.4)^2)</f>
        <v>0.38378230943452379</v>
      </c>
      <c r="W28" s="111">
        <f>Table1123457913[[#This Row],[M (KN.mm)]]/$G$36</f>
        <v>0.19940784603997036</v>
      </c>
      <c r="X28" s="111">
        <f>Table1123457913[[#This Row],[V/(2*sqrt(fc) bd)]]</f>
        <v>0.38378230943452379</v>
      </c>
      <c r="Y28" s="111">
        <f>Table1123457913[[#This Row],[a (mm)]]</f>
        <v>3000</v>
      </c>
      <c r="Z28" s="111">
        <f>Table1123457913[[#This Row],[width]]*Table1123457913[[#This Row],[h (mm)]]^2</f>
        <v>300000000</v>
      </c>
      <c r="AA28" s="111">
        <f>Table1123457913[[#This Row],[b (mm)]]</f>
        <v>300</v>
      </c>
      <c r="AB28" s="111">
        <f>Table1123457913[[#This Row],[a]]/Table1123457913[[#This Row],[h (mm)]]</f>
        <v>3</v>
      </c>
      <c r="AC28" s="111">
        <f>Table1123457913[[#This Row],[h (mm)]]</f>
        <v>1000</v>
      </c>
      <c r="AD28" s="111">
        <v>3000</v>
      </c>
      <c r="AE28" s="111">
        <v>925</v>
      </c>
      <c r="AF28" s="111">
        <v>1000</v>
      </c>
      <c r="AG28" s="111">
        <v>300</v>
      </c>
      <c r="AH28" s="7">
        <v>58</v>
      </c>
      <c r="AI28" s="111">
        <f>Table1123457913[[#This Row],[pho (%)]]*Table1123457913[[#This Row],[b (mm)]]*Table1123457913[[#This Row],[h (mm)]]/100</f>
        <v>2940</v>
      </c>
      <c r="AJ28" s="160">
        <f t="shared" si="4"/>
        <v>0.98</v>
      </c>
      <c r="AK28" s="160">
        <v>525</v>
      </c>
      <c r="AL28" s="111">
        <f>(1/3-0.21*(MIN(Table1123457913[[#This Row],[b (mm)]],AF28)/MAX(Table1123457913[[#This Row],[b (mm)]],AF28))*(MIN(Table1123457913[[#This Row],[b (mm)]],AF28)^4/(12*MAX(Table1123457913[[#This Row],[b (mm)]],AF28)^4)))*MAX(Table1123457913[[#This Row],[b (mm)]],AF28)*MIN(Table1123457913[[#This Row],[b (mm)]],AF28)^3</f>
        <v>8998851825</v>
      </c>
      <c r="AM28" s="111">
        <f>Table1123457913[[#This Row],[b (mm)]]*AF28^3/12</f>
        <v>25000000000</v>
      </c>
      <c r="AN28" s="111">
        <v>6000</v>
      </c>
      <c r="AP28" s="1"/>
    </row>
    <row r="29" spans="1:49" x14ac:dyDescent="0.3">
      <c r="A29" s="163" t="s">
        <v>191</v>
      </c>
      <c r="B29" s="285">
        <v>2</v>
      </c>
      <c r="C29" s="285">
        <v>35</v>
      </c>
      <c r="D29" s="275">
        <f>Table1123457913[[#This Row],[a (mm)]]/Table1123457913[[#This Row],[d (mm)]]</f>
        <v>3.2432432432432434</v>
      </c>
      <c r="E29" s="286">
        <f>402.3/2</f>
        <v>201.15</v>
      </c>
      <c r="F29" s="137">
        <f>Table1123457913[[#This Row],[d (mm)]]</f>
        <v>925</v>
      </c>
      <c r="G29" s="111">
        <f t="shared" si="5"/>
        <v>603450</v>
      </c>
      <c r="H29" s="111">
        <f t="shared" si="0"/>
        <v>9.1651293990277932E-7</v>
      </c>
      <c r="I29" s="111">
        <f>G29/(Table1123457913[[#This Row],[b (mm)]]*Table1123457913[[#This Row],[h (mm)]]^2)</f>
        <v>2.0114999999999998E-3</v>
      </c>
      <c r="J29" s="111">
        <f t="shared" si="1"/>
        <v>0.42266172878417774</v>
      </c>
      <c r="K29" s="111">
        <f t="shared" si="2"/>
        <v>7.1187425684876334E-7</v>
      </c>
      <c r="L29" s="111">
        <f>E29/(Table1123457913[[#This Row],[b (mm)]]*AE29)</f>
        <v>7.2486486486486492E-4</v>
      </c>
      <c r="M29" s="111">
        <f>Table1123457913[[#This Row],[M (KN.mm)]]/(Table1123457913[[#This Row],[b (mm)]]*Table1123457913[[#This Row],[d (mm)]])</f>
        <v>2.1745945945945948</v>
      </c>
      <c r="N29" s="111">
        <f>Table1123457913[[#This Row],[M (KN.mm)]]/(Table1123457913[[#This Row],[b (mm)]]*Table1123457913[[#This Row],[h (mm)]])</f>
        <v>2.0114999999999998</v>
      </c>
      <c r="O29" s="111">
        <f>Table1123457913[[#This Row],[M (KN.mm)]]/(Table1123457913[[#This Row],[b (mm)]]*Table1123457913[[#This Row],[h (mm)]]*Table1123457913[[#This Row],[L(mm)]])</f>
        <v>3.3524999999999999E-4</v>
      </c>
      <c r="P29" s="111">
        <f>Table1123457913[[#This Row],[M (KN.mm)]]/(Table1123457913[[#This Row],[b (mm)]]*Table1123457913[[#This Row],[d (mm)]]*Table1123457913[[#This Row],[L(mm)]])</f>
        <v>3.6243243243243241E-4</v>
      </c>
      <c r="Q29" s="111">
        <f>Table1123457913[[#This Row],[M (KN.mm)]]/(Table1123457913[[#This Row],[b (mm)]]*Table1123457913[[#This Row],[h (mm)]]*Table1123457913[[#This Row],[L(mm)]]*Table1123457913[[#This Row],[fc (Mpa)]])</f>
        <v>5.7801724137931031E-6</v>
      </c>
      <c r="R29" s="111">
        <f>Table1123457913[[#This Row],[M (KN.mm)]]/(Table1123457913[[#This Row],[b (mm)]]*Table1123457913[[#This Row],[h (mm)]]*Table1123457913[[#This Row],[L(mm)]]/2)</f>
        <v>6.7049999999999998E-4</v>
      </c>
      <c r="S29" s="111">
        <f>Table1123457913[[#This Row],[M (KN.mm)]]/(Table1123457913[[#This Row],[a (mm)]]*Table1123457913[[#This Row],[b (mm)]]*Table1123457913[[#This Row],[h (mm)]]*Table1123457913[[#This Row],[L(mm)]]/2)</f>
        <v>2.2350000000000001E-7</v>
      </c>
      <c r="T29" s="111">
        <f>Table1123457913[[#This Row],[M (KN.mm)]]/(Table1123457913[[#This Row],[a (mm)]]^2*Table1123457913[[#This Row],[b (mm)]]*Table1123457913[[#This Row],[h (mm)]])</f>
        <v>2.2350000000000001E-7</v>
      </c>
      <c r="U29" s="111">
        <f>Table1123457913[[#This Row],[M (KN.mm)]]/(Table1123457913[[#This Row],[b (mm)]]*Table1123457913[[#This Row],[d (mm)]]*Table1123457913[[#This Row],[pho (%)]])</f>
        <v>2.2189740761169334</v>
      </c>
      <c r="V29" s="111">
        <f>E29*224.8/(2*SQRT(Table1123457913[[#This Row],[fc (Mpa)]]*145.037)*Table1123457913[[#This Row],[b (mm)]]*Table1123457913[[#This Row],[d (mm)]]*(1/25.4)^2)</f>
        <v>0.57310921709543039</v>
      </c>
      <c r="W29" s="111">
        <f>Table1123457913[[#This Row],[M (KN.mm)]]/$G$36</f>
        <v>0.29777942264988899</v>
      </c>
      <c r="X29" s="111">
        <f>Table1123457913[[#This Row],[V/(2*sqrt(fc) bd)]]</f>
        <v>0.57310921709543039</v>
      </c>
      <c r="Y29" s="111">
        <f>Table1123457913[[#This Row],[a (mm)]]</f>
        <v>3000</v>
      </c>
      <c r="Z29" s="111">
        <f>Table1123457913[[#This Row],[width]]*Table1123457913[[#This Row],[h (mm)]]^2</f>
        <v>300000000</v>
      </c>
      <c r="AA29" s="111">
        <f>Table1123457913[[#This Row],[b (mm)]]</f>
        <v>300</v>
      </c>
      <c r="AB29" s="111">
        <f>Table1123457913[[#This Row],[a]]/Table1123457913[[#This Row],[h (mm)]]</f>
        <v>3</v>
      </c>
      <c r="AC29" s="111">
        <f>Table1123457913[[#This Row],[h (mm)]]</f>
        <v>1000</v>
      </c>
      <c r="AD29" s="111">
        <v>3000</v>
      </c>
      <c r="AE29" s="111">
        <v>925</v>
      </c>
      <c r="AF29" s="111">
        <v>1000</v>
      </c>
      <c r="AG29" s="111">
        <v>300</v>
      </c>
      <c r="AH29" s="7">
        <v>58</v>
      </c>
      <c r="AI29" s="111">
        <f>Table1123457913[[#This Row],[pho (%)]]*Table1123457913[[#This Row],[b (mm)]]*Table1123457913[[#This Row],[h (mm)]]/100</f>
        <v>2940</v>
      </c>
      <c r="AJ29" s="160">
        <f t="shared" si="4"/>
        <v>0.98</v>
      </c>
      <c r="AK29" s="160">
        <v>525</v>
      </c>
      <c r="AL29" s="111">
        <f>(1/3-0.21*(MIN(Table1123457913[[#This Row],[b (mm)]],AF29)/MAX(Table1123457913[[#This Row],[b (mm)]],AF29))*(MIN(Table1123457913[[#This Row],[b (mm)]],AF29)^4/(12*MAX(Table1123457913[[#This Row],[b (mm)]],AF29)^4)))*MAX(Table1123457913[[#This Row],[b (mm)]],AF29)*MIN(Table1123457913[[#This Row],[b (mm)]],AF29)^3</f>
        <v>8998851825</v>
      </c>
      <c r="AM29" s="111">
        <f>Table1123457913[[#This Row],[b (mm)]]*AF29^3/12</f>
        <v>25000000000</v>
      </c>
      <c r="AN29" s="111">
        <v>6000</v>
      </c>
      <c r="AP29" s="1"/>
    </row>
    <row r="30" spans="1:49" x14ac:dyDescent="0.3">
      <c r="A30" s="163" t="s">
        <v>191</v>
      </c>
      <c r="B30" s="285">
        <v>3</v>
      </c>
      <c r="C30" s="285">
        <v>36</v>
      </c>
      <c r="D30" s="275">
        <f>Table1123457913[[#This Row],[a (mm)]]/Table1123457913[[#This Row],[d (mm)]]</f>
        <v>3.2432432432432434</v>
      </c>
      <c r="E30" s="286">
        <f>552/2</f>
        <v>276</v>
      </c>
      <c r="F30" s="137">
        <f>Table1123457913[[#This Row],[d (mm)]]</f>
        <v>925</v>
      </c>
      <c r="G30" s="111">
        <f t="shared" si="5"/>
        <v>828000</v>
      </c>
      <c r="H30" s="111">
        <f t="shared" si="0"/>
        <v>1.2575569048628739E-6</v>
      </c>
      <c r="I30" s="111">
        <f>G30/(Table1123457913[[#This Row],[b (mm)]]*Table1123457913[[#This Row],[h (mm)]]^2)</f>
        <v>2.7599999999999999E-3</v>
      </c>
      <c r="J30" s="111">
        <f t="shared" si="1"/>
        <v>0.5799385391222126</v>
      </c>
      <c r="K30" s="111">
        <f t="shared" si="2"/>
        <v>9.7677004668286683E-7</v>
      </c>
      <c r="L30" s="111">
        <f>E30/(Table1123457913[[#This Row],[b (mm)]]*AE30)</f>
        <v>9.945945945945946E-4</v>
      </c>
      <c r="M30" s="111">
        <f>Table1123457913[[#This Row],[M (KN.mm)]]/(Table1123457913[[#This Row],[b (mm)]]*Table1123457913[[#This Row],[d (mm)]])</f>
        <v>2.9837837837837839</v>
      </c>
      <c r="N30" s="111">
        <f>Table1123457913[[#This Row],[M (KN.mm)]]/(Table1123457913[[#This Row],[b (mm)]]*Table1123457913[[#This Row],[h (mm)]])</f>
        <v>2.76</v>
      </c>
      <c r="O30" s="111">
        <f>Table1123457913[[#This Row],[M (KN.mm)]]/(Table1123457913[[#This Row],[b (mm)]]*Table1123457913[[#This Row],[h (mm)]]*Table1123457913[[#This Row],[L(mm)]])</f>
        <v>4.6000000000000001E-4</v>
      </c>
      <c r="P30" s="111">
        <f>Table1123457913[[#This Row],[M (KN.mm)]]/(Table1123457913[[#This Row],[b (mm)]]*Table1123457913[[#This Row],[d (mm)]]*Table1123457913[[#This Row],[L(mm)]])</f>
        <v>4.972972972972973E-4</v>
      </c>
      <c r="Q30" s="111">
        <f>Table1123457913[[#This Row],[M (KN.mm)]]/(Table1123457913[[#This Row],[b (mm)]]*Table1123457913[[#This Row],[h (mm)]]*Table1123457913[[#This Row],[L(mm)]]*Table1123457913[[#This Row],[fc (Mpa)]])</f>
        <v>7.9310344827586208E-6</v>
      </c>
      <c r="R30" s="111">
        <f>Table1123457913[[#This Row],[M (KN.mm)]]/(Table1123457913[[#This Row],[b (mm)]]*Table1123457913[[#This Row],[h (mm)]]*Table1123457913[[#This Row],[L(mm)]]/2)</f>
        <v>9.2000000000000003E-4</v>
      </c>
      <c r="S30" s="111">
        <f>Table1123457913[[#This Row],[M (KN.mm)]]/(Table1123457913[[#This Row],[a (mm)]]*Table1123457913[[#This Row],[b (mm)]]*Table1123457913[[#This Row],[h (mm)]]*Table1123457913[[#This Row],[L(mm)]]/2)</f>
        <v>3.0666666666666666E-7</v>
      </c>
      <c r="T30" s="111">
        <f>Table1123457913[[#This Row],[M (KN.mm)]]/(Table1123457913[[#This Row],[a (mm)]]^2*Table1123457913[[#This Row],[b (mm)]]*Table1123457913[[#This Row],[h (mm)]])</f>
        <v>3.0666666666666666E-7</v>
      </c>
      <c r="U30" s="111">
        <f>Table1123457913[[#This Row],[M (KN.mm)]]/(Table1123457913[[#This Row],[b (mm)]]*Table1123457913[[#This Row],[d (mm)]]*Table1123457913[[#This Row],[pho (%)]])</f>
        <v>3.0446773303916159</v>
      </c>
      <c r="V30" s="111">
        <f>E30*224.8/(2*SQRT(Table1123457913[[#This Row],[fc (Mpa)]]*145.037)*Table1123457913[[#This Row],[b (mm)]]*Table1123457913[[#This Row],[d (mm)]]*(1/25.4)^2)</f>
        <v>0.78636909728232052</v>
      </c>
      <c r="W30" s="111">
        <f>Table1123457913[[#This Row],[M (KN.mm)]]/$G$36</f>
        <v>0.4085862324204293</v>
      </c>
      <c r="X30" s="111">
        <f>Table1123457913[[#This Row],[V/(2*sqrt(fc) bd)]]</f>
        <v>0.78636909728232052</v>
      </c>
      <c r="Y30" s="111">
        <f>Table1123457913[[#This Row],[a (mm)]]</f>
        <v>3000</v>
      </c>
      <c r="Z30" s="111">
        <f>Table1123457913[[#This Row],[width]]*Table1123457913[[#This Row],[h (mm)]]^2</f>
        <v>300000000</v>
      </c>
      <c r="AA30" s="111">
        <f>Table1123457913[[#This Row],[b (mm)]]</f>
        <v>300</v>
      </c>
      <c r="AB30" s="111">
        <f>Table1123457913[[#This Row],[a]]/Table1123457913[[#This Row],[h (mm)]]</f>
        <v>3</v>
      </c>
      <c r="AC30" s="111">
        <f>Table1123457913[[#This Row],[h (mm)]]</f>
        <v>1000</v>
      </c>
      <c r="AD30" s="111">
        <v>3000</v>
      </c>
      <c r="AE30" s="111">
        <v>925</v>
      </c>
      <c r="AF30" s="111">
        <v>1000</v>
      </c>
      <c r="AG30" s="111">
        <v>300</v>
      </c>
      <c r="AH30" s="7">
        <v>58</v>
      </c>
      <c r="AI30" s="111">
        <f>Table1123457913[[#This Row],[pho (%)]]*Table1123457913[[#This Row],[b (mm)]]*Table1123457913[[#This Row],[h (mm)]]/100</f>
        <v>2940</v>
      </c>
      <c r="AJ30" s="160">
        <f t="shared" si="4"/>
        <v>0.98</v>
      </c>
      <c r="AK30" s="160">
        <v>525</v>
      </c>
      <c r="AL30" s="111">
        <f>(1/3-0.21*(MIN(Table1123457913[[#This Row],[b (mm)]],AF30)/MAX(Table1123457913[[#This Row],[b (mm)]],AF30))*(MIN(Table1123457913[[#This Row],[b (mm)]],AF30)^4/(12*MAX(Table1123457913[[#This Row],[b (mm)]],AF30)^4)))*MAX(Table1123457913[[#This Row],[b (mm)]],AF30)*MIN(Table1123457913[[#This Row],[b (mm)]],AF30)^3</f>
        <v>8998851825</v>
      </c>
      <c r="AM30" s="111">
        <f>Table1123457913[[#This Row],[b (mm)]]*AF30^3/12</f>
        <v>25000000000</v>
      </c>
      <c r="AN30" s="111">
        <v>6000</v>
      </c>
      <c r="AP30" s="1"/>
    </row>
    <row r="31" spans="1:49" x14ac:dyDescent="0.3">
      <c r="A31" s="163" t="s">
        <v>191</v>
      </c>
      <c r="B31" s="285">
        <v>4</v>
      </c>
      <c r="C31" s="285">
        <v>37</v>
      </c>
      <c r="D31" s="275">
        <f>Table1123457913[[#This Row],[a (mm)]]/Table1123457913[[#This Row],[d (mm)]]</f>
        <v>3.2432432432432434</v>
      </c>
      <c r="E31" s="286">
        <f>699.5/2</f>
        <v>349.75</v>
      </c>
      <c r="F31" s="137">
        <f>Table1123457913[[#This Row],[d (mm)]]</f>
        <v>925</v>
      </c>
      <c r="G31" s="111">
        <f t="shared" si="5"/>
        <v>1049250</v>
      </c>
      <c r="H31" s="111">
        <f t="shared" si="0"/>
        <v>1.5935888676659064E-6</v>
      </c>
      <c r="I31" s="111">
        <f>G31/(Table1123457913[[#This Row],[b (mm)]]*Table1123457913[[#This Row],[h (mm)]]^2)</f>
        <v>3.4975000000000002E-3</v>
      </c>
      <c r="J31" s="111">
        <f t="shared" si="1"/>
        <v>0.7349040002101227</v>
      </c>
      <c r="K31" s="111">
        <f t="shared" si="2"/>
        <v>1.2377729124178721E-6</v>
      </c>
      <c r="L31" s="111">
        <f>E31/(Table1123457913[[#This Row],[b (mm)]]*AE31)</f>
        <v>1.2603603603603603E-3</v>
      </c>
      <c r="M31" s="111">
        <f>Table1123457913[[#This Row],[M (KN.mm)]]/(Table1123457913[[#This Row],[b (mm)]]*Table1123457913[[#This Row],[d (mm)]])</f>
        <v>3.7810810810810809</v>
      </c>
      <c r="N31" s="111">
        <f>Table1123457913[[#This Row],[M (KN.mm)]]/(Table1123457913[[#This Row],[b (mm)]]*Table1123457913[[#This Row],[h (mm)]])</f>
        <v>3.4975000000000001</v>
      </c>
      <c r="O31" s="111">
        <f>Table1123457913[[#This Row],[M (KN.mm)]]/(Table1123457913[[#This Row],[b (mm)]]*Table1123457913[[#This Row],[h (mm)]]*Table1123457913[[#This Row],[L(mm)]])</f>
        <v>5.829166666666667E-4</v>
      </c>
      <c r="P31" s="111">
        <f>Table1123457913[[#This Row],[M (KN.mm)]]/(Table1123457913[[#This Row],[b (mm)]]*Table1123457913[[#This Row],[d (mm)]]*Table1123457913[[#This Row],[L(mm)]])</f>
        <v>6.3018018018018017E-4</v>
      </c>
      <c r="Q31" s="111">
        <f>Table1123457913[[#This Row],[M (KN.mm)]]/(Table1123457913[[#This Row],[b (mm)]]*Table1123457913[[#This Row],[h (mm)]]*Table1123457913[[#This Row],[L(mm)]]*Table1123457913[[#This Row],[fc (Mpa)]])</f>
        <v>1.0050287356321838E-5</v>
      </c>
      <c r="R31" s="111">
        <f>Table1123457913[[#This Row],[M (KN.mm)]]/(Table1123457913[[#This Row],[b (mm)]]*Table1123457913[[#This Row],[h (mm)]]*Table1123457913[[#This Row],[L(mm)]]/2)</f>
        <v>1.1658333333333334E-3</v>
      </c>
      <c r="S31" s="111">
        <f>Table1123457913[[#This Row],[M (KN.mm)]]/(Table1123457913[[#This Row],[a (mm)]]*Table1123457913[[#This Row],[b (mm)]]*Table1123457913[[#This Row],[h (mm)]]*Table1123457913[[#This Row],[L(mm)]]/2)</f>
        <v>3.8861111111111113E-7</v>
      </c>
      <c r="T31" s="111">
        <f>Table1123457913[[#This Row],[M (KN.mm)]]/(Table1123457913[[#This Row],[a (mm)]]^2*Table1123457913[[#This Row],[b (mm)]]*Table1123457913[[#This Row],[h (mm)]])</f>
        <v>3.8861111111111113E-7</v>
      </c>
      <c r="U31" s="111">
        <f>Table1123457913[[#This Row],[M (KN.mm)]]/(Table1123457913[[#This Row],[b (mm)]]*Table1123457913[[#This Row],[d (mm)]]*Table1123457913[[#This Row],[pho (%)]])</f>
        <v>3.8582460011031441</v>
      </c>
      <c r="V31" s="111">
        <f>E31*224.8/(2*SQRT(Table1123457913[[#This Row],[fc (Mpa)]]*145.037)*Table1123457913[[#This Row],[b (mm)]]*Table1123457913[[#This Row],[d (mm)]]*(1/25.4)^2)</f>
        <v>0.99649489773366517</v>
      </c>
      <c r="W31" s="111">
        <f>Table1123457913[[#This Row],[M (KN.mm)]]/$G$36</f>
        <v>0.5177646188008882</v>
      </c>
      <c r="X31" s="111">
        <f>Table1123457913[[#This Row],[V/(2*sqrt(fc) bd)]]</f>
        <v>0.99649489773366517</v>
      </c>
      <c r="Y31" s="111">
        <f>Table1123457913[[#This Row],[a (mm)]]</f>
        <v>3000</v>
      </c>
      <c r="Z31" s="111">
        <f>Table1123457913[[#This Row],[width]]*Table1123457913[[#This Row],[h (mm)]]^2</f>
        <v>300000000</v>
      </c>
      <c r="AA31" s="111">
        <f>Table1123457913[[#This Row],[b (mm)]]</f>
        <v>300</v>
      </c>
      <c r="AB31" s="111">
        <f>Table1123457913[[#This Row],[a]]/Table1123457913[[#This Row],[h (mm)]]</f>
        <v>3</v>
      </c>
      <c r="AC31" s="111">
        <f>Table1123457913[[#This Row],[h (mm)]]</f>
        <v>1000</v>
      </c>
      <c r="AD31" s="111">
        <v>3000</v>
      </c>
      <c r="AE31" s="111">
        <v>925</v>
      </c>
      <c r="AF31" s="111">
        <v>1000</v>
      </c>
      <c r="AG31" s="111">
        <v>300</v>
      </c>
      <c r="AH31" s="7">
        <v>58</v>
      </c>
      <c r="AI31" s="111">
        <f>Table1123457913[[#This Row],[pho (%)]]*Table1123457913[[#This Row],[b (mm)]]*Table1123457913[[#This Row],[h (mm)]]/100</f>
        <v>2940</v>
      </c>
      <c r="AJ31" s="160">
        <f t="shared" si="4"/>
        <v>0.98</v>
      </c>
      <c r="AK31" s="160">
        <v>525</v>
      </c>
      <c r="AL31" s="111">
        <f>(1/3-0.21*(MIN(Table1123457913[[#This Row],[b (mm)]],AF31)/MAX(Table1123457913[[#This Row],[b (mm)]],AF31))*(MIN(Table1123457913[[#This Row],[b (mm)]],AF31)^4/(12*MAX(Table1123457913[[#This Row],[b (mm)]],AF31)^4)))*MAX(Table1123457913[[#This Row],[b (mm)]],AF31)*MIN(Table1123457913[[#This Row],[b (mm)]],AF31)^3</f>
        <v>8998851825</v>
      </c>
      <c r="AM31" s="111">
        <f>Table1123457913[[#This Row],[b (mm)]]*AF31^3/12</f>
        <v>25000000000</v>
      </c>
      <c r="AN31" s="111">
        <v>6000</v>
      </c>
      <c r="AP31" s="139"/>
      <c r="AQ31" s="139"/>
      <c r="AR31" s="139"/>
      <c r="AS31" s="139"/>
      <c r="AT31" s="139"/>
      <c r="AU31" s="139"/>
      <c r="AV31" s="1"/>
      <c r="AW31" s="1"/>
    </row>
    <row r="32" spans="1:49" x14ac:dyDescent="0.3">
      <c r="A32" s="163" t="s">
        <v>191</v>
      </c>
      <c r="B32" s="285">
        <v>5</v>
      </c>
      <c r="C32" s="285">
        <v>38</v>
      </c>
      <c r="D32" s="275">
        <f>Table1123457913[[#This Row],[a (mm)]]/Table1123457913[[#This Row],[d (mm)]]</f>
        <v>3.2432432432432434</v>
      </c>
      <c r="E32" s="286">
        <f>850/2</f>
        <v>425</v>
      </c>
      <c r="F32" s="137">
        <f>Table1123457913[[#This Row],[d (mm)]]</f>
        <v>925</v>
      </c>
      <c r="G32" s="111">
        <f t="shared" si="5"/>
        <v>1275000</v>
      </c>
      <c r="H32" s="111">
        <f t="shared" si="0"/>
        <v>1.9364553788649326E-6</v>
      </c>
      <c r="I32" s="111">
        <f>G32/(Table1123457913[[#This Row],[b (mm)]]*Table1123457913[[#This Row],[h (mm)]]^2)</f>
        <v>4.2500000000000003E-3</v>
      </c>
      <c r="J32" s="111">
        <f t="shared" si="1"/>
        <v>0.89302130118456646</v>
      </c>
      <c r="K32" s="111">
        <f t="shared" si="2"/>
        <v>1.5040843110152842E-6</v>
      </c>
      <c r="L32" s="111">
        <f>E32/(Table1123457913[[#This Row],[b (mm)]]*AE32)</f>
        <v>1.5315315315315315E-3</v>
      </c>
      <c r="M32" s="111">
        <f>Table1123457913[[#This Row],[M (KN.mm)]]/(Table1123457913[[#This Row],[b (mm)]]*Table1123457913[[#This Row],[d (mm)]])</f>
        <v>4.5945945945945947</v>
      </c>
      <c r="N32" s="111">
        <f>Table1123457913[[#This Row],[M (KN.mm)]]/(Table1123457913[[#This Row],[b (mm)]]*Table1123457913[[#This Row],[h (mm)]])</f>
        <v>4.25</v>
      </c>
      <c r="O32" s="111">
        <f>Table1123457913[[#This Row],[M (KN.mm)]]/(Table1123457913[[#This Row],[b (mm)]]*Table1123457913[[#This Row],[h (mm)]]*Table1123457913[[#This Row],[L(mm)]])</f>
        <v>7.0833333333333338E-4</v>
      </c>
      <c r="P32" s="111">
        <f>Table1123457913[[#This Row],[M (KN.mm)]]/(Table1123457913[[#This Row],[b (mm)]]*Table1123457913[[#This Row],[d (mm)]]*Table1123457913[[#This Row],[L(mm)]])</f>
        <v>7.6576576576576575E-4</v>
      </c>
      <c r="Q32" s="111">
        <f>Table1123457913[[#This Row],[M (KN.mm)]]/(Table1123457913[[#This Row],[b (mm)]]*Table1123457913[[#This Row],[h (mm)]]*Table1123457913[[#This Row],[L(mm)]]*Table1123457913[[#This Row],[fc (Mpa)]])</f>
        <v>1.221264367816092E-5</v>
      </c>
      <c r="R32" s="111">
        <f>Table1123457913[[#This Row],[M (KN.mm)]]/(Table1123457913[[#This Row],[b (mm)]]*Table1123457913[[#This Row],[h (mm)]]*Table1123457913[[#This Row],[L(mm)]]/2)</f>
        <v>1.4166666666666668E-3</v>
      </c>
      <c r="S32" s="111">
        <f>Table1123457913[[#This Row],[M (KN.mm)]]/(Table1123457913[[#This Row],[a (mm)]]*Table1123457913[[#This Row],[b (mm)]]*Table1123457913[[#This Row],[h (mm)]]*Table1123457913[[#This Row],[L(mm)]]/2)</f>
        <v>4.7222222222222221E-7</v>
      </c>
      <c r="T32" s="111">
        <f>Table1123457913[[#This Row],[M (KN.mm)]]/(Table1123457913[[#This Row],[a (mm)]]^2*Table1123457913[[#This Row],[b (mm)]]*Table1123457913[[#This Row],[h (mm)]])</f>
        <v>4.7222222222222221E-7</v>
      </c>
      <c r="U32" s="111">
        <f>Table1123457913[[#This Row],[M (KN.mm)]]/(Table1123457913[[#This Row],[b (mm)]]*Table1123457913[[#This Row],[d (mm)]]*Table1123457913[[#This Row],[pho (%)]])</f>
        <v>4.6883618312189741</v>
      </c>
      <c r="V32" s="111">
        <f>E32*224.8/(2*SQRT(Table1123457913[[#This Row],[fc (Mpa)]]*145.037)*Table1123457913[[#This Row],[b (mm)]]*Table1123457913[[#This Row],[d (mm)]]*(1/25.4)^2)</f>
        <v>1.2108944432789355</v>
      </c>
      <c r="W32" s="111">
        <f>Table1123457913[[#This Row],[M (KN.mm)]]/$G$36</f>
        <v>0.62916358253145821</v>
      </c>
      <c r="X32" s="111">
        <f>Table1123457913[[#This Row],[V/(2*sqrt(fc) bd)]]</f>
        <v>1.2108944432789355</v>
      </c>
      <c r="Y32" s="111">
        <f>Table1123457913[[#This Row],[a (mm)]]</f>
        <v>3000</v>
      </c>
      <c r="Z32" s="111">
        <f>Table1123457913[[#This Row],[width]]*Table1123457913[[#This Row],[h (mm)]]^2</f>
        <v>300000000</v>
      </c>
      <c r="AA32" s="111">
        <f>Table1123457913[[#This Row],[b (mm)]]</f>
        <v>300</v>
      </c>
      <c r="AB32" s="111">
        <f>Table1123457913[[#This Row],[a]]/Table1123457913[[#This Row],[h (mm)]]</f>
        <v>3</v>
      </c>
      <c r="AC32" s="111">
        <f>Table1123457913[[#This Row],[h (mm)]]</f>
        <v>1000</v>
      </c>
      <c r="AD32" s="111">
        <v>3000</v>
      </c>
      <c r="AE32" s="111">
        <v>925</v>
      </c>
      <c r="AF32" s="111">
        <v>1000</v>
      </c>
      <c r="AG32" s="111">
        <v>300</v>
      </c>
      <c r="AH32" s="7">
        <v>58</v>
      </c>
      <c r="AI32" s="111">
        <f>Table1123457913[[#This Row],[pho (%)]]*Table1123457913[[#This Row],[b (mm)]]*Table1123457913[[#This Row],[h (mm)]]/100</f>
        <v>2940</v>
      </c>
      <c r="AJ32" s="160">
        <f t="shared" si="4"/>
        <v>0.98</v>
      </c>
      <c r="AK32" s="160">
        <v>525</v>
      </c>
      <c r="AL32" s="111">
        <f>(1/3-0.21*(MIN(Table1123457913[[#This Row],[b (mm)]],AF32)/MAX(Table1123457913[[#This Row],[b (mm)]],AF32))*(MIN(Table1123457913[[#This Row],[b (mm)]],AF32)^4/(12*MAX(Table1123457913[[#This Row],[b (mm)]],AF32)^4)))*MAX(Table1123457913[[#This Row],[b (mm)]],AF32)*MIN(Table1123457913[[#This Row],[b (mm)]],AF32)^3</f>
        <v>8998851825</v>
      </c>
      <c r="AM32" s="111">
        <f>Table1123457913[[#This Row],[b (mm)]]*AF32^3/12</f>
        <v>25000000000</v>
      </c>
      <c r="AN32" s="111">
        <v>6000</v>
      </c>
      <c r="AP32" s="139"/>
      <c r="AQ32" s="139"/>
      <c r="AR32" s="139"/>
      <c r="AS32" s="139"/>
      <c r="AT32" s="139"/>
      <c r="AU32" s="139"/>
      <c r="AV32" s="1"/>
      <c r="AW32" s="1"/>
    </row>
    <row r="33" spans="1:49" x14ac:dyDescent="0.3">
      <c r="A33" s="163" t="s">
        <v>191</v>
      </c>
      <c r="B33" s="285">
        <v>6</v>
      </c>
      <c r="C33" s="285">
        <v>39</v>
      </c>
      <c r="D33" s="275">
        <f>Table1123457913[[#This Row],[a (mm)]]/Table1123457913[[#This Row],[d (mm)]]</f>
        <v>3.2432432432432434</v>
      </c>
      <c r="E33" s="286">
        <f>1003/2</f>
        <v>501.5</v>
      </c>
      <c r="F33" s="137">
        <f>Table1123457913[[#This Row],[d (mm)]]</f>
        <v>925</v>
      </c>
      <c r="G33" s="111">
        <f t="shared" si="5"/>
        <v>1504500</v>
      </c>
      <c r="H33" s="111">
        <f t="shared" si="0"/>
        <v>2.2850173470606205E-6</v>
      </c>
      <c r="I33" s="111">
        <f>G33/(Table1123457913[[#This Row],[b (mm)]]*Table1123457913[[#This Row],[h (mm)]]^2)</f>
        <v>5.0150000000000004E-3</v>
      </c>
      <c r="J33" s="111">
        <f t="shared" si="1"/>
        <v>1.0537651353977884</v>
      </c>
      <c r="K33" s="111">
        <f t="shared" si="2"/>
        <v>1.7748194869980353E-6</v>
      </c>
      <c r="L33" s="111">
        <f>E33/(Table1123457913[[#This Row],[b (mm)]]*AE33)</f>
        <v>1.8072072072072072E-3</v>
      </c>
      <c r="M33" s="111">
        <f>Table1123457913[[#This Row],[M (KN.mm)]]/(Table1123457913[[#This Row],[b (mm)]]*Table1123457913[[#This Row],[d (mm)]])</f>
        <v>5.4216216216216218</v>
      </c>
      <c r="N33" s="111">
        <f>Table1123457913[[#This Row],[M (KN.mm)]]/(Table1123457913[[#This Row],[b (mm)]]*Table1123457913[[#This Row],[h (mm)]])</f>
        <v>5.0149999999999997</v>
      </c>
      <c r="O33" s="111">
        <f>Table1123457913[[#This Row],[M (KN.mm)]]/(Table1123457913[[#This Row],[b (mm)]]*Table1123457913[[#This Row],[h (mm)]]*Table1123457913[[#This Row],[L(mm)]])</f>
        <v>8.3583333333333328E-4</v>
      </c>
      <c r="P33" s="111">
        <f>Table1123457913[[#This Row],[M (KN.mm)]]/(Table1123457913[[#This Row],[b (mm)]]*Table1123457913[[#This Row],[d (mm)]]*Table1123457913[[#This Row],[L(mm)]])</f>
        <v>9.0360360360360362E-4</v>
      </c>
      <c r="Q33" s="111">
        <f>Table1123457913[[#This Row],[M (KN.mm)]]/(Table1123457913[[#This Row],[b (mm)]]*Table1123457913[[#This Row],[h (mm)]]*Table1123457913[[#This Row],[L(mm)]]*Table1123457913[[#This Row],[fc (Mpa)]])</f>
        <v>1.4410919540229885E-5</v>
      </c>
      <c r="R33" s="111">
        <f>Table1123457913[[#This Row],[M (KN.mm)]]/(Table1123457913[[#This Row],[b (mm)]]*Table1123457913[[#This Row],[h (mm)]]*Table1123457913[[#This Row],[L(mm)]]/2)</f>
        <v>1.6716666666666666E-3</v>
      </c>
      <c r="S33" s="111">
        <f>Table1123457913[[#This Row],[M (KN.mm)]]/(Table1123457913[[#This Row],[a (mm)]]*Table1123457913[[#This Row],[b (mm)]]*Table1123457913[[#This Row],[h (mm)]]*Table1123457913[[#This Row],[L(mm)]]/2)</f>
        <v>5.5722222222222224E-7</v>
      </c>
      <c r="T33" s="111">
        <f>Table1123457913[[#This Row],[M (KN.mm)]]/(Table1123457913[[#This Row],[a (mm)]]^2*Table1123457913[[#This Row],[b (mm)]]*Table1123457913[[#This Row],[h (mm)]])</f>
        <v>5.5722222222222224E-7</v>
      </c>
      <c r="U33" s="111">
        <f>Table1123457913[[#This Row],[M (KN.mm)]]/(Table1123457913[[#This Row],[b (mm)]]*Table1123457913[[#This Row],[d (mm)]]*Table1123457913[[#This Row],[pho (%)]])</f>
        <v>5.5322669608383892</v>
      </c>
      <c r="V33" s="111">
        <f>E33*224.8/(2*SQRT(Table1123457913[[#This Row],[fc (Mpa)]]*145.037)*Table1123457913[[#This Row],[b (mm)]]*Table1123457913[[#This Row],[d (mm)]]*(1/25.4)^2)</f>
        <v>1.428855443069144</v>
      </c>
      <c r="W33" s="111">
        <f>Table1123457913[[#This Row],[M (KN.mm)]]/$G$36</f>
        <v>0.74241302738712067</v>
      </c>
      <c r="X33" s="111">
        <f>Table1123457913[[#This Row],[V/(2*sqrt(fc) bd)]]</f>
        <v>1.428855443069144</v>
      </c>
      <c r="Y33" s="111">
        <f>Table1123457913[[#This Row],[a (mm)]]</f>
        <v>3000</v>
      </c>
      <c r="Z33" s="111">
        <f>Table1123457913[[#This Row],[width]]*Table1123457913[[#This Row],[h (mm)]]^2</f>
        <v>300000000</v>
      </c>
      <c r="AA33" s="111">
        <f>Table1123457913[[#This Row],[b (mm)]]</f>
        <v>300</v>
      </c>
      <c r="AB33" s="111">
        <f>Table1123457913[[#This Row],[a]]/Table1123457913[[#This Row],[h (mm)]]</f>
        <v>3</v>
      </c>
      <c r="AC33" s="111">
        <f>Table1123457913[[#This Row],[h (mm)]]</f>
        <v>1000</v>
      </c>
      <c r="AD33" s="111">
        <v>3000</v>
      </c>
      <c r="AE33" s="111">
        <v>925</v>
      </c>
      <c r="AF33" s="111">
        <v>1000</v>
      </c>
      <c r="AG33" s="111">
        <v>300</v>
      </c>
      <c r="AH33" s="7">
        <v>58</v>
      </c>
      <c r="AI33" s="111">
        <f>Table1123457913[[#This Row],[pho (%)]]*Table1123457913[[#This Row],[b (mm)]]*Table1123457913[[#This Row],[h (mm)]]/100</f>
        <v>2940</v>
      </c>
      <c r="AJ33" s="160">
        <f t="shared" si="4"/>
        <v>0.98</v>
      </c>
      <c r="AK33" s="160">
        <v>525</v>
      </c>
      <c r="AL33" s="111">
        <f>(1/3-0.21*(MIN(Table1123457913[[#This Row],[b (mm)]],AF33)/MAX(Table1123457913[[#This Row],[b (mm)]],AF33))*(MIN(Table1123457913[[#This Row],[b (mm)]],AF33)^4/(12*MAX(Table1123457913[[#This Row],[b (mm)]],AF33)^4)))*MAX(Table1123457913[[#This Row],[b (mm)]],AF33)*MIN(Table1123457913[[#This Row],[b (mm)]],AF33)^3</f>
        <v>8998851825</v>
      </c>
      <c r="AM33" s="111">
        <f>Table1123457913[[#This Row],[b (mm)]]*AF33^3/12</f>
        <v>25000000000</v>
      </c>
      <c r="AN33" s="111">
        <v>6000</v>
      </c>
      <c r="AP33" s="139"/>
      <c r="AQ33" s="139"/>
      <c r="AR33" s="139"/>
      <c r="AS33" s="139"/>
      <c r="AT33" s="139"/>
      <c r="AU33" s="139"/>
      <c r="AV33" s="1"/>
      <c r="AW33" s="1"/>
    </row>
    <row r="34" spans="1:49" x14ac:dyDescent="0.3">
      <c r="A34" s="163" t="s">
        <v>191</v>
      </c>
      <c r="B34" s="285">
        <v>7</v>
      </c>
      <c r="C34" s="285">
        <v>40</v>
      </c>
      <c r="D34" s="275">
        <f>Table1123457913[[#This Row],[a (mm)]]/Table1123457913[[#This Row],[d (mm)]]</f>
        <v>3.2432432432432434</v>
      </c>
      <c r="E34" s="286">
        <f>1154/2</f>
        <v>577</v>
      </c>
      <c r="F34" s="137">
        <f>Table1123457913[[#This Row],[d (mm)]]</f>
        <v>925</v>
      </c>
      <c r="G34" s="111">
        <f t="shared" si="5"/>
        <v>1731000</v>
      </c>
      <c r="H34" s="111">
        <f t="shared" si="0"/>
        <v>2.6290229496589792E-6</v>
      </c>
      <c r="I34" s="111">
        <f>G34/(Table1123457913[[#This Row],[b (mm)]]*Table1123457913[[#This Row],[h (mm)]]^2)</f>
        <v>5.77E-3</v>
      </c>
      <c r="J34" s="111">
        <f t="shared" si="1"/>
        <v>1.212407743019988</v>
      </c>
      <c r="K34" s="111">
        <f t="shared" si="2"/>
        <v>2.0420156410725153E-6</v>
      </c>
      <c r="L34" s="111">
        <f>E34/(Table1123457913[[#This Row],[b (mm)]]*AE34)</f>
        <v>2.0792792792792792E-3</v>
      </c>
      <c r="M34" s="111">
        <f>Table1123457913[[#This Row],[M (KN.mm)]]/(Table1123457913[[#This Row],[b (mm)]]*Table1123457913[[#This Row],[d (mm)]])</f>
        <v>6.2378378378378381</v>
      </c>
      <c r="N34" s="111">
        <f>Table1123457913[[#This Row],[M (KN.mm)]]/(Table1123457913[[#This Row],[b (mm)]]*Table1123457913[[#This Row],[h (mm)]])</f>
        <v>5.77</v>
      </c>
      <c r="O34" s="111">
        <f>Table1123457913[[#This Row],[M (KN.mm)]]/(Table1123457913[[#This Row],[b (mm)]]*Table1123457913[[#This Row],[h (mm)]]*Table1123457913[[#This Row],[L(mm)]])</f>
        <v>9.6166666666666666E-4</v>
      </c>
      <c r="P34" s="111">
        <f>Table1123457913[[#This Row],[M (KN.mm)]]/(Table1123457913[[#This Row],[b (mm)]]*Table1123457913[[#This Row],[d (mm)]]*Table1123457913[[#This Row],[L(mm)]])</f>
        <v>1.0396396396396396E-3</v>
      </c>
      <c r="Q34" s="111">
        <f>Table1123457913[[#This Row],[M (KN.mm)]]/(Table1123457913[[#This Row],[b (mm)]]*Table1123457913[[#This Row],[h (mm)]]*Table1123457913[[#This Row],[L(mm)]]*Table1123457913[[#This Row],[fc (Mpa)]])</f>
        <v>1.6580459770114942E-5</v>
      </c>
      <c r="R34" s="111">
        <f>Table1123457913[[#This Row],[M (KN.mm)]]/(Table1123457913[[#This Row],[b (mm)]]*Table1123457913[[#This Row],[h (mm)]]*Table1123457913[[#This Row],[L(mm)]]/2)</f>
        <v>1.9233333333333333E-3</v>
      </c>
      <c r="S34" s="111">
        <f>Table1123457913[[#This Row],[M (KN.mm)]]/(Table1123457913[[#This Row],[a (mm)]]*Table1123457913[[#This Row],[b (mm)]]*Table1123457913[[#This Row],[h (mm)]]*Table1123457913[[#This Row],[L(mm)]]/2)</f>
        <v>6.4111111111111109E-7</v>
      </c>
      <c r="T34" s="111">
        <f>Table1123457913[[#This Row],[M (KN.mm)]]/(Table1123457913[[#This Row],[a (mm)]]^2*Table1123457913[[#This Row],[b (mm)]]*Table1123457913[[#This Row],[h (mm)]])</f>
        <v>6.4111111111111109E-7</v>
      </c>
      <c r="U34" s="111">
        <f>Table1123457913[[#This Row],[M (KN.mm)]]/(Table1123457913[[#This Row],[b (mm)]]*Table1123457913[[#This Row],[d (mm)]]*Table1123457913[[#This Row],[pho (%)]])</f>
        <v>6.3651406508549364</v>
      </c>
      <c r="V34" s="111">
        <f>E34*224.8/(2*SQRT(Table1123457913[[#This Row],[fc (Mpa)]]*145.037)*Table1123457913[[#This Row],[b (mm)]]*Table1123457913[[#This Row],[d (mm)]]*(1/25.4)^2)</f>
        <v>1.6439672794634019</v>
      </c>
      <c r="W34" s="111">
        <f>Table1123457913[[#This Row],[M (KN.mm)]]/$G$36</f>
        <v>0.85418208734270906</v>
      </c>
      <c r="X34" s="111">
        <f>Table1123457913[[#This Row],[V/(2*sqrt(fc) bd)]]</f>
        <v>1.6439672794634019</v>
      </c>
      <c r="Y34" s="111">
        <f>Table1123457913[[#This Row],[a (mm)]]</f>
        <v>3000</v>
      </c>
      <c r="Z34" s="111">
        <f>Table1123457913[[#This Row],[width]]*Table1123457913[[#This Row],[h (mm)]]^2</f>
        <v>300000000</v>
      </c>
      <c r="AA34" s="111">
        <f>Table1123457913[[#This Row],[b (mm)]]</f>
        <v>300</v>
      </c>
      <c r="AB34" s="111">
        <f>Table1123457913[[#This Row],[a]]/Table1123457913[[#This Row],[h (mm)]]</f>
        <v>3</v>
      </c>
      <c r="AC34" s="111">
        <f>Table1123457913[[#This Row],[h (mm)]]</f>
        <v>1000</v>
      </c>
      <c r="AD34" s="111">
        <v>3000</v>
      </c>
      <c r="AE34" s="111">
        <v>925</v>
      </c>
      <c r="AF34" s="111">
        <v>1000</v>
      </c>
      <c r="AG34" s="111">
        <v>300</v>
      </c>
      <c r="AH34" s="7">
        <v>58</v>
      </c>
      <c r="AI34" s="111">
        <f>Table1123457913[[#This Row],[pho (%)]]*Table1123457913[[#This Row],[b (mm)]]*Table1123457913[[#This Row],[h (mm)]]/100</f>
        <v>2940</v>
      </c>
      <c r="AJ34" s="160">
        <f t="shared" si="4"/>
        <v>0.98</v>
      </c>
      <c r="AK34" s="160">
        <v>525</v>
      </c>
      <c r="AL34" s="111">
        <f>(1/3-0.21*(MIN(Table1123457913[[#This Row],[b (mm)]],AF34)/MAX(Table1123457913[[#This Row],[b (mm)]],AF34))*(MIN(Table1123457913[[#This Row],[b (mm)]],AF34)^4/(12*MAX(Table1123457913[[#This Row],[b (mm)]],AF34)^4)))*MAX(Table1123457913[[#This Row],[b (mm)]],AF34)*MIN(Table1123457913[[#This Row],[b (mm)]],AF34)^3</f>
        <v>8998851825</v>
      </c>
      <c r="AM34" s="111">
        <f>Table1123457913[[#This Row],[b (mm)]]*AF34^3/12</f>
        <v>25000000000</v>
      </c>
      <c r="AN34" s="111">
        <v>6000</v>
      </c>
      <c r="AP34" s="139"/>
      <c r="AQ34" s="139"/>
      <c r="AR34" s="139"/>
      <c r="AS34" s="139"/>
      <c r="AT34" s="139"/>
      <c r="AU34" s="139"/>
      <c r="AV34" s="1"/>
      <c r="AW34" s="1"/>
    </row>
    <row r="35" spans="1:49" x14ac:dyDescent="0.3">
      <c r="A35" s="163" t="s">
        <v>191</v>
      </c>
      <c r="B35" s="285">
        <v>8</v>
      </c>
      <c r="C35" s="285">
        <v>41</v>
      </c>
      <c r="D35" s="275">
        <f>Table1123457913[[#This Row],[a (mm)]]/Table1123457913[[#This Row],[d (mm)]]</f>
        <v>3.2432432432432434</v>
      </c>
      <c r="E35" s="286">
        <f>1299/2</f>
        <v>649.5</v>
      </c>
      <c r="F35" s="137">
        <f>Table1123457913[[#This Row],[d (mm)]]</f>
        <v>925</v>
      </c>
      <c r="G35" s="111">
        <f t="shared" si="5"/>
        <v>1948500</v>
      </c>
      <c r="H35" s="111">
        <f t="shared" si="0"/>
        <v>2.9593594554653501E-6</v>
      </c>
      <c r="I35" s="111">
        <f>G35/(Table1123457913[[#This Row],[b (mm)]]*Table1123457913[[#This Row],[h (mm)]]^2)</f>
        <v>6.4949999999999999E-3</v>
      </c>
      <c r="J35" s="111">
        <f t="shared" si="1"/>
        <v>1.3647466708691198</v>
      </c>
      <c r="K35" s="111">
        <f t="shared" si="2"/>
        <v>2.2985947294221813E-6</v>
      </c>
      <c r="L35" s="111">
        <f>E35/(Table1123457913[[#This Row],[b (mm)]]*AE35)</f>
        <v>2.3405405405405406E-3</v>
      </c>
      <c r="M35" s="111">
        <f>Table1123457913[[#This Row],[M (KN.mm)]]/(Table1123457913[[#This Row],[b (mm)]]*Table1123457913[[#This Row],[d (mm)]])</f>
        <v>7.0216216216216214</v>
      </c>
      <c r="N35" s="111">
        <f>Table1123457913[[#This Row],[M (KN.mm)]]/(Table1123457913[[#This Row],[b (mm)]]*Table1123457913[[#This Row],[h (mm)]])</f>
        <v>6.4950000000000001</v>
      </c>
      <c r="O35" s="111">
        <f>Table1123457913[[#This Row],[M (KN.mm)]]/(Table1123457913[[#This Row],[b (mm)]]*Table1123457913[[#This Row],[h (mm)]]*Table1123457913[[#This Row],[L(mm)]])</f>
        <v>1.0824999999999999E-3</v>
      </c>
      <c r="P35" s="111">
        <f>Table1123457913[[#This Row],[M (KN.mm)]]/(Table1123457913[[#This Row],[b (mm)]]*Table1123457913[[#This Row],[d (mm)]]*Table1123457913[[#This Row],[L(mm)]])</f>
        <v>1.1702702702702703E-3</v>
      </c>
      <c r="Q35" s="111">
        <f>Table1123457913[[#This Row],[M (KN.mm)]]/(Table1123457913[[#This Row],[b (mm)]]*Table1123457913[[#This Row],[h (mm)]]*Table1123457913[[#This Row],[L(mm)]]*Table1123457913[[#This Row],[fc (Mpa)]])</f>
        <v>1.8663793103448276E-5</v>
      </c>
      <c r="R35" s="111">
        <f>Table1123457913[[#This Row],[M (KN.mm)]]/(Table1123457913[[#This Row],[b (mm)]]*Table1123457913[[#This Row],[h (mm)]]*Table1123457913[[#This Row],[L(mm)]]/2)</f>
        <v>2.1649999999999998E-3</v>
      </c>
      <c r="S35" s="111">
        <f>Table1123457913[[#This Row],[M (KN.mm)]]/(Table1123457913[[#This Row],[a (mm)]]*Table1123457913[[#This Row],[b (mm)]]*Table1123457913[[#This Row],[h (mm)]]*Table1123457913[[#This Row],[L(mm)]]/2)</f>
        <v>7.2166666666666671E-7</v>
      </c>
      <c r="T35" s="111">
        <f>Table1123457913[[#This Row],[M (KN.mm)]]/(Table1123457913[[#This Row],[a (mm)]]^2*Table1123457913[[#This Row],[b (mm)]]*Table1123457913[[#This Row],[h (mm)]])</f>
        <v>7.2166666666666671E-7</v>
      </c>
      <c r="U35" s="111">
        <f>Table1123457913[[#This Row],[M (KN.mm)]]/(Table1123457913[[#This Row],[b (mm)]]*Table1123457913[[#This Row],[d (mm)]]*Table1123457913[[#This Row],[pho (%)]])</f>
        <v>7.164920022062879</v>
      </c>
      <c r="V35" s="111">
        <f>E35*224.8/(2*SQRT(Table1123457913[[#This Row],[fc (Mpa)]]*145.037)*Table1123457913[[#This Row],[b (mm)]]*Table1123457913[[#This Row],[d (mm)]]*(1/25.4)^2)</f>
        <v>1.8505316256698086</v>
      </c>
      <c r="W35" s="111">
        <f>Table1123457913[[#This Row],[M (KN.mm)]]/$G$36</f>
        <v>0.96150999259807546</v>
      </c>
      <c r="X35" s="111">
        <f>Table1123457913[[#This Row],[V/(2*sqrt(fc) bd)]]</f>
        <v>1.8505316256698086</v>
      </c>
      <c r="Y35" s="111">
        <f>Table1123457913[[#This Row],[a (mm)]]</f>
        <v>3000</v>
      </c>
      <c r="Z35" s="111">
        <f>Table1123457913[[#This Row],[width]]*Table1123457913[[#This Row],[h (mm)]]^2</f>
        <v>300000000</v>
      </c>
      <c r="AA35" s="111">
        <f>Table1123457913[[#This Row],[b (mm)]]</f>
        <v>300</v>
      </c>
      <c r="AB35" s="111">
        <f>Table1123457913[[#This Row],[a]]/Table1123457913[[#This Row],[h (mm)]]</f>
        <v>3</v>
      </c>
      <c r="AC35" s="111">
        <f>Table1123457913[[#This Row],[h (mm)]]</f>
        <v>1000</v>
      </c>
      <c r="AD35" s="111">
        <v>3000</v>
      </c>
      <c r="AE35" s="111">
        <v>925</v>
      </c>
      <c r="AF35" s="111">
        <v>1000</v>
      </c>
      <c r="AG35" s="111">
        <v>300</v>
      </c>
      <c r="AH35" s="7">
        <v>58</v>
      </c>
      <c r="AI35" s="111">
        <f>Table1123457913[[#This Row],[pho (%)]]*Table1123457913[[#This Row],[b (mm)]]*Table1123457913[[#This Row],[h (mm)]]/100</f>
        <v>2940</v>
      </c>
      <c r="AJ35" s="160">
        <f t="shared" si="4"/>
        <v>0.98</v>
      </c>
      <c r="AK35" s="160">
        <v>525</v>
      </c>
      <c r="AL35" s="111">
        <f>(1/3-0.21*(MIN(Table1123457913[[#This Row],[b (mm)]],AF35)/MAX(Table1123457913[[#This Row],[b (mm)]],AF35))*(MIN(Table1123457913[[#This Row],[b (mm)]],AF35)^4/(12*MAX(Table1123457913[[#This Row],[b (mm)]],AF35)^4)))*MAX(Table1123457913[[#This Row],[b (mm)]],AF35)*MIN(Table1123457913[[#This Row],[b (mm)]],AF35)^3</f>
        <v>8998851825</v>
      </c>
      <c r="AM35" s="111">
        <f>Table1123457913[[#This Row],[b (mm)]]*AF35^3/12</f>
        <v>25000000000</v>
      </c>
      <c r="AN35" s="111">
        <v>6000</v>
      </c>
      <c r="AP35" s="139"/>
      <c r="AQ35" s="139"/>
      <c r="AR35" s="139"/>
      <c r="AS35" s="139"/>
      <c r="AT35" s="139"/>
      <c r="AU35" s="139"/>
      <c r="AV35" s="1"/>
      <c r="AW35" s="1"/>
    </row>
    <row r="36" spans="1:49" x14ac:dyDescent="0.3">
      <c r="A36" s="163" t="s">
        <v>191</v>
      </c>
      <c r="B36" s="285" t="s">
        <v>192</v>
      </c>
      <c r="C36" s="285">
        <v>42</v>
      </c>
      <c r="D36" s="275">
        <f>Table1123457913[[#This Row],[a (mm)]]/Table1123457913[[#This Row],[d (mm)]]</f>
        <v>3.2432432432432434</v>
      </c>
      <c r="E36" s="286">
        <f>1351/2</f>
        <v>675.5</v>
      </c>
      <c r="F36" s="137">
        <f>Table1123457913[[#This Row],[d (mm)]]</f>
        <v>925</v>
      </c>
      <c r="G36" s="111">
        <f>E36*AD36</f>
        <v>2026500</v>
      </c>
      <c r="H36" s="111">
        <f t="shared" si="0"/>
        <v>3.0778249609959107E-6</v>
      </c>
      <c r="I36" s="111">
        <f>G36/(Table1123457913[[#This Row],[b (mm)]]*Table1123457913[[#This Row],[h (mm)]]^2)</f>
        <v>6.7549999999999997E-3</v>
      </c>
      <c r="J36" s="111">
        <f t="shared" si="1"/>
        <v>1.4193785622357051</v>
      </c>
      <c r="K36" s="111">
        <f>E36/($AQ$4*AL36*0.001)</f>
        <v>2.3906092990372339E-6</v>
      </c>
      <c r="L36" s="111">
        <f>E36/(Table1123457913[[#This Row],[b (mm)]]*AE36)</f>
        <v>2.4342342342342344E-3</v>
      </c>
      <c r="M36" s="111">
        <f>Table1123457913[[#This Row],[M (KN.mm)]]/(Table1123457913[[#This Row],[b (mm)]]*Table1123457913[[#This Row],[d (mm)]])</f>
        <v>7.3027027027027023</v>
      </c>
      <c r="N36" s="111">
        <f>Table1123457913[[#This Row],[M (KN.mm)]]/(Table1123457913[[#This Row],[b (mm)]]*Table1123457913[[#This Row],[h (mm)]])</f>
        <v>6.7549999999999999</v>
      </c>
      <c r="O36" s="111">
        <f>Table1123457913[[#This Row],[M (KN.mm)]]/(Table1123457913[[#This Row],[b (mm)]]*Table1123457913[[#This Row],[h (mm)]]*Table1123457913[[#This Row],[L(mm)]])</f>
        <v>1.1258333333333333E-3</v>
      </c>
      <c r="P36" s="111">
        <f>Table1123457913[[#This Row],[M (KN.mm)]]/(Table1123457913[[#This Row],[b (mm)]]*Table1123457913[[#This Row],[d (mm)]]*Table1123457913[[#This Row],[L(mm)]])</f>
        <v>1.2171171171171172E-3</v>
      </c>
      <c r="Q36" s="111">
        <f>Table1123457913[[#This Row],[M (KN.mm)]]/(Table1123457913[[#This Row],[b (mm)]]*Table1123457913[[#This Row],[h (mm)]]*Table1123457913[[#This Row],[L(mm)]]*Table1123457913[[#This Row],[fc (Mpa)]])</f>
        <v>1.9410919540229885E-5</v>
      </c>
      <c r="R36" s="111">
        <f>Table1123457913[[#This Row],[M (KN.mm)]]/(Table1123457913[[#This Row],[b (mm)]]*Table1123457913[[#This Row],[h (mm)]]*Table1123457913[[#This Row],[L(mm)]]/2)</f>
        <v>2.2516666666666666E-3</v>
      </c>
      <c r="S36" s="111">
        <f>Table1123457913[[#This Row],[M (KN.mm)]]/(Table1123457913[[#This Row],[a (mm)]]*Table1123457913[[#This Row],[b (mm)]]*Table1123457913[[#This Row],[h (mm)]]*Table1123457913[[#This Row],[L(mm)]]/2)</f>
        <v>7.5055555555555556E-7</v>
      </c>
      <c r="T36" s="111">
        <f>Table1123457913[[#This Row],[M (KN.mm)]]/(Table1123457913[[#This Row],[a (mm)]]^2*Table1123457913[[#This Row],[b (mm)]]*Table1123457913[[#This Row],[h (mm)]])</f>
        <v>7.5055555555555556E-7</v>
      </c>
      <c r="U36" s="111">
        <f>Table1123457913[[#This Row],[M (KN.mm)]]/(Table1123457913[[#This Row],[b (mm)]]*Table1123457913[[#This Row],[d (mm)]]*Table1123457913[[#This Row],[pho (%)]])</f>
        <v>7.4517374517374515</v>
      </c>
      <c r="V36" s="111">
        <f>E36*224.8/(2*SQRT(Table1123457913[[#This Row],[fc (Mpa)]]*145.037)*Table1123457913[[#This Row],[b (mm)]]*Table1123457913[[#This Row],[d (mm)]]*(1/25.4)^2)</f>
        <v>1.9246098739645199</v>
      </c>
      <c r="W36" s="111">
        <f>Table1123457913[[#This Row],[M (KN.mm)]]/$G$36</f>
        <v>1</v>
      </c>
      <c r="X36" s="111">
        <f>Table1123457913[[#This Row],[V/(2*sqrt(fc) bd)]]</f>
        <v>1.9246098739645199</v>
      </c>
      <c r="Y36" s="111">
        <f>Table1123457913[[#This Row],[a (mm)]]</f>
        <v>3000</v>
      </c>
      <c r="Z36" s="111">
        <f>Table1123457913[[#This Row],[width]]*Table1123457913[[#This Row],[h (mm)]]^2</f>
        <v>300000000</v>
      </c>
      <c r="AA36" s="111">
        <f>Table1123457913[[#This Row],[b (mm)]]</f>
        <v>300</v>
      </c>
      <c r="AB36" s="111">
        <f>Table1123457913[[#This Row],[a]]/Table1123457913[[#This Row],[h (mm)]]</f>
        <v>3</v>
      </c>
      <c r="AC36" s="111">
        <f>Table1123457913[[#This Row],[h (mm)]]</f>
        <v>1000</v>
      </c>
      <c r="AD36" s="111">
        <v>3000</v>
      </c>
      <c r="AE36" s="111">
        <v>925</v>
      </c>
      <c r="AF36" s="111">
        <v>1000</v>
      </c>
      <c r="AG36" s="111">
        <v>300</v>
      </c>
      <c r="AH36" s="7">
        <v>58</v>
      </c>
      <c r="AI36" s="111">
        <f>Table1123457913[[#This Row],[pho (%)]]*Table1123457913[[#This Row],[b (mm)]]*Table1123457913[[#This Row],[h (mm)]]/100</f>
        <v>2940</v>
      </c>
      <c r="AJ36" s="160">
        <f t="shared" si="4"/>
        <v>0.98</v>
      </c>
      <c r="AK36" s="160">
        <v>525</v>
      </c>
      <c r="AL36" s="111">
        <f>(1/3-0.21*(MIN(Table1123457913[[#This Row],[b (mm)]],AF36)/MAX(Table1123457913[[#This Row],[b (mm)]],AF36))*(MIN(Table1123457913[[#This Row],[b (mm)]],AF36)^4/(12*MAX(Table1123457913[[#This Row],[b (mm)]],AF36)^4)))*MAX(Table1123457913[[#This Row],[b (mm)]],AF36)*MIN(Table1123457913[[#This Row],[b (mm)]],AF36)^3</f>
        <v>8998851825</v>
      </c>
      <c r="AM36" s="111">
        <f>Table1123457913[[#This Row],[b (mm)]]*AF36^3/12</f>
        <v>25000000000</v>
      </c>
      <c r="AN36" s="111">
        <v>6000</v>
      </c>
      <c r="AP36" s="139"/>
      <c r="AQ36" s="139"/>
      <c r="AR36" s="139"/>
      <c r="AS36" s="139"/>
      <c r="AT36" s="139"/>
      <c r="AU36" s="139"/>
      <c r="AV36" s="1"/>
      <c r="AW36" s="1"/>
    </row>
    <row r="37" spans="1:49" customFormat="1" x14ac:dyDescent="0.3">
      <c r="B37" s="1"/>
      <c r="C37" s="1"/>
      <c r="D37" s="177"/>
      <c r="E37" s="177"/>
    </row>
    <row r="38" spans="1:49" x14ac:dyDescent="0.3">
      <c r="A38"/>
      <c r="B38" s="1"/>
      <c r="C38" s="1"/>
      <c r="D38" s="177"/>
      <c r="E38" s="177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P38"/>
      <c r="AQ38"/>
      <c r="AR38"/>
      <c r="AS38" s="139"/>
      <c r="AT38" s="139"/>
      <c r="AU38" s="139"/>
      <c r="AV38" s="1"/>
      <c r="AW38" s="1"/>
    </row>
    <row r="39" spans="1:49" x14ac:dyDescent="0.3">
      <c r="A39"/>
      <c r="B39" s="1"/>
      <c r="C39" s="1"/>
      <c r="D39" s="177"/>
      <c r="E39" s="177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P39"/>
      <c r="AQ39"/>
      <c r="AR39"/>
      <c r="AS39" s="139"/>
      <c r="AT39" s="139"/>
      <c r="AU39" s="139"/>
      <c r="AV39" s="1"/>
      <c r="AW39" s="1"/>
    </row>
    <row r="40" spans="1:49" x14ac:dyDescent="0.3">
      <c r="A40"/>
      <c r="B40" s="1"/>
      <c r="C40" s="1"/>
      <c r="D40" s="177"/>
      <c r="E40" s="177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P40"/>
      <c r="AQ40"/>
      <c r="AR40"/>
      <c r="AS40" s="139"/>
      <c r="AT40" s="139"/>
      <c r="AU40" s="139"/>
      <c r="AV40" s="1"/>
      <c r="AW40" s="1"/>
    </row>
    <row r="41" spans="1:49" x14ac:dyDescent="0.3">
      <c r="A41"/>
      <c r="B41" s="1"/>
      <c r="C41" s="1"/>
      <c r="D41" s="177"/>
      <c r="E41" s="177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P41"/>
      <c r="AQ41"/>
      <c r="AR41"/>
      <c r="AS41" s="139"/>
      <c r="AT41" s="139"/>
      <c r="AU41" s="139"/>
      <c r="AV41" s="1"/>
      <c r="AW41" s="1"/>
    </row>
    <row r="42" spans="1:49" x14ac:dyDescent="0.3">
      <c r="A42"/>
      <c r="B42" s="1"/>
      <c r="C42" s="1"/>
      <c r="D42" s="177"/>
      <c r="E42" s="177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P42"/>
      <c r="AQ42"/>
      <c r="AR42"/>
      <c r="AS42" s="139"/>
      <c r="AT42" s="139"/>
      <c r="AU42" s="139"/>
      <c r="AV42" s="1"/>
      <c r="AW42" s="1"/>
    </row>
    <row r="43" spans="1:49" x14ac:dyDescent="0.3">
      <c r="A43"/>
      <c r="B43" s="1"/>
      <c r="C43" s="1"/>
      <c r="D43" s="177"/>
      <c r="E43" s="177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P43"/>
      <c r="AQ43"/>
      <c r="AR43"/>
      <c r="AS43" s="139"/>
      <c r="AT43" s="139"/>
      <c r="AU43" s="139"/>
      <c r="AV43" s="1"/>
      <c r="AW43" s="1"/>
    </row>
    <row r="44" spans="1:49" x14ac:dyDescent="0.3">
      <c r="A44"/>
      <c r="B44" s="1"/>
      <c r="C44" s="1"/>
      <c r="D44" s="177"/>
      <c r="E44" s="177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P44"/>
      <c r="AQ44"/>
      <c r="AR44"/>
      <c r="AS44" s="139"/>
      <c r="AT44" s="139"/>
      <c r="AU44" s="139"/>
      <c r="AV44" s="1"/>
      <c r="AW44" s="1"/>
    </row>
    <row r="45" spans="1:49" x14ac:dyDescent="0.3">
      <c r="A45"/>
      <c r="B45" s="1"/>
      <c r="C45" s="1"/>
      <c r="D45" s="177"/>
      <c r="E45" s="177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P45"/>
      <c r="AQ45"/>
      <c r="AR45"/>
      <c r="AS45" s="139"/>
      <c r="AT45" s="139"/>
      <c r="AU45" s="139"/>
      <c r="AV45" s="1"/>
      <c r="AW45" s="1"/>
    </row>
    <row r="46" spans="1:49" x14ac:dyDescent="0.3">
      <c r="A46"/>
      <c r="B46" s="1"/>
      <c r="C46" s="1"/>
      <c r="D46" s="177"/>
      <c r="E46" s="177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P46"/>
      <c r="AQ46"/>
      <c r="AR46"/>
      <c r="AS46" s="139"/>
      <c r="AT46" s="139"/>
      <c r="AU46" s="139"/>
      <c r="AV46" s="1"/>
      <c r="AW46" s="1"/>
    </row>
    <row r="47" spans="1:49" x14ac:dyDescent="0.3">
      <c r="A47"/>
      <c r="B47" s="1"/>
      <c r="C47" s="1"/>
      <c r="D47" s="177"/>
      <c r="E47" s="17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P47"/>
      <c r="AQ47"/>
      <c r="AR47"/>
      <c r="AS47" s="105"/>
      <c r="AT47" s="105"/>
      <c r="AU47" s="105"/>
    </row>
    <row r="48" spans="1:49" x14ac:dyDescent="0.3">
      <c r="A48"/>
      <c r="B48" s="1"/>
      <c r="C48" s="1"/>
      <c r="D48" s="177"/>
      <c r="E48" s="177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P48"/>
      <c r="AQ48"/>
      <c r="AR48"/>
      <c r="AS48" s="105"/>
      <c r="AT48" s="105"/>
      <c r="AU48" s="105"/>
    </row>
    <row r="49" spans="1:47" x14ac:dyDescent="0.3">
      <c r="A49"/>
      <c r="B49" s="1"/>
      <c r="C49" s="1"/>
      <c r="D49" s="177"/>
      <c r="E49" s="177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P49"/>
      <c r="AQ49"/>
      <c r="AR49"/>
      <c r="AS49" s="105"/>
      <c r="AT49" s="105"/>
      <c r="AU49" s="105"/>
    </row>
    <row r="50" spans="1:47" x14ac:dyDescent="0.3">
      <c r="A50"/>
      <c r="B50" s="1"/>
      <c r="C50" s="1"/>
      <c r="D50" s="177"/>
      <c r="E50" s="177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P50"/>
      <c r="AQ50"/>
      <c r="AR50"/>
    </row>
    <row r="51" spans="1:47" x14ac:dyDescent="0.3">
      <c r="A51"/>
      <c r="B51" s="1"/>
      <c r="C51" s="1"/>
      <c r="D51" s="177"/>
      <c r="E51" s="177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P51"/>
      <c r="AQ51"/>
      <c r="AR51"/>
    </row>
    <row r="52" spans="1:47" x14ac:dyDescent="0.3">
      <c r="A52"/>
      <c r="B52" s="1"/>
      <c r="C52" s="1"/>
      <c r="D52" s="177"/>
      <c r="E52" s="177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P52"/>
      <c r="AQ52"/>
      <c r="AR52"/>
    </row>
    <row r="53" spans="1:47" x14ac:dyDescent="0.3">
      <c r="A53"/>
      <c r="B53" s="1"/>
      <c r="C53" s="1"/>
      <c r="D53" s="177"/>
      <c r="E53" s="177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P53"/>
      <c r="AQ53"/>
      <c r="AR53"/>
    </row>
    <row r="54" spans="1:47" x14ac:dyDescent="0.3">
      <c r="A54"/>
      <c r="B54" s="1"/>
      <c r="C54" s="1"/>
      <c r="D54" s="177"/>
      <c r="E54" s="177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P54"/>
      <c r="AQ54"/>
      <c r="AR54"/>
    </row>
    <row r="55" spans="1:47" x14ac:dyDescent="0.3">
      <c r="A55"/>
      <c r="B55" s="1"/>
      <c r="C55" s="1"/>
      <c r="D55" s="177"/>
      <c r="E55" s="177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P55"/>
      <c r="AQ55"/>
      <c r="AR55"/>
    </row>
    <row r="56" spans="1:47" x14ac:dyDescent="0.3">
      <c r="A56"/>
      <c r="B56" s="1"/>
      <c r="C56" s="1"/>
      <c r="D56" s="177"/>
      <c r="E56" s="177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P56"/>
      <c r="AQ56"/>
      <c r="AR56"/>
    </row>
    <row r="57" spans="1:47" s="1" customFormat="1" x14ac:dyDescent="0.3">
      <c r="A57"/>
      <c r="D57" s="177"/>
      <c r="E57" s="17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</row>
    <row r="58" spans="1:47" s="1" customFormat="1" x14ac:dyDescent="0.3">
      <c r="A58"/>
      <c r="D58" s="177"/>
      <c r="E58" s="177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</row>
    <row r="59" spans="1:47" s="1" customFormat="1" x14ac:dyDescent="0.3">
      <c r="A59"/>
      <c r="D59" s="177"/>
      <c r="E59" s="177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</row>
    <row r="60" spans="1:47" x14ac:dyDescent="0.3">
      <c r="A60"/>
      <c r="B60" s="1"/>
      <c r="C60" s="1"/>
      <c r="D60" s="177"/>
      <c r="E60" s="177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P60"/>
      <c r="AQ60"/>
      <c r="AR60"/>
    </row>
    <row r="61" spans="1:47" x14ac:dyDescent="0.3">
      <c r="A61"/>
      <c r="B61" s="1"/>
      <c r="C61" s="1"/>
      <c r="D61" s="177"/>
      <c r="E61" s="177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P61"/>
      <c r="AQ61"/>
      <c r="AR61"/>
    </row>
    <row r="62" spans="1:47" x14ac:dyDescent="0.3">
      <c r="A62"/>
      <c r="B62" s="1"/>
      <c r="C62" s="1"/>
      <c r="D62" s="177"/>
      <c r="E62" s="177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P62"/>
      <c r="AQ62"/>
      <c r="AR62"/>
    </row>
    <row r="63" spans="1:47" x14ac:dyDescent="0.3">
      <c r="A63"/>
      <c r="B63" s="1"/>
      <c r="C63" s="1"/>
      <c r="D63" s="177"/>
      <c r="E63" s="177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P63"/>
      <c r="AQ63"/>
      <c r="AR63"/>
    </row>
    <row r="64" spans="1:47" x14ac:dyDescent="0.3">
      <c r="A64"/>
      <c r="B64" s="1"/>
      <c r="C64" s="1"/>
      <c r="D64" s="177"/>
      <c r="E64" s="177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P64"/>
      <c r="AQ64"/>
      <c r="AR64"/>
    </row>
    <row r="65" spans="1:44" x14ac:dyDescent="0.3">
      <c r="A65"/>
      <c r="B65" s="1"/>
      <c r="C65" s="1"/>
      <c r="D65" s="177"/>
      <c r="E65" s="177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P65"/>
      <c r="AQ65"/>
      <c r="AR65"/>
    </row>
    <row r="66" spans="1:44" x14ac:dyDescent="0.3">
      <c r="A66"/>
      <c r="B66" s="1"/>
      <c r="C66" s="1"/>
      <c r="D66" s="177"/>
      <c r="E66" s="177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P66"/>
      <c r="AQ66"/>
      <c r="AR66"/>
    </row>
    <row r="67" spans="1:44" x14ac:dyDescent="0.3">
      <c r="A67"/>
      <c r="B67" s="1"/>
      <c r="C67" s="1"/>
      <c r="D67" s="177"/>
      <c r="E67" s="17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P67"/>
      <c r="AQ67"/>
      <c r="AR67"/>
    </row>
    <row r="68" spans="1:44" x14ac:dyDescent="0.3">
      <c r="A68"/>
      <c r="B68" s="1"/>
      <c r="C68" s="1"/>
      <c r="D68" s="177"/>
      <c r="E68" s="177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P68"/>
      <c r="AQ68"/>
      <c r="AR68"/>
    </row>
    <row r="69" spans="1:44" x14ac:dyDescent="0.3">
      <c r="A69"/>
      <c r="B69" s="1"/>
      <c r="C69" s="1"/>
      <c r="D69" s="177"/>
      <c r="E69" s="177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P69"/>
      <c r="AQ69"/>
      <c r="AR69"/>
    </row>
    <row r="70" spans="1:44" x14ac:dyDescent="0.3">
      <c r="A70"/>
      <c r="B70" s="1"/>
      <c r="C70" s="1"/>
      <c r="D70" s="177"/>
      <c r="E70" s="177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P70"/>
      <c r="AQ70"/>
      <c r="AR70"/>
    </row>
    <row r="71" spans="1:44" x14ac:dyDescent="0.3">
      <c r="A71"/>
      <c r="B71" s="1"/>
      <c r="C71" s="1"/>
      <c r="D71" s="177"/>
      <c r="E71" s="177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P71"/>
      <c r="AQ71"/>
      <c r="AR71"/>
    </row>
    <row r="72" spans="1:44" x14ac:dyDescent="0.3">
      <c r="A72"/>
      <c r="B72" s="1"/>
      <c r="C72" s="1"/>
      <c r="D72" s="177"/>
      <c r="E72" s="177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P72"/>
      <c r="AQ72"/>
      <c r="AR72"/>
    </row>
    <row r="73" spans="1:44" x14ac:dyDescent="0.3">
      <c r="A73"/>
      <c r="B73" s="1"/>
      <c r="C73" s="1"/>
      <c r="D73" s="177"/>
      <c r="E73" s="177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P73"/>
      <c r="AQ73"/>
      <c r="AR73"/>
    </row>
    <row r="74" spans="1:44" x14ac:dyDescent="0.3">
      <c r="A74"/>
      <c r="B74" s="1"/>
      <c r="C74" s="1"/>
      <c r="D74" s="177"/>
      <c r="E74" s="177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P74"/>
      <c r="AQ74"/>
      <c r="AR74"/>
    </row>
    <row r="75" spans="1:44" x14ac:dyDescent="0.3">
      <c r="A75"/>
      <c r="B75" s="1"/>
      <c r="C75" s="1"/>
      <c r="D75" s="177"/>
      <c r="E75" s="177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P75"/>
      <c r="AQ75"/>
      <c r="AR75"/>
    </row>
    <row r="76" spans="1:44" x14ac:dyDescent="0.3">
      <c r="A76"/>
      <c r="B76" s="1"/>
      <c r="C76" s="1"/>
      <c r="D76" s="177"/>
      <c r="E76" s="177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P76"/>
      <c r="AQ76"/>
      <c r="AR76"/>
    </row>
    <row r="77" spans="1:44" x14ac:dyDescent="0.3">
      <c r="A77"/>
      <c r="B77" s="1"/>
      <c r="C77" s="1"/>
      <c r="D77" s="177"/>
      <c r="E77" s="1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P77"/>
      <c r="AQ77"/>
      <c r="AR77"/>
    </row>
    <row r="78" spans="1:44" x14ac:dyDescent="0.3">
      <c r="A78"/>
      <c r="B78" s="1"/>
      <c r="C78" s="1"/>
      <c r="D78" s="177"/>
      <c r="E78" s="177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P78"/>
      <c r="AQ78"/>
      <c r="AR78"/>
    </row>
    <row r="79" spans="1:44" x14ac:dyDescent="0.3">
      <c r="A79"/>
      <c r="B79" s="1"/>
      <c r="C79" s="1"/>
      <c r="D79" s="177"/>
      <c r="E79" s="177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P79"/>
      <c r="AQ79"/>
      <c r="AR79"/>
    </row>
    <row r="80" spans="1:44" x14ac:dyDescent="0.3">
      <c r="A80"/>
      <c r="B80" s="1"/>
      <c r="C80" s="1"/>
      <c r="D80" s="177"/>
      <c r="E80" s="177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P80"/>
      <c r="AQ80"/>
      <c r="AR80"/>
    </row>
    <row r="81" spans="1:44" x14ac:dyDescent="0.3">
      <c r="A81"/>
      <c r="B81" s="1"/>
      <c r="C81" s="1"/>
      <c r="D81" s="177"/>
      <c r="E81" s="177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P81"/>
      <c r="AQ81"/>
      <c r="AR81"/>
    </row>
    <row r="82" spans="1:44" x14ac:dyDescent="0.3">
      <c r="A82"/>
      <c r="B82" s="1"/>
      <c r="C82" s="1"/>
      <c r="D82" s="177"/>
      <c r="E82" s="177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P82"/>
      <c r="AQ82"/>
      <c r="AR82"/>
    </row>
    <row r="83" spans="1:44" x14ac:dyDescent="0.3">
      <c r="A83"/>
      <c r="B83" s="1"/>
      <c r="C83" s="1"/>
      <c r="D83" s="177"/>
      <c r="E83" s="177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P83"/>
      <c r="AQ83"/>
      <c r="AR83"/>
    </row>
    <row r="84" spans="1:44" x14ac:dyDescent="0.3">
      <c r="A84"/>
      <c r="B84" s="1"/>
      <c r="C84" s="1"/>
      <c r="D84" s="177"/>
      <c r="E84" s="177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P84"/>
      <c r="AQ84"/>
      <c r="AR84"/>
    </row>
    <row r="85" spans="1:44" x14ac:dyDescent="0.3">
      <c r="A85"/>
      <c r="B85" s="1"/>
      <c r="C85" s="1"/>
      <c r="D85" s="177"/>
      <c r="E85" s="177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P85"/>
      <c r="AQ85"/>
      <c r="AR85"/>
    </row>
    <row r="86" spans="1:44" x14ac:dyDescent="0.3">
      <c r="A86"/>
      <c r="B86" s="1"/>
      <c r="C86" s="1"/>
      <c r="D86" s="177"/>
      <c r="E86" s="177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P86"/>
      <c r="AQ86"/>
      <c r="AR86"/>
    </row>
    <row r="87" spans="1:44" x14ac:dyDescent="0.3">
      <c r="A87"/>
      <c r="B87" s="1"/>
      <c r="C87" s="1"/>
      <c r="D87" s="177"/>
      <c r="E87" s="17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P87"/>
      <c r="AQ87"/>
      <c r="AR87"/>
    </row>
    <row r="88" spans="1:44" x14ac:dyDescent="0.3">
      <c r="A88"/>
      <c r="B88" s="1"/>
      <c r="C88" s="1"/>
      <c r="D88" s="177"/>
      <c r="E88" s="177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P88"/>
      <c r="AQ88"/>
      <c r="AR88"/>
    </row>
    <row r="89" spans="1:44" x14ac:dyDescent="0.3">
      <c r="A89"/>
      <c r="B89" s="1"/>
      <c r="C89" s="1"/>
      <c r="D89" s="177"/>
      <c r="E89" s="177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P89"/>
      <c r="AQ89"/>
      <c r="AR89"/>
    </row>
    <row r="90" spans="1:44" x14ac:dyDescent="0.3">
      <c r="A90"/>
      <c r="B90" s="1"/>
      <c r="C90" s="1"/>
      <c r="D90" s="177"/>
      <c r="E90" s="177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P90"/>
      <c r="AQ90"/>
      <c r="AR90"/>
    </row>
    <row r="91" spans="1:44" x14ac:dyDescent="0.3">
      <c r="A91"/>
      <c r="B91" s="1"/>
      <c r="C91" s="1"/>
      <c r="D91" s="177"/>
      <c r="E91" s="177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P91"/>
      <c r="AQ91"/>
      <c r="AR91"/>
    </row>
    <row r="92" spans="1:44" x14ac:dyDescent="0.3">
      <c r="A92"/>
      <c r="B92" s="1"/>
      <c r="C92" s="1"/>
      <c r="D92" s="177"/>
      <c r="E92" s="177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P92"/>
      <c r="AQ92"/>
      <c r="AR92"/>
    </row>
    <row r="93" spans="1:44" x14ac:dyDescent="0.3">
      <c r="A93"/>
      <c r="B93" s="1"/>
      <c r="C93" s="1"/>
      <c r="D93" s="177"/>
      <c r="E93" s="177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P93"/>
      <c r="AQ93"/>
      <c r="AR93"/>
    </row>
    <row r="94" spans="1:44" x14ac:dyDescent="0.3">
      <c r="A94"/>
      <c r="B94" s="1"/>
      <c r="C94" s="1"/>
      <c r="D94" s="177"/>
      <c r="E94" s="177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P94"/>
      <c r="AQ94"/>
      <c r="AR94"/>
    </row>
    <row r="95" spans="1:44" x14ac:dyDescent="0.3">
      <c r="A95"/>
      <c r="B95" s="1"/>
      <c r="C95" s="1"/>
      <c r="D95" s="177"/>
      <c r="E95" s="177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P95"/>
      <c r="AQ95"/>
      <c r="AR95"/>
    </row>
    <row r="96" spans="1:44" x14ac:dyDescent="0.3">
      <c r="A96"/>
      <c r="B96" s="1"/>
      <c r="C96" s="1"/>
      <c r="D96" s="177"/>
      <c r="E96" s="177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P96"/>
      <c r="AQ96"/>
      <c r="AR96"/>
    </row>
    <row r="97" spans="1:44" x14ac:dyDescent="0.3">
      <c r="A97"/>
      <c r="B97" s="1"/>
      <c r="C97" s="1"/>
      <c r="D97" s="177"/>
      <c r="E97" s="17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P97"/>
      <c r="AQ97"/>
      <c r="AR97"/>
    </row>
    <row r="98" spans="1:44" x14ac:dyDescent="0.3">
      <c r="A98"/>
      <c r="B98" s="1"/>
      <c r="C98" s="1"/>
      <c r="D98" s="177"/>
      <c r="E98" s="177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P98"/>
      <c r="AQ98"/>
      <c r="AR98"/>
    </row>
    <row r="99" spans="1:44" x14ac:dyDescent="0.3">
      <c r="A99"/>
      <c r="B99" s="1"/>
      <c r="C99" s="1"/>
      <c r="D99" s="177"/>
      <c r="E99" s="177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P99"/>
      <c r="AQ99"/>
      <c r="AR99"/>
    </row>
    <row r="100" spans="1:44" x14ac:dyDescent="0.3">
      <c r="A100"/>
      <c r="B100" s="1"/>
      <c r="C100" s="1"/>
      <c r="D100" s="177"/>
      <c r="E100" s="177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P100"/>
      <c r="AQ100"/>
      <c r="AR100"/>
    </row>
    <row r="101" spans="1:44" x14ac:dyDescent="0.3">
      <c r="A101"/>
      <c r="B101" s="1"/>
      <c r="C101" s="1"/>
      <c r="D101" s="177"/>
      <c r="E101" s="177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P101"/>
      <c r="AQ101"/>
      <c r="AR101"/>
    </row>
    <row r="102" spans="1:44" x14ac:dyDescent="0.3">
      <c r="A102"/>
      <c r="B102" s="1"/>
      <c r="C102" s="1"/>
      <c r="D102" s="177"/>
      <c r="E102" s="177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P102"/>
      <c r="AQ102"/>
      <c r="AR102"/>
    </row>
    <row r="103" spans="1:44" x14ac:dyDescent="0.3">
      <c r="A103"/>
      <c r="B103" s="1"/>
      <c r="C103" s="1"/>
      <c r="D103" s="177"/>
      <c r="E103" s="177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P103"/>
      <c r="AQ103"/>
      <c r="AR103"/>
    </row>
    <row r="104" spans="1:44" x14ac:dyDescent="0.3">
      <c r="A104"/>
      <c r="B104" s="1"/>
      <c r="C104" s="1"/>
      <c r="D104" s="177"/>
      <c r="E104" s="177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P104"/>
      <c r="AQ104"/>
      <c r="AR104"/>
    </row>
    <row r="105" spans="1:44" x14ac:dyDescent="0.3">
      <c r="A105"/>
      <c r="B105" s="1"/>
      <c r="C105" s="1"/>
      <c r="D105" s="177"/>
      <c r="E105" s="177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P105"/>
      <c r="AQ105"/>
      <c r="AR105"/>
    </row>
    <row r="106" spans="1:44" x14ac:dyDescent="0.3">
      <c r="A106"/>
      <c r="B106" s="1"/>
      <c r="C106" s="1"/>
      <c r="D106" s="177"/>
      <c r="E106" s="177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P106"/>
      <c r="AQ106"/>
      <c r="AR106"/>
    </row>
    <row r="107" spans="1:44" x14ac:dyDescent="0.3">
      <c r="A107"/>
      <c r="B107" s="1"/>
      <c r="C107" s="1"/>
      <c r="D107" s="177"/>
      <c r="E107" s="17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P107"/>
      <c r="AQ107"/>
      <c r="AR107"/>
    </row>
    <row r="108" spans="1:44" x14ac:dyDescent="0.3">
      <c r="A108"/>
      <c r="B108" s="1"/>
      <c r="C108" s="1"/>
      <c r="D108" s="177"/>
      <c r="E108" s="177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P108"/>
      <c r="AQ108"/>
      <c r="AR108"/>
    </row>
    <row r="109" spans="1:44" x14ac:dyDescent="0.3">
      <c r="A109"/>
      <c r="B109" s="1"/>
      <c r="C109" s="1"/>
      <c r="D109" s="177"/>
      <c r="E109" s="177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P109"/>
      <c r="AQ109"/>
      <c r="AR109"/>
    </row>
    <row r="110" spans="1:44" x14ac:dyDescent="0.3">
      <c r="A110"/>
      <c r="B110" s="1"/>
      <c r="C110" s="1"/>
      <c r="D110" s="177"/>
      <c r="E110" s="177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P110"/>
      <c r="AQ110"/>
      <c r="AR110"/>
    </row>
    <row r="111" spans="1:44" x14ac:dyDescent="0.3">
      <c r="A111"/>
      <c r="B111" s="1"/>
      <c r="C111" s="1"/>
      <c r="D111" s="177"/>
      <c r="E111" s="177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P111"/>
      <c r="AQ111"/>
      <c r="AR111"/>
    </row>
    <row r="112" spans="1:44" x14ac:dyDescent="0.3">
      <c r="A112"/>
      <c r="B112" s="1"/>
      <c r="C112" s="1"/>
      <c r="D112" s="177"/>
      <c r="E112" s="177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P112"/>
      <c r="AQ112"/>
      <c r="AR112"/>
    </row>
    <row r="113" spans="1:44" x14ac:dyDescent="0.3">
      <c r="A113"/>
      <c r="B113" s="1"/>
      <c r="C113" s="1"/>
      <c r="D113" s="177"/>
      <c r="E113" s="177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P113"/>
      <c r="AQ113"/>
      <c r="AR113"/>
    </row>
    <row r="114" spans="1:44" x14ac:dyDescent="0.3">
      <c r="A114"/>
      <c r="B114" s="1"/>
      <c r="C114" s="1"/>
      <c r="D114" s="177"/>
      <c r="E114" s="177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P114"/>
      <c r="AQ114"/>
      <c r="AR114"/>
    </row>
    <row r="115" spans="1:44" x14ac:dyDescent="0.3">
      <c r="A115"/>
      <c r="B115" s="1"/>
      <c r="C115" s="1"/>
      <c r="D115" s="177"/>
      <c r="E115" s="177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P115"/>
      <c r="AQ115"/>
      <c r="AR115"/>
    </row>
    <row r="116" spans="1:44" x14ac:dyDescent="0.3">
      <c r="A116"/>
      <c r="B116" s="1"/>
      <c r="C116" s="1"/>
      <c r="D116" s="177"/>
      <c r="E116" s="177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P116"/>
      <c r="AQ116"/>
      <c r="AR116"/>
    </row>
    <row r="117" spans="1:44" x14ac:dyDescent="0.3">
      <c r="A117"/>
      <c r="B117" s="1"/>
      <c r="C117" s="1"/>
      <c r="D117" s="177"/>
      <c r="E117" s="17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P117"/>
      <c r="AQ117"/>
      <c r="AR117"/>
    </row>
    <row r="118" spans="1:44" x14ac:dyDescent="0.3">
      <c r="A118"/>
      <c r="B118" s="1"/>
      <c r="C118" s="1"/>
      <c r="D118" s="177"/>
      <c r="E118" s="177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P118"/>
      <c r="AQ118"/>
      <c r="AR118"/>
    </row>
    <row r="119" spans="1:44" x14ac:dyDescent="0.3">
      <c r="A119"/>
      <c r="B119" s="1"/>
      <c r="C119" s="1"/>
      <c r="D119" s="177"/>
      <c r="E119" s="177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P119"/>
      <c r="AQ119"/>
      <c r="AR119"/>
    </row>
    <row r="120" spans="1:44" x14ac:dyDescent="0.3">
      <c r="A120"/>
      <c r="B120" s="1"/>
      <c r="C120" s="1"/>
      <c r="D120" s="177"/>
      <c r="E120" s="177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P120"/>
      <c r="AQ120"/>
      <c r="AR120"/>
    </row>
    <row r="121" spans="1:44" x14ac:dyDescent="0.3">
      <c r="A121"/>
      <c r="B121" s="1"/>
      <c r="C121" s="1"/>
      <c r="D121" s="177"/>
      <c r="E121" s="177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P121"/>
      <c r="AQ121"/>
      <c r="AR121"/>
    </row>
    <row r="122" spans="1:44" x14ac:dyDescent="0.3">
      <c r="A122"/>
      <c r="B122" s="1"/>
      <c r="C122" s="1"/>
      <c r="D122" s="177"/>
      <c r="E122" s="177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P122"/>
      <c r="AQ122"/>
      <c r="AR122"/>
    </row>
    <row r="123" spans="1:44" x14ac:dyDescent="0.3">
      <c r="A123"/>
      <c r="B123" s="1"/>
      <c r="C123" s="1"/>
      <c r="D123" s="177"/>
      <c r="E123" s="177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P123"/>
      <c r="AQ123"/>
      <c r="AR123"/>
    </row>
    <row r="124" spans="1:44" x14ac:dyDescent="0.3">
      <c r="A124"/>
      <c r="B124" s="1"/>
      <c r="C124" s="1"/>
      <c r="D124" s="177"/>
      <c r="E124" s="177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P124"/>
      <c r="AQ124"/>
      <c r="AR124"/>
    </row>
    <row r="125" spans="1:44" x14ac:dyDescent="0.3">
      <c r="A125"/>
      <c r="B125" s="1"/>
      <c r="C125" s="1"/>
      <c r="D125" s="177"/>
      <c r="E125" s="177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P125"/>
      <c r="AQ125"/>
      <c r="AR125"/>
    </row>
    <row r="126" spans="1:44" x14ac:dyDescent="0.3">
      <c r="A126"/>
      <c r="B126" s="1"/>
      <c r="C126" s="1"/>
      <c r="D126" s="177"/>
      <c r="E126" s="177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P126"/>
      <c r="AQ126"/>
      <c r="AR126"/>
    </row>
    <row r="127" spans="1:44" x14ac:dyDescent="0.3">
      <c r="A127"/>
      <c r="B127" s="1"/>
      <c r="C127" s="1"/>
      <c r="D127" s="177"/>
      <c r="E127" s="17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P127"/>
      <c r="AQ127"/>
      <c r="AR127"/>
    </row>
    <row r="128" spans="1:44" x14ac:dyDescent="0.3">
      <c r="A128"/>
      <c r="B128" s="1"/>
      <c r="C128" s="1"/>
      <c r="D128" s="177"/>
      <c r="E128" s="177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P128"/>
      <c r="AQ128"/>
      <c r="AR128"/>
    </row>
    <row r="129" spans="1:44" x14ac:dyDescent="0.3">
      <c r="A129"/>
      <c r="B129" s="1"/>
      <c r="C129" s="1"/>
      <c r="D129" s="177"/>
      <c r="E129" s="177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P129"/>
      <c r="AQ129"/>
      <c r="AR129"/>
    </row>
    <row r="130" spans="1:44" x14ac:dyDescent="0.3">
      <c r="A130"/>
      <c r="B130" s="1"/>
      <c r="C130" s="1"/>
      <c r="D130" s="177"/>
      <c r="E130" s="177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P130"/>
      <c r="AQ130"/>
      <c r="AR130"/>
    </row>
    <row r="131" spans="1:44" x14ac:dyDescent="0.3">
      <c r="A131"/>
      <c r="B131" s="1"/>
      <c r="C131" s="1"/>
      <c r="D131" s="177"/>
      <c r="E131" s="177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P131"/>
      <c r="AQ131"/>
      <c r="AR131"/>
    </row>
    <row r="132" spans="1:44" x14ac:dyDescent="0.3">
      <c r="A132"/>
      <c r="B132" s="1"/>
      <c r="C132" s="1"/>
      <c r="D132" s="177"/>
      <c r="E132" s="177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P132"/>
      <c r="AQ132"/>
      <c r="AR132"/>
    </row>
    <row r="133" spans="1:44" x14ac:dyDescent="0.3">
      <c r="A133"/>
      <c r="B133" s="1"/>
      <c r="C133" s="1"/>
      <c r="D133" s="177"/>
      <c r="E133" s="177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P133"/>
      <c r="AQ133"/>
      <c r="AR133"/>
    </row>
    <row r="134" spans="1:44" x14ac:dyDescent="0.3">
      <c r="A134"/>
      <c r="B134" s="1"/>
      <c r="C134" s="1"/>
      <c r="D134" s="177"/>
      <c r="E134" s="177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P134"/>
      <c r="AQ134"/>
      <c r="AR134"/>
    </row>
    <row r="135" spans="1:44" x14ac:dyDescent="0.3">
      <c r="A135"/>
      <c r="B135" s="1"/>
      <c r="C135" s="1"/>
      <c r="D135" s="177"/>
      <c r="E135" s="177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P135"/>
      <c r="AQ135"/>
      <c r="AR135"/>
    </row>
    <row r="136" spans="1:44" x14ac:dyDescent="0.3">
      <c r="A136"/>
      <c r="B136" s="1"/>
      <c r="C136" s="1"/>
      <c r="D136" s="177"/>
      <c r="E136" s="177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P136"/>
      <c r="AQ136"/>
      <c r="AR136"/>
    </row>
    <row r="137" spans="1:44" x14ac:dyDescent="0.3">
      <c r="A137"/>
      <c r="B137" s="1"/>
      <c r="C137" s="1"/>
      <c r="D137" s="177"/>
      <c r="E137" s="17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P137"/>
      <c r="AQ137"/>
      <c r="AR137"/>
    </row>
    <row r="138" spans="1:44" x14ac:dyDescent="0.3">
      <c r="A138"/>
      <c r="B138" s="1"/>
      <c r="C138" s="1"/>
      <c r="D138" s="177"/>
      <c r="E138" s="177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P138"/>
      <c r="AQ138"/>
      <c r="AR138"/>
    </row>
    <row r="139" spans="1:44" x14ac:dyDescent="0.3">
      <c r="A139"/>
      <c r="B139" s="1"/>
      <c r="C139" s="1"/>
      <c r="D139" s="177"/>
      <c r="E139" s="177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P139"/>
      <c r="AQ139"/>
      <c r="AR139"/>
    </row>
    <row r="140" spans="1:44" x14ac:dyDescent="0.3">
      <c r="A140"/>
      <c r="B140" s="1"/>
      <c r="C140" s="1"/>
      <c r="D140" s="177"/>
      <c r="E140" s="177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P140"/>
      <c r="AQ140"/>
      <c r="AR140"/>
    </row>
    <row r="141" spans="1:44" x14ac:dyDescent="0.3">
      <c r="A141"/>
      <c r="B141" s="1"/>
      <c r="C141" s="1"/>
      <c r="D141" s="177"/>
      <c r="E141" s="177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P141"/>
      <c r="AQ141"/>
      <c r="AR141"/>
    </row>
    <row r="142" spans="1:44" x14ac:dyDescent="0.3">
      <c r="A142"/>
      <c r="B142" s="1"/>
      <c r="C142" s="1"/>
      <c r="D142" s="177"/>
      <c r="E142" s="177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P142"/>
      <c r="AQ142"/>
      <c r="AR142"/>
    </row>
    <row r="143" spans="1:44" x14ac:dyDescent="0.3">
      <c r="A143"/>
      <c r="B143" s="1"/>
      <c r="C143" s="1"/>
      <c r="D143" s="177"/>
      <c r="E143" s="177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P143"/>
      <c r="AQ143"/>
      <c r="AR143"/>
    </row>
    <row r="144" spans="1:44" x14ac:dyDescent="0.3">
      <c r="A144"/>
      <c r="B144" s="1"/>
      <c r="C144" s="1"/>
      <c r="D144" s="177"/>
      <c r="E144" s="177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P144"/>
      <c r="AQ144"/>
      <c r="AR144"/>
    </row>
    <row r="145" spans="1:44" x14ac:dyDescent="0.3">
      <c r="A145"/>
      <c r="B145" s="1"/>
      <c r="C145" s="1"/>
      <c r="D145" s="177"/>
      <c r="E145" s="177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P145"/>
      <c r="AQ145"/>
      <c r="AR145"/>
    </row>
    <row r="146" spans="1:44" x14ac:dyDescent="0.3">
      <c r="A146"/>
      <c r="B146" s="1"/>
      <c r="C146" s="1"/>
      <c r="D146" s="177"/>
      <c r="E146" s="177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P146"/>
      <c r="AQ146"/>
      <c r="AR146"/>
    </row>
    <row r="147" spans="1:44" x14ac:dyDescent="0.3">
      <c r="A147"/>
      <c r="B147" s="1"/>
      <c r="C147" s="1"/>
      <c r="D147" s="177"/>
      <c r="E147" s="17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P147"/>
      <c r="AQ147"/>
      <c r="AR147"/>
    </row>
    <row r="148" spans="1:44" x14ac:dyDescent="0.3">
      <c r="A148"/>
      <c r="B148" s="1"/>
      <c r="C148" s="1"/>
      <c r="D148" s="177"/>
      <c r="E148" s="177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P148"/>
      <c r="AQ148"/>
      <c r="AR148"/>
    </row>
    <row r="149" spans="1:44" x14ac:dyDescent="0.3">
      <c r="A149"/>
      <c r="B149" s="1"/>
      <c r="C149" s="1"/>
      <c r="D149" s="177"/>
      <c r="E149" s="177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P149"/>
      <c r="AQ149"/>
      <c r="AR149"/>
    </row>
    <row r="150" spans="1:44" x14ac:dyDescent="0.3">
      <c r="A150"/>
      <c r="B150" s="1"/>
      <c r="C150" s="1"/>
      <c r="D150" s="177"/>
      <c r="E150" s="177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P150"/>
      <c r="AQ150"/>
      <c r="AR150"/>
    </row>
    <row r="151" spans="1:44" x14ac:dyDescent="0.3">
      <c r="A151"/>
      <c r="B151" s="1"/>
      <c r="C151" s="1"/>
      <c r="D151" s="177"/>
      <c r="E151" s="177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P151"/>
      <c r="AQ151"/>
      <c r="AR151"/>
    </row>
    <row r="152" spans="1:44" x14ac:dyDescent="0.3">
      <c r="A152"/>
      <c r="B152" s="1"/>
      <c r="C152" s="1"/>
      <c r="D152" s="177"/>
      <c r="E152" s="177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P152"/>
      <c r="AQ152"/>
      <c r="AR152"/>
    </row>
    <row r="153" spans="1:44" x14ac:dyDescent="0.3">
      <c r="A153"/>
      <c r="B153" s="1"/>
      <c r="C153" s="1"/>
      <c r="D153" s="177"/>
      <c r="E153" s="177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P153"/>
      <c r="AQ153"/>
      <c r="AR153"/>
    </row>
    <row r="154" spans="1:44" x14ac:dyDescent="0.3">
      <c r="A154"/>
      <c r="B154" s="1"/>
      <c r="C154" s="1"/>
      <c r="D154" s="177"/>
      <c r="E154" s="177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P154"/>
      <c r="AQ154"/>
      <c r="AR154"/>
    </row>
    <row r="155" spans="1:44" x14ac:dyDescent="0.3">
      <c r="A155"/>
      <c r="B155" s="1"/>
      <c r="C155" s="1"/>
      <c r="D155" s="177"/>
      <c r="E155" s="177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P155"/>
      <c r="AQ155"/>
      <c r="AR155"/>
    </row>
    <row r="156" spans="1:44" x14ac:dyDescent="0.3">
      <c r="A156"/>
      <c r="B156" s="1"/>
      <c r="C156" s="1"/>
      <c r="D156" s="177"/>
      <c r="E156" s="177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P156"/>
      <c r="AQ156"/>
      <c r="AR156"/>
    </row>
    <row r="157" spans="1:44" x14ac:dyDescent="0.3">
      <c r="A157"/>
      <c r="B157" s="1"/>
      <c r="C157" s="1"/>
      <c r="D157" s="177"/>
      <c r="E157" s="17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P157"/>
      <c r="AQ157"/>
      <c r="AR157"/>
    </row>
    <row r="158" spans="1:44" x14ac:dyDescent="0.3">
      <c r="A158"/>
      <c r="B158" s="1"/>
      <c r="C158" s="1"/>
      <c r="D158" s="177"/>
      <c r="E158" s="177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P158"/>
      <c r="AQ158"/>
      <c r="AR158"/>
    </row>
    <row r="159" spans="1:44" x14ac:dyDescent="0.3">
      <c r="A159"/>
      <c r="B159" s="1"/>
      <c r="C159" s="1"/>
      <c r="D159" s="177"/>
      <c r="E159" s="177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P159"/>
      <c r="AQ159"/>
      <c r="AR159"/>
    </row>
    <row r="160" spans="1:44" x14ac:dyDescent="0.3">
      <c r="A160"/>
      <c r="B160" s="1"/>
      <c r="C160" s="1"/>
      <c r="D160" s="177"/>
      <c r="E160" s="177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P160"/>
      <c r="AQ160"/>
      <c r="AR160"/>
    </row>
    <row r="161" spans="1:44" x14ac:dyDescent="0.3">
      <c r="A161"/>
      <c r="B161" s="1"/>
      <c r="C161" s="1"/>
      <c r="D161" s="177"/>
      <c r="E161" s="177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P161"/>
      <c r="AQ161"/>
      <c r="AR161"/>
    </row>
    <row r="162" spans="1:44" x14ac:dyDescent="0.3">
      <c r="A162"/>
      <c r="B162" s="1"/>
      <c r="C162" s="1"/>
      <c r="D162" s="177"/>
      <c r="E162" s="177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P162"/>
      <c r="AQ162"/>
      <c r="AR162"/>
    </row>
    <row r="163" spans="1:44" x14ac:dyDescent="0.3">
      <c r="A163"/>
      <c r="B163" s="1"/>
      <c r="C163" s="1"/>
      <c r="D163" s="177"/>
      <c r="E163" s="177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P163"/>
      <c r="AQ163"/>
      <c r="AR163"/>
    </row>
    <row r="164" spans="1:44" x14ac:dyDescent="0.3">
      <c r="A164"/>
      <c r="B164" s="1"/>
      <c r="C164" s="1"/>
      <c r="D164" s="177"/>
      <c r="E164" s="177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P164"/>
      <c r="AQ164"/>
      <c r="AR164"/>
    </row>
    <row r="165" spans="1:44" x14ac:dyDescent="0.3">
      <c r="A165"/>
      <c r="B165" s="1"/>
      <c r="C165" s="1"/>
      <c r="D165" s="177"/>
      <c r="E165" s="177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P165"/>
      <c r="AQ165"/>
      <c r="AR165"/>
    </row>
    <row r="166" spans="1:44" x14ac:dyDescent="0.3">
      <c r="A166"/>
      <c r="B166" s="1"/>
      <c r="C166" s="1"/>
      <c r="D166" s="177"/>
      <c r="E166" s="177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P166"/>
      <c r="AQ166"/>
      <c r="AR166"/>
    </row>
    <row r="167" spans="1:44" x14ac:dyDescent="0.3">
      <c r="A167"/>
      <c r="B167" s="1"/>
      <c r="C167" s="1"/>
      <c r="D167" s="177"/>
      <c r="E167" s="17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P167"/>
      <c r="AQ167"/>
      <c r="AR167"/>
    </row>
    <row r="168" spans="1:44" x14ac:dyDescent="0.3">
      <c r="A168"/>
      <c r="B168" s="1"/>
      <c r="C168" s="1"/>
      <c r="D168" s="177"/>
      <c r="E168" s="177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P168"/>
      <c r="AQ168"/>
      <c r="AR168"/>
    </row>
    <row r="169" spans="1:44" x14ac:dyDescent="0.3">
      <c r="A169"/>
      <c r="B169" s="1"/>
      <c r="C169" s="1"/>
      <c r="D169" s="177"/>
      <c r="E169" s="177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P169"/>
      <c r="AQ169"/>
      <c r="AR169"/>
    </row>
    <row r="170" spans="1:44" x14ac:dyDescent="0.3">
      <c r="A170"/>
      <c r="B170" s="1"/>
      <c r="C170" s="1"/>
      <c r="D170" s="177"/>
      <c r="E170" s="177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P170"/>
      <c r="AQ170"/>
      <c r="AR170"/>
    </row>
    <row r="171" spans="1:44" x14ac:dyDescent="0.3">
      <c r="A171"/>
      <c r="B171" s="1"/>
      <c r="C171" s="1"/>
      <c r="D171" s="177"/>
      <c r="E171" s="177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P171"/>
      <c r="AQ171"/>
      <c r="AR171"/>
    </row>
    <row r="172" spans="1:44" x14ac:dyDescent="0.3">
      <c r="A172"/>
      <c r="B172" s="1"/>
      <c r="C172" s="1"/>
      <c r="D172" s="177"/>
      <c r="E172" s="177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P172"/>
      <c r="AQ172"/>
      <c r="AR172"/>
    </row>
    <row r="173" spans="1:44" x14ac:dyDescent="0.3">
      <c r="A173"/>
      <c r="B173" s="1"/>
      <c r="C173" s="1"/>
      <c r="D173" s="177"/>
      <c r="E173" s="177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P173"/>
      <c r="AQ173"/>
      <c r="AR173"/>
    </row>
    <row r="174" spans="1:44" x14ac:dyDescent="0.3">
      <c r="A174"/>
      <c r="B174" s="1"/>
      <c r="C174" s="1"/>
      <c r="D174" s="177"/>
      <c r="E174" s="177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P174"/>
      <c r="AQ174"/>
      <c r="AR174"/>
    </row>
    <row r="175" spans="1:44" x14ac:dyDescent="0.3">
      <c r="A175"/>
      <c r="B175" s="1"/>
      <c r="C175" s="1"/>
      <c r="D175" s="177"/>
      <c r="E175" s="177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P175"/>
      <c r="AQ175"/>
      <c r="AR175"/>
    </row>
    <row r="176" spans="1:44" x14ac:dyDescent="0.3">
      <c r="A176"/>
      <c r="B176" s="1"/>
      <c r="C176" s="1"/>
      <c r="D176" s="177"/>
      <c r="E176" s="177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P176"/>
      <c r="AQ176"/>
      <c r="AR176"/>
    </row>
    <row r="177" spans="1:44" x14ac:dyDescent="0.3">
      <c r="A177"/>
      <c r="B177" s="1"/>
      <c r="C177" s="1"/>
      <c r="D177" s="177"/>
      <c r="E177" s="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P177"/>
      <c r="AQ177"/>
      <c r="AR177"/>
    </row>
    <row r="178" spans="1:44" x14ac:dyDescent="0.3">
      <c r="A178"/>
      <c r="B178" s="1"/>
      <c r="C178" s="1"/>
      <c r="D178" s="177"/>
      <c r="E178" s="177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P178"/>
      <c r="AQ178"/>
      <c r="AR178"/>
    </row>
    <row r="179" spans="1:44" x14ac:dyDescent="0.3">
      <c r="A179"/>
      <c r="B179" s="1"/>
      <c r="C179" s="1"/>
      <c r="D179" s="177"/>
      <c r="E179" s="177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P179"/>
      <c r="AQ179"/>
      <c r="AR179"/>
    </row>
    <row r="180" spans="1:44" x14ac:dyDescent="0.3">
      <c r="A180"/>
      <c r="B180" s="1"/>
      <c r="C180" s="1"/>
      <c r="D180" s="177"/>
      <c r="E180" s="177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P180"/>
      <c r="AQ180"/>
      <c r="AR180"/>
    </row>
    <row r="181" spans="1:44" x14ac:dyDescent="0.3">
      <c r="A181"/>
      <c r="B181" s="1"/>
      <c r="C181" s="1"/>
      <c r="D181" s="177"/>
      <c r="E181" s="177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P181"/>
      <c r="AQ181"/>
      <c r="AR181"/>
    </row>
    <row r="182" spans="1:44" x14ac:dyDescent="0.3">
      <c r="A182"/>
      <c r="B182" s="1"/>
      <c r="C182" s="1"/>
      <c r="D182" s="177"/>
      <c r="E182" s="177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P182"/>
      <c r="AQ182"/>
      <c r="AR182"/>
    </row>
    <row r="183" spans="1:44" x14ac:dyDescent="0.3">
      <c r="A183"/>
      <c r="B183" s="1"/>
      <c r="C183" s="1"/>
      <c r="D183" s="177"/>
      <c r="E183" s="177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P183"/>
      <c r="AQ183"/>
      <c r="AR183"/>
    </row>
    <row r="184" spans="1:44" x14ac:dyDescent="0.3">
      <c r="A184"/>
      <c r="B184" s="1"/>
      <c r="C184" s="1"/>
      <c r="D184" s="177"/>
      <c r="E184" s="177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P184"/>
      <c r="AQ184"/>
      <c r="AR184"/>
    </row>
    <row r="185" spans="1:44" x14ac:dyDescent="0.3">
      <c r="A185"/>
      <c r="B185" s="1"/>
      <c r="C185" s="1"/>
      <c r="D185" s="177"/>
      <c r="E185" s="177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P185"/>
      <c r="AQ185"/>
      <c r="AR185"/>
    </row>
    <row r="186" spans="1:44" x14ac:dyDescent="0.3">
      <c r="A186"/>
      <c r="B186" s="1"/>
      <c r="C186" s="1"/>
      <c r="D186" s="177"/>
      <c r="E186" s="177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P186"/>
      <c r="AQ186"/>
      <c r="AR186"/>
    </row>
    <row r="187" spans="1:44" x14ac:dyDescent="0.3">
      <c r="A187"/>
      <c r="B187" s="1"/>
      <c r="C187" s="1"/>
      <c r="D187" s="177"/>
      <c r="E187" s="17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P187"/>
      <c r="AQ187"/>
      <c r="AR187"/>
    </row>
    <row r="188" spans="1:44" x14ac:dyDescent="0.3">
      <c r="A188"/>
      <c r="B188" s="1"/>
      <c r="C188" s="1"/>
      <c r="D188" s="177"/>
      <c r="E188" s="177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P188"/>
      <c r="AQ188"/>
      <c r="AR188"/>
    </row>
    <row r="189" spans="1:44" x14ac:dyDescent="0.3">
      <c r="A189"/>
      <c r="B189" s="1"/>
      <c r="C189" s="1"/>
      <c r="D189" s="177"/>
      <c r="E189" s="177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P189"/>
      <c r="AQ189"/>
      <c r="AR189"/>
    </row>
    <row r="190" spans="1:44" x14ac:dyDescent="0.3">
      <c r="A190"/>
      <c r="B190" s="1"/>
      <c r="C190" s="1"/>
      <c r="D190" s="177"/>
      <c r="E190" s="177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P190"/>
      <c r="AQ190"/>
      <c r="AR190"/>
    </row>
    <row r="191" spans="1:44" x14ac:dyDescent="0.3">
      <c r="A191"/>
      <c r="B191" s="1"/>
      <c r="C191" s="1"/>
      <c r="D191" s="177"/>
      <c r="E191" s="177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P191"/>
      <c r="AQ191"/>
      <c r="AR191"/>
    </row>
    <row r="192" spans="1:44" x14ac:dyDescent="0.3">
      <c r="A192"/>
      <c r="B192" s="1"/>
      <c r="C192" s="1"/>
      <c r="D192" s="177"/>
      <c r="E192" s="177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P192"/>
      <c r="AQ192"/>
      <c r="AR192"/>
    </row>
    <row r="193" spans="1:44" x14ac:dyDescent="0.3">
      <c r="A193"/>
      <c r="B193" s="1"/>
      <c r="C193" s="1"/>
      <c r="D193" s="177"/>
      <c r="E193" s="177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P193"/>
      <c r="AQ193"/>
      <c r="AR193"/>
    </row>
    <row r="194" spans="1:44" x14ac:dyDescent="0.3">
      <c r="A194"/>
      <c r="B194" s="1"/>
      <c r="C194" s="1"/>
      <c r="D194" s="177"/>
      <c r="E194" s="177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P194"/>
      <c r="AQ194"/>
      <c r="AR194"/>
    </row>
    <row r="195" spans="1:44" x14ac:dyDescent="0.3">
      <c r="A195"/>
      <c r="B195" s="1"/>
      <c r="C195" s="1"/>
      <c r="D195" s="177"/>
      <c r="E195" s="177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P195"/>
      <c r="AQ195"/>
      <c r="AR195"/>
    </row>
    <row r="196" spans="1:44" x14ac:dyDescent="0.3">
      <c r="A196"/>
      <c r="B196" s="1"/>
      <c r="C196" s="1"/>
      <c r="D196" s="177"/>
      <c r="E196" s="177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P196"/>
      <c r="AQ196"/>
      <c r="AR196"/>
    </row>
    <row r="197" spans="1:44" x14ac:dyDescent="0.3">
      <c r="A197"/>
      <c r="B197" s="1"/>
      <c r="C197" s="1"/>
      <c r="D197" s="177"/>
      <c r="E197" s="17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P197"/>
      <c r="AQ197"/>
      <c r="AR197"/>
    </row>
    <row r="198" spans="1:44" x14ac:dyDescent="0.3">
      <c r="A198"/>
      <c r="B198" s="1"/>
      <c r="C198" s="1"/>
      <c r="D198" s="177"/>
      <c r="E198" s="177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P198"/>
      <c r="AQ198"/>
      <c r="AR198"/>
    </row>
    <row r="199" spans="1:44" x14ac:dyDescent="0.3">
      <c r="A199"/>
      <c r="B199" s="1"/>
      <c r="C199" s="1"/>
      <c r="D199" s="177"/>
      <c r="E199" s="177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P199"/>
      <c r="AQ199"/>
      <c r="AR199"/>
    </row>
    <row r="200" spans="1:44" x14ac:dyDescent="0.3">
      <c r="A200"/>
      <c r="B200" s="1"/>
      <c r="C200" s="1"/>
      <c r="D200" s="177"/>
      <c r="E200" s="177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P200"/>
      <c r="AQ200"/>
      <c r="AR200"/>
    </row>
    <row r="201" spans="1:44" x14ac:dyDescent="0.3">
      <c r="A201"/>
      <c r="B201" s="1"/>
      <c r="C201" s="1"/>
      <c r="D201" s="177"/>
      <c r="E201" s="177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P201"/>
      <c r="AQ201"/>
      <c r="AR201"/>
    </row>
    <row r="202" spans="1:44" x14ac:dyDescent="0.3">
      <c r="A202"/>
      <c r="B202" s="1"/>
      <c r="C202" s="1"/>
      <c r="D202" s="177"/>
      <c r="E202" s="177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P202"/>
      <c r="AQ202"/>
      <c r="AR202"/>
    </row>
    <row r="203" spans="1:44" x14ac:dyDescent="0.3">
      <c r="A203"/>
      <c r="B203" s="1"/>
      <c r="C203" s="1"/>
      <c r="D203" s="177"/>
      <c r="E203" s="177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P203"/>
      <c r="AQ203"/>
      <c r="AR203"/>
    </row>
    <row r="204" spans="1:44" x14ac:dyDescent="0.3">
      <c r="A204"/>
      <c r="B204" s="1"/>
      <c r="C204" s="1"/>
      <c r="D204" s="177"/>
      <c r="E204" s="177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P204"/>
      <c r="AQ204"/>
      <c r="AR204"/>
    </row>
    <row r="205" spans="1:44" x14ac:dyDescent="0.3">
      <c r="A205"/>
      <c r="B205" s="1"/>
      <c r="C205" s="1"/>
      <c r="D205" s="177"/>
      <c r="E205" s="177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P205"/>
      <c r="AQ205"/>
      <c r="AR205"/>
    </row>
    <row r="206" spans="1:44" x14ac:dyDescent="0.3">
      <c r="A206"/>
      <c r="B206" s="1"/>
      <c r="C206" s="1"/>
      <c r="D206" s="177"/>
      <c r="E206" s="177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P206"/>
      <c r="AQ206"/>
      <c r="AR206"/>
    </row>
    <row r="207" spans="1:44" x14ac:dyDescent="0.3">
      <c r="A207"/>
      <c r="B207" s="1"/>
      <c r="C207" s="1"/>
      <c r="D207" s="177"/>
      <c r="E207" s="17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P207"/>
      <c r="AQ207"/>
      <c r="AR207"/>
    </row>
    <row r="208" spans="1:44" x14ac:dyDescent="0.3">
      <c r="A208"/>
      <c r="B208" s="1"/>
      <c r="C208" s="1"/>
      <c r="D208" s="177"/>
      <c r="E208" s="177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P208"/>
      <c r="AQ208"/>
      <c r="AR208"/>
    </row>
    <row r="209" spans="1:44" x14ac:dyDescent="0.3">
      <c r="A209"/>
      <c r="B209" s="1"/>
      <c r="C209" s="1"/>
      <c r="D209" s="177"/>
      <c r="E209" s="177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P209"/>
      <c r="AQ209"/>
      <c r="AR209"/>
    </row>
    <row r="210" spans="1:44" x14ac:dyDescent="0.3">
      <c r="A210"/>
      <c r="B210" s="1"/>
      <c r="C210" s="1"/>
      <c r="D210" s="177"/>
      <c r="E210" s="177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P210"/>
      <c r="AQ210"/>
      <c r="AR210"/>
    </row>
    <row r="211" spans="1:44" x14ac:dyDescent="0.3">
      <c r="A211"/>
      <c r="B211" s="1"/>
      <c r="C211" s="1"/>
      <c r="D211" s="177"/>
      <c r="E211" s="177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P211"/>
      <c r="AQ211"/>
      <c r="AR211"/>
    </row>
    <row r="212" spans="1:44" x14ac:dyDescent="0.3">
      <c r="A212"/>
      <c r="B212" s="1"/>
      <c r="C212" s="1"/>
      <c r="D212" s="177"/>
      <c r="E212" s="177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P212"/>
      <c r="AQ212"/>
      <c r="AR212"/>
    </row>
    <row r="213" spans="1:44" x14ac:dyDescent="0.3">
      <c r="A213"/>
      <c r="B213" s="1"/>
      <c r="C213" s="1"/>
      <c r="D213" s="177"/>
      <c r="E213" s="177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P213"/>
      <c r="AQ213"/>
      <c r="AR213"/>
    </row>
    <row r="214" spans="1:44" x14ac:dyDescent="0.3">
      <c r="A214"/>
      <c r="B214" s="1"/>
      <c r="C214" s="1"/>
      <c r="D214" s="177"/>
      <c r="E214" s="177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P214"/>
      <c r="AQ214"/>
      <c r="AR214"/>
    </row>
    <row r="215" spans="1:44" x14ac:dyDescent="0.3">
      <c r="A215"/>
      <c r="B215" s="1"/>
      <c r="C215" s="1"/>
      <c r="D215" s="177"/>
      <c r="E215" s="177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P215"/>
      <c r="AQ215"/>
      <c r="AR215"/>
    </row>
    <row r="216" spans="1:44" x14ac:dyDescent="0.3">
      <c r="A216"/>
      <c r="B216" s="1"/>
      <c r="C216" s="1"/>
      <c r="D216" s="177"/>
      <c r="E216" s="177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P216"/>
      <c r="AQ216"/>
      <c r="AR216"/>
    </row>
    <row r="217" spans="1:44" x14ac:dyDescent="0.3">
      <c r="A217"/>
      <c r="B217" s="1"/>
      <c r="C217" s="1"/>
      <c r="D217" s="177"/>
      <c r="E217" s="17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P217"/>
      <c r="AQ217"/>
      <c r="AR217"/>
    </row>
    <row r="218" spans="1:44" x14ac:dyDescent="0.3">
      <c r="A218"/>
      <c r="B218" s="1"/>
      <c r="C218" s="1"/>
      <c r="D218" s="177"/>
      <c r="E218" s="177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P218"/>
      <c r="AQ218"/>
      <c r="AR218"/>
    </row>
    <row r="219" spans="1:44" x14ac:dyDescent="0.3">
      <c r="A219"/>
      <c r="B219" s="1"/>
      <c r="C219" s="1"/>
      <c r="D219" s="177"/>
      <c r="E219" s="177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P219"/>
      <c r="AQ219"/>
      <c r="AR219"/>
    </row>
    <row r="220" spans="1:44" x14ac:dyDescent="0.3">
      <c r="A220"/>
      <c r="B220" s="1"/>
      <c r="C220" s="1"/>
      <c r="D220" s="177"/>
      <c r="E220" s="177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P220"/>
      <c r="AQ220"/>
      <c r="AR220"/>
    </row>
    <row r="221" spans="1:44" x14ac:dyDescent="0.3">
      <c r="A221"/>
      <c r="B221" s="1"/>
      <c r="C221" s="1"/>
      <c r="D221" s="177"/>
      <c r="E221" s="177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P221"/>
      <c r="AQ221"/>
      <c r="AR221"/>
    </row>
    <row r="222" spans="1:44" x14ac:dyDescent="0.3">
      <c r="A222"/>
      <c r="B222" s="1"/>
      <c r="C222" s="1"/>
      <c r="D222" s="177"/>
      <c r="E222" s="177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P222"/>
      <c r="AQ222"/>
      <c r="AR222"/>
    </row>
    <row r="223" spans="1:44" x14ac:dyDescent="0.3">
      <c r="A223"/>
      <c r="B223" s="1"/>
      <c r="C223" s="1"/>
      <c r="D223" s="177"/>
      <c r="E223" s="177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P223"/>
      <c r="AQ223"/>
      <c r="AR223"/>
    </row>
    <row r="224" spans="1:44" x14ac:dyDescent="0.3">
      <c r="A224"/>
      <c r="B224" s="1"/>
      <c r="C224" s="1"/>
      <c r="D224" s="177"/>
      <c r="E224" s="177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P224"/>
      <c r="AQ224"/>
      <c r="AR224"/>
    </row>
    <row r="225" spans="1:44" x14ac:dyDescent="0.3">
      <c r="A225"/>
      <c r="B225" s="1"/>
      <c r="C225" s="1"/>
      <c r="D225" s="177"/>
      <c r="E225" s="177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P225"/>
      <c r="AQ225"/>
      <c r="AR225"/>
    </row>
    <row r="226" spans="1:44" x14ac:dyDescent="0.3">
      <c r="A226"/>
      <c r="B226" s="1"/>
      <c r="C226" s="1"/>
      <c r="D226" s="177"/>
      <c r="E226" s="177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P226"/>
      <c r="AQ226"/>
      <c r="AR226"/>
    </row>
    <row r="227" spans="1:44" x14ac:dyDescent="0.3">
      <c r="A227"/>
      <c r="B227" s="1"/>
      <c r="C227" s="1"/>
      <c r="D227" s="177"/>
      <c r="E227" s="17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P227"/>
      <c r="AQ227"/>
      <c r="AR227"/>
    </row>
    <row r="228" spans="1:44" x14ac:dyDescent="0.3">
      <c r="A228"/>
      <c r="B228" s="1"/>
      <c r="C228" s="1"/>
      <c r="D228" s="177"/>
      <c r="E228" s="177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P228"/>
      <c r="AQ228"/>
      <c r="AR228"/>
    </row>
    <row r="229" spans="1:44" x14ac:dyDescent="0.3">
      <c r="A229"/>
      <c r="B229" s="1"/>
      <c r="C229" s="1"/>
      <c r="D229" s="177"/>
      <c r="E229" s="177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P229"/>
      <c r="AQ229"/>
      <c r="AR229"/>
    </row>
    <row r="230" spans="1:44" x14ac:dyDescent="0.3">
      <c r="A230"/>
      <c r="B230" s="1"/>
      <c r="C230" s="1"/>
      <c r="D230" s="177"/>
      <c r="E230" s="177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P230"/>
      <c r="AQ230"/>
      <c r="AR230"/>
    </row>
    <row r="231" spans="1:44" x14ac:dyDescent="0.3">
      <c r="A231"/>
      <c r="B231" s="1"/>
      <c r="C231" s="1"/>
      <c r="D231" s="177"/>
      <c r="E231" s="177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P231"/>
      <c r="AQ231"/>
      <c r="AR231"/>
    </row>
    <row r="232" spans="1:44" x14ac:dyDescent="0.3">
      <c r="A232"/>
      <c r="B232" s="1"/>
      <c r="C232" s="1"/>
      <c r="D232" s="177"/>
      <c r="E232" s="177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P232"/>
      <c r="AQ232"/>
      <c r="AR232"/>
    </row>
    <row r="233" spans="1:44" x14ac:dyDescent="0.3">
      <c r="A233"/>
      <c r="B233" s="1"/>
      <c r="C233" s="1"/>
      <c r="D233" s="177"/>
      <c r="E233" s="177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P233"/>
      <c r="AQ233"/>
      <c r="AR233"/>
    </row>
    <row r="234" spans="1:44" x14ac:dyDescent="0.3">
      <c r="A234"/>
      <c r="B234" s="1"/>
      <c r="C234" s="1"/>
      <c r="D234" s="177"/>
      <c r="E234" s="177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P234"/>
      <c r="AQ234"/>
      <c r="AR234"/>
    </row>
    <row r="235" spans="1:44" x14ac:dyDescent="0.3">
      <c r="A235"/>
      <c r="B235" s="1"/>
      <c r="C235" s="1"/>
      <c r="D235" s="177"/>
      <c r="E235" s="177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P235"/>
      <c r="AQ235"/>
      <c r="AR235"/>
    </row>
    <row r="236" spans="1:44" x14ac:dyDescent="0.3">
      <c r="A236"/>
      <c r="B236" s="1"/>
      <c r="C236" s="1"/>
      <c r="D236" s="177"/>
      <c r="E236" s="177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P236"/>
      <c r="AQ236"/>
      <c r="AR236"/>
    </row>
    <row r="237" spans="1:44" x14ac:dyDescent="0.3">
      <c r="A237"/>
      <c r="B237" s="1"/>
      <c r="C237" s="1"/>
      <c r="D237" s="177"/>
      <c r="E237" s="17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P237"/>
      <c r="AQ237"/>
      <c r="AR237"/>
    </row>
    <row r="238" spans="1:44" x14ac:dyDescent="0.3">
      <c r="A238"/>
      <c r="B238" s="1"/>
      <c r="C238" s="1"/>
      <c r="D238" s="177"/>
      <c r="E238" s="177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P238"/>
      <c r="AQ238"/>
      <c r="AR238"/>
    </row>
    <row r="239" spans="1:44" x14ac:dyDescent="0.3">
      <c r="A239"/>
      <c r="B239" s="1"/>
      <c r="C239" s="1"/>
      <c r="D239" s="177"/>
      <c r="E239" s="177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P239"/>
      <c r="AQ239"/>
      <c r="AR239"/>
    </row>
    <row r="240" spans="1:44" x14ac:dyDescent="0.3">
      <c r="A240"/>
      <c r="B240" s="1"/>
      <c r="C240" s="1"/>
      <c r="D240" s="177"/>
      <c r="E240" s="177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P240"/>
      <c r="AQ240"/>
      <c r="AR240"/>
    </row>
    <row r="241" spans="1:44" x14ac:dyDescent="0.3">
      <c r="A241"/>
      <c r="B241" s="1"/>
      <c r="C241" s="1"/>
      <c r="D241" s="177"/>
      <c r="E241" s="177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P241"/>
      <c r="AQ241"/>
      <c r="AR241"/>
    </row>
    <row r="242" spans="1:44" x14ac:dyDescent="0.3">
      <c r="A242"/>
      <c r="B242" s="1"/>
      <c r="C242" s="1"/>
      <c r="D242" s="177"/>
      <c r="E242" s="177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P242"/>
      <c r="AQ242"/>
      <c r="AR242"/>
    </row>
    <row r="243" spans="1:44" x14ac:dyDescent="0.3">
      <c r="A243"/>
      <c r="B243" s="1"/>
      <c r="C243" s="1"/>
      <c r="D243" s="177"/>
      <c r="E243" s="177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P243"/>
      <c r="AQ243"/>
      <c r="AR243"/>
    </row>
    <row r="244" spans="1:44" x14ac:dyDescent="0.3">
      <c r="A244"/>
      <c r="B244" s="1"/>
      <c r="C244" s="1"/>
      <c r="D244" s="177"/>
      <c r="E244" s="177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P244"/>
      <c r="AQ244"/>
      <c r="AR244"/>
    </row>
    <row r="245" spans="1:44" x14ac:dyDescent="0.3">
      <c r="A245"/>
      <c r="B245" s="1"/>
      <c r="C245" s="1"/>
      <c r="D245" s="177"/>
      <c r="E245" s="177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P245"/>
      <c r="AQ245"/>
      <c r="AR245"/>
    </row>
    <row r="246" spans="1:44" x14ac:dyDescent="0.3">
      <c r="A246"/>
      <c r="B246" s="1"/>
      <c r="C246" s="1"/>
      <c r="D246" s="177"/>
      <c r="E246" s="177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P246"/>
      <c r="AQ246"/>
      <c r="AR246"/>
    </row>
    <row r="247" spans="1:44" x14ac:dyDescent="0.3">
      <c r="A247"/>
      <c r="B247" s="1"/>
      <c r="C247" s="1"/>
      <c r="D247" s="177"/>
      <c r="E247" s="17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P247"/>
      <c r="AQ247"/>
      <c r="AR247"/>
    </row>
    <row r="248" spans="1:44" x14ac:dyDescent="0.3">
      <c r="A248"/>
      <c r="B248" s="1"/>
      <c r="C248" s="1"/>
      <c r="D248" s="177"/>
      <c r="E248" s="177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P248"/>
      <c r="AQ248"/>
      <c r="AR248"/>
    </row>
    <row r="249" spans="1:44" x14ac:dyDescent="0.3">
      <c r="A249"/>
      <c r="B249" s="1"/>
      <c r="C249" s="1"/>
      <c r="D249" s="177"/>
      <c r="E249" s="177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P249"/>
      <c r="AQ249"/>
      <c r="AR249"/>
    </row>
    <row r="250" spans="1:44" x14ac:dyDescent="0.3">
      <c r="A250"/>
      <c r="B250" s="1"/>
      <c r="C250" s="1"/>
      <c r="D250" s="177"/>
      <c r="E250" s="177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P250"/>
      <c r="AQ250"/>
      <c r="AR250"/>
    </row>
    <row r="251" spans="1:44" x14ac:dyDescent="0.3">
      <c r="A251"/>
      <c r="B251" s="1"/>
      <c r="C251" s="1"/>
      <c r="D251" s="177"/>
      <c r="E251" s="177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P251"/>
      <c r="AQ251"/>
      <c r="AR251"/>
    </row>
    <row r="252" spans="1:44" x14ac:dyDescent="0.3">
      <c r="A252"/>
      <c r="B252" s="1"/>
      <c r="C252" s="1"/>
      <c r="D252" s="177"/>
      <c r="E252" s="177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P252"/>
      <c r="AQ252"/>
      <c r="AR252"/>
    </row>
    <row r="253" spans="1:44" x14ac:dyDescent="0.3">
      <c r="A253"/>
      <c r="B253" s="1"/>
      <c r="C253" s="1"/>
      <c r="D253" s="177"/>
      <c r="E253" s="177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P253"/>
      <c r="AQ253"/>
      <c r="AR253"/>
    </row>
    <row r="254" spans="1:44" x14ac:dyDescent="0.3">
      <c r="A254"/>
      <c r="B254" s="1"/>
      <c r="C254" s="1"/>
      <c r="D254" s="177"/>
      <c r="E254" s="177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P254"/>
      <c r="AQ254"/>
      <c r="AR254"/>
    </row>
    <row r="255" spans="1:44" x14ac:dyDescent="0.3">
      <c r="A255"/>
      <c r="B255" s="1"/>
      <c r="C255" s="1"/>
      <c r="D255" s="177"/>
      <c r="E255" s="177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P255"/>
      <c r="AQ255"/>
      <c r="AR255"/>
    </row>
    <row r="256" spans="1:44" x14ac:dyDescent="0.3">
      <c r="A256"/>
      <c r="B256" s="1"/>
      <c r="C256" s="1"/>
      <c r="D256" s="177"/>
      <c r="E256" s="177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P256"/>
      <c r="AQ256"/>
      <c r="AR256"/>
    </row>
    <row r="257" spans="1:44" x14ac:dyDescent="0.3">
      <c r="A257"/>
      <c r="B257" s="1"/>
      <c r="C257" s="1"/>
      <c r="D257" s="177"/>
      <c r="E257" s="17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P257"/>
      <c r="AQ257"/>
      <c r="AR257"/>
    </row>
    <row r="258" spans="1:44" x14ac:dyDescent="0.3">
      <c r="A258"/>
      <c r="B258" s="1"/>
      <c r="C258" s="1"/>
      <c r="D258" s="177"/>
      <c r="E258" s="177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P258"/>
      <c r="AQ258"/>
      <c r="AR258"/>
    </row>
    <row r="259" spans="1:44" x14ac:dyDescent="0.3">
      <c r="A259"/>
      <c r="B259" s="1"/>
      <c r="C259" s="1"/>
      <c r="D259" s="177"/>
      <c r="E259" s="177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P259"/>
      <c r="AQ259"/>
      <c r="AR259"/>
    </row>
    <row r="260" spans="1:44" x14ac:dyDescent="0.3">
      <c r="A260"/>
      <c r="B260" s="1"/>
      <c r="C260" s="1"/>
      <c r="D260" s="177"/>
      <c r="E260" s="177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P260"/>
      <c r="AQ260"/>
      <c r="AR260"/>
    </row>
    <row r="261" spans="1:44" x14ac:dyDescent="0.3">
      <c r="A261"/>
      <c r="B261" s="1"/>
      <c r="C261" s="1"/>
      <c r="D261" s="177"/>
      <c r="E261" s="177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P261"/>
      <c r="AQ261"/>
      <c r="AR261"/>
    </row>
    <row r="262" spans="1:44" x14ac:dyDescent="0.3">
      <c r="A262"/>
      <c r="B262" s="1"/>
      <c r="C262" s="1"/>
      <c r="D262" s="177"/>
      <c r="E262" s="177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P262"/>
      <c r="AQ262"/>
      <c r="AR262"/>
    </row>
    <row r="263" spans="1:44" x14ac:dyDescent="0.3">
      <c r="A263"/>
      <c r="B263" s="1"/>
      <c r="C263" s="1"/>
      <c r="D263" s="177"/>
      <c r="E263" s="177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P263"/>
      <c r="AQ263"/>
      <c r="AR263"/>
    </row>
    <row r="264" spans="1:44" x14ac:dyDescent="0.3">
      <c r="A264"/>
      <c r="B264" s="1"/>
      <c r="C264" s="1"/>
      <c r="D264" s="177"/>
      <c r="E264" s="177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P264"/>
      <c r="AQ264"/>
      <c r="AR264"/>
    </row>
    <row r="265" spans="1:44" x14ac:dyDescent="0.3">
      <c r="A265"/>
      <c r="B265" s="1"/>
      <c r="C265" s="1"/>
      <c r="D265" s="177"/>
      <c r="E265" s="177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P265"/>
      <c r="AQ265"/>
      <c r="AR265"/>
    </row>
    <row r="266" spans="1:44" x14ac:dyDescent="0.3">
      <c r="A266"/>
      <c r="B266" s="1"/>
      <c r="C266" s="1"/>
      <c r="D266" s="177"/>
      <c r="E266" s="177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P266"/>
      <c r="AQ266"/>
      <c r="AR266"/>
    </row>
    <row r="267" spans="1:44" x14ac:dyDescent="0.3">
      <c r="A267"/>
      <c r="B267" s="1"/>
      <c r="C267" s="1"/>
      <c r="D267" s="177"/>
      <c r="E267" s="17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P267"/>
      <c r="AQ267"/>
      <c r="AR267"/>
    </row>
    <row r="268" spans="1:44" x14ac:dyDescent="0.3">
      <c r="A268"/>
      <c r="B268" s="1"/>
      <c r="C268" s="1"/>
      <c r="D268" s="177"/>
      <c r="E268" s="177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P268"/>
      <c r="AQ268"/>
      <c r="AR268"/>
    </row>
    <row r="269" spans="1:44" x14ac:dyDescent="0.3">
      <c r="A269"/>
      <c r="B269" s="1"/>
      <c r="C269" s="1"/>
      <c r="D269" s="177"/>
      <c r="E269" s="177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P269"/>
      <c r="AQ269"/>
      <c r="AR269"/>
    </row>
    <row r="270" spans="1:44" x14ac:dyDescent="0.3">
      <c r="A270"/>
      <c r="B270" s="1"/>
      <c r="C270" s="1"/>
      <c r="D270" s="177"/>
      <c r="E270" s="177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P270"/>
      <c r="AQ270"/>
      <c r="AR270"/>
    </row>
    <row r="271" spans="1:44" x14ac:dyDescent="0.3">
      <c r="A271"/>
      <c r="B271" s="1"/>
      <c r="C271" s="1"/>
      <c r="D271" s="177"/>
      <c r="E271" s="177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P271"/>
      <c r="AQ271"/>
      <c r="AR271"/>
    </row>
    <row r="272" spans="1:44" x14ac:dyDescent="0.3">
      <c r="A272"/>
      <c r="B272" s="1"/>
      <c r="C272" s="1"/>
      <c r="D272" s="177"/>
      <c r="E272" s="177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P272"/>
      <c r="AQ272"/>
      <c r="AR272"/>
    </row>
    <row r="273" spans="1:44" x14ac:dyDescent="0.3">
      <c r="A273"/>
      <c r="B273" s="1"/>
      <c r="C273" s="1"/>
      <c r="D273" s="177"/>
      <c r="E273" s="177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P273"/>
      <c r="AQ273"/>
      <c r="AR273"/>
    </row>
    <row r="274" spans="1:44" x14ac:dyDescent="0.3">
      <c r="A274"/>
      <c r="B274" s="1"/>
      <c r="C274" s="1"/>
      <c r="D274" s="177"/>
      <c r="E274" s="177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P274"/>
      <c r="AQ274"/>
      <c r="AR274"/>
    </row>
    <row r="275" spans="1:44" x14ac:dyDescent="0.3">
      <c r="A275"/>
      <c r="B275" s="1"/>
      <c r="C275" s="1"/>
      <c r="D275" s="177"/>
      <c r="E275" s="177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P275"/>
      <c r="AQ275"/>
      <c r="AR275"/>
    </row>
    <row r="276" spans="1:44" x14ac:dyDescent="0.3">
      <c r="A276"/>
      <c r="B276" s="1"/>
      <c r="C276" s="1"/>
      <c r="D276" s="177"/>
      <c r="E276" s="177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P276"/>
      <c r="AQ276"/>
      <c r="AR276"/>
    </row>
    <row r="277" spans="1:44" x14ac:dyDescent="0.3">
      <c r="A277"/>
      <c r="B277" s="1"/>
      <c r="C277" s="1"/>
      <c r="D277" s="177"/>
      <c r="E277" s="1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P277"/>
      <c r="AQ277"/>
      <c r="AR277"/>
    </row>
    <row r="278" spans="1:44" x14ac:dyDescent="0.3">
      <c r="A278"/>
      <c r="B278" s="1"/>
      <c r="C278" s="1"/>
      <c r="D278" s="177"/>
      <c r="E278" s="177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P278"/>
      <c r="AQ278"/>
      <c r="AR278"/>
    </row>
    <row r="279" spans="1:44" x14ac:dyDescent="0.3">
      <c r="A279"/>
      <c r="B279" s="1"/>
      <c r="C279" s="1"/>
      <c r="D279" s="177"/>
      <c r="E279" s="177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P279"/>
      <c r="AQ279"/>
      <c r="AR279"/>
    </row>
    <row r="280" spans="1:44" x14ac:dyDescent="0.3">
      <c r="A280"/>
      <c r="B280" s="1"/>
      <c r="C280" s="1"/>
      <c r="D280" s="177"/>
      <c r="E280" s="177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P280"/>
      <c r="AQ280"/>
      <c r="AR280"/>
    </row>
    <row r="281" spans="1:44" x14ac:dyDescent="0.3">
      <c r="A281"/>
      <c r="B281" s="1"/>
      <c r="C281" s="1"/>
      <c r="D281" s="177"/>
      <c r="E281" s="177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P281"/>
      <c r="AQ281"/>
      <c r="AR281"/>
    </row>
    <row r="282" spans="1:44" x14ac:dyDescent="0.3">
      <c r="A282"/>
      <c r="B282" s="1"/>
      <c r="C282" s="1"/>
      <c r="D282" s="177"/>
      <c r="E282" s="177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P282"/>
      <c r="AQ282"/>
      <c r="AR282"/>
    </row>
    <row r="283" spans="1:44" x14ac:dyDescent="0.3">
      <c r="A283"/>
      <c r="B283" s="1"/>
      <c r="C283" s="1"/>
      <c r="D283" s="177"/>
      <c r="E283" s="177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P283"/>
      <c r="AQ283"/>
      <c r="AR283"/>
    </row>
    <row r="284" spans="1:44" x14ac:dyDescent="0.3">
      <c r="A284"/>
      <c r="B284" s="1"/>
      <c r="C284" s="1"/>
      <c r="D284" s="177"/>
      <c r="E284" s="177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P284"/>
      <c r="AQ284"/>
      <c r="AR284"/>
    </row>
    <row r="285" spans="1:44" x14ac:dyDescent="0.3">
      <c r="A285"/>
      <c r="B285" s="1"/>
      <c r="C285" s="1"/>
      <c r="D285" s="177"/>
      <c r="E285" s="177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P285"/>
      <c r="AQ285"/>
      <c r="AR285"/>
    </row>
    <row r="286" spans="1:44" x14ac:dyDescent="0.3">
      <c r="A286"/>
      <c r="B286" s="1"/>
      <c r="C286" s="1"/>
      <c r="D286" s="177"/>
      <c r="E286" s="177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P286"/>
      <c r="AQ286"/>
      <c r="AR286"/>
    </row>
    <row r="287" spans="1:44" x14ac:dyDescent="0.3">
      <c r="A287"/>
      <c r="B287" s="1"/>
      <c r="C287" s="1"/>
      <c r="D287" s="177"/>
      <c r="E287" s="17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P287"/>
      <c r="AQ287"/>
      <c r="AR287"/>
    </row>
    <row r="288" spans="1:44" x14ac:dyDescent="0.3">
      <c r="A288"/>
      <c r="B288" s="1"/>
      <c r="C288" s="1"/>
      <c r="D288" s="177"/>
      <c r="E288" s="177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P288"/>
      <c r="AQ288"/>
      <c r="AR288"/>
    </row>
    <row r="289" spans="1:44" x14ac:dyDescent="0.3">
      <c r="A289"/>
      <c r="B289" s="1"/>
      <c r="C289" s="1"/>
      <c r="D289" s="177"/>
      <c r="E289" s="177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P289"/>
      <c r="AQ289"/>
      <c r="AR289"/>
    </row>
    <row r="290" spans="1:44" x14ac:dyDescent="0.3">
      <c r="A290"/>
      <c r="B290" s="1"/>
      <c r="C290" s="1"/>
      <c r="D290" s="177"/>
      <c r="E290" s="177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P290"/>
      <c r="AQ290"/>
      <c r="AR290"/>
    </row>
    <row r="291" spans="1:44" x14ac:dyDescent="0.3">
      <c r="A291"/>
      <c r="B291" s="1"/>
      <c r="C291" s="1"/>
      <c r="D291" s="177"/>
      <c r="E291" s="177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P291"/>
      <c r="AQ291"/>
      <c r="AR291"/>
    </row>
    <row r="292" spans="1:44" x14ac:dyDescent="0.3">
      <c r="A292"/>
      <c r="B292" s="1"/>
      <c r="C292" s="1"/>
      <c r="D292" s="177"/>
      <c r="E292" s="177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P292"/>
      <c r="AQ292"/>
      <c r="AR292"/>
    </row>
    <row r="293" spans="1:44" x14ac:dyDescent="0.3">
      <c r="A293"/>
      <c r="B293" s="1"/>
      <c r="C293" s="1"/>
      <c r="D293" s="177"/>
      <c r="E293" s="177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P293"/>
      <c r="AQ293"/>
      <c r="AR293"/>
    </row>
    <row r="294" spans="1:44" x14ac:dyDescent="0.3">
      <c r="A294"/>
      <c r="B294" s="1"/>
      <c r="C294" s="1"/>
      <c r="D294" s="177"/>
      <c r="E294" s="177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P294"/>
      <c r="AQ294"/>
      <c r="AR294"/>
    </row>
    <row r="295" spans="1:44" x14ac:dyDescent="0.3">
      <c r="A295"/>
      <c r="B295" s="1"/>
      <c r="C295" s="1"/>
      <c r="D295" s="177"/>
      <c r="E295" s="177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P295"/>
      <c r="AQ295"/>
      <c r="AR295"/>
    </row>
    <row r="296" spans="1:44" x14ac:dyDescent="0.3">
      <c r="A296"/>
      <c r="B296" s="1"/>
      <c r="C296" s="1"/>
      <c r="D296" s="177"/>
      <c r="E296" s="177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P296"/>
      <c r="AQ296"/>
      <c r="AR296"/>
    </row>
    <row r="297" spans="1:44" x14ac:dyDescent="0.3">
      <c r="A297"/>
      <c r="B297" s="1"/>
      <c r="C297" s="1"/>
      <c r="D297" s="177"/>
      <c r="E297" s="17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P297"/>
      <c r="AQ297"/>
      <c r="AR297"/>
    </row>
    <row r="298" spans="1:44" x14ac:dyDescent="0.3">
      <c r="A298"/>
      <c r="B298" s="1"/>
      <c r="C298" s="1"/>
      <c r="D298" s="177"/>
      <c r="E298" s="177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P298"/>
      <c r="AQ298"/>
      <c r="AR298"/>
    </row>
    <row r="299" spans="1:44" x14ac:dyDescent="0.3">
      <c r="A299"/>
      <c r="B299" s="1"/>
      <c r="C299" s="1"/>
      <c r="D299" s="177"/>
      <c r="E299" s="177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P299"/>
      <c r="AQ299"/>
      <c r="AR299"/>
    </row>
    <row r="300" spans="1:44" x14ac:dyDescent="0.3">
      <c r="A300"/>
      <c r="B300" s="1"/>
      <c r="C300" s="1"/>
      <c r="D300" s="177"/>
      <c r="E300" s="177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P300"/>
      <c r="AQ300"/>
      <c r="AR300"/>
    </row>
    <row r="301" spans="1:44" x14ac:dyDescent="0.3">
      <c r="A301"/>
      <c r="B301" s="1"/>
      <c r="C301" s="1"/>
      <c r="D301" s="177"/>
      <c r="E301" s="177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P301"/>
      <c r="AQ301"/>
      <c r="AR301"/>
    </row>
    <row r="302" spans="1:44" x14ac:dyDescent="0.3">
      <c r="A302"/>
      <c r="B302" s="1"/>
      <c r="C302" s="1"/>
      <c r="D302" s="177"/>
      <c r="E302" s="177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P302"/>
      <c r="AQ302"/>
      <c r="AR302"/>
    </row>
    <row r="303" spans="1:44" x14ac:dyDescent="0.3">
      <c r="A303"/>
      <c r="B303" s="1"/>
      <c r="C303" s="1"/>
      <c r="D303" s="177"/>
      <c r="E303" s="177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P303"/>
      <c r="AQ303"/>
      <c r="AR303"/>
    </row>
    <row r="304" spans="1:44" x14ac:dyDescent="0.3">
      <c r="A304"/>
      <c r="B304" s="1"/>
      <c r="C304" s="1"/>
      <c r="D304" s="177"/>
      <c r="E304" s="177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P304"/>
      <c r="AQ304"/>
      <c r="AR304"/>
    </row>
    <row r="305" spans="1:44" x14ac:dyDescent="0.3">
      <c r="A305"/>
      <c r="B305" s="1"/>
      <c r="C305" s="1"/>
      <c r="D305" s="177"/>
      <c r="E305" s="177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P305"/>
      <c r="AQ305"/>
      <c r="AR305"/>
    </row>
    <row r="306" spans="1:44" x14ac:dyDescent="0.3">
      <c r="A306"/>
      <c r="B306" s="1"/>
      <c r="C306" s="1"/>
      <c r="D306" s="177"/>
      <c r="E306" s="177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P306"/>
      <c r="AQ306"/>
      <c r="AR306"/>
    </row>
    <row r="307" spans="1:44" x14ac:dyDescent="0.3">
      <c r="A307"/>
      <c r="B307" s="1"/>
      <c r="C307" s="1"/>
      <c r="D307" s="177"/>
      <c r="E307" s="17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P307"/>
      <c r="AQ307"/>
      <c r="AR307"/>
    </row>
    <row r="308" spans="1:44" x14ac:dyDescent="0.3">
      <c r="A308"/>
      <c r="B308" s="1"/>
      <c r="C308" s="1"/>
      <c r="D308" s="177"/>
      <c r="E308" s="177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P308"/>
      <c r="AQ308"/>
      <c r="AR308"/>
    </row>
    <row r="309" spans="1:44" x14ac:dyDescent="0.3">
      <c r="A309"/>
      <c r="B309" s="1"/>
      <c r="C309" s="1"/>
      <c r="D309" s="177"/>
      <c r="E309" s="177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P309"/>
      <c r="AQ309"/>
      <c r="AR309"/>
    </row>
    <row r="310" spans="1:44" x14ac:dyDescent="0.3">
      <c r="A310"/>
      <c r="B310" s="1"/>
      <c r="C310" s="1"/>
      <c r="D310" s="177"/>
      <c r="E310" s="177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P310"/>
      <c r="AQ310"/>
      <c r="AR310"/>
    </row>
    <row r="311" spans="1:44" x14ac:dyDescent="0.3">
      <c r="A311"/>
      <c r="B311" s="1"/>
      <c r="C311" s="1"/>
      <c r="D311" s="177"/>
      <c r="E311" s="177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P311"/>
      <c r="AQ311"/>
      <c r="AR311"/>
    </row>
    <row r="312" spans="1:44" x14ac:dyDescent="0.3">
      <c r="A312"/>
      <c r="B312" s="1"/>
      <c r="C312" s="1"/>
      <c r="D312" s="177"/>
      <c r="E312" s="177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P312"/>
      <c r="AQ312"/>
      <c r="AR312"/>
    </row>
    <row r="313" spans="1:44" x14ac:dyDescent="0.3">
      <c r="A313"/>
      <c r="B313" s="1"/>
      <c r="C313" s="1"/>
      <c r="D313" s="177"/>
      <c r="E313" s="177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P313"/>
      <c r="AQ313"/>
      <c r="AR313"/>
    </row>
    <row r="314" spans="1:44" x14ac:dyDescent="0.3">
      <c r="A314"/>
      <c r="B314" s="1"/>
      <c r="C314" s="1"/>
      <c r="D314" s="177"/>
      <c r="E314" s="177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P314"/>
      <c r="AQ314"/>
      <c r="AR314"/>
    </row>
    <row r="315" spans="1:44" x14ac:dyDescent="0.3">
      <c r="A315"/>
      <c r="B315" s="1"/>
      <c r="C315" s="1"/>
      <c r="D315" s="177"/>
      <c r="E315" s="177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</row>
    <row r="316" spans="1:44" x14ac:dyDescent="0.3">
      <c r="A316"/>
      <c r="B316" s="1"/>
      <c r="C316" s="1"/>
      <c r="D316" s="177"/>
      <c r="E316" s="177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</row>
    <row r="317" spans="1:44" x14ac:dyDescent="0.3">
      <c r="A317"/>
      <c r="B317" s="1"/>
      <c r="C317" s="1"/>
      <c r="D317" s="177"/>
      <c r="E317" s="17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</row>
    <row r="318" spans="1:44" x14ac:dyDescent="0.3">
      <c r="A318"/>
      <c r="B318" s="1"/>
      <c r="C318" s="1"/>
      <c r="D318" s="177"/>
      <c r="E318" s="177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</row>
    <row r="319" spans="1:44" x14ac:dyDescent="0.3">
      <c r="A319"/>
      <c r="B319" s="1"/>
      <c r="C319" s="1"/>
      <c r="D319" s="177"/>
      <c r="E319" s="177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</row>
    <row r="320" spans="1:44" x14ac:dyDescent="0.3">
      <c r="A320"/>
      <c r="B320" s="1"/>
      <c r="C320" s="1"/>
      <c r="D320" s="177"/>
      <c r="E320" s="177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</row>
    <row r="321" spans="1:40" x14ac:dyDescent="0.3">
      <c r="A321"/>
      <c r="B321" s="1"/>
      <c r="C321" s="1"/>
      <c r="D321" s="177"/>
      <c r="E321" s="177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</row>
    <row r="322" spans="1:40" x14ac:dyDescent="0.3">
      <c r="A322"/>
      <c r="B322" s="1"/>
      <c r="C322" s="1"/>
      <c r="D322" s="177"/>
      <c r="E322" s="177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</row>
    <row r="323" spans="1:40" x14ac:dyDescent="0.3">
      <c r="A323"/>
      <c r="B323" s="1"/>
      <c r="C323" s="1"/>
      <c r="D323" s="177"/>
      <c r="E323" s="177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</row>
    <row r="324" spans="1:40" x14ac:dyDescent="0.3">
      <c r="A324"/>
      <c r="B324" s="1"/>
      <c r="C324" s="1"/>
      <c r="D324" s="177"/>
      <c r="E324" s="177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</row>
  </sheetData>
  <hyperlinks>
    <hyperlink ref="A8" r:id="rId1" display="SP@"/>
    <hyperlink ref="A9" r:id="rId2" display="SP@"/>
    <hyperlink ref="A10" r:id="rId3" display="SP@"/>
    <hyperlink ref="A12" r:id="rId4" display="SP@"/>
    <hyperlink ref="A11" r:id="rId5" display="SP@"/>
  </hyperlinks>
  <pageMargins left="0.7" right="0.7" top="0.75" bottom="0.75" header="0.3" footer="0.3"/>
  <pageSetup orientation="portrait" horizontalDpi="0" verticalDpi="0" r:id="rId6"/>
  <drawing r:id="rId7"/>
  <tableParts count="1">
    <tablePart r:id="rId8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AW331"/>
  <sheetViews>
    <sheetView zoomScaleNormal="100" workbookViewId="0">
      <selection activeCell="AE24" sqref="AE24"/>
    </sheetView>
  </sheetViews>
  <sheetFormatPr defaultColWidth="9.109375" defaultRowHeight="14.4" x14ac:dyDescent="0.3"/>
  <cols>
    <col min="1" max="1" width="15" style="140" customWidth="1"/>
    <col min="2" max="2" width="8.33203125" style="2" customWidth="1"/>
    <col min="3" max="3" width="7.44140625" style="2" customWidth="1"/>
    <col min="4" max="4" width="9.44140625" style="188" customWidth="1"/>
    <col min="5" max="5" width="10.88671875" style="2" customWidth="1"/>
    <col min="6" max="6" width="12.88671875" style="2" customWidth="1"/>
    <col min="7" max="7" width="12" style="2" customWidth="1"/>
    <col min="8" max="8" width="10.5546875" style="2" customWidth="1"/>
    <col min="9" max="9" width="10.88671875" style="2" customWidth="1"/>
    <col min="10" max="10" width="17.6640625" style="2" customWidth="1"/>
    <col min="11" max="11" width="8.88671875" style="2" customWidth="1"/>
    <col min="12" max="12" width="8.44140625" style="2" customWidth="1"/>
    <col min="13" max="17" width="10" style="2" customWidth="1"/>
    <col min="18" max="23" width="14.6640625" style="2" customWidth="1"/>
    <col min="24" max="24" width="20.88671875" style="2" customWidth="1"/>
    <col min="25" max="29" width="14.6640625" style="2" customWidth="1"/>
    <col min="30" max="30" width="9.44140625" style="2" customWidth="1"/>
    <col min="31" max="32" width="9.5546875" style="2" customWidth="1"/>
    <col min="33" max="33" width="10.6640625" style="2" customWidth="1"/>
    <col min="34" max="34" width="9.88671875" style="2" customWidth="1"/>
    <col min="35" max="35" width="12.5546875" style="2" customWidth="1"/>
    <col min="36" max="36" width="11.6640625" style="2" customWidth="1"/>
    <col min="37" max="37" width="11" style="2" customWidth="1"/>
    <col min="38" max="38" width="12.44140625" style="2" customWidth="1"/>
    <col min="39" max="40" width="14.33203125" style="2" customWidth="1"/>
    <col min="41" max="41" width="15.33203125" customWidth="1"/>
    <col min="42" max="42" width="13.5546875" style="2" customWidth="1"/>
    <col min="43" max="43" width="12.44140625" style="1" customWidth="1"/>
    <col min="44" max="44" width="9.109375" style="1"/>
    <col min="45" max="46" width="9.109375" style="2"/>
    <col min="49" max="16384" width="9.109375" style="2"/>
  </cols>
  <sheetData>
    <row r="1" spans="1:49" ht="80.25" customHeight="1" thickBot="1" x14ac:dyDescent="0.35">
      <c r="A1" s="151" t="s">
        <v>59</v>
      </c>
      <c r="B1" s="104" t="s">
        <v>57</v>
      </c>
      <c r="C1" s="104" t="s">
        <v>58</v>
      </c>
      <c r="D1" s="187" t="s">
        <v>194</v>
      </c>
      <c r="E1" s="17" t="s">
        <v>24</v>
      </c>
      <c r="F1" s="104" t="s">
        <v>63</v>
      </c>
      <c r="G1" s="17" t="s">
        <v>23</v>
      </c>
      <c r="H1" s="17" t="s">
        <v>3</v>
      </c>
      <c r="I1" s="17" t="s">
        <v>307</v>
      </c>
      <c r="J1" s="17" t="s">
        <v>14</v>
      </c>
      <c r="K1" s="17" t="s">
        <v>20</v>
      </c>
      <c r="L1" s="17" t="s">
        <v>19</v>
      </c>
      <c r="M1" s="17" t="s">
        <v>53</v>
      </c>
      <c r="N1" s="17" t="s">
        <v>54</v>
      </c>
      <c r="O1" s="17" t="s">
        <v>79</v>
      </c>
      <c r="P1" s="17" t="s">
        <v>81</v>
      </c>
      <c r="Q1" s="17" t="s">
        <v>82</v>
      </c>
      <c r="R1" s="17" t="s">
        <v>84</v>
      </c>
      <c r="S1" s="17" t="s">
        <v>85</v>
      </c>
      <c r="T1" s="17" t="s">
        <v>88</v>
      </c>
      <c r="U1" s="17" t="s">
        <v>91</v>
      </c>
      <c r="V1" s="17" t="s">
        <v>140</v>
      </c>
      <c r="W1" s="17" t="s">
        <v>103</v>
      </c>
      <c r="X1" s="3" t="s">
        <v>302</v>
      </c>
      <c r="Y1" s="191" t="s">
        <v>60</v>
      </c>
      <c r="Z1" s="191" t="s">
        <v>306</v>
      </c>
      <c r="AA1" s="73" t="s">
        <v>304</v>
      </c>
      <c r="AB1" s="396" t="s">
        <v>305</v>
      </c>
      <c r="AC1" s="396" t="s">
        <v>67</v>
      </c>
      <c r="AD1" s="17" t="s">
        <v>5</v>
      </c>
      <c r="AE1" s="17" t="s">
        <v>9</v>
      </c>
      <c r="AF1" s="17" t="s">
        <v>12</v>
      </c>
      <c r="AG1" s="17" t="s">
        <v>76</v>
      </c>
      <c r="AH1" s="17" t="s">
        <v>77</v>
      </c>
      <c r="AI1" s="17" t="s">
        <v>10</v>
      </c>
      <c r="AJ1" s="17" t="s">
        <v>11</v>
      </c>
      <c r="AK1" s="17" t="s">
        <v>18</v>
      </c>
      <c r="AL1" s="17" t="s">
        <v>15</v>
      </c>
      <c r="AM1" s="17" t="s">
        <v>17</v>
      </c>
      <c r="AN1" s="17" t="s">
        <v>78</v>
      </c>
      <c r="AO1" t="s">
        <v>50</v>
      </c>
      <c r="AP1" s="1" t="s">
        <v>75</v>
      </c>
      <c r="AQ1" s="1" t="s">
        <v>80</v>
      </c>
      <c r="AR1" s="1" t="s">
        <v>90</v>
      </c>
    </row>
    <row r="2" spans="1:49" ht="15" thickBot="1" x14ac:dyDescent="0.35">
      <c r="A2" s="301" t="s">
        <v>212</v>
      </c>
      <c r="B2" s="302">
        <v>1</v>
      </c>
      <c r="C2" s="302">
        <v>1</v>
      </c>
      <c r="D2" s="302">
        <f>Table112345791011[[#This Row],[a (mm)]]/Table112345791011[[#This Row],[d (mm)]]</f>
        <v>5.0037999999999991</v>
      </c>
      <c r="E2" s="302">
        <v>20</v>
      </c>
      <c r="F2" s="303">
        <f>Table112345791011[[#This Row],[d (mm)]]</f>
        <v>300</v>
      </c>
      <c r="G2" s="304">
        <f>E2*AD2</f>
        <v>30022.799999999996</v>
      </c>
      <c r="H2" s="304">
        <f t="shared" ref="H2:H8" si="0">G2/($AQ$5*AM2*0.001)</f>
        <v>1.5952752542915064E-6</v>
      </c>
      <c r="I2" s="304">
        <f>G2/(Table112345791011[[#This Row],[b (mm)]]*Table112345791011[[#This Row],[h]]^2)</f>
        <v>1.2254204081632652E-3</v>
      </c>
      <c r="J2" s="304">
        <f t="shared" ref="J2:J8" si="1">G2/(AI2*AK2*AE2*0.001)</f>
        <v>0.17344945621560723</v>
      </c>
      <c r="K2" s="304">
        <f t="shared" ref="K2:K8" si="2">E2/($AQ$4*AL2*0.001)</f>
        <v>6.84628479203422E-7</v>
      </c>
      <c r="L2" s="304">
        <f>E2/(Table112345791011[[#This Row],[b (mm)]]*AE2)</f>
        <v>3.3333333333333332E-4</v>
      </c>
      <c r="M2" s="304">
        <f>Table112345791011[[#This Row],[M (KN.mm)]]/(Table112345791011[[#This Row],[b (mm)]]*Table112345791011[[#This Row],[d (mm)]])</f>
        <v>0.50037999999999994</v>
      </c>
      <c r="N2" s="304">
        <f>Table112345791011[[#This Row],[M (KN.mm)]]/(Table112345791011[[#This Row],[b (mm)]]*Table112345791011[[#This Row],[h (mm)]])</f>
        <v>0.42889714285714281</v>
      </c>
      <c r="O2" s="304">
        <f>Table112345791011[[#This Row],[M (KN.mm)]]/(Table112345791011[[#This Row],[b (mm)]]*Table112345791011[[#This Row],[h (mm)]]*Table112345791011[[#This Row],[L(mm)]])</f>
        <v>1.4285714285714287E-4</v>
      </c>
      <c r="P2" s="304">
        <f>Table112345791011[[#This Row],[M (KN.mm)]]/(Table112345791011[[#This Row],[b (mm)]]*Table112345791011[[#This Row],[d (mm)]]*Table112345791011[[#This Row],[L(mm)]])</f>
        <v>1.6666666666666666E-4</v>
      </c>
      <c r="Q2" s="304">
        <f>Table112345791011[[#This Row],[M (KN.mm)]]/(Table112345791011[[#This Row],[b (mm)]]*Table112345791011[[#This Row],[h (mm)]]*Table112345791011[[#This Row],[L(mm)]]*Table112345791011[[#This Row],[fc (Mpa)]])</f>
        <v>2.9036004645760739E-6</v>
      </c>
      <c r="R2" s="304">
        <f>Table112345791011[[#This Row],[M (KN.mm)]]/(Table112345791011[[#This Row],[b (mm)]]*Table112345791011[[#This Row],[h (mm)]]*Table112345791011[[#This Row],[L(mm)]]/2)</f>
        <v>2.8571428571428574E-4</v>
      </c>
      <c r="S2" s="304">
        <f>Table112345791011[[#This Row],[M (KN.mm)]]/(Table112345791011[[#This Row],[a (mm)]]*Table112345791011[[#This Row],[b (mm)]]*Table112345791011[[#This Row],[h (mm)]]*Table112345791011[[#This Row],[L(mm)]]/2)</f>
        <v>1.9033153850692519E-7</v>
      </c>
      <c r="T2" s="304">
        <f>Table112345791011[[#This Row],[M (KN.mm)]]/(Table112345791011[[#This Row],[a (mm)]]^2*Table112345791011[[#This Row],[b (mm)]]*Table112345791011[[#This Row],[h (mm)]])</f>
        <v>1.9033153850692522E-7</v>
      </c>
      <c r="U2" s="304">
        <f>Table112345791011[[#This Row],[M (KN.mm)]]/(Table112345791011[[#This Row],[b (mm)]]*Table112345791011[[#This Row],[d (mm)]]*Table112345791011[[#This Row],[pho (%)]])</f>
        <v>0.31871337579617831</v>
      </c>
      <c r="V2" s="304">
        <f>E2*224.8/(2*SQRT(Table112345791011[[#This Row],[fc (Mpa)]]*145.037)*Table112345791011[[#This Row],[b (mm)]]*Table112345791011[[#This Row],[d (mm)]]*(1/25.4)^2)</f>
        <v>0.28614788109413863</v>
      </c>
      <c r="W2" s="304">
        <f>Table112345791011[[#This Row],[M (KN.mm)]]/$G$8</f>
        <v>0.25252525252525249</v>
      </c>
      <c r="X2" s="395">
        <f>Table112345791011[[#This Row],[V/(2*sqrt(fc) bd)]]</f>
        <v>0.28614788109413863</v>
      </c>
      <c r="Y2" s="111">
        <f>Table112345791011[[#This Row],[a (mm)]]</f>
        <v>1501.1399999999999</v>
      </c>
      <c r="Z2" s="395">
        <f>Table112345791011[[#This Row],[width]]*Table112345791011[[#This Row],[h (mm)]]^2</f>
        <v>24500000</v>
      </c>
      <c r="AA2" s="395">
        <f>Table112345791011[[#This Row],[b (mm)]]</f>
        <v>200</v>
      </c>
      <c r="AB2" s="395">
        <f>Table112345791011[[#This Row],[a]]/Table112345791011[[#This Row],[h (mm)]]</f>
        <v>4.2889714285714282</v>
      </c>
      <c r="AC2" s="395">
        <f>Table112345791011[[#This Row],[h (mm)]]</f>
        <v>350</v>
      </c>
      <c r="AD2" s="304">
        <f>59.1*25.4</f>
        <v>1501.1399999999999</v>
      </c>
      <c r="AE2" s="304">
        <v>300</v>
      </c>
      <c r="AF2" s="304">
        <v>350</v>
      </c>
      <c r="AG2" s="304">
        <v>200</v>
      </c>
      <c r="AH2" s="36">
        <v>49.2</v>
      </c>
      <c r="AI2" s="304">
        <f>Table112345791011[[#This Row],[pho (%)]]*Table112345791011[[#This Row],[b (mm)]]*Table112345791011[[#This Row],[h (mm)]]/100</f>
        <v>1099</v>
      </c>
      <c r="AJ2" s="304">
        <v>1.57</v>
      </c>
      <c r="AK2" s="304">
        <v>525</v>
      </c>
      <c r="AL2" s="304">
        <f>(1/3-0.21*(MIN(Table112345791011[[#This Row],[b (mm)]],AF2)/MAX(Table112345791011[[#This Row],[b (mm)]],AF2))*(MIN(Table112345791011[[#This Row],[b (mm)]],AF2)^4/(12*MAX(Table112345791011[[#This Row],[b (mm)]],AF2)^4)))*MAX(Table112345791011[[#This Row],[b (mm)]],AF2)*MIN(Table112345791011[[#This Row],[b (mm)]],AF2)^3</f>
        <v>930347910.59280849</v>
      </c>
      <c r="AM2" s="304">
        <f>Table112345791011[[#This Row],[b (mm)]]*AF2^3/12</f>
        <v>714583333.33333337</v>
      </c>
      <c r="AN2" s="305">
        <f>Table112345791011[[#This Row],[a (mm)]]*2</f>
        <v>3002.2799999999997</v>
      </c>
      <c r="AP2" s="1"/>
    </row>
    <row r="3" spans="1:49" ht="15" thickBot="1" x14ac:dyDescent="0.35">
      <c r="A3" s="306" t="s">
        <v>212</v>
      </c>
      <c r="B3" s="185">
        <v>2</v>
      </c>
      <c r="C3" s="185">
        <v>2</v>
      </c>
      <c r="D3" s="185">
        <f>Table112345791011[[#This Row],[a (mm)]]/Table112345791011[[#This Row],[d (mm)]]</f>
        <v>5.0037999999999991</v>
      </c>
      <c r="E3" s="185">
        <v>30</v>
      </c>
      <c r="F3" s="303">
        <f>Table112345791011[[#This Row],[d (mm)]]</f>
        <v>300</v>
      </c>
      <c r="G3" s="111">
        <f t="shared" ref="G3:G8" si="3">E3*AD3</f>
        <v>45034.2</v>
      </c>
      <c r="H3" s="111">
        <f t="shared" si="0"/>
        <v>2.39291288143726E-6</v>
      </c>
      <c r="I3" s="304">
        <f>G3/(Table112345791011[[#This Row],[b (mm)]]*Table112345791011[[#This Row],[h]]^2)</f>
        <v>1.8381306122448979E-3</v>
      </c>
      <c r="J3" s="111">
        <f t="shared" si="1"/>
        <v>0.26017418432341088</v>
      </c>
      <c r="K3" s="111">
        <f t="shared" si="2"/>
        <v>1.026942718805133E-6</v>
      </c>
      <c r="L3" s="111">
        <f>E3/(Table112345791011[[#This Row],[b (mm)]]*AE3)</f>
        <v>5.0000000000000001E-4</v>
      </c>
      <c r="M3" s="111">
        <f>Table112345791011[[#This Row],[M (KN.mm)]]/(Table112345791011[[#This Row],[b (mm)]]*Table112345791011[[#This Row],[d (mm)]])</f>
        <v>0.75056999999999996</v>
      </c>
      <c r="N3" s="111">
        <f>Table112345791011[[#This Row],[M (KN.mm)]]/(Table112345791011[[#This Row],[b (mm)]]*Table112345791011[[#This Row],[h (mm)]])</f>
        <v>0.6433457142857143</v>
      </c>
      <c r="O3" s="111">
        <f>Table112345791011[[#This Row],[M (KN.mm)]]/(Table112345791011[[#This Row],[b (mm)]]*Table112345791011[[#This Row],[h (mm)]]*Table112345791011[[#This Row],[L(mm)]])</f>
        <v>2.142857142857143E-4</v>
      </c>
      <c r="P3" s="111">
        <f>Table112345791011[[#This Row],[M (KN.mm)]]/(Table112345791011[[#This Row],[b (mm)]]*Table112345791011[[#This Row],[d (mm)]]*Table112345791011[[#This Row],[L(mm)]])</f>
        <v>2.5000000000000001E-4</v>
      </c>
      <c r="Q3" s="111">
        <f>Table112345791011[[#This Row],[M (KN.mm)]]/(Table112345791011[[#This Row],[b (mm)]]*Table112345791011[[#This Row],[h (mm)]]*Table112345791011[[#This Row],[L(mm)]]*Table112345791011[[#This Row],[fc (Mpa)]])</f>
        <v>4.3554006968641115E-6</v>
      </c>
      <c r="R3" s="111">
        <f>Table112345791011[[#This Row],[M (KN.mm)]]/(Table112345791011[[#This Row],[b (mm)]]*Table112345791011[[#This Row],[h (mm)]]*Table112345791011[[#This Row],[L(mm)]]/2)</f>
        <v>4.285714285714286E-4</v>
      </c>
      <c r="S3" s="111">
        <f>Table112345791011[[#This Row],[M (KN.mm)]]/(Table112345791011[[#This Row],[a (mm)]]*Table112345791011[[#This Row],[b (mm)]]*Table112345791011[[#This Row],[h (mm)]]*Table112345791011[[#This Row],[L(mm)]]/2)</f>
        <v>2.8549730776038781E-7</v>
      </c>
      <c r="T3" s="111">
        <f>Table112345791011[[#This Row],[M (KN.mm)]]/(Table112345791011[[#This Row],[a (mm)]]^2*Table112345791011[[#This Row],[b (mm)]]*Table112345791011[[#This Row],[h (mm)]])</f>
        <v>2.8549730776038786E-7</v>
      </c>
      <c r="U3" s="111">
        <f>Table112345791011[[#This Row],[M (KN.mm)]]/(Table112345791011[[#This Row],[b (mm)]]*Table112345791011[[#This Row],[d (mm)]]*Table112345791011[[#This Row],[pho (%)]])</f>
        <v>0.47807006369426747</v>
      </c>
      <c r="V3" s="111">
        <f>E3*224.8/(2*SQRT(Table112345791011[[#This Row],[fc (Mpa)]]*145.037)*Table112345791011[[#This Row],[b (mm)]]*Table112345791011[[#This Row],[d (mm)]]*(1/25.4)^2)</f>
        <v>0.42922182164120792</v>
      </c>
      <c r="W3" s="304">
        <f>Table112345791011[[#This Row],[M (KN.mm)]]/$G$8</f>
        <v>0.37878787878787878</v>
      </c>
      <c r="X3" s="395">
        <f>Table112345791011[[#This Row],[V/(2*sqrt(fc) bd)]]</f>
        <v>0.42922182164120792</v>
      </c>
      <c r="Y3" s="111">
        <f>Table112345791011[[#This Row],[a (mm)]]</f>
        <v>1501.1399999999999</v>
      </c>
      <c r="Z3" s="395">
        <f>Table112345791011[[#This Row],[width]]*Table112345791011[[#This Row],[h (mm)]]^2</f>
        <v>24500000</v>
      </c>
      <c r="AA3" s="395">
        <f>Table112345791011[[#This Row],[b (mm)]]</f>
        <v>200</v>
      </c>
      <c r="AB3" s="395">
        <f>Table112345791011[[#This Row],[a]]/Table112345791011[[#This Row],[h (mm)]]</f>
        <v>4.2889714285714282</v>
      </c>
      <c r="AC3" s="395">
        <f>Table112345791011[[#This Row],[h (mm)]]</f>
        <v>350</v>
      </c>
      <c r="AD3" s="111">
        <f t="shared" ref="AD3:AD22" si="4">59.1*25.4</f>
        <v>1501.1399999999999</v>
      </c>
      <c r="AE3" s="111">
        <v>300</v>
      </c>
      <c r="AF3" s="111">
        <v>350</v>
      </c>
      <c r="AG3" s="111">
        <v>200</v>
      </c>
      <c r="AH3" s="7">
        <v>49.2</v>
      </c>
      <c r="AI3" s="111">
        <f>Table112345791011[[#This Row],[pho (%)]]*Table112345791011[[#This Row],[b (mm)]]*Table112345791011[[#This Row],[h (mm)]]/100</f>
        <v>1099</v>
      </c>
      <c r="AJ3" s="111">
        <v>1.57</v>
      </c>
      <c r="AK3" s="111">
        <v>525</v>
      </c>
      <c r="AL3" s="111">
        <f>(1/3-0.21*(MIN(Table112345791011[[#This Row],[b (mm)]],AF3)/MAX(Table112345791011[[#This Row],[b (mm)]],AF3))*(MIN(Table112345791011[[#This Row],[b (mm)]],AF3)^4/(12*MAX(Table112345791011[[#This Row],[b (mm)]],AF3)^4)))*MAX(Table112345791011[[#This Row],[b (mm)]],AF3)*MIN(Table112345791011[[#This Row],[b (mm)]],AF3)^3</f>
        <v>930347910.59280849</v>
      </c>
      <c r="AM3" s="111">
        <f>Table112345791011[[#This Row],[b (mm)]]*AF3^3/12</f>
        <v>714583333.33333337</v>
      </c>
      <c r="AN3" s="307">
        <f>Table112345791011[[#This Row],[a (mm)]]*2</f>
        <v>3002.2799999999997</v>
      </c>
      <c r="AP3" s="1"/>
    </row>
    <row r="4" spans="1:49" ht="15" thickBot="1" x14ac:dyDescent="0.35">
      <c r="A4" s="306" t="s">
        <v>212</v>
      </c>
      <c r="B4" s="185">
        <v>3</v>
      </c>
      <c r="C4" s="185">
        <v>3</v>
      </c>
      <c r="D4" s="185">
        <f>Table112345791011[[#This Row],[a (mm)]]/Table112345791011[[#This Row],[d (mm)]]</f>
        <v>5.0037999999999991</v>
      </c>
      <c r="E4" s="185">
        <v>40</v>
      </c>
      <c r="F4" s="303">
        <f>Table112345791011[[#This Row],[d (mm)]]</f>
        <v>300</v>
      </c>
      <c r="G4" s="111">
        <f t="shared" si="3"/>
        <v>60045.599999999991</v>
      </c>
      <c r="H4" s="111">
        <f t="shared" si="0"/>
        <v>3.1905505085830128E-6</v>
      </c>
      <c r="I4" s="304">
        <f>G4/(Table112345791011[[#This Row],[b (mm)]]*Table112345791011[[#This Row],[h]]^2)</f>
        <v>2.4508408163265304E-3</v>
      </c>
      <c r="J4" s="111">
        <f t="shared" si="1"/>
        <v>0.34689891243121446</v>
      </c>
      <c r="K4" s="111">
        <f t="shared" si="2"/>
        <v>1.369256958406844E-6</v>
      </c>
      <c r="L4" s="111">
        <f>E4/(Table112345791011[[#This Row],[b (mm)]]*AE4)</f>
        <v>6.6666666666666664E-4</v>
      </c>
      <c r="M4" s="111">
        <f>Table112345791011[[#This Row],[M (KN.mm)]]/(Table112345791011[[#This Row],[b (mm)]]*Table112345791011[[#This Row],[d (mm)]])</f>
        <v>1.0007599999999999</v>
      </c>
      <c r="N4" s="111">
        <f>Table112345791011[[#This Row],[M (KN.mm)]]/(Table112345791011[[#This Row],[b (mm)]]*Table112345791011[[#This Row],[h (mm)]])</f>
        <v>0.85779428571428562</v>
      </c>
      <c r="O4" s="111">
        <f>Table112345791011[[#This Row],[M (KN.mm)]]/(Table112345791011[[#This Row],[b (mm)]]*Table112345791011[[#This Row],[h (mm)]]*Table112345791011[[#This Row],[L(mm)]])</f>
        <v>2.8571428571428574E-4</v>
      </c>
      <c r="P4" s="111">
        <f>Table112345791011[[#This Row],[M (KN.mm)]]/(Table112345791011[[#This Row],[b (mm)]]*Table112345791011[[#This Row],[d (mm)]]*Table112345791011[[#This Row],[L(mm)]])</f>
        <v>3.3333333333333332E-4</v>
      </c>
      <c r="Q4" s="111">
        <f>Table112345791011[[#This Row],[M (KN.mm)]]/(Table112345791011[[#This Row],[b (mm)]]*Table112345791011[[#This Row],[h (mm)]]*Table112345791011[[#This Row],[L(mm)]]*Table112345791011[[#This Row],[fc (Mpa)]])</f>
        <v>5.8072009291521478E-6</v>
      </c>
      <c r="R4" s="111">
        <f>Table112345791011[[#This Row],[M (KN.mm)]]/(Table112345791011[[#This Row],[b (mm)]]*Table112345791011[[#This Row],[h (mm)]]*Table112345791011[[#This Row],[L(mm)]]/2)</f>
        <v>5.7142857142857147E-4</v>
      </c>
      <c r="S4" s="111">
        <f>Table112345791011[[#This Row],[M (KN.mm)]]/(Table112345791011[[#This Row],[a (mm)]]*Table112345791011[[#This Row],[b (mm)]]*Table112345791011[[#This Row],[h (mm)]]*Table112345791011[[#This Row],[L(mm)]]/2)</f>
        <v>3.8066307701385038E-7</v>
      </c>
      <c r="T4" s="111">
        <f>Table112345791011[[#This Row],[M (KN.mm)]]/(Table112345791011[[#This Row],[a (mm)]]^2*Table112345791011[[#This Row],[b (mm)]]*Table112345791011[[#This Row],[h (mm)]])</f>
        <v>3.8066307701385043E-7</v>
      </c>
      <c r="U4" s="111">
        <f>Table112345791011[[#This Row],[M (KN.mm)]]/(Table112345791011[[#This Row],[b (mm)]]*Table112345791011[[#This Row],[d (mm)]]*Table112345791011[[#This Row],[pho (%)]])</f>
        <v>0.63742675159235662</v>
      </c>
      <c r="V4" s="111">
        <f>E4*224.8/(2*SQRT(Table112345791011[[#This Row],[fc (Mpa)]]*145.037)*Table112345791011[[#This Row],[b (mm)]]*Table112345791011[[#This Row],[d (mm)]]*(1/25.4)^2)</f>
        <v>0.57229576218827727</v>
      </c>
      <c r="W4" s="304">
        <f>Table112345791011[[#This Row],[M (KN.mm)]]/$G$8</f>
        <v>0.50505050505050497</v>
      </c>
      <c r="X4" s="395">
        <f>Table112345791011[[#This Row],[V/(2*sqrt(fc) bd)]]</f>
        <v>0.57229576218827727</v>
      </c>
      <c r="Y4" s="111">
        <f>Table112345791011[[#This Row],[a (mm)]]</f>
        <v>1501.1399999999999</v>
      </c>
      <c r="Z4" s="395">
        <f>Table112345791011[[#This Row],[width]]*Table112345791011[[#This Row],[h (mm)]]^2</f>
        <v>24500000</v>
      </c>
      <c r="AA4" s="395">
        <f>Table112345791011[[#This Row],[b (mm)]]</f>
        <v>200</v>
      </c>
      <c r="AB4" s="395">
        <f>Table112345791011[[#This Row],[a]]/Table112345791011[[#This Row],[h (mm)]]</f>
        <v>4.2889714285714282</v>
      </c>
      <c r="AC4" s="395">
        <f>Table112345791011[[#This Row],[h (mm)]]</f>
        <v>350</v>
      </c>
      <c r="AD4" s="111">
        <f t="shared" si="4"/>
        <v>1501.1399999999999</v>
      </c>
      <c r="AE4" s="111">
        <v>300</v>
      </c>
      <c r="AF4" s="111">
        <v>350</v>
      </c>
      <c r="AG4" s="111">
        <v>200</v>
      </c>
      <c r="AH4" s="7">
        <v>49.2</v>
      </c>
      <c r="AI4" s="111">
        <f>Table112345791011[[#This Row],[pho (%)]]*Table112345791011[[#This Row],[b (mm)]]*Table112345791011[[#This Row],[h (mm)]]/100</f>
        <v>1099</v>
      </c>
      <c r="AJ4" s="111">
        <v>1.57</v>
      </c>
      <c r="AK4" s="111">
        <v>525</v>
      </c>
      <c r="AL4" s="111">
        <f>(1/3-0.21*(MIN(Table112345791011[[#This Row],[b (mm)]],AF4)/MAX(Table112345791011[[#This Row],[b (mm)]],AF4))*(MIN(Table112345791011[[#This Row],[b (mm)]],AF4)^4/(12*MAX(Table112345791011[[#This Row],[b (mm)]],AF4)^4)))*MAX(Table112345791011[[#This Row],[b (mm)]],AF4)*MIN(Table112345791011[[#This Row],[b (mm)]],AF4)^3</f>
        <v>930347910.59280849</v>
      </c>
      <c r="AM4" s="111">
        <f>Table112345791011[[#This Row],[b (mm)]]*AF4^3/12</f>
        <v>714583333.33333337</v>
      </c>
      <c r="AN4" s="307">
        <f>Table112345791011[[#This Row],[a (mm)]]*2</f>
        <v>3002.2799999999997</v>
      </c>
      <c r="AP4" s="126" t="s">
        <v>7</v>
      </c>
      <c r="AQ4" s="107">
        <v>31.4</v>
      </c>
    </row>
    <row r="5" spans="1:49" ht="15" thickBot="1" x14ac:dyDescent="0.35">
      <c r="A5" s="306" t="s">
        <v>212</v>
      </c>
      <c r="B5" s="185">
        <v>4</v>
      </c>
      <c r="C5" s="185">
        <v>4</v>
      </c>
      <c r="D5" s="185">
        <f>Table112345791011[[#This Row],[a (mm)]]/Table112345791011[[#This Row],[d (mm)]]</f>
        <v>5.0037999999999991</v>
      </c>
      <c r="E5" s="185">
        <v>50</v>
      </c>
      <c r="F5" s="303">
        <f>Table112345791011[[#This Row],[d (mm)]]</f>
        <v>300</v>
      </c>
      <c r="G5" s="111">
        <f t="shared" si="3"/>
        <v>75057</v>
      </c>
      <c r="H5" s="111">
        <f t="shared" si="0"/>
        <v>3.9881881357287669E-6</v>
      </c>
      <c r="I5" s="304">
        <f>G5/(Table112345791011[[#This Row],[b (mm)]]*Table112345791011[[#This Row],[h]]^2)</f>
        <v>3.0635510204081633E-3</v>
      </c>
      <c r="J5" s="111">
        <f t="shared" si="1"/>
        <v>0.43362364053901814</v>
      </c>
      <c r="K5" s="111">
        <f t="shared" si="2"/>
        <v>1.711571198008555E-6</v>
      </c>
      <c r="L5" s="111">
        <f>E5/(Table112345791011[[#This Row],[b (mm)]]*AE5)</f>
        <v>8.3333333333333339E-4</v>
      </c>
      <c r="M5" s="111">
        <f>Table112345791011[[#This Row],[M (KN.mm)]]/(Table112345791011[[#This Row],[b (mm)]]*Table112345791011[[#This Row],[d (mm)]])</f>
        <v>1.25095</v>
      </c>
      <c r="N5" s="111">
        <f>Table112345791011[[#This Row],[M (KN.mm)]]/(Table112345791011[[#This Row],[b (mm)]]*Table112345791011[[#This Row],[h (mm)]])</f>
        <v>1.0722428571428571</v>
      </c>
      <c r="O5" s="111">
        <f>Table112345791011[[#This Row],[M (KN.mm)]]/(Table112345791011[[#This Row],[b (mm)]]*Table112345791011[[#This Row],[h (mm)]]*Table112345791011[[#This Row],[L(mm)]])</f>
        <v>3.571428571428572E-4</v>
      </c>
      <c r="P5" s="111">
        <f>Table112345791011[[#This Row],[M (KN.mm)]]/(Table112345791011[[#This Row],[b (mm)]]*Table112345791011[[#This Row],[d (mm)]]*Table112345791011[[#This Row],[L(mm)]])</f>
        <v>4.1666666666666675E-4</v>
      </c>
      <c r="Q5" s="111">
        <f>Table112345791011[[#This Row],[M (KN.mm)]]/(Table112345791011[[#This Row],[b (mm)]]*Table112345791011[[#This Row],[h (mm)]]*Table112345791011[[#This Row],[L(mm)]]*Table112345791011[[#This Row],[fc (Mpa)]])</f>
        <v>7.2590011614401858E-6</v>
      </c>
      <c r="R5" s="111">
        <f>Table112345791011[[#This Row],[M (KN.mm)]]/(Table112345791011[[#This Row],[b (mm)]]*Table112345791011[[#This Row],[h (mm)]]*Table112345791011[[#This Row],[L(mm)]]/2)</f>
        <v>7.1428571428571439E-4</v>
      </c>
      <c r="S5" s="111">
        <f>Table112345791011[[#This Row],[M (KN.mm)]]/(Table112345791011[[#This Row],[a (mm)]]*Table112345791011[[#This Row],[b (mm)]]*Table112345791011[[#This Row],[h (mm)]]*Table112345791011[[#This Row],[L(mm)]]/2)</f>
        <v>4.7582884626731305E-7</v>
      </c>
      <c r="T5" s="111">
        <f>Table112345791011[[#This Row],[M (KN.mm)]]/(Table112345791011[[#This Row],[a (mm)]]^2*Table112345791011[[#This Row],[b (mm)]]*Table112345791011[[#This Row],[h (mm)]])</f>
        <v>4.7582884626731311E-7</v>
      </c>
      <c r="U5" s="111">
        <f>Table112345791011[[#This Row],[M (KN.mm)]]/(Table112345791011[[#This Row],[b (mm)]]*Table112345791011[[#This Row],[d (mm)]]*Table112345791011[[#This Row],[pho (%)]])</f>
        <v>0.79678343949044583</v>
      </c>
      <c r="V5" s="111">
        <f>E5*224.8/(2*SQRT(Table112345791011[[#This Row],[fc (Mpa)]]*145.037)*Table112345791011[[#This Row],[b (mm)]]*Table112345791011[[#This Row],[d (mm)]]*(1/25.4)^2)</f>
        <v>0.71536970273534661</v>
      </c>
      <c r="W5" s="304">
        <f>Table112345791011[[#This Row],[M (KN.mm)]]/$G$8</f>
        <v>0.63131313131313127</v>
      </c>
      <c r="X5" s="395">
        <f>Table112345791011[[#This Row],[V/(2*sqrt(fc) bd)]]</f>
        <v>0.71536970273534661</v>
      </c>
      <c r="Y5" s="111">
        <f>Table112345791011[[#This Row],[a (mm)]]</f>
        <v>1501.1399999999999</v>
      </c>
      <c r="Z5" s="395">
        <f>Table112345791011[[#This Row],[width]]*Table112345791011[[#This Row],[h (mm)]]^2</f>
        <v>24500000</v>
      </c>
      <c r="AA5" s="395">
        <f>Table112345791011[[#This Row],[b (mm)]]</f>
        <v>200</v>
      </c>
      <c r="AB5" s="395">
        <f>Table112345791011[[#This Row],[a]]/Table112345791011[[#This Row],[h (mm)]]</f>
        <v>4.2889714285714282</v>
      </c>
      <c r="AC5" s="395">
        <f>Table112345791011[[#This Row],[h (mm)]]</f>
        <v>350</v>
      </c>
      <c r="AD5" s="111">
        <f t="shared" si="4"/>
        <v>1501.1399999999999</v>
      </c>
      <c r="AE5" s="111">
        <v>300</v>
      </c>
      <c r="AF5" s="111">
        <v>350</v>
      </c>
      <c r="AG5" s="111">
        <v>200</v>
      </c>
      <c r="AH5" s="7">
        <v>49.2</v>
      </c>
      <c r="AI5" s="111">
        <f>Table112345791011[[#This Row],[pho (%)]]*Table112345791011[[#This Row],[b (mm)]]*Table112345791011[[#This Row],[h (mm)]]/100</f>
        <v>1099</v>
      </c>
      <c r="AJ5" s="111">
        <v>1.57</v>
      </c>
      <c r="AK5" s="111">
        <v>525</v>
      </c>
      <c r="AL5" s="111">
        <f>(1/3-0.21*(MIN(Table112345791011[[#This Row],[b (mm)]],AF5)/MAX(Table112345791011[[#This Row],[b (mm)]],AF5))*(MIN(Table112345791011[[#This Row],[b (mm)]],AF5)^4/(12*MAX(Table112345791011[[#This Row],[b (mm)]],AF5)^4)))*MAX(Table112345791011[[#This Row],[b (mm)]],AF5)*MIN(Table112345791011[[#This Row],[b (mm)]],AF5)^3</f>
        <v>930347910.59280849</v>
      </c>
      <c r="AM5" s="111">
        <f>Table112345791011[[#This Row],[b (mm)]]*AF5^3/12</f>
        <v>714583333.33333337</v>
      </c>
      <c r="AN5" s="307">
        <f>Table112345791011[[#This Row],[a (mm)]]*2</f>
        <v>3002.2799999999997</v>
      </c>
      <c r="AP5" s="126" t="s">
        <v>8</v>
      </c>
      <c r="AQ5" s="107">
        <f>4700*SQRT(AQ4)</f>
        <v>26336.780365109171</v>
      </c>
    </row>
    <row r="6" spans="1:49" ht="15" thickBot="1" x14ac:dyDescent="0.35">
      <c r="A6" s="306" t="s">
        <v>212</v>
      </c>
      <c r="B6" s="185">
        <v>5</v>
      </c>
      <c r="C6" s="185">
        <v>5</v>
      </c>
      <c r="D6" s="185">
        <f>Table112345791011[[#This Row],[a (mm)]]/Table112345791011[[#This Row],[d (mm)]]</f>
        <v>5.0037999999999991</v>
      </c>
      <c r="E6" s="185">
        <v>60</v>
      </c>
      <c r="F6" s="303">
        <f>Table112345791011[[#This Row],[d (mm)]]</f>
        <v>300</v>
      </c>
      <c r="G6" s="111">
        <f t="shared" si="3"/>
        <v>90068.4</v>
      </c>
      <c r="H6" s="111">
        <f t="shared" si="0"/>
        <v>4.7858257628745201E-6</v>
      </c>
      <c r="I6" s="304">
        <f>G6/(Table112345791011[[#This Row],[b (mm)]]*Table112345791011[[#This Row],[h]]^2)</f>
        <v>3.6762612244897958E-3</v>
      </c>
      <c r="J6" s="111">
        <f t="shared" si="1"/>
        <v>0.52034836864682177</v>
      </c>
      <c r="K6" s="111">
        <f t="shared" si="2"/>
        <v>2.053885437610266E-6</v>
      </c>
      <c r="L6" s="111">
        <f>E6/(Table112345791011[[#This Row],[b (mm)]]*AE6)</f>
        <v>1E-3</v>
      </c>
      <c r="M6" s="111">
        <f>Table112345791011[[#This Row],[M (KN.mm)]]/(Table112345791011[[#This Row],[b (mm)]]*Table112345791011[[#This Row],[d (mm)]])</f>
        <v>1.5011399999999999</v>
      </c>
      <c r="N6" s="111">
        <f>Table112345791011[[#This Row],[M (KN.mm)]]/(Table112345791011[[#This Row],[b (mm)]]*Table112345791011[[#This Row],[h (mm)]])</f>
        <v>1.2866914285714286</v>
      </c>
      <c r="O6" s="111">
        <f>Table112345791011[[#This Row],[M (KN.mm)]]/(Table112345791011[[#This Row],[b (mm)]]*Table112345791011[[#This Row],[h (mm)]]*Table112345791011[[#This Row],[L(mm)]])</f>
        <v>4.285714285714286E-4</v>
      </c>
      <c r="P6" s="111">
        <f>Table112345791011[[#This Row],[M (KN.mm)]]/(Table112345791011[[#This Row],[b (mm)]]*Table112345791011[[#This Row],[d (mm)]]*Table112345791011[[#This Row],[L(mm)]])</f>
        <v>5.0000000000000001E-4</v>
      </c>
      <c r="Q6" s="111">
        <f>Table112345791011[[#This Row],[M (KN.mm)]]/(Table112345791011[[#This Row],[b (mm)]]*Table112345791011[[#This Row],[h (mm)]]*Table112345791011[[#This Row],[L(mm)]]*Table112345791011[[#This Row],[fc (Mpa)]])</f>
        <v>8.710801393728223E-6</v>
      </c>
      <c r="R6" s="111">
        <f>Table112345791011[[#This Row],[M (KN.mm)]]/(Table112345791011[[#This Row],[b (mm)]]*Table112345791011[[#This Row],[h (mm)]]*Table112345791011[[#This Row],[L(mm)]]/2)</f>
        <v>8.5714285714285721E-4</v>
      </c>
      <c r="S6" s="111">
        <f>Table112345791011[[#This Row],[M (KN.mm)]]/(Table112345791011[[#This Row],[a (mm)]]*Table112345791011[[#This Row],[b (mm)]]*Table112345791011[[#This Row],[h (mm)]]*Table112345791011[[#This Row],[L(mm)]]/2)</f>
        <v>5.7099461552077562E-7</v>
      </c>
      <c r="T6" s="111">
        <f>Table112345791011[[#This Row],[M (KN.mm)]]/(Table112345791011[[#This Row],[a (mm)]]^2*Table112345791011[[#This Row],[b (mm)]]*Table112345791011[[#This Row],[h (mm)]])</f>
        <v>5.7099461552077573E-7</v>
      </c>
      <c r="U6" s="111">
        <f>Table112345791011[[#This Row],[M (KN.mm)]]/(Table112345791011[[#This Row],[b (mm)]]*Table112345791011[[#This Row],[d (mm)]]*Table112345791011[[#This Row],[pho (%)]])</f>
        <v>0.95614012738853493</v>
      </c>
      <c r="V6" s="111">
        <f>E6*224.8/(2*SQRT(Table112345791011[[#This Row],[fc (Mpa)]]*145.037)*Table112345791011[[#This Row],[b (mm)]]*Table112345791011[[#This Row],[d (mm)]]*(1/25.4)^2)</f>
        <v>0.85844364328241585</v>
      </c>
      <c r="W6" s="304">
        <f>Table112345791011[[#This Row],[M (KN.mm)]]/$G$8</f>
        <v>0.75757575757575757</v>
      </c>
      <c r="X6" s="395">
        <f>Table112345791011[[#This Row],[V/(2*sqrt(fc) bd)]]</f>
        <v>0.85844364328241585</v>
      </c>
      <c r="Y6" s="111">
        <f>Table112345791011[[#This Row],[a (mm)]]</f>
        <v>1501.1399999999999</v>
      </c>
      <c r="Z6" s="395">
        <f>Table112345791011[[#This Row],[width]]*Table112345791011[[#This Row],[h (mm)]]^2</f>
        <v>24500000</v>
      </c>
      <c r="AA6" s="395">
        <f>Table112345791011[[#This Row],[b (mm)]]</f>
        <v>200</v>
      </c>
      <c r="AB6" s="395">
        <f>Table112345791011[[#This Row],[a]]/Table112345791011[[#This Row],[h (mm)]]</f>
        <v>4.2889714285714282</v>
      </c>
      <c r="AC6" s="395">
        <f>Table112345791011[[#This Row],[h (mm)]]</f>
        <v>350</v>
      </c>
      <c r="AD6" s="111">
        <f t="shared" si="4"/>
        <v>1501.1399999999999</v>
      </c>
      <c r="AE6" s="111">
        <v>300</v>
      </c>
      <c r="AF6" s="111">
        <v>350</v>
      </c>
      <c r="AG6" s="111">
        <v>200</v>
      </c>
      <c r="AH6" s="7">
        <v>49.2</v>
      </c>
      <c r="AI6" s="111">
        <f>Table112345791011[[#This Row],[pho (%)]]*Table112345791011[[#This Row],[b (mm)]]*Table112345791011[[#This Row],[h (mm)]]/100</f>
        <v>1099</v>
      </c>
      <c r="AJ6" s="111">
        <v>1.57</v>
      </c>
      <c r="AK6" s="111">
        <v>525</v>
      </c>
      <c r="AL6" s="111">
        <f>(1/3-0.21*(MIN(Table112345791011[[#This Row],[b (mm)]],AF6)/MAX(Table112345791011[[#This Row],[b (mm)]],AF6))*(MIN(Table112345791011[[#This Row],[b (mm)]],AF6)^4/(12*MAX(Table112345791011[[#This Row],[b (mm)]],AF6)^4)))*MAX(Table112345791011[[#This Row],[b (mm)]],AF6)*MIN(Table112345791011[[#This Row],[b (mm)]],AF6)^3</f>
        <v>930347910.59280849</v>
      </c>
      <c r="AM6" s="111">
        <f>Table112345791011[[#This Row],[b (mm)]]*AF6^3/12</f>
        <v>714583333.33333337</v>
      </c>
      <c r="AN6" s="307">
        <f>Table112345791011[[#This Row],[a (mm)]]*2</f>
        <v>3002.2799999999997</v>
      </c>
      <c r="AP6" s="126" t="s">
        <v>16</v>
      </c>
      <c r="AQ6" s="107">
        <f>AQ5/(2*(1+0.15))</f>
        <v>11450.774071786596</v>
      </c>
    </row>
    <row r="7" spans="1:49" ht="15" thickBot="1" x14ac:dyDescent="0.35">
      <c r="A7" s="306" t="s">
        <v>212</v>
      </c>
      <c r="B7" s="185">
        <v>6</v>
      </c>
      <c r="C7" s="185">
        <v>6</v>
      </c>
      <c r="D7" s="185">
        <f>Table112345791011[[#This Row],[a (mm)]]/Table112345791011[[#This Row],[d (mm)]]</f>
        <v>5.0037999999999991</v>
      </c>
      <c r="E7" s="185">
        <v>70</v>
      </c>
      <c r="F7" s="303">
        <f>Table112345791011[[#This Row],[d (mm)]]</f>
        <v>300</v>
      </c>
      <c r="G7" s="111">
        <f t="shared" si="3"/>
        <v>105079.79999999999</v>
      </c>
      <c r="H7" s="111">
        <f t="shared" si="0"/>
        <v>5.5834633900202724E-6</v>
      </c>
      <c r="I7" s="304">
        <f>G7/(Table112345791011[[#This Row],[b (mm)]]*Table112345791011[[#This Row],[h]]^2)</f>
        <v>4.2889714285714283E-3</v>
      </c>
      <c r="J7" s="111">
        <f t="shared" si="1"/>
        <v>0.6070730967546254</v>
      </c>
      <c r="K7" s="111">
        <f t="shared" si="2"/>
        <v>2.3961996772119768E-6</v>
      </c>
      <c r="L7" s="111">
        <f>E7/(Table112345791011[[#This Row],[b (mm)]]*AE7)</f>
        <v>1.1666666666666668E-3</v>
      </c>
      <c r="M7" s="111">
        <f>Table112345791011[[#This Row],[M (KN.mm)]]/(Table112345791011[[#This Row],[b (mm)]]*Table112345791011[[#This Row],[d (mm)]])</f>
        <v>1.7513299999999998</v>
      </c>
      <c r="N7" s="111">
        <f>Table112345791011[[#This Row],[M (KN.mm)]]/(Table112345791011[[#This Row],[b (mm)]]*Table112345791011[[#This Row],[h (mm)]])</f>
        <v>1.5011399999999999</v>
      </c>
      <c r="O7" s="111">
        <f>Table112345791011[[#This Row],[M (KN.mm)]]/(Table112345791011[[#This Row],[b (mm)]]*Table112345791011[[#This Row],[h (mm)]]*Table112345791011[[#This Row],[L(mm)]])</f>
        <v>5.0000000000000001E-4</v>
      </c>
      <c r="P7" s="111">
        <f>Table112345791011[[#This Row],[M (KN.mm)]]/(Table112345791011[[#This Row],[b (mm)]]*Table112345791011[[#This Row],[d (mm)]]*Table112345791011[[#This Row],[L(mm)]])</f>
        <v>5.8333333333333338E-4</v>
      </c>
      <c r="Q7" s="111">
        <f>Table112345791011[[#This Row],[M (KN.mm)]]/(Table112345791011[[#This Row],[b (mm)]]*Table112345791011[[#This Row],[h (mm)]]*Table112345791011[[#This Row],[L(mm)]]*Table112345791011[[#This Row],[fc (Mpa)]])</f>
        <v>1.0162601626016258E-5</v>
      </c>
      <c r="R7" s="111">
        <f>Table112345791011[[#This Row],[M (KN.mm)]]/(Table112345791011[[#This Row],[b (mm)]]*Table112345791011[[#This Row],[h (mm)]]*Table112345791011[[#This Row],[L(mm)]]/2)</f>
        <v>1E-3</v>
      </c>
      <c r="S7" s="111">
        <f>Table112345791011[[#This Row],[M (KN.mm)]]/(Table112345791011[[#This Row],[a (mm)]]*Table112345791011[[#This Row],[b (mm)]]*Table112345791011[[#This Row],[h (mm)]]*Table112345791011[[#This Row],[L(mm)]]/2)</f>
        <v>6.6616038477423814E-7</v>
      </c>
      <c r="T7" s="111">
        <f>Table112345791011[[#This Row],[M (KN.mm)]]/(Table112345791011[[#This Row],[a (mm)]]^2*Table112345791011[[#This Row],[b (mm)]]*Table112345791011[[#This Row],[h (mm)]])</f>
        <v>6.6616038477423835E-7</v>
      </c>
      <c r="U7" s="111">
        <f>Table112345791011[[#This Row],[M (KN.mm)]]/(Table112345791011[[#This Row],[b (mm)]]*Table112345791011[[#This Row],[d (mm)]]*Table112345791011[[#This Row],[pho (%)]])</f>
        <v>1.115496815286624</v>
      </c>
      <c r="V7" s="111">
        <f>E7*224.8/(2*SQRT(Table112345791011[[#This Row],[fc (Mpa)]]*145.037)*Table112345791011[[#This Row],[b (mm)]]*Table112345791011[[#This Row],[d (mm)]]*(1/25.4)^2)</f>
        <v>1.0015175838294852</v>
      </c>
      <c r="W7" s="304">
        <f>Table112345791011[[#This Row],[M (KN.mm)]]/$G$8</f>
        <v>0.88383838383838376</v>
      </c>
      <c r="X7" s="395">
        <f>Table112345791011[[#This Row],[V/(2*sqrt(fc) bd)]]</f>
        <v>1.0015175838294852</v>
      </c>
      <c r="Y7" s="111">
        <f>Table112345791011[[#This Row],[a (mm)]]</f>
        <v>1501.1399999999999</v>
      </c>
      <c r="Z7" s="395">
        <f>Table112345791011[[#This Row],[width]]*Table112345791011[[#This Row],[h (mm)]]^2</f>
        <v>24500000</v>
      </c>
      <c r="AA7" s="395">
        <f>Table112345791011[[#This Row],[b (mm)]]</f>
        <v>200</v>
      </c>
      <c r="AB7" s="395">
        <f>Table112345791011[[#This Row],[a]]/Table112345791011[[#This Row],[h (mm)]]</f>
        <v>4.2889714285714282</v>
      </c>
      <c r="AC7" s="395">
        <f>Table112345791011[[#This Row],[h (mm)]]</f>
        <v>350</v>
      </c>
      <c r="AD7" s="111">
        <f t="shared" si="4"/>
        <v>1501.1399999999999</v>
      </c>
      <c r="AE7" s="111">
        <v>300</v>
      </c>
      <c r="AF7" s="111">
        <v>350</v>
      </c>
      <c r="AG7" s="111">
        <v>200</v>
      </c>
      <c r="AH7" s="7">
        <v>49.2</v>
      </c>
      <c r="AI7" s="111">
        <f>Table112345791011[[#This Row],[pho (%)]]*Table112345791011[[#This Row],[b (mm)]]*Table112345791011[[#This Row],[h (mm)]]/100</f>
        <v>1099</v>
      </c>
      <c r="AJ7" s="111">
        <v>1.57</v>
      </c>
      <c r="AK7" s="111">
        <v>525</v>
      </c>
      <c r="AL7" s="111">
        <f>(1/3-0.21*(MIN(Table112345791011[[#This Row],[b (mm)]],AF7)/MAX(Table112345791011[[#This Row],[b (mm)]],AF7))*(MIN(Table112345791011[[#This Row],[b (mm)]],AF7)^4/(12*MAX(Table112345791011[[#This Row],[b (mm)]],AF7)^4)))*MAX(Table112345791011[[#This Row],[b (mm)]],AF7)*MIN(Table112345791011[[#This Row],[b (mm)]],AF7)^3</f>
        <v>930347910.59280849</v>
      </c>
      <c r="AM7" s="111">
        <f>Table112345791011[[#This Row],[b (mm)]]*AF7^3/12</f>
        <v>714583333.33333337</v>
      </c>
      <c r="AN7" s="307">
        <f>Table112345791011[[#This Row],[a (mm)]]*2</f>
        <v>3002.2799999999997</v>
      </c>
      <c r="AP7" s="107"/>
    </row>
    <row r="8" spans="1:49" ht="15" thickBot="1" x14ac:dyDescent="0.35">
      <c r="A8" s="306" t="s">
        <v>212</v>
      </c>
      <c r="B8" s="185">
        <v>7</v>
      </c>
      <c r="C8" s="185">
        <v>7</v>
      </c>
      <c r="D8" s="185">
        <f>Table112345791011[[#This Row],[a (mm)]]/Table112345791011[[#This Row],[d (mm)]]</f>
        <v>5.0037999999999991</v>
      </c>
      <c r="E8" s="185">
        <v>79.2</v>
      </c>
      <c r="F8" s="303">
        <f>Table112345791011[[#This Row],[d (mm)]]</f>
        <v>300</v>
      </c>
      <c r="G8" s="111">
        <f t="shared" si="3"/>
        <v>118890.288</v>
      </c>
      <c r="H8" s="111">
        <f t="shared" si="0"/>
        <v>6.3172900069943667E-6</v>
      </c>
      <c r="I8" s="304">
        <f>G8/(Table112345791011[[#This Row],[b (mm)]]*Table112345791011[[#This Row],[h]]^2)</f>
        <v>4.8526648163265303E-3</v>
      </c>
      <c r="J8" s="111">
        <f t="shared" si="1"/>
        <v>0.68685984661380473</v>
      </c>
      <c r="K8" s="111">
        <f t="shared" si="2"/>
        <v>2.7111287776455512E-6</v>
      </c>
      <c r="L8" s="111">
        <f>E8/(Table112345791011[[#This Row],[b (mm)]]*AE8)</f>
        <v>1.32E-3</v>
      </c>
      <c r="M8" s="111">
        <f>Table112345791011[[#This Row],[M (KN.mm)]]/(Table112345791011[[#This Row],[b (mm)]]*Table112345791011[[#This Row],[d (mm)]])</f>
        <v>1.9815048</v>
      </c>
      <c r="N8" s="111">
        <f>Table112345791011[[#This Row],[M (KN.mm)]]/(Table112345791011[[#This Row],[b (mm)]]*Table112345791011[[#This Row],[h (mm)]])</f>
        <v>1.6984326857142857</v>
      </c>
      <c r="O8" s="111">
        <f>Table112345791011[[#This Row],[M (KN.mm)]]/(Table112345791011[[#This Row],[b (mm)]]*Table112345791011[[#This Row],[h (mm)]]*Table112345791011[[#This Row],[L(mm)]])</f>
        <v>5.6571428571428582E-4</v>
      </c>
      <c r="P8" s="111">
        <f>Table112345791011[[#This Row],[M (KN.mm)]]/(Table112345791011[[#This Row],[b (mm)]]*Table112345791011[[#This Row],[d (mm)]]*Table112345791011[[#This Row],[L(mm)]])</f>
        <v>6.600000000000001E-4</v>
      </c>
      <c r="Q8" s="111">
        <f>Table112345791011[[#This Row],[M (KN.mm)]]/(Table112345791011[[#This Row],[b (mm)]]*Table112345791011[[#This Row],[h (mm)]]*Table112345791011[[#This Row],[L(mm)]]*Table112345791011[[#This Row],[fc (Mpa)]])</f>
        <v>1.1498257839721254E-5</v>
      </c>
      <c r="R8" s="111">
        <f>Table112345791011[[#This Row],[M (KN.mm)]]/(Table112345791011[[#This Row],[b (mm)]]*Table112345791011[[#This Row],[h (mm)]]*Table112345791011[[#This Row],[L(mm)]]/2)</f>
        <v>1.1314285714285716E-3</v>
      </c>
      <c r="S8" s="111">
        <f>Table112345791011[[#This Row],[M (KN.mm)]]/(Table112345791011[[#This Row],[a (mm)]]*Table112345791011[[#This Row],[b (mm)]]*Table112345791011[[#This Row],[h (mm)]]*Table112345791011[[#This Row],[L(mm)]]/2)</f>
        <v>7.5371289248742389E-7</v>
      </c>
      <c r="T8" s="111">
        <f>Table112345791011[[#This Row],[M (KN.mm)]]/(Table112345791011[[#This Row],[a (mm)]]^2*Table112345791011[[#This Row],[b (mm)]]*Table112345791011[[#This Row],[h (mm)]])</f>
        <v>7.53712892487424E-7</v>
      </c>
      <c r="U8" s="111">
        <f>Table112345791011[[#This Row],[M (KN.mm)]]/(Table112345791011[[#This Row],[b (mm)]]*Table112345791011[[#This Row],[d (mm)]]*Table112345791011[[#This Row],[pho (%)]])</f>
        <v>1.2621049681528662</v>
      </c>
      <c r="V8" s="111">
        <f>E8*224.8/(2*SQRT(Table112345791011[[#This Row],[fc (Mpa)]]*145.037)*Table112345791011[[#This Row],[b (mm)]]*Table112345791011[[#This Row],[d (mm)]]*(1/25.4)^2)</f>
        <v>1.1331456091327889</v>
      </c>
      <c r="W8" s="304">
        <f>Table112345791011[[#This Row],[M (KN.mm)]]/$G$8</f>
        <v>1</v>
      </c>
      <c r="X8" s="395">
        <f>Table112345791011[[#This Row],[V/(2*sqrt(fc) bd)]]</f>
        <v>1.1331456091327889</v>
      </c>
      <c r="Y8" s="111">
        <f>Table112345791011[[#This Row],[a (mm)]]</f>
        <v>1501.1399999999999</v>
      </c>
      <c r="Z8" s="395">
        <f>Table112345791011[[#This Row],[width]]*Table112345791011[[#This Row],[h (mm)]]^2</f>
        <v>24500000</v>
      </c>
      <c r="AA8" s="395">
        <f>Table112345791011[[#This Row],[b (mm)]]</f>
        <v>200</v>
      </c>
      <c r="AB8" s="395">
        <f>Table112345791011[[#This Row],[a]]/Table112345791011[[#This Row],[h (mm)]]</f>
        <v>4.2889714285714282</v>
      </c>
      <c r="AC8" s="395">
        <f>Table112345791011[[#This Row],[h (mm)]]</f>
        <v>350</v>
      </c>
      <c r="AD8" s="111">
        <f t="shared" si="4"/>
        <v>1501.1399999999999</v>
      </c>
      <c r="AE8" s="111">
        <v>300</v>
      </c>
      <c r="AF8" s="111">
        <v>350</v>
      </c>
      <c r="AG8" s="111">
        <v>200</v>
      </c>
      <c r="AH8" s="7">
        <v>49.2</v>
      </c>
      <c r="AI8" s="111">
        <f>Table112345791011[[#This Row],[pho (%)]]*Table112345791011[[#This Row],[b (mm)]]*Table112345791011[[#This Row],[h (mm)]]/100</f>
        <v>1099</v>
      </c>
      <c r="AJ8" s="111">
        <v>1.57</v>
      </c>
      <c r="AK8" s="111">
        <v>525</v>
      </c>
      <c r="AL8" s="111">
        <f>(1/3-0.21*(MIN(Table112345791011[[#This Row],[b (mm)]],AF8)/MAX(Table112345791011[[#This Row],[b (mm)]],AF8))*(MIN(Table112345791011[[#This Row],[b (mm)]],AF8)^4/(12*MAX(Table112345791011[[#This Row],[b (mm)]],AF8)^4)))*MAX(Table112345791011[[#This Row],[b (mm)]],AF8)*MIN(Table112345791011[[#This Row],[b (mm)]],AF8)^3</f>
        <v>930347910.59280849</v>
      </c>
      <c r="AM8" s="111">
        <f>Table112345791011[[#This Row],[b (mm)]]*AF8^3/12</f>
        <v>714583333.33333337</v>
      </c>
      <c r="AN8" s="307">
        <f>Table112345791011[[#This Row],[a (mm)]]*2</f>
        <v>3002.2799999999997</v>
      </c>
      <c r="AP8"/>
      <c r="AQ8"/>
      <c r="AR8"/>
    </row>
    <row r="9" spans="1:49" customFormat="1" ht="15" thickBot="1" x14ac:dyDescent="0.35">
      <c r="A9" s="308" t="s">
        <v>213</v>
      </c>
      <c r="B9" s="299">
        <v>8</v>
      </c>
      <c r="C9" s="299">
        <v>1</v>
      </c>
      <c r="D9" s="299">
        <f>Table112345791011[[#This Row],[a (mm)]]/Table112345791011[[#This Row],[d (mm)]]</f>
        <v>5.0037999999999991</v>
      </c>
      <c r="E9" s="316">
        <v>5</v>
      </c>
      <c r="F9" s="303">
        <f>Table112345791011[[#This Row],[d (mm)]]</f>
        <v>300</v>
      </c>
      <c r="G9" s="111">
        <f t="shared" ref="G9:G29" si="5">E9*AD9</f>
        <v>7505.6999999999989</v>
      </c>
      <c r="H9" s="111">
        <f t="shared" ref="H9:H29" si="6">G9/($AQ$5*AM9*0.001)</f>
        <v>3.988188135728766E-7</v>
      </c>
      <c r="I9" s="304">
        <f>G9/(Table112345791011[[#This Row],[b (mm)]]*Table112345791011[[#This Row],[h]]^2)</f>
        <v>3.063551020408163E-4</v>
      </c>
      <c r="J9" s="111">
        <f t="shared" ref="J9:J29" si="7">G9/(AI9*AK9*AE9*0.001)</f>
        <v>2.8792154227160988E-2</v>
      </c>
      <c r="K9" s="111">
        <f t="shared" ref="K9:K29" si="8">E9/($AQ$4*AL9*0.001)</f>
        <v>1.711571198008555E-7</v>
      </c>
      <c r="L9" s="111">
        <f>E9/(Table112345791011[[#This Row],[b (mm)]]*AE9)</f>
        <v>8.3333333333333331E-5</v>
      </c>
      <c r="M9" s="111">
        <f>Table112345791011[[#This Row],[M (KN.mm)]]/(Table112345791011[[#This Row],[b (mm)]]*Table112345791011[[#This Row],[d (mm)]])</f>
        <v>0.12509499999999998</v>
      </c>
      <c r="N9" s="111">
        <f>Table112345791011[[#This Row],[M (KN.mm)]]/(Table112345791011[[#This Row],[b (mm)]]*Table112345791011[[#This Row],[h (mm)]])</f>
        <v>0.1072242857142857</v>
      </c>
      <c r="O9" s="111">
        <f>Table112345791011[[#This Row],[M (KN.mm)]]/(Table112345791011[[#This Row],[b (mm)]]*Table112345791011[[#This Row],[h (mm)]]*Table112345791011[[#This Row],[L(mm)]])</f>
        <v>3.5714285714285717E-5</v>
      </c>
      <c r="P9" s="111">
        <f>Table112345791011[[#This Row],[M (KN.mm)]]/(Table112345791011[[#This Row],[b (mm)]]*Table112345791011[[#This Row],[d (mm)]]*Table112345791011[[#This Row],[L(mm)]])</f>
        <v>4.1666666666666665E-5</v>
      </c>
      <c r="Q9" s="111">
        <f>Table112345791011[[#This Row],[M (KN.mm)]]/(Table112345791011[[#This Row],[b (mm)]]*Table112345791011[[#This Row],[h (mm)]]*Table112345791011[[#This Row],[L(mm)]]*Table112345791011[[#This Row],[fc (Mpa)]])</f>
        <v>7.2223024700274436E-7</v>
      </c>
      <c r="R9" s="111">
        <f>Table112345791011[[#This Row],[M (KN.mm)]]/(Table112345791011[[#This Row],[b (mm)]]*Table112345791011[[#This Row],[h (mm)]]*Table112345791011[[#This Row],[L(mm)]]/2)</f>
        <v>7.1428571428571434E-5</v>
      </c>
      <c r="S9" s="111">
        <f>Table112345791011[[#This Row],[M (KN.mm)]]/(Table112345791011[[#This Row],[a (mm)]]*Table112345791011[[#This Row],[b (mm)]]*Table112345791011[[#This Row],[h (mm)]]*Table112345791011[[#This Row],[L(mm)]]/2)</f>
        <v>4.7582884626731297E-8</v>
      </c>
      <c r="T9" s="111">
        <f>Table112345791011[[#This Row],[M (KN.mm)]]/(Table112345791011[[#This Row],[a (mm)]]^2*Table112345791011[[#This Row],[b (mm)]]*Table112345791011[[#This Row],[h (mm)]])</f>
        <v>4.7582884626731304E-8</v>
      </c>
      <c r="U9" s="111">
        <f>Table112345791011[[#This Row],[M (KN.mm)]]/(Table112345791011[[#This Row],[b (mm)]]*Table112345791011[[#This Row],[d (mm)]]*Table112345791011[[#This Row],[pho (%)]])</f>
        <v>5.3006355932203382E-2</v>
      </c>
      <c r="V9" s="111">
        <f>E9*224.8/(2*SQRT(Table112345791011[[#This Row],[fc (Mpa)]]*145.037)*Table112345791011[[#This Row],[b (mm)]]*Table112345791011[[#This Row],[d (mm)]]*(1/25.4)^2)</f>
        <v>7.1355909567421605E-2</v>
      </c>
      <c r="W9" s="111">
        <f>Table112345791011[[#This Row],[M (KN.mm)]]/$G$22</f>
        <v>6.6666666666666666E-2</v>
      </c>
      <c r="X9" s="111">
        <f>Table112345791011[[#This Row],[V/(2*sqrt(fc) bd)]]</f>
        <v>7.1355909567421605E-2</v>
      </c>
      <c r="Y9" s="111">
        <f>Table112345791011[[#This Row],[a (mm)]]</f>
        <v>1501.1399999999999</v>
      </c>
      <c r="Z9" s="395">
        <f>Table112345791011[[#This Row],[width]]*Table112345791011[[#This Row],[h (mm)]]^2</f>
        <v>24500000</v>
      </c>
      <c r="AA9" s="395">
        <f>Table112345791011[[#This Row],[b (mm)]]</f>
        <v>200</v>
      </c>
      <c r="AB9" s="395">
        <f>Table112345791011[[#This Row],[a]]/Table112345791011[[#This Row],[h (mm)]]</f>
        <v>4.2889714285714282</v>
      </c>
      <c r="AC9" s="395">
        <f>Table112345791011[[#This Row],[h (mm)]]</f>
        <v>350</v>
      </c>
      <c r="AD9" s="111">
        <f t="shared" si="4"/>
        <v>1501.1399999999999</v>
      </c>
      <c r="AE9" s="111">
        <v>300</v>
      </c>
      <c r="AF9" s="111">
        <v>350</v>
      </c>
      <c r="AG9" s="111">
        <v>200</v>
      </c>
      <c r="AH9" s="109">
        <v>49.45</v>
      </c>
      <c r="AI9" s="111">
        <f>Table112345791011[[#This Row],[pho (%)]]*Table112345791011[[#This Row],[b (mm)]]*Table112345791011[[#This Row],[h (mm)]]/100</f>
        <v>1652</v>
      </c>
      <c r="AJ9" s="109">
        <v>2.36</v>
      </c>
      <c r="AK9" s="111">
        <v>526</v>
      </c>
      <c r="AL9" s="111">
        <f>(1/3-0.21*(MIN(Table112345791011[[#This Row],[b (mm)]],AF9)/MAX(Table112345791011[[#This Row],[b (mm)]],AF9))*(MIN(Table112345791011[[#This Row],[b (mm)]],AF9)^4/(12*MAX(Table112345791011[[#This Row],[b (mm)]],AF9)^4)))*MAX(Table112345791011[[#This Row],[b (mm)]],AF9)*MIN(Table112345791011[[#This Row],[b (mm)]],AF9)^3</f>
        <v>930347910.59280849</v>
      </c>
      <c r="AM9" s="111">
        <f>Table112345791011[[#This Row],[b (mm)]]*AF9^3/12</f>
        <v>714583333.33333337</v>
      </c>
      <c r="AN9" s="307">
        <f>Table112345791011[[#This Row],[a (mm)]]*2</f>
        <v>3002.2799999999997</v>
      </c>
    </row>
    <row r="10" spans="1:49" customFormat="1" ht="12.75" customHeight="1" thickBot="1" x14ac:dyDescent="0.35">
      <c r="A10" s="308" t="s">
        <v>213</v>
      </c>
      <c r="B10" s="299">
        <v>9</v>
      </c>
      <c r="C10" s="299">
        <v>2</v>
      </c>
      <c r="D10" s="299">
        <f>Table112345791011[[#This Row],[a (mm)]]/Table112345791011[[#This Row],[d (mm)]]</f>
        <v>5.0037999999999991</v>
      </c>
      <c r="E10" s="316">
        <v>15</v>
      </c>
      <c r="F10" s="303">
        <f>Table112345791011[[#This Row],[d (mm)]]</f>
        <v>300</v>
      </c>
      <c r="G10" s="111">
        <f t="shared" si="5"/>
        <v>22517.1</v>
      </c>
      <c r="H10" s="111">
        <f t="shared" si="6"/>
        <v>1.19645644071863E-6</v>
      </c>
      <c r="I10" s="304">
        <f>G10/(Table112345791011[[#This Row],[b (mm)]]*Table112345791011[[#This Row],[h]]^2)</f>
        <v>9.1906530612244895E-4</v>
      </c>
      <c r="J10" s="111">
        <f t="shared" si="7"/>
        <v>8.6212560475256245E-2</v>
      </c>
      <c r="K10" s="111">
        <f t="shared" si="8"/>
        <v>5.134713594025665E-7</v>
      </c>
      <c r="L10" s="111">
        <f>E10/(Table112345791011[[#This Row],[b (mm)]]*AE10)</f>
        <v>2.5000000000000001E-4</v>
      </c>
      <c r="M10" s="111">
        <f>Table112345791011[[#This Row],[M (KN.mm)]]/(Table112345791011[[#This Row],[b (mm)]]*Table112345791011[[#This Row],[d (mm)]])</f>
        <v>0.37528499999999998</v>
      </c>
      <c r="N10" s="111">
        <f>Table112345791011[[#This Row],[M (KN.mm)]]/(Table112345791011[[#This Row],[b (mm)]]*Table112345791011[[#This Row],[h (mm)]])</f>
        <v>0.32167285714285715</v>
      </c>
      <c r="O10" s="111">
        <f>Table112345791011[[#This Row],[M (KN.mm)]]/(Table112345791011[[#This Row],[b (mm)]]*Table112345791011[[#This Row],[h (mm)]]*Table112345791011[[#This Row],[L(mm)]])</f>
        <v>1.0714285714285715E-4</v>
      </c>
      <c r="P10" s="111">
        <f>Table112345791011[[#This Row],[M (KN.mm)]]/(Table112345791011[[#This Row],[b (mm)]]*Table112345791011[[#This Row],[d (mm)]]*Table112345791011[[#This Row],[L(mm)]])</f>
        <v>1.25E-4</v>
      </c>
      <c r="Q10" s="111">
        <f>Table112345791011[[#This Row],[M (KN.mm)]]/(Table112345791011[[#This Row],[b (mm)]]*Table112345791011[[#This Row],[h (mm)]]*Table112345791011[[#This Row],[L(mm)]]*Table112345791011[[#This Row],[fc (Mpa)]])</f>
        <v>2.1666907410082333E-6</v>
      </c>
      <c r="R10" s="111">
        <f>Table112345791011[[#This Row],[M (KN.mm)]]/(Table112345791011[[#This Row],[b (mm)]]*Table112345791011[[#This Row],[h (mm)]]*Table112345791011[[#This Row],[L(mm)]]/2)</f>
        <v>2.142857142857143E-4</v>
      </c>
      <c r="S10" s="111">
        <f>Table112345791011[[#This Row],[M (KN.mm)]]/(Table112345791011[[#This Row],[a (mm)]]*Table112345791011[[#This Row],[b (mm)]]*Table112345791011[[#This Row],[h (mm)]]*Table112345791011[[#This Row],[L(mm)]]/2)</f>
        <v>1.4274865388019391E-7</v>
      </c>
      <c r="T10" s="111">
        <f>Table112345791011[[#This Row],[M (KN.mm)]]/(Table112345791011[[#This Row],[a (mm)]]^2*Table112345791011[[#This Row],[b (mm)]]*Table112345791011[[#This Row],[h (mm)]])</f>
        <v>1.4274865388019393E-7</v>
      </c>
      <c r="U10" s="111">
        <f>Table112345791011[[#This Row],[M (KN.mm)]]/(Table112345791011[[#This Row],[b (mm)]]*Table112345791011[[#This Row],[d (mm)]]*Table112345791011[[#This Row],[pho (%)]])</f>
        <v>0.15901906779661015</v>
      </c>
      <c r="V10" s="111">
        <f>E10*224.8/(2*SQRT(Table112345791011[[#This Row],[fc (Mpa)]]*145.037)*Table112345791011[[#This Row],[b (mm)]]*Table112345791011[[#This Row],[d (mm)]]*(1/25.4)^2)</f>
        <v>0.21406772870226479</v>
      </c>
      <c r="W10" s="111">
        <f>Table112345791011[[#This Row],[M (KN.mm)]]/$G$22</f>
        <v>0.2</v>
      </c>
      <c r="X10" s="111">
        <f>Table112345791011[[#This Row],[V/(2*sqrt(fc) bd)]]</f>
        <v>0.21406772870226479</v>
      </c>
      <c r="Y10" s="111">
        <f>Table112345791011[[#This Row],[a (mm)]]</f>
        <v>1501.1399999999999</v>
      </c>
      <c r="Z10" s="395">
        <f>Table112345791011[[#This Row],[width]]*Table112345791011[[#This Row],[h (mm)]]^2</f>
        <v>24500000</v>
      </c>
      <c r="AA10" s="395">
        <f>Table112345791011[[#This Row],[b (mm)]]</f>
        <v>200</v>
      </c>
      <c r="AB10" s="395">
        <f>Table112345791011[[#This Row],[a]]/Table112345791011[[#This Row],[h (mm)]]</f>
        <v>4.2889714285714282</v>
      </c>
      <c r="AC10" s="395">
        <f>Table112345791011[[#This Row],[h (mm)]]</f>
        <v>350</v>
      </c>
      <c r="AD10" s="111">
        <f t="shared" si="4"/>
        <v>1501.1399999999999</v>
      </c>
      <c r="AE10" s="111">
        <v>300</v>
      </c>
      <c r="AF10" s="111">
        <v>350</v>
      </c>
      <c r="AG10" s="111">
        <v>200</v>
      </c>
      <c r="AH10" s="109">
        <v>49.45</v>
      </c>
      <c r="AI10" s="111">
        <f>Table112345791011[[#This Row],[pho (%)]]*Table112345791011[[#This Row],[b (mm)]]*Table112345791011[[#This Row],[h (mm)]]/100</f>
        <v>1652</v>
      </c>
      <c r="AJ10" s="109">
        <v>2.36</v>
      </c>
      <c r="AK10" s="111">
        <v>527</v>
      </c>
      <c r="AL10" s="111">
        <f>(1/3-0.21*(MIN(Table112345791011[[#This Row],[b (mm)]],AF10)/MAX(Table112345791011[[#This Row],[b (mm)]],AF10))*(MIN(Table112345791011[[#This Row],[b (mm)]],AF10)^4/(12*MAX(Table112345791011[[#This Row],[b (mm)]],AF10)^4)))*MAX(Table112345791011[[#This Row],[b (mm)]],AF10)*MIN(Table112345791011[[#This Row],[b (mm)]],AF10)^3</f>
        <v>930347910.59280849</v>
      </c>
      <c r="AM10" s="111">
        <f>Table112345791011[[#This Row],[b (mm)]]*AF10^3/12</f>
        <v>714583333.33333337</v>
      </c>
      <c r="AN10" s="307">
        <f>Table112345791011[[#This Row],[a (mm)]]*2</f>
        <v>3002.2799999999997</v>
      </c>
    </row>
    <row r="11" spans="1:49" customFormat="1" ht="15" thickBot="1" x14ac:dyDescent="0.35">
      <c r="A11" s="308" t="s">
        <v>213</v>
      </c>
      <c r="B11" s="299">
        <v>10</v>
      </c>
      <c r="C11" s="299">
        <v>3</v>
      </c>
      <c r="D11" s="299">
        <f>Table112345791011[[#This Row],[a (mm)]]/Table112345791011[[#This Row],[d (mm)]]</f>
        <v>5.0037999999999991</v>
      </c>
      <c r="E11" s="316">
        <v>20</v>
      </c>
      <c r="F11" s="303">
        <f>Table112345791011[[#This Row],[d (mm)]]</f>
        <v>300</v>
      </c>
      <c r="G11" s="111">
        <f t="shared" si="5"/>
        <v>30022.799999999996</v>
      </c>
      <c r="H11" s="111">
        <f t="shared" si="6"/>
        <v>1.5952752542915064E-6</v>
      </c>
      <c r="I11" s="304">
        <f>G11/(Table112345791011[[#This Row],[b (mm)]]*Table112345791011[[#This Row],[h]]^2)</f>
        <v>1.2254204081632652E-3</v>
      </c>
      <c r="J11" s="111">
        <f t="shared" si="7"/>
        <v>0.11473237214762635</v>
      </c>
      <c r="K11" s="111">
        <f t="shared" si="8"/>
        <v>6.84628479203422E-7</v>
      </c>
      <c r="L11" s="111">
        <f>E11/(Table112345791011[[#This Row],[b (mm)]]*AE11)</f>
        <v>3.3333333333333332E-4</v>
      </c>
      <c r="M11" s="111">
        <f>Table112345791011[[#This Row],[M (KN.mm)]]/(Table112345791011[[#This Row],[b (mm)]]*Table112345791011[[#This Row],[d (mm)]])</f>
        <v>0.50037999999999994</v>
      </c>
      <c r="N11" s="111">
        <f>Table112345791011[[#This Row],[M (KN.mm)]]/(Table112345791011[[#This Row],[b (mm)]]*Table112345791011[[#This Row],[h (mm)]])</f>
        <v>0.42889714285714281</v>
      </c>
      <c r="O11" s="111">
        <f>Table112345791011[[#This Row],[M (KN.mm)]]/(Table112345791011[[#This Row],[b (mm)]]*Table112345791011[[#This Row],[h (mm)]]*Table112345791011[[#This Row],[L(mm)]])</f>
        <v>1.4285714285714287E-4</v>
      </c>
      <c r="P11" s="111">
        <f>Table112345791011[[#This Row],[M (KN.mm)]]/(Table112345791011[[#This Row],[b (mm)]]*Table112345791011[[#This Row],[d (mm)]]*Table112345791011[[#This Row],[L(mm)]])</f>
        <v>1.6666666666666666E-4</v>
      </c>
      <c r="Q11" s="111">
        <f>Table112345791011[[#This Row],[M (KN.mm)]]/(Table112345791011[[#This Row],[b (mm)]]*Table112345791011[[#This Row],[h (mm)]]*Table112345791011[[#This Row],[L(mm)]]*Table112345791011[[#This Row],[fc (Mpa)]])</f>
        <v>2.8889209880109774E-6</v>
      </c>
      <c r="R11" s="111">
        <f>Table112345791011[[#This Row],[M (KN.mm)]]/(Table112345791011[[#This Row],[b (mm)]]*Table112345791011[[#This Row],[h (mm)]]*Table112345791011[[#This Row],[L(mm)]]/2)</f>
        <v>2.8571428571428574E-4</v>
      </c>
      <c r="S11" s="111">
        <f>Table112345791011[[#This Row],[M (KN.mm)]]/(Table112345791011[[#This Row],[a (mm)]]*Table112345791011[[#This Row],[b (mm)]]*Table112345791011[[#This Row],[h (mm)]]*Table112345791011[[#This Row],[L(mm)]]/2)</f>
        <v>1.9033153850692519E-7</v>
      </c>
      <c r="T11" s="111">
        <f>Table112345791011[[#This Row],[M (KN.mm)]]/(Table112345791011[[#This Row],[a (mm)]]^2*Table112345791011[[#This Row],[b (mm)]]*Table112345791011[[#This Row],[h (mm)]])</f>
        <v>1.9033153850692522E-7</v>
      </c>
      <c r="U11" s="111">
        <f>Table112345791011[[#This Row],[M (KN.mm)]]/(Table112345791011[[#This Row],[b (mm)]]*Table112345791011[[#This Row],[d (mm)]]*Table112345791011[[#This Row],[pho (%)]])</f>
        <v>0.21202542372881353</v>
      </c>
      <c r="V11" s="111">
        <f>E11*224.8/(2*SQRT(Table112345791011[[#This Row],[fc (Mpa)]]*145.037)*Table112345791011[[#This Row],[b (mm)]]*Table112345791011[[#This Row],[d (mm)]]*(1/25.4)^2)</f>
        <v>0.28542363826968642</v>
      </c>
      <c r="W11" s="111">
        <f>Table112345791011[[#This Row],[M (KN.mm)]]/$G$22</f>
        <v>0.26666666666666666</v>
      </c>
      <c r="X11" s="111">
        <f>Table112345791011[[#This Row],[V/(2*sqrt(fc) bd)]]</f>
        <v>0.28542363826968642</v>
      </c>
      <c r="Y11" s="111">
        <f>Table112345791011[[#This Row],[a (mm)]]</f>
        <v>1501.1399999999999</v>
      </c>
      <c r="Z11" s="395">
        <f>Table112345791011[[#This Row],[width]]*Table112345791011[[#This Row],[h (mm)]]^2</f>
        <v>24500000</v>
      </c>
      <c r="AA11" s="395">
        <f>Table112345791011[[#This Row],[b (mm)]]</f>
        <v>200</v>
      </c>
      <c r="AB11" s="395">
        <f>Table112345791011[[#This Row],[a]]/Table112345791011[[#This Row],[h (mm)]]</f>
        <v>4.2889714285714282</v>
      </c>
      <c r="AC11" s="395">
        <f>Table112345791011[[#This Row],[h (mm)]]</f>
        <v>350</v>
      </c>
      <c r="AD11" s="111">
        <f t="shared" si="4"/>
        <v>1501.1399999999999</v>
      </c>
      <c r="AE11" s="111">
        <v>300</v>
      </c>
      <c r="AF11" s="111">
        <v>350</v>
      </c>
      <c r="AG11" s="111">
        <v>200</v>
      </c>
      <c r="AH11" s="109">
        <v>49.45</v>
      </c>
      <c r="AI11" s="111">
        <f>Table112345791011[[#This Row],[pho (%)]]*Table112345791011[[#This Row],[b (mm)]]*Table112345791011[[#This Row],[h (mm)]]/100</f>
        <v>1652</v>
      </c>
      <c r="AJ11" s="109">
        <v>2.36</v>
      </c>
      <c r="AK11" s="111">
        <v>528</v>
      </c>
      <c r="AL11" s="111">
        <f>(1/3-0.21*(MIN(Table112345791011[[#This Row],[b (mm)]],AF11)/MAX(Table112345791011[[#This Row],[b (mm)]],AF11))*(MIN(Table112345791011[[#This Row],[b (mm)]],AF11)^4/(12*MAX(Table112345791011[[#This Row],[b (mm)]],AF11)^4)))*MAX(Table112345791011[[#This Row],[b (mm)]],AF11)*MIN(Table112345791011[[#This Row],[b (mm)]],AF11)^3</f>
        <v>930347910.59280849</v>
      </c>
      <c r="AM11" s="111">
        <f>Table112345791011[[#This Row],[b (mm)]]*AF11^3/12</f>
        <v>714583333.33333337</v>
      </c>
      <c r="AN11" s="307">
        <f>Table112345791011[[#This Row],[a (mm)]]*2</f>
        <v>3002.2799999999997</v>
      </c>
    </row>
    <row r="12" spans="1:49" ht="17.25" customHeight="1" thickBot="1" x14ac:dyDescent="0.35">
      <c r="A12" s="308" t="s">
        <v>213</v>
      </c>
      <c r="B12" s="299">
        <v>11</v>
      </c>
      <c r="C12" s="299">
        <v>4</v>
      </c>
      <c r="D12" s="299">
        <f>Table112345791011[[#This Row],[a (mm)]]/Table112345791011[[#This Row],[d (mm)]]</f>
        <v>5.0037999999999991</v>
      </c>
      <c r="E12" s="316">
        <v>25</v>
      </c>
      <c r="F12" s="303">
        <f>Table112345791011[[#This Row],[d (mm)]]</f>
        <v>300</v>
      </c>
      <c r="G12" s="111">
        <f t="shared" si="5"/>
        <v>37528.5</v>
      </c>
      <c r="H12" s="111">
        <f t="shared" si="6"/>
        <v>1.9940940678643834E-6</v>
      </c>
      <c r="I12" s="304">
        <f>G12/(Table112345791011[[#This Row],[b (mm)]]*Table112345791011[[#This Row],[h]]^2)</f>
        <v>1.5317755102040817E-3</v>
      </c>
      <c r="J12" s="111">
        <f t="shared" si="7"/>
        <v>0.14314435844505369</v>
      </c>
      <c r="K12" s="111">
        <f t="shared" si="8"/>
        <v>8.557855990042775E-7</v>
      </c>
      <c r="L12" s="111">
        <f>E12/(Table112345791011[[#This Row],[b (mm)]]*AE12)</f>
        <v>4.1666666666666669E-4</v>
      </c>
      <c r="M12" s="111">
        <f>Table112345791011[[#This Row],[M (KN.mm)]]/(Table112345791011[[#This Row],[b (mm)]]*Table112345791011[[#This Row],[d (mm)]])</f>
        <v>0.625475</v>
      </c>
      <c r="N12" s="111">
        <f>Table112345791011[[#This Row],[M (KN.mm)]]/(Table112345791011[[#This Row],[b (mm)]]*Table112345791011[[#This Row],[h (mm)]])</f>
        <v>0.53612142857142853</v>
      </c>
      <c r="O12" s="111">
        <f>Table112345791011[[#This Row],[M (KN.mm)]]/(Table112345791011[[#This Row],[b (mm)]]*Table112345791011[[#This Row],[h (mm)]]*Table112345791011[[#This Row],[L(mm)]])</f>
        <v>1.785714285714286E-4</v>
      </c>
      <c r="P12" s="111">
        <f>Table112345791011[[#This Row],[M (KN.mm)]]/(Table112345791011[[#This Row],[b (mm)]]*Table112345791011[[#This Row],[d (mm)]]*Table112345791011[[#This Row],[L(mm)]])</f>
        <v>2.0833333333333337E-4</v>
      </c>
      <c r="Q12" s="111">
        <f>Table112345791011[[#This Row],[M (KN.mm)]]/(Table112345791011[[#This Row],[b (mm)]]*Table112345791011[[#This Row],[h (mm)]]*Table112345791011[[#This Row],[L(mm)]]*Table112345791011[[#This Row],[fc (Mpa)]])</f>
        <v>3.6111512350137224E-6</v>
      </c>
      <c r="R12" s="111">
        <f>Table112345791011[[#This Row],[M (KN.mm)]]/(Table112345791011[[#This Row],[b (mm)]]*Table112345791011[[#This Row],[h (mm)]]*Table112345791011[[#This Row],[L(mm)]]/2)</f>
        <v>3.571428571428572E-4</v>
      </c>
      <c r="S12" s="111">
        <f>Table112345791011[[#This Row],[M (KN.mm)]]/(Table112345791011[[#This Row],[a (mm)]]*Table112345791011[[#This Row],[b (mm)]]*Table112345791011[[#This Row],[h (mm)]]*Table112345791011[[#This Row],[L(mm)]]/2)</f>
        <v>2.3791442313365653E-7</v>
      </c>
      <c r="T12" s="111">
        <f>Table112345791011[[#This Row],[M (KN.mm)]]/(Table112345791011[[#This Row],[a (mm)]]^2*Table112345791011[[#This Row],[b (mm)]]*Table112345791011[[#This Row],[h (mm)]])</f>
        <v>2.3791442313365655E-7</v>
      </c>
      <c r="U12" s="111">
        <f>Table112345791011[[#This Row],[M (KN.mm)]]/(Table112345791011[[#This Row],[b (mm)]]*Table112345791011[[#This Row],[d (mm)]]*Table112345791011[[#This Row],[pho (%)]])</f>
        <v>0.26503177966101693</v>
      </c>
      <c r="V12" s="111">
        <f>E12*224.8/(2*SQRT(Table112345791011[[#This Row],[fc (Mpa)]]*145.037)*Table112345791011[[#This Row],[b (mm)]]*Table112345791011[[#This Row],[d (mm)]]*(1/25.4)^2)</f>
        <v>0.35677954783710802</v>
      </c>
      <c r="W12" s="111">
        <f>Table112345791011[[#This Row],[M (KN.mm)]]/$G$22</f>
        <v>0.33333333333333337</v>
      </c>
      <c r="X12" s="111">
        <f>Table112345791011[[#This Row],[V/(2*sqrt(fc) bd)]]</f>
        <v>0.35677954783710802</v>
      </c>
      <c r="Y12" s="111">
        <f>Table112345791011[[#This Row],[a (mm)]]</f>
        <v>1501.1399999999999</v>
      </c>
      <c r="Z12" s="395">
        <f>Table112345791011[[#This Row],[width]]*Table112345791011[[#This Row],[h (mm)]]^2</f>
        <v>24500000</v>
      </c>
      <c r="AA12" s="395">
        <f>Table112345791011[[#This Row],[b (mm)]]</f>
        <v>200</v>
      </c>
      <c r="AB12" s="395">
        <f>Table112345791011[[#This Row],[a]]/Table112345791011[[#This Row],[h (mm)]]</f>
        <v>4.2889714285714282</v>
      </c>
      <c r="AC12" s="395">
        <f>Table112345791011[[#This Row],[h (mm)]]</f>
        <v>350</v>
      </c>
      <c r="AD12" s="111">
        <f t="shared" si="4"/>
        <v>1501.1399999999999</v>
      </c>
      <c r="AE12" s="111">
        <v>300</v>
      </c>
      <c r="AF12" s="111">
        <v>350</v>
      </c>
      <c r="AG12" s="111">
        <v>200</v>
      </c>
      <c r="AH12" s="109">
        <v>49.45</v>
      </c>
      <c r="AI12" s="111">
        <f>Table112345791011[[#This Row],[pho (%)]]*Table112345791011[[#This Row],[b (mm)]]*Table112345791011[[#This Row],[h (mm)]]/100</f>
        <v>1652</v>
      </c>
      <c r="AJ12" s="109">
        <v>2.36</v>
      </c>
      <c r="AK12" s="111">
        <v>529</v>
      </c>
      <c r="AL12" s="111">
        <f>(1/3-0.21*(MIN(Table112345791011[[#This Row],[b (mm)]],AF12)/MAX(Table112345791011[[#This Row],[b (mm)]],AF12))*(MIN(Table112345791011[[#This Row],[b (mm)]],AF12)^4/(12*MAX(Table112345791011[[#This Row],[b (mm)]],AF12)^4)))*MAX(Table112345791011[[#This Row],[b (mm)]],AF12)*MIN(Table112345791011[[#This Row],[b (mm)]],AF12)^3</f>
        <v>930347910.59280849</v>
      </c>
      <c r="AM12" s="111">
        <f>Table112345791011[[#This Row],[b (mm)]]*AF12^3/12</f>
        <v>714583333.33333337</v>
      </c>
      <c r="AN12" s="307">
        <f>Table112345791011[[#This Row],[a (mm)]]*2</f>
        <v>3002.2799999999997</v>
      </c>
      <c r="AP12"/>
      <c r="AQ12"/>
      <c r="AR12"/>
      <c r="AS12"/>
      <c r="AT12"/>
      <c r="AW12"/>
    </row>
    <row r="13" spans="1:49" ht="15" thickBot="1" x14ac:dyDescent="0.35">
      <c r="A13" s="308" t="s">
        <v>213</v>
      </c>
      <c r="B13" s="299">
        <v>12</v>
      </c>
      <c r="C13" s="299">
        <v>5</v>
      </c>
      <c r="D13" s="299">
        <f>Table112345791011[[#This Row],[a (mm)]]/Table112345791011[[#This Row],[d (mm)]]</f>
        <v>5.0037999999999991</v>
      </c>
      <c r="E13" s="316">
        <v>30</v>
      </c>
      <c r="F13" s="303">
        <f>Table112345791011[[#This Row],[d (mm)]]</f>
        <v>300</v>
      </c>
      <c r="G13" s="111">
        <f t="shared" si="5"/>
        <v>45034.2</v>
      </c>
      <c r="H13" s="111">
        <f t="shared" si="6"/>
        <v>2.39291288143726E-6</v>
      </c>
      <c r="I13" s="304">
        <f>G13/(Table112345791011[[#This Row],[b (mm)]]*Table112345791011[[#This Row],[h]]^2)</f>
        <v>1.8381306122448979E-3</v>
      </c>
      <c r="J13" s="111">
        <f t="shared" si="7"/>
        <v>0.17144912969984924</v>
      </c>
      <c r="K13" s="111">
        <f t="shared" si="8"/>
        <v>1.026942718805133E-6</v>
      </c>
      <c r="L13" s="111">
        <f>E13/(Table112345791011[[#This Row],[b (mm)]]*AE13)</f>
        <v>5.0000000000000001E-4</v>
      </c>
      <c r="M13" s="111">
        <f>Table112345791011[[#This Row],[M (KN.mm)]]/(Table112345791011[[#This Row],[b (mm)]]*Table112345791011[[#This Row],[d (mm)]])</f>
        <v>0.75056999999999996</v>
      </c>
      <c r="N13" s="111">
        <f>Table112345791011[[#This Row],[M (KN.mm)]]/(Table112345791011[[#This Row],[b (mm)]]*Table112345791011[[#This Row],[h (mm)]])</f>
        <v>0.6433457142857143</v>
      </c>
      <c r="O13" s="111">
        <f>Table112345791011[[#This Row],[M (KN.mm)]]/(Table112345791011[[#This Row],[b (mm)]]*Table112345791011[[#This Row],[h (mm)]]*Table112345791011[[#This Row],[L(mm)]])</f>
        <v>2.142857142857143E-4</v>
      </c>
      <c r="P13" s="111">
        <f>Table112345791011[[#This Row],[M (KN.mm)]]/(Table112345791011[[#This Row],[b (mm)]]*Table112345791011[[#This Row],[d (mm)]]*Table112345791011[[#This Row],[L(mm)]])</f>
        <v>2.5000000000000001E-4</v>
      </c>
      <c r="Q13" s="111">
        <f>Table112345791011[[#This Row],[M (KN.mm)]]/(Table112345791011[[#This Row],[b (mm)]]*Table112345791011[[#This Row],[h (mm)]]*Table112345791011[[#This Row],[L(mm)]]*Table112345791011[[#This Row],[fc (Mpa)]])</f>
        <v>4.3333814820164666E-6</v>
      </c>
      <c r="R13" s="111">
        <f>Table112345791011[[#This Row],[M (KN.mm)]]/(Table112345791011[[#This Row],[b (mm)]]*Table112345791011[[#This Row],[h (mm)]]*Table112345791011[[#This Row],[L(mm)]]/2)</f>
        <v>4.285714285714286E-4</v>
      </c>
      <c r="S13" s="111">
        <f>Table112345791011[[#This Row],[M (KN.mm)]]/(Table112345791011[[#This Row],[a (mm)]]*Table112345791011[[#This Row],[b (mm)]]*Table112345791011[[#This Row],[h (mm)]]*Table112345791011[[#This Row],[L(mm)]]/2)</f>
        <v>2.8549730776038781E-7</v>
      </c>
      <c r="T13" s="111">
        <f>Table112345791011[[#This Row],[M (KN.mm)]]/(Table112345791011[[#This Row],[a (mm)]]^2*Table112345791011[[#This Row],[b (mm)]]*Table112345791011[[#This Row],[h (mm)]])</f>
        <v>2.8549730776038786E-7</v>
      </c>
      <c r="U13" s="111">
        <f>Table112345791011[[#This Row],[M (KN.mm)]]/(Table112345791011[[#This Row],[b (mm)]]*Table112345791011[[#This Row],[d (mm)]]*Table112345791011[[#This Row],[pho (%)]])</f>
        <v>0.31803813559322031</v>
      </c>
      <c r="V13" s="111">
        <f>E13*224.8/(2*SQRT(Table112345791011[[#This Row],[fc (Mpa)]]*145.037)*Table112345791011[[#This Row],[b (mm)]]*Table112345791011[[#This Row],[d (mm)]]*(1/25.4)^2)</f>
        <v>0.42813545740452957</v>
      </c>
      <c r="W13" s="111">
        <f>Table112345791011[[#This Row],[M (KN.mm)]]/$G$22</f>
        <v>0.4</v>
      </c>
      <c r="X13" s="111">
        <f>Table112345791011[[#This Row],[V/(2*sqrt(fc) bd)]]</f>
        <v>0.42813545740452957</v>
      </c>
      <c r="Y13" s="111">
        <f>Table112345791011[[#This Row],[a (mm)]]</f>
        <v>1501.1399999999999</v>
      </c>
      <c r="Z13" s="395">
        <f>Table112345791011[[#This Row],[width]]*Table112345791011[[#This Row],[h (mm)]]^2</f>
        <v>24500000</v>
      </c>
      <c r="AA13" s="395">
        <f>Table112345791011[[#This Row],[b (mm)]]</f>
        <v>200</v>
      </c>
      <c r="AB13" s="395">
        <f>Table112345791011[[#This Row],[a]]/Table112345791011[[#This Row],[h (mm)]]</f>
        <v>4.2889714285714282</v>
      </c>
      <c r="AC13" s="395">
        <f>Table112345791011[[#This Row],[h (mm)]]</f>
        <v>350</v>
      </c>
      <c r="AD13" s="111">
        <f t="shared" si="4"/>
        <v>1501.1399999999999</v>
      </c>
      <c r="AE13" s="111">
        <v>300</v>
      </c>
      <c r="AF13" s="111">
        <v>350</v>
      </c>
      <c r="AG13" s="111">
        <v>200</v>
      </c>
      <c r="AH13" s="109">
        <v>49.45</v>
      </c>
      <c r="AI13" s="111">
        <f>Table112345791011[[#This Row],[pho (%)]]*Table112345791011[[#This Row],[b (mm)]]*Table112345791011[[#This Row],[h (mm)]]/100</f>
        <v>1652</v>
      </c>
      <c r="AJ13" s="109">
        <v>2.36</v>
      </c>
      <c r="AK13" s="111">
        <v>530</v>
      </c>
      <c r="AL13" s="111">
        <f>(1/3-0.21*(MIN(Table112345791011[[#This Row],[b (mm)]],AF13)/MAX(Table112345791011[[#This Row],[b (mm)]],AF13))*(MIN(Table112345791011[[#This Row],[b (mm)]],AF13)^4/(12*MAX(Table112345791011[[#This Row],[b (mm)]],AF13)^4)))*MAX(Table112345791011[[#This Row],[b (mm)]],AF13)*MIN(Table112345791011[[#This Row],[b (mm)]],AF13)^3</f>
        <v>930347910.59280849</v>
      </c>
      <c r="AM13" s="111">
        <f>Table112345791011[[#This Row],[b (mm)]]*AF13^3/12</f>
        <v>714583333.33333337</v>
      </c>
      <c r="AN13" s="307">
        <f>Table112345791011[[#This Row],[a (mm)]]*2</f>
        <v>3002.2799999999997</v>
      </c>
      <c r="AP13"/>
      <c r="AQ13"/>
      <c r="AR13"/>
      <c r="AS13"/>
      <c r="AT13"/>
      <c r="AW13"/>
    </row>
    <row r="14" spans="1:49" ht="15" thickBot="1" x14ac:dyDescent="0.35">
      <c r="A14" s="308" t="s">
        <v>213</v>
      </c>
      <c r="B14" s="299">
        <v>13</v>
      </c>
      <c r="C14" s="299">
        <v>6</v>
      </c>
      <c r="D14" s="299">
        <f>Table112345791011[[#This Row],[a (mm)]]/Table112345791011[[#This Row],[d (mm)]]</f>
        <v>5.0037999999999991</v>
      </c>
      <c r="E14" s="316">
        <v>35</v>
      </c>
      <c r="F14" s="303">
        <f>Table112345791011[[#This Row],[d (mm)]]</f>
        <v>300</v>
      </c>
      <c r="G14" s="111">
        <f t="shared" si="5"/>
        <v>52539.899999999994</v>
      </c>
      <c r="H14" s="111">
        <f t="shared" si="6"/>
        <v>2.7917316950101362E-6</v>
      </c>
      <c r="I14" s="304">
        <f>G14/(Table112345791011[[#This Row],[b (mm)]]*Table112345791011[[#This Row],[h]]^2)</f>
        <v>2.1444857142857141E-3</v>
      </c>
      <c r="J14" s="111">
        <f t="shared" si="7"/>
        <v>0.1996472916467171</v>
      </c>
      <c r="K14" s="111">
        <f t="shared" si="8"/>
        <v>1.1980998386059884E-6</v>
      </c>
      <c r="L14" s="111">
        <f>E14/(Table112345791011[[#This Row],[b (mm)]]*AE14)</f>
        <v>5.8333333333333338E-4</v>
      </c>
      <c r="M14" s="111">
        <f>Table112345791011[[#This Row],[M (KN.mm)]]/(Table112345791011[[#This Row],[b (mm)]]*Table112345791011[[#This Row],[d (mm)]])</f>
        <v>0.87566499999999992</v>
      </c>
      <c r="N14" s="111">
        <f>Table112345791011[[#This Row],[M (KN.mm)]]/(Table112345791011[[#This Row],[b (mm)]]*Table112345791011[[#This Row],[h (mm)]])</f>
        <v>0.75056999999999996</v>
      </c>
      <c r="O14" s="111">
        <f>Table112345791011[[#This Row],[M (KN.mm)]]/(Table112345791011[[#This Row],[b (mm)]]*Table112345791011[[#This Row],[h (mm)]]*Table112345791011[[#This Row],[L(mm)]])</f>
        <v>2.5000000000000001E-4</v>
      </c>
      <c r="P14" s="111">
        <f>Table112345791011[[#This Row],[M (KN.mm)]]/(Table112345791011[[#This Row],[b (mm)]]*Table112345791011[[#This Row],[d (mm)]]*Table112345791011[[#This Row],[L(mm)]])</f>
        <v>2.9166666666666669E-4</v>
      </c>
      <c r="Q14" s="111">
        <f>Table112345791011[[#This Row],[M (KN.mm)]]/(Table112345791011[[#This Row],[b (mm)]]*Table112345791011[[#This Row],[h (mm)]]*Table112345791011[[#This Row],[L(mm)]]*Table112345791011[[#This Row],[fc (Mpa)]])</f>
        <v>5.0556117290192107E-6</v>
      </c>
      <c r="R14" s="111">
        <f>Table112345791011[[#This Row],[M (KN.mm)]]/(Table112345791011[[#This Row],[b (mm)]]*Table112345791011[[#This Row],[h (mm)]]*Table112345791011[[#This Row],[L(mm)]]/2)</f>
        <v>5.0000000000000001E-4</v>
      </c>
      <c r="S14" s="111">
        <f>Table112345791011[[#This Row],[M (KN.mm)]]/(Table112345791011[[#This Row],[a (mm)]]*Table112345791011[[#This Row],[b (mm)]]*Table112345791011[[#This Row],[h (mm)]]*Table112345791011[[#This Row],[L(mm)]]/2)</f>
        <v>3.3308019238711907E-7</v>
      </c>
      <c r="T14" s="111">
        <f>Table112345791011[[#This Row],[M (KN.mm)]]/(Table112345791011[[#This Row],[a (mm)]]^2*Table112345791011[[#This Row],[b (mm)]]*Table112345791011[[#This Row],[h (mm)]])</f>
        <v>3.3308019238711917E-7</v>
      </c>
      <c r="U14" s="111">
        <f>Table112345791011[[#This Row],[M (KN.mm)]]/(Table112345791011[[#This Row],[b (mm)]]*Table112345791011[[#This Row],[d (mm)]]*Table112345791011[[#This Row],[pho (%)]])</f>
        <v>0.37104449152542368</v>
      </c>
      <c r="V14" s="111">
        <f>E14*224.8/(2*SQRT(Table112345791011[[#This Row],[fc (Mpa)]]*145.037)*Table112345791011[[#This Row],[b (mm)]]*Table112345791011[[#This Row],[d (mm)]]*(1/25.4)^2)</f>
        <v>0.49949136697195118</v>
      </c>
      <c r="W14" s="111">
        <f>Table112345791011[[#This Row],[M (KN.mm)]]/$G$22</f>
        <v>0.46666666666666667</v>
      </c>
      <c r="X14" s="111">
        <f>Table112345791011[[#This Row],[V/(2*sqrt(fc) bd)]]</f>
        <v>0.49949136697195118</v>
      </c>
      <c r="Y14" s="111">
        <f>Table112345791011[[#This Row],[a (mm)]]</f>
        <v>1501.1399999999999</v>
      </c>
      <c r="Z14" s="395">
        <f>Table112345791011[[#This Row],[width]]*Table112345791011[[#This Row],[h (mm)]]^2</f>
        <v>24500000</v>
      </c>
      <c r="AA14" s="395">
        <f>Table112345791011[[#This Row],[b (mm)]]</f>
        <v>200</v>
      </c>
      <c r="AB14" s="395">
        <f>Table112345791011[[#This Row],[a]]/Table112345791011[[#This Row],[h (mm)]]</f>
        <v>4.2889714285714282</v>
      </c>
      <c r="AC14" s="395">
        <f>Table112345791011[[#This Row],[h (mm)]]</f>
        <v>350</v>
      </c>
      <c r="AD14" s="111">
        <f t="shared" si="4"/>
        <v>1501.1399999999999</v>
      </c>
      <c r="AE14" s="111">
        <v>300</v>
      </c>
      <c r="AF14" s="111">
        <v>350</v>
      </c>
      <c r="AG14" s="111">
        <v>200</v>
      </c>
      <c r="AH14" s="109">
        <v>49.45</v>
      </c>
      <c r="AI14" s="111">
        <f>Table112345791011[[#This Row],[pho (%)]]*Table112345791011[[#This Row],[b (mm)]]*Table112345791011[[#This Row],[h (mm)]]/100</f>
        <v>1652</v>
      </c>
      <c r="AJ14" s="109">
        <v>2.36</v>
      </c>
      <c r="AK14" s="111">
        <v>531</v>
      </c>
      <c r="AL14" s="111">
        <f>(1/3-0.21*(MIN(Table112345791011[[#This Row],[b (mm)]],AF14)/MAX(Table112345791011[[#This Row],[b (mm)]],AF14))*(MIN(Table112345791011[[#This Row],[b (mm)]],AF14)^4/(12*MAX(Table112345791011[[#This Row],[b (mm)]],AF14)^4)))*MAX(Table112345791011[[#This Row],[b (mm)]],AF14)*MIN(Table112345791011[[#This Row],[b (mm)]],AF14)^3</f>
        <v>930347910.59280849</v>
      </c>
      <c r="AM14" s="111">
        <f>Table112345791011[[#This Row],[b (mm)]]*AF14^3/12</f>
        <v>714583333.33333337</v>
      </c>
      <c r="AN14" s="307">
        <f>Table112345791011[[#This Row],[a (mm)]]*2</f>
        <v>3002.2799999999997</v>
      </c>
      <c r="AP14"/>
      <c r="AQ14"/>
      <c r="AR14"/>
      <c r="AS14"/>
      <c r="AT14"/>
      <c r="AW14"/>
    </row>
    <row r="15" spans="1:49" ht="15" thickBot="1" x14ac:dyDescent="0.35">
      <c r="A15" s="308" t="s">
        <v>213</v>
      </c>
      <c r="B15" s="299">
        <v>14</v>
      </c>
      <c r="C15" s="299">
        <v>7</v>
      </c>
      <c r="D15" s="299">
        <f>Table112345791011[[#This Row],[a (mm)]]/Table112345791011[[#This Row],[d (mm)]]</f>
        <v>5.0037999999999991</v>
      </c>
      <c r="E15" s="316">
        <v>40</v>
      </c>
      <c r="F15" s="303">
        <f>Table112345791011[[#This Row],[d (mm)]]</f>
        <v>300</v>
      </c>
      <c r="G15" s="111">
        <f t="shared" si="5"/>
        <v>60045.599999999991</v>
      </c>
      <c r="H15" s="111">
        <f t="shared" si="6"/>
        <v>3.1905505085830128E-6</v>
      </c>
      <c r="I15" s="304">
        <f>G15/(Table112345791011[[#This Row],[b (mm)]]*Table112345791011[[#This Row],[h]]^2)</f>
        <v>2.4508408163265304E-3</v>
      </c>
      <c r="J15" s="111">
        <f t="shared" si="7"/>
        <v>0.22773944546596511</v>
      </c>
      <c r="K15" s="111">
        <f t="shared" si="8"/>
        <v>1.369256958406844E-6</v>
      </c>
      <c r="L15" s="111">
        <f>E15/(Table112345791011[[#This Row],[b (mm)]]*AE15)</f>
        <v>6.6666666666666664E-4</v>
      </c>
      <c r="M15" s="111">
        <f>Table112345791011[[#This Row],[M (KN.mm)]]/(Table112345791011[[#This Row],[b (mm)]]*Table112345791011[[#This Row],[d (mm)]])</f>
        <v>1.0007599999999999</v>
      </c>
      <c r="N15" s="111">
        <f>Table112345791011[[#This Row],[M (KN.mm)]]/(Table112345791011[[#This Row],[b (mm)]]*Table112345791011[[#This Row],[h (mm)]])</f>
        <v>0.85779428571428562</v>
      </c>
      <c r="O15" s="111">
        <f>Table112345791011[[#This Row],[M (KN.mm)]]/(Table112345791011[[#This Row],[b (mm)]]*Table112345791011[[#This Row],[h (mm)]]*Table112345791011[[#This Row],[L(mm)]])</f>
        <v>2.8571428571428574E-4</v>
      </c>
      <c r="P15" s="111">
        <f>Table112345791011[[#This Row],[M (KN.mm)]]/(Table112345791011[[#This Row],[b (mm)]]*Table112345791011[[#This Row],[d (mm)]]*Table112345791011[[#This Row],[L(mm)]])</f>
        <v>3.3333333333333332E-4</v>
      </c>
      <c r="Q15" s="111">
        <f>Table112345791011[[#This Row],[M (KN.mm)]]/(Table112345791011[[#This Row],[b (mm)]]*Table112345791011[[#This Row],[h (mm)]]*Table112345791011[[#This Row],[L(mm)]]*Table112345791011[[#This Row],[fc (Mpa)]])</f>
        <v>5.7778419760219549E-6</v>
      </c>
      <c r="R15" s="111">
        <f>Table112345791011[[#This Row],[M (KN.mm)]]/(Table112345791011[[#This Row],[b (mm)]]*Table112345791011[[#This Row],[h (mm)]]*Table112345791011[[#This Row],[L(mm)]]/2)</f>
        <v>5.7142857142857147E-4</v>
      </c>
      <c r="S15" s="111">
        <f>Table112345791011[[#This Row],[M (KN.mm)]]/(Table112345791011[[#This Row],[a (mm)]]*Table112345791011[[#This Row],[b (mm)]]*Table112345791011[[#This Row],[h (mm)]]*Table112345791011[[#This Row],[L(mm)]]/2)</f>
        <v>3.8066307701385038E-7</v>
      </c>
      <c r="T15" s="111">
        <f>Table112345791011[[#This Row],[M (KN.mm)]]/(Table112345791011[[#This Row],[a (mm)]]^2*Table112345791011[[#This Row],[b (mm)]]*Table112345791011[[#This Row],[h (mm)]])</f>
        <v>3.8066307701385043E-7</v>
      </c>
      <c r="U15" s="111">
        <f>Table112345791011[[#This Row],[M (KN.mm)]]/(Table112345791011[[#This Row],[b (mm)]]*Table112345791011[[#This Row],[d (mm)]]*Table112345791011[[#This Row],[pho (%)]])</f>
        <v>0.42405084745762706</v>
      </c>
      <c r="V15" s="111">
        <f>E15*224.8/(2*SQRT(Table112345791011[[#This Row],[fc (Mpa)]]*145.037)*Table112345791011[[#This Row],[b (mm)]]*Table112345791011[[#This Row],[d (mm)]]*(1/25.4)^2)</f>
        <v>0.57084727653937284</v>
      </c>
      <c r="W15" s="111">
        <f>Table112345791011[[#This Row],[M (KN.mm)]]/$G$22</f>
        <v>0.53333333333333333</v>
      </c>
      <c r="X15" s="111">
        <f>Table112345791011[[#This Row],[V/(2*sqrt(fc) bd)]]</f>
        <v>0.57084727653937284</v>
      </c>
      <c r="Y15" s="111">
        <f>Table112345791011[[#This Row],[a (mm)]]</f>
        <v>1501.1399999999999</v>
      </c>
      <c r="Z15" s="395">
        <f>Table112345791011[[#This Row],[width]]*Table112345791011[[#This Row],[h (mm)]]^2</f>
        <v>24500000</v>
      </c>
      <c r="AA15" s="395">
        <f>Table112345791011[[#This Row],[b (mm)]]</f>
        <v>200</v>
      </c>
      <c r="AB15" s="395">
        <f>Table112345791011[[#This Row],[a]]/Table112345791011[[#This Row],[h (mm)]]</f>
        <v>4.2889714285714282</v>
      </c>
      <c r="AC15" s="395">
        <f>Table112345791011[[#This Row],[h (mm)]]</f>
        <v>350</v>
      </c>
      <c r="AD15" s="111">
        <f t="shared" si="4"/>
        <v>1501.1399999999999</v>
      </c>
      <c r="AE15" s="111">
        <v>300</v>
      </c>
      <c r="AF15" s="111">
        <v>350</v>
      </c>
      <c r="AG15" s="111">
        <v>200</v>
      </c>
      <c r="AH15" s="109">
        <v>49.45</v>
      </c>
      <c r="AI15" s="111">
        <f>Table112345791011[[#This Row],[pho (%)]]*Table112345791011[[#This Row],[b (mm)]]*Table112345791011[[#This Row],[h (mm)]]/100</f>
        <v>1652</v>
      </c>
      <c r="AJ15" s="109">
        <v>2.36</v>
      </c>
      <c r="AK15" s="111">
        <v>532</v>
      </c>
      <c r="AL15" s="111">
        <f>(1/3-0.21*(MIN(Table112345791011[[#This Row],[b (mm)]],AF15)/MAX(Table112345791011[[#This Row],[b (mm)]],AF15))*(MIN(Table112345791011[[#This Row],[b (mm)]],AF15)^4/(12*MAX(Table112345791011[[#This Row],[b (mm)]],AF15)^4)))*MAX(Table112345791011[[#This Row],[b (mm)]],AF15)*MIN(Table112345791011[[#This Row],[b (mm)]],AF15)^3</f>
        <v>930347910.59280849</v>
      </c>
      <c r="AM15" s="111">
        <f>Table112345791011[[#This Row],[b (mm)]]*AF15^3/12</f>
        <v>714583333.33333337</v>
      </c>
      <c r="AN15" s="307">
        <f>Table112345791011[[#This Row],[a (mm)]]*2</f>
        <v>3002.2799999999997</v>
      </c>
      <c r="AP15"/>
      <c r="AQ15"/>
      <c r="AR15"/>
      <c r="AS15"/>
      <c r="AT15"/>
      <c r="AW15"/>
    </row>
    <row r="16" spans="1:49" ht="15" thickBot="1" x14ac:dyDescent="0.35">
      <c r="A16" s="308" t="s">
        <v>213</v>
      </c>
      <c r="B16" s="299">
        <v>15</v>
      </c>
      <c r="C16" s="299">
        <v>8</v>
      </c>
      <c r="D16" s="299">
        <f>Table112345791011[[#This Row],[a (mm)]]/Table112345791011[[#This Row],[d (mm)]]</f>
        <v>5.0037999999999991</v>
      </c>
      <c r="E16" s="316">
        <v>45</v>
      </c>
      <c r="F16" s="303">
        <f>Table112345791011[[#This Row],[d (mm)]]</f>
        <v>300</v>
      </c>
      <c r="G16" s="111">
        <f t="shared" si="5"/>
        <v>67551.299999999988</v>
      </c>
      <c r="H16" s="111">
        <f t="shared" si="6"/>
        <v>3.5893693221558894E-6</v>
      </c>
      <c r="I16" s="304">
        <f>G16/(Table112345791011[[#This Row],[b (mm)]]*Table112345791011[[#This Row],[h]]^2)</f>
        <v>2.7571959183673466E-3</v>
      </c>
      <c r="J16" s="111">
        <f t="shared" si="7"/>
        <v>0.25572618782622913</v>
      </c>
      <c r="K16" s="111">
        <f t="shared" si="8"/>
        <v>1.5404140782076994E-6</v>
      </c>
      <c r="L16" s="111">
        <f>E16/(Table112345791011[[#This Row],[b (mm)]]*AE16)</f>
        <v>7.5000000000000002E-4</v>
      </c>
      <c r="M16" s="111">
        <f>Table112345791011[[#This Row],[M (KN.mm)]]/(Table112345791011[[#This Row],[b (mm)]]*Table112345791011[[#This Row],[d (mm)]])</f>
        <v>1.1258549999999998</v>
      </c>
      <c r="N16" s="111">
        <f>Table112345791011[[#This Row],[M (KN.mm)]]/(Table112345791011[[#This Row],[b (mm)]]*Table112345791011[[#This Row],[h (mm)]])</f>
        <v>0.96501857142857128</v>
      </c>
      <c r="O16" s="111">
        <f>Table112345791011[[#This Row],[M (KN.mm)]]/(Table112345791011[[#This Row],[b (mm)]]*Table112345791011[[#This Row],[h (mm)]]*Table112345791011[[#This Row],[L(mm)]])</f>
        <v>3.2142857142857141E-4</v>
      </c>
      <c r="P16" s="111">
        <f>Table112345791011[[#This Row],[M (KN.mm)]]/(Table112345791011[[#This Row],[b (mm)]]*Table112345791011[[#This Row],[d (mm)]]*Table112345791011[[#This Row],[L(mm)]])</f>
        <v>3.7500000000000001E-4</v>
      </c>
      <c r="Q16" s="111">
        <f>Table112345791011[[#This Row],[M (KN.mm)]]/(Table112345791011[[#This Row],[b (mm)]]*Table112345791011[[#This Row],[h (mm)]]*Table112345791011[[#This Row],[L(mm)]]*Table112345791011[[#This Row],[fc (Mpa)]])</f>
        <v>6.500072223024699E-6</v>
      </c>
      <c r="R16" s="111">
        <f>Table112345791011[[#This Row],[M (KN.mm)]]/(Table112345791011[[#This Row],[b (mm)]]*Table112345791011[[#This Row],[h (mm)]]*Table112345791011[[#This Row],[L(mm)]]/2)</f>
        <v>6.4285714285714282E-4</v>
      </c>
      <c r="S16" s="111">
        <f>Table112345791011[[#This Row],[M (KN.mm)]]/(Table112345791011[[#This Row],[a (mm)]]*Table112345791011[[#This Row],[b (mm)]]*Table112345791011[[#This Row],[h (mm)]]*Table112345791011[[#This Row],[L(mm)]]/2)</f>
        <v>4.2824596164058164E-7</v>
      </c>
      <c r="T16" s="111">
        <f>Table112345791011[[#This Row],[M (KN.mm)]]/(Table112345791011[[#This Row],[a (mm)]]^2*Table112345791011[[#This Row],[b (mm)]]*Table112345791011[[#This Row],[h (mm)]])</f>
        <v>4.2824596164058174E-7</v>
      </c>
      <c r="U16" s="111">
        <f>Table112345791011[[#This Row],[M (KN.mm)]]/(Table112345791011[[#This Row],[b (mm)]]*Table112345791011[[#This Row],[d (mm)]]*Table112345791011[[#This Row],[pho (%)]])</f>
        <v>0.47705720338983043</v>
      </c>
      <c r="V16" s="111">
        <f>E16*224.8/(2*SQRT(Table112345791011[[#This Row],[fc (Mpa)]]*145.037)*Table112345791011[[#This Row],[b (mm)]]*Table112345791011[[#This Row],[d (mm)]]*(1/25.4)^2)</f>
        <v>0.64220318610679439</v>
      </c>
      <c r="W16" s="111">
        <f>Table112345791011[[#This Row],[M (KN.mm)]]/$G$22</f>
        <v>0.6</v>
      </c>
      <c r="X16" s="111">
        <f>Table112345791011[[#This Row],[V/(2*sqrt(fc) bd)]]</f>
        <v>0.64220318610679439</v>
      </c>
      <c r="Y16" s="111">
        <f>Table112345791011[[#This Row],[a (mm)]]</f>
        <v>1501.1399999999999</v>
      </c>
      <c r="Z16" s="395">
        <f>Table112345791011[[#This Row],[width]]*Table112345791011[[#This Row],[h (mm)]]^2</f>
        <v>24500000</v>
      </c>
      <c r="AA16" s="395">
        <f>Table112345791011[[#This Row],[b (mm)]]</f>
        <v>200</v>
      </c>
      <c r="AB16" s="395">
        <f>Table112345791011[[#This Row],[a]]/Table112345791011[[#This Row],[h (mm)]]</f>
        <v>4.2889714285714282</v>
      </c>
      <c r="AC16" s="395">
        <f>Table112345791011[[#This Row],[h (mm)]]</f>
        <v>350</v>
      </c>
      <c r="AD16" s="111">
        <f t="shared" si="4"/>
        <v>1501.1399999999999</v>
      </c>
      <c r="AE16" s="111">
        <v>300</v>
      </c>
      <c r="AF16" s="111">
        <v>350</v>
      </c>
      <c r="AG16" s="111">
        <v>200</v>
      </c>
      <c r="AH16" s="109">
        <v>49.45</v>
      </c>
      <c r="AI16" s="111">
        <f>Table112345791011[[#This Row],[pho (%)]]*Table112345791011[[#This Row],[b (mm)]]*Table112345791011[[#This Row],[h (mm)]]/100</f>
        <v>1652</v>
      </c>
      <c r="AJ16" s="109">
        <v>2.36</v>
      </c>
      <c r="AK16" s="111">
        <v>533</v>
      </c>
      <c r="AL16" s="111">
        <f>(1/3-0.21*(MIN(Table112345791011[[#This Row],[b (mm)]],AF16)/MAX(Table112345791011[[#This Row],[b (mm)]],AF16))*(MIN(Table112345791011[[#This Row],[b (mm)]],AF16)^4/(12*MAX(Table112345791011[[#This Row],[b (mm)]],AF16)^4)))*MAX(Table112345791011[[#This Row],[b (mm)]],AF16)*MIN(Table112345791011[[#This Row],[b (mm)]],AF16)^3</f>
        <v>930347910.59280849</v>
      </c>
      <c r="AM16" s="111">
        <f>Table112345791011[[#This Row],[b (mm)]]*AF16^3/12</f>
        <v>714583333.33333337</v>
      </c>
      <c r="AN16" s="307">
        <f>Table112345791011[[#This Row],[a (mm)]]*2</f>
        <v>3002.2799999999997</v>
      </c>
      <c r="AP16"/>
      <c r="AQ16"/>
      <c r="AR16"/>
      <c r="AS16"/>
      <c r="AT16"/>
      <c r="AW16"/>
    </row>
    <row r="17" spans="1:49" ht="15" thickBot="1" x14ac:dyDescent="0.35">
      <c r="A17" s="308" t="s">
        <v>213</v>
      </c>
      <c r="B17" s="299">
        <v>16</v>
      </c>
      <c r="C17" s="299">
        <v>9</v>
      </c>
      <c r="D17" s="299">
        <f>Table112345791011[[#This Row],[a (mm)]]/Table112345791011[[#This Row],[d (mm)]]</f>
        <v>5.0037999999999991</v>
      </c>
      <c r="E17" s="316">
        <v>50</v>
      </c>
      <c r="F17" s="303">
        <f>Table112345791011[[#This Row],[d (mm)]]</f>
        <v>300</v>
      </c>
      <c r="G17" s="111">
        <f t="shared" si="5"/>
        <v>75057</v>
      </c>
      <c r="H17" s="111">
        <f t="shared" si="6"/>
        <v>3.9881881357287669E-6</v>
      </c>
      <c r="I17" s="304">
        <f>G17/(Table112345791011[[#This Row],[b (mm)]]*Table112345791011[[#This Row],[h]]^2)</f>
        <v>3.0635510204081633E-3</v>
      </c>
      <c r="J17" s="111">
        <f t="shared" si="7"/>
        <v>0.28360811092671689</v>
      </c>
      <c r="K17" s="111">
        <f t="shared" si="8"/>
        <v>1.711571198008555E-6</v>
      </c>
      <c r="L17" s="111">
        <f>E17/(Table112345791011[[#This Row],[b (mm)]]*AE17)</f>
        <v>8.3333333333333339E-4</v>
      </c>
      <c r="M17" s="111">
        <f>Table112345791011[[#This Row],[M (KN.mm)]]/(Table112345791011[[#This Row],[b (mm)]]*Table112345791011[[#This Row],[d (mm)]])</f>
        <v>1.25095</v>
      </c>
      <c r="N17" s="111">
        <f>Table112345791011[[#This Row],[M (KN.mm)]]/(Table112345791011[[#This Row],[b (mm)]]*Table112345791011[[#This Row],[h (mm)]])</f>
        <v>1.0722428571428571</v>
      </c>
      <c r="O17" s="111">
        <f>Table112345791011[[#This Row],[M (KN.mm)]]/(Table112345791011[[#This Row],[b (mm)]]*Table112345791011[[#This Row],[h (mm)]]*Table112345791011[[#This Row],[L(mm)]])</f>
        <v>3.571428571428572E-4</v>
      </c>
      <c r="P17" s="111">
        <f>Table112345791011[[#This Row],[M (KN.mm)]]/(Table112345791011[[#This Row],[b (mm)]]*Table112345791011[[#This Row],[d (mm)]]*Table112345791011[[#This Row],[L(mm)]])</f>
        <v>4.1666666666666675E-4</v>
      </c>
      <c r="Q17" s="111">
        <f>Table112345791011[[#This Row],[M (KN.mm)]]/(Table112345791011[[#This Row],[b (mm)]]*Table112345791011[[#This Row],[h (mm)]]*Table112345791011[[#This Row],[L(mm)]]*Table112345791011[[#This Row],[fc (Mpa)]])</f>
        <v>7.2223024700274449E-6</v>
      </c>
      <c r="R17" s="111">
        <f>Table112345791011[[#This Row],[M (KN.mm)]]/(Table112345791011[[#This Row],[b (mm)]]*Table112345791011[[#This Row],[h (mm)]]*Table112345791011[[#This Row],[L(mm)]]/2)</f>
        <v>7.1428571428571439E-4</v>
      </c>
      <c r="S17" s="111">
        <f>Table112345791011[[#This Row],[M (KN.mm)]]/(Table112345791011[[#This Row],[a (mm)]]*Table112345791011[[#This Row],[b (mm)]]*Table112345791011[[#This Row],[h (mm)]]*Table112345791011[[#This Row],[L(mm)]]/2)</f>
        <v>4.7582884626731305E-7</v>
      </c>
      <c r="T17" s="111">
        <f>Table112345791011[[#This Row],[M (KN.mm)]]/(Table112345791011[[#This Row],[a (mm)]]^2*Table112345791011[[#This Row],[b (mm)]]*Table112345791011[[#This Row],[h (mm)]])</f>
        <v>4.7582884626731311E-7</v>
      </c>
      <c r="U17" s="111">
        <f>Table112345791011[[#This Row],[M (KN.mm)]]/(Table112345791011[[#This Row],[b (mm)]]*Table112345791011[[#This Row],[d (mm)]]*Table112345791011[[#This Row],[pho (%)]])</f>
        <v>0.53006355932203386</v>
      </c>
      <c r="V17" s="111">
        <f>E17*224.8/(2*SQRT(Table112345791011[[#This Row],[fc (Mpa)]]*145.037)*Table112345791011[[#This Row],[b (mm)]]*Table112345791011[[#This Row],[d (mm)]]*(1/25.4)^2)</f>
        <v>0.71355909567421605</v>
      </c>
      <c r="W17" s="111">
        <f>Table112345791011[[#This Row],[M (KN.mm)]]/$G$22</f>
        <v>0.66666666666666674</v>
      </c>
      <c r="X17" s="111">
        <f>Table112345791011[[#This Row],[V/(2*sqrt(fc) bd)]]</f>
        <v>0.71355909567421605</v>
      </c>
      <c r="Y17" s="111">
        <f>Table112345791011[[#This Row],[a (mm)]]</f>
        <v>1501.1399999999999</v>
      </c>
      <c r="Z17" s="395">
        <f>Table112345791011[[#This Row],[width]]*Table112345791011[[#This Row],[h (mm)]]^2</f>
        <v>24500000</v>
      </c>
      <c r="AA17" s="395">
        <f>Table112345791011[[#This Row],[b (mm)]]</f>
        <v>200</v>
      </c>
      <c r="AB17" s="395">
        <f>Table112345791011[[#This Row],[a]]/Table112345791011[[#This Row],[h (mm)]]</f>
        <v>4.2889714285714282</v>
      </c>
      <c r="AC17" s="395">
        <f>Table112345791011[[#This Row],[h (mm)]]</f>
        <v>350</v>
      </c>
      <c r="AD17" s="111">
        <f t="shared" si="4"/>
        <v>1501.1399999999999</v>
      </c>
      <c r="AE17" s="111">
        <v>300</v>
      </c>
      <c r="AF17" s="111">
        <v>350</v>
      </c>
      <c r="AG17" s="111">
        <v>200</v>
      </c>
      <c r="AH17" s="109">
        <v>49.45</v>
      </c>
      <c r="AI17" s="111">
        <f>Table112345791011[[#This Row],[pho (%)]]*Table112345791011[[#This Row],[b (mm)]]*Table112345791011[[#This Row],[h (mm)]]/100</f>
        <v>1652</v>
      </c>
      <c r="AJ17" s="109">
        <v>2.36</v>
      </c>
      <c r="AK17" s="111">
        <v>534</v>
      </c>
      <c r="AL17" s="111">
        <f>(1/3-0.21*(MIN(Table112345791011[[#This Row],[b (mm)]],AF17)/MAX(Table112345791011[[#This Row],[b (mm)]],AF17))*(MIN(Table112345791011[[#This Row],[b (mm)]],AF17)^4/(12*MAX(Table112345791011[[#This Row],[b (mm)]],AF17)^4)))*MAX(Table112345791011[[#This Row],[b (mm)]],AF17)*MIN(Table112345791011[[#This Row],[b (mm)]],AF17)^3</f>
        <v>930347910.59280849</v>
      </c>
      <c r="AM17" s="111">
        <f>Table112345791011[[#This Row],[b (mm)]]*AF17^3/12</f>
        <v>714583333.33333337</v>
      </c>
      <c r="AN17" s="307">
        <f>Table112345791011[[#This Row],[a (mm)]]*2</f>
        <v>3002.2799999999997</v>
      </c>
      <c r="AP17"/>
      <c r="AQ17"/>
      <c r="AR17"/>
      <c r="AS17"/>
      <c r="AT17"/>
      <c r="AW17"/>
    </row>
    <row r="18" spans="1:49" s="129" customFormat="1" ht="15" thickBot="1" x14ac:dyDescent="0.35">
      <c r="A18" s="308" t="s">
        <v>213</v>
      </c>
      <c r="B18" s="299">
        <v>17</v>
      </c>
      <c r="C18" s="299">
        <v>10</v>
      </c>
      <c r="D18" s="299">
        <f>Table112345791011[[#This Row],[a (mm)]]/Table112345791011[[#This Row],[d (mm)]]</f>
        <v>5.0037999999999991</v>
      </c>
      <c r="E18" s="316">
        <v>55</v>
      </c>
      <c r="F18" s="303">
        <f>Table112345791011[[#This Row],[d (mm)]]</f>
        <v>300</v>
      </c>
      <c r="G18" s="111">
        <f t="shared" si="5"/>
        <v>82562.7</v>
      </c>
      <c r="H18" s="111">
        <f t="shared" si="6"/>
        <v>4.387006949301643E-6</v>
      </c>
      <c r="I18" s="304">
        <f>G18/(Table112345791011[[#This Row],[b (mm)]]*Table112345791011[[#This Row],[h]]^2)</f>
        <v>3.3699061224489795E-3</v>
      </c>
      <c r="J18" s="111">
        <f t="shared" si="7"/>
        <v>0.31138580253897852</v>
      </c>
      <c r="K18" s="111">
        <f t="shared" si="8"/>
        <v>1.8827283178094104E-6</v>
      </c>
      <c r="L18" s="111">
        <f>E18/(Table112345791011[[#This Row],[b (mm)]]*AE18)</f>
        <v>9.1666666666666665E-4</v>
      </c>
      <c r="M18" s="111">
        <f>Table112345791011[[#This Row],[M (KN.mm)]]/(Table112345791011[[#This Row],[b (mm)]]*Table112345791011[[#This Row],[d (mm)]])</f>
        <v>1.376045</v>
      </c>
      <c r="N18" s="111">
        <f>Table112345791011[[#This Row],[M (KN.mm)]]/(Table112345791011[[#This Row],[b (mm)]]*Table112345791011[[#This Row],[h (mm)]])</f>
        <v>1.1794671428571428</v>
      </c>
      <c r="O18" s="111">
        <f>Table112345791011[[#This Row],[M (KN.mm)]]/(Table112345791011[[#This Row],[b (mm)]]*Table112345791011[[#This Row],[h (mm)]]*Table112345791011[[#This Row],[L(mm)]])</f>
        <v>3.9285714285714287E-4</v>
      </c>
      <c r="P18" s="111">
        <f>Table112345791011[[#This Row],[M (KN.mm)]]/(Table112345791011[[#This Row],[b (mm)]]*Table112345791011[[#This Row],[d (mm)]]*Table112345791011[[#This Row],[L(mm)]])</f>
        <v>4.5833333333333338E-4</v>
      </c>
      <c r="Q18" s="111">
        <f>Table112345791011[[#This Row],[M (KN.mm)]]/(Table112345791011[[#This Row],[b (mm)]]*Table112345791011[[#This Row],[h (mm)]]*Table112345791011[[#This Row],[L(mm)]]*Table112345791011[[#This Row],[fc (Mpa)]])</f>
        <v>7.944532717030189E-6</v>
      </c>
      <c r="R18" s="111">
        <f>Table112345791011[[#This Row],[M (KN.mm)]]/(Table112345791011[[#This Row],[b (mm)]]*Table112345791011[[#This Row],[h (mm)]]*Table112345791011[[#This Row],[L(mm)]]/2)</f>
        <v>7.8571428571428575E-4</v>
      </c>
      <c r="S18" s="111">
        <f>Table112345791011[[#This Row],[M (KN.mm)]]/(Table112345791011[[#This Row],[a (mm)]]*Table112345791011[[#This Row],[b (mm)]]*Table112345791011[[#This Row],[h (mm)]]*Table112345791011[[#This Row],[L(mm)]]/2)</f>
        <v>5.2341173089404436E-7</v>
      </c>
      <c r="T18" s="111">
        <f>Table112345791011[[#This Row],[M (KN.mm)]]/(Table112345791011[[#This Row],[a (mm)]]^2*Table112345791011[[#This Row],[b (mm)]]*Table112345791011[[#This Row],[h (mm)]])</f>
        <v>5.2341173089404447E-7</v>
      </c>
      <c r="U18" s="111">
        <f>Table112345791011[[#This Row],[M (KN.mm)]]/(Table112345791011[[#This Row],[b (mm)]]*Table112345791011[[#This Row],[d (mm)]]*Table112345791011[[#This Row],[pho (%)]])</f>
        <v>0.58306991525423724</v>
      </c>
      <c r="V18" s="111">
        <f>E18*224.8/(2*SQRT(Table112345791011[[#This Row],[fc (Mpa)]]*145.037)*Table112345791011[[#This Row],[b (mm)]]*Table112345791011[[#This Row],[d (mm)]]*(1/25.4)^2)</f>
        <v>0.7849150052416376</v>
      </c>
      <c r="W18" s="111">
        <f>Table112345791011[[#This Row],[M (KN.mm)]]/$G$22</f>
        <v>0.73333333333333339</v>
      </c>
      <c r="X18" s="111">
        <f>Table112345791011[[#This Row],[V/(2*sqrt(fc) bd)]]</f>
        <v>0.7849150052416376</v>
      </c>
      <c r="Y18" s="111">
        <f>Table112345791011[[#This Row],[a (mm)]]</f>
        <v>1501.1399999999999</v>
      </c>
      <c r="Z18" s="395">
        <f>Table112345791011[[#This Row],[width]]*Table112345791011[[#This Row],[h (mm)]]^2</f>
        <v>24500000</v>
      </c>
      <c r="AA18" s="395">
        <f>Table112345791011[[#This Row],[b (mm)]]</f>
        <v>200</v>
      </c>
      <c r="AB18" s="395">
        <f>Table112345791011[[#This Row],[a]]/Table112345791011[[#This Row],[h (mm)]]</f>
        <v>4.2889714285714282</v>
      </c>
      <c r="AC18" s="395">
        <f>Table112345791011[[#This Row],[h (mm)]]</f>
        <v>350</v>
      </c>
      <c r="AD18" s="111">
        <f t="shared" si="4"/>
        <v>1501.1399999999999</v>
      </c>
      <c r="AE18" s="111">
        <v>300</v>
      </c>
      <c r="AF18" s="111">
        <v>350</v>
      </c>
      <c r="AG18" s="111">
        <v>200</v>
      </c>
      <c r="AH18" s="109">
        <v>49.45</v>
      </c>
      <c r="AI18" s="111">
        <f>Table112345791011[[#This Row],[pho (%)]]*Table112345791011[[#This Row],[b (mm)]]*Table112345791011[[#This Row],[h (mm)]]/100</f>
        <v>1652</v>
      </c>
      <c r="AJ18" s="109">
        <v>2.36</v>
      </c>
      <c r="AK18" s="111">
        <v>535</v>
      </c>
      <c r="AL18" s="111">
        <f>(1/3-0.21*(MIN(Table112345791011[[#This Row],[b (mm)]],AF18)/MAX(Table112345791011[[#This Row],[b (mm)]],AF18))*(MIN(Table112345791011[[#This Row],[b (mm)]],AF18)^4/(12*MAX(Table112345791011[[#This Row],[b (mm)]],AF18)^4)))*MAX(Table112345791011[[#This Row],[b (mm)]],AF18)*MIN(Table112345791011[[#This Row],[b (mm)]],AF18)^3</f>
        <v>930347910.59280849</v>
      </c>
      <c r="AM18" s="111">
        <f>Table112345791011[[#This Row],[b (mm)]]*AF18^3/12</f>
        <v>714583333.33333337</v>
      </c>
      <c r="AN18" s="307">
        <f>Table112345791011[[#This Row],[a (mm)]]*2</f>
        <v>3002.2799999999997</v>
      </c>
      <c r="AO18"/>
      <c r="AP18"/>
      <c r="AQ18"/>
      <c r="AR18"/>
      <c r="AS18"/>
      <c r="AT18"/>
      <c r="AU18"/>
      <c r="AV18"/>
      <c r="AW18"/>
    </row>
    <row r="19" spans="1:49" s="129" customFormat="1" ht="15" thickBot="1" x14ac:dyDescent="0.35">
      <c r="A19" s="308" t="s">
        <v>213</v>
      </c>
      <c r="B19" s="299">
        <v>18</v>
      </c>
      <c r="C19" s="299">
        <v>11</v>
      </c>
      <c r="D19" s="299">
        <f>Table112345791011[[#This Row],[a (mm)]]/Table112345791011[[#This Row],[d (mm)]]</f>
        <v>5.0037999999999991</v>
      </c>
      <c r="E19" s="316">
        <v>60</v>
      </c>
      <c r="F19" s="303">
        <f>Table112345791011[[#This Row],[d (mm)]]</f>
        <v>300</v>
      </c>
      <c r="G19" s="111">
        <f t="shared" si="5"/>
        <v>90068.4</v>
      </c>
      <c r="H19" s="111">
        <f t="shared" si="6"/>
        <v>4.7858257628745201E-6</v>
      </c>
      <c r="I19" s="304">
        <f>G19/(Table112345791011[[#This Row],[b (mm)]]*Table112345791011[[#This Row],[h]]^2)</f>
        <v>3.6762612244897958E-3</v>
      </c>
      <c r="J19" s="111">
        <f t="shared" si="7"/>
        <v>0.33905984604820932</v>
      </c>
      <c r="K19" s="111">
        <f t="shared" si="8"/>
        <v>2.053885437610266E-6</v>
      </c>
      <c r="L19" s="111">
        <f>E19/(Table112345791011[[#This Row],[b (mm)]]*AE19)</f>
        <v>1E-3</v>
      </c>
      <c r="M19" s="111">
        <f>Table112345791011[[#This Row],[M (KN.mm)]]/(Table112345791011[[#This Row],[b (mm)]]*Table112345791011[[#This Row],[d (mm)]])</f>
        <v>1.5011399999999999</v>
      </c>
      <c r="N19" s="111">
        <f>Table112345791011[[#This Row],[M (KN.mm)]]/(Table112345791011[[#This Row],[b (mm)]]*Table112345791011[[#This Row],[h (mm)]])</f>
        <v>1.2866914285714286</v>
      </c>
      <c r="O19" s="111">
        <f>Table112345791011[[#This Row],[M (KN.mm)]]/(Table112345791011[[#This Row],[b (mm)]]*Table112345791011[[#This Row],[h (mm)]]*Table112345791011[[#This Row],[L(mm)]])</f>
        <v>4.285714285714286E-4</v>
      </c>
      <c r="P19" s="111">
        <f>Table112345791011[[#This Row],[M (KN.mm)]]/(Table112345791011[[#This Row],[b (mm)]]*Table112345791011[[#This Row],[d (mm)]]*Table112345791011[[#This Row],[L(mm)]])</f>
        <v>5.0000000000000001E-4</v>
      </c>
      <c r="Q19" s="111">
        <f>Table112345791011[[#This Row],[M (KN.mm)]]/(Table112345791011[[#This Row],[b (mm)]]*Table112345791011[[#This Row],[h (mm)]]*Table112345791011[[#This Row],[L(mm)]]*Table112345791011[[#This Row],[fc (Mpa)]])</f>
        <v>8.6667629640329332E-6</v>
      </c>
      <c r="R19" s="111">
        <f>Table112345791011[[#This Row],[M (KN.mm)]]/(Table112345791011[[#This Row],[b (mm)]]*Table112345791011[[#This Row],[h (mm)]]*Table112345791011[[#This Row],[L(mm)]]/2)</f>
        <v>8.5714285714285721E-4</v>
      </c>
      <c r="S19" s="111">
        <f>Table112345791011[[#This Row],[M (KN.mm)]]/(Table112345791011[[#This Row],[a (mm)]]*Table112345791011[[#This Row],[b (mm)]]*Table112345791011[[#This Row],[h (mm)]]*Table112345791011[[#This Row],[L(mm)]]/2)</f>
        <v>5.7099461552077562E-7</v>
      </c>
      <c r="T19" s="111">
        <f>Table112345791011[[#This Row],[M (KN.mm)]]/(Table112345791011[[#This Row],[a (mm)]]^2*Table112345791011[[#This Row],[b (mm)]]*Table112345791011[[#This Row],[h (mm)]])</f>
        <v>5.7099461552077573E-7</v>
      </c>
      <c r="U19" s="111">
        <f>Table112345791011[[#This Row],[M (KN.mm)]]/(Table112345791011[[#This Row],[b (mm)]]*Table112345791011[[#This Row],[d (mm)]]*Table112345791011[[#This Row],[pho (%)]])</f>
        <v>0.63607627118644061</v>
      </c>
      <c r="V19" s="111">
        <f>E19*224.8/(2*SQRT(Table112345791011[[#This Row],[fc (Mpa)]]*145.037)*Table112345791011[[#This Row],[b (mm)]]*Table112345791011[[#This Row],[d (mm)]]*(1/25.4)^2)</f>
        <v>0.85627091480905915</v>
      </c>
      <c r="W19" s="111">
        <f>Table112345791011[[#This Row],[M (KN.mm)]]/$G$22</f>
        <v>0.8</v>
      </c>
      <c r="X19" s="111">
        <f>Table112345791011[[#This Row],[V/(2*sqrt(fc) bd)]]</f>
        <v>0.85627091480905915</v>
      </c>
      <c r="Y19" s="111">
        <f>Table112345791011[[#This Row],[a (mm)]]</f>
        <v>1501.1399999999999</v>
      </c>
      <c r="Z19" s="395">
        <f>Table112345791011[[#This Row],[width]]*Table112345791011[[#This Row],[h (mm)]]^2</f>
        <v>24500000</v>
      </c>
      <c r="AA19" s="395">
        <f>Table112345791011[[#This Row],[b (mm)]]</f>
        <v>200</v>
      </c>
      <c r="AB19" s="395">
        <f>Table112345791011[[#This Row],[a]]/Table112345791011[[#This Row],[h (mm)]]</f>
        <v>4.2889714285714282</v>
      </c>
      <c r="AC19" s="395">
        <f>Table112345791011[[#This Row],[h (mm)]]</f>
        <v>350</v>
      </c>
      <c r="AD19" s="111">
        <f t="shared" si="4"/>
        <v>1501.1399999999999</v>
      </c>
      <c r="AE19" s="111">
        <v>300</v>
      </c>
      <c r="AF19" s="111">
        <v>350</v>
      </c>
      <c r="AG19" s="111">
        <v>200</v>
      </c>
      <c r="AH19" s="109">
        <v>49.45</v>
      </c>
      <c r="AI19" s="111">
        <f>Table112345791011[[#This Row],[pho (%)]]*Table112345791011[[#This Row],[b (mm)]]*Table112345791011[[#This Row],[h (mm)]]/100</f>
        <v>1652</v>
      </c>
      <c r="AJ19" s="109">
        <v>2.36</v>
      </c>
      <c r="AK19" s="111">
        <v>536</v>
      </c>
      <c r="AL19" s="111">
        <f>(1/3-0.21*(MIN(Table112345791011[[#This Row],[b (mm)]],AF19)/MAX(Table112345791011[[#This Row],[b (mm)]],AF19))*(MIN(Table112345791011[[#This Row],[b (mm)]],AF19)^4/(12*MAX(Table112345791011[[#This Row],[b (mm)]],AF19)^4)))*MAX(Table112345791011[[#This Row],[b (mm)]],AF19)*MIN(Table112345791011[[#This Row],[b (mm)]],AF19)^3</f>
        <v>930347910.59280849</v>
      </c>
      <c r="AM19" s="111">
        <f>Table112345791011[[#This Row],[b (mm)]]*AF19^3/12</f>
        <v>714583333.33333337</v>
      </c>
      <c r="AN19" s="307">
        <f>Table112345791011[[#This Row],[a (mm)]]*2</f>
        <v>3002.2799999999997</v>
      </c>
      <c r="AO19"/>
      <c r="AP19"/>
      <c r="AQ19"/>
      <c r="AR19"/>
      <c r="AS19"/>
      <c r="AT19"/>
      <c r="AU19"/>
      <c r="AV19"/>
      <c r="AW19"/>
    </row>
    <row r="20" spans="1:49" s="129" customFormat="1" ht="15" thickBot="1" x14ac:dyDescent="0.35">
      <c r="A20" s="308" t="s">
        <v>213</v>
      </c>
      <c r="B20" s="299">
        <v>19</v>
      </c>
      <c r="C20" s="299">
        <v>12</v>
      </c>
      <c r="D20" s="299">
        <f>Table112345791011[[#This Row],[a (mm)]]/Table112345791011[[#This Row],[d (mm)]]</f>
        <v>5.0037999999999991</v>
      </c>
      <c r="E20" s="316">
        <v>65</v>
      </c>
      <c r="F20" s="303">
        <f>Table112345791011[[#This Row],[d (mm)]]</f>
        <v>300</v>
      </c>
      <c r="G20" s="111">
        <f t="shared" si="5"/>
        <v>97574.099999999991</v>
      </c>
      <c r="H20" s="111">
        <f t="shared" si="6"/>
        <v>5.1846445764473962E-6</v>
      </c>
      <c r="I20" s="304">
        <f>G20/(Table112345791011[[#This Row],[b (mm)]]*Table112345791011[[#This Row],[h]]^2)</f>
        <v>3.982616326530612E-3</v>
      </c>
      <c r="J20" s="111">
        <f t="shared" si="7"/>
        <v>0.36663082049409096</v>
      </c>
      <c r="K20" s="111">
        <f t="shared" si="8"/>
        <v>2.2250425574111214E-6</v>
      </c>
      <c r="L20" s="111">
        <f>E20/(Table112345791011[[#This Row],[b (mm)]]*AE20)</f>
        <v>1.0833333333333333E-3</v>
      </c>
      <c r="M20" s="111">
        <f>Table112345791011[[#This Row],[M (KN.mm)]]/(Table112345791011[[#This Row],[b (mm)]]*Table112345791011[[#This Row],[d (mm)]])</f>
        <v>1.6262349999999999</v>
      </c>
      <c r="N20" s="111">
        <f>Table112345791011[[#This Row],[M (KN.mm)]]/(Table112345791011[[#This Row],[b (mm)]]*Table112345791011[[#This Row],[h (mm)]])</f>
        <v>1.3939157142857141</v>
      </c>
      <c r="O20" s="111">
        <f>Table112345791011[[#This Row],[M (KN.mm)]]/(Table112345791011[[#This Row],[b (mm)]]*Table112345791011[[#This Row],[h (mm)]]*Table112345791011[[#This Row],[L(mm)]])</f>
        <v>4.6428571428571433E-4</v>
      </c>
      <c r="P20" s="111">
        <f>Table112345791011[[#This Row],[M (KN.mm)]]/(Table112345791011[[#This Row],[b (mm)]]*Table112345791011[[#This Row],[d (mm)]]*Table112345791011[[#This Row],[L(mm)]])</f>
        <v>5.4166666666666675E-4</v>
      </c>
      <c r="Q20" s="111">
        <f>Table112345791011[[#This Row],[M (KN.mm)]]/(Table112345791011[[#This Row],[b (mm)]]*Table112345791011[[#This Row],[h (mm)]]*Table112345791011[[#This Row],[L(mm)]]*Table112345791011[[#This Row],[fc (Mpa)]])</f>
        <v>9.3889932110356773E-6</v>
      </c>
      <c r="R20" s="111">
        <f>Table112345791011[[#This Row],[M (KN.mm)]]/(Table112345791011[[#This Row],[b (mm)]]*Table112345791011[[#This Row],[h (mm)]]*Table112345791011[[#This Row],[L(mm)]]/2)</f>
        <v>9.2857142857142867E-4</v>
      </c>
      <c r="S20" s="111">
        <f>Table112345791011[[#This Row],[M (KN.mm)]]/(Table112345791011[[#This Row],[a (mm)]]*Table112345791011[[#This Row],[b (mm)]]*Table112345791011[[#This Row],[h (mm)]]*Table112345791011[[#This Row],[L(mm)]]/2)</f>
        <v>6.1857750014750688E-7</v>
      </c>
      <c r="T20" s="111">
        <f>Table112345791011[[#This Row],[M (KN.mm)]]/(Table112345791011[[#This Row],[a (mm)]]^2*Table112345791011[[#This Row],[b (mm)]]*Table112345791011[[#This Row],[h (mm)]])</f>
        <v>6.1857750014750698E-7</v>
      </c>
      <c r="U20" s="111">
        <f>Table112345791011[[#This Row],[M (KN.mm)]]/(Table112345791011[[#This Row],[b (mm)]]*Table112345791011[[#This Row],[d (mm)]]*Table112345791011[[#This Row],[pho (%)]])</f>
        <v>0.68908262711864399</v>
      </c>
      <c r="V20" s="111">
        <f>E20*224.8/(2*SQRT(Table112345791011[[#This Row],[fc (Mpa)]]*145.037)*Table112345791011[[#This Row],[b (mm)]]*Table112345791011[[#This Row],[d (mm)]]*(1/25.4)^2)</f>
        <v>0.92762682437648081</v>
      </c>
      <c r="W20" s="111">
        <f>Table112345791011[[#This Row],[M (KN.mm)]]/$G$22</f>
        <v>0.8666666666666667</v>
      </c>
      <c r="X20" s="111">
        <f>Table112345791011[[#This Row],[V/(2*sqrt(fc) bd)]]</f>
        <v>0.92762682437648081</v>
      </c>
      <c r="Y20" s="111">
        <f>Table112345791011[[#This Row],[a (mm)]]</f>
        <v>1501.1399999999999</v>
      </c>
      <c r="Z20" s="395">
        <f>Table112345791011[[#This Row],[width]]*Table112345791011[[#This Row],[h (mm)]]^2</f>
        <v>24500000</v>
      </c>
      <c r="AA20" s="395">
        <f>Table112345791011[[#This Row],[b (mm)]]</f>
        <v>200</v>
      </c>
      <c r="AB20" s="395">
        <f>Table112345791011[[#This Row],[a]]/Table112345791011[[#This Row],[h (mm)]]</f>
        <v>4.2889714285714282</v>
      </c>
      <c r="AC20" s="395">
        <f>Table112345791011[[#This Row],[h (mm)]]</f>
        <v>350</v>
      </c>
      <c r="AD20" s="111">
        <f t="shared" si="4"/>
        <v>1501.1399999999999</v>
      </c>
      <c r="AE20" s="111">
        <v>300</v>
      </c>
      <c r="AF20" s="111">
        <v>350</v>
      </c>
      <c r="AG20" s="111">
        <v>200</v>
      </c>
      <c r="AH20" s="109">
        <v>49.45</v>
      </c>
      <c r="AI20" s="111">
        <f>Table112345791011[[#This Row],[pho (%)]]*Table112345791011[[#This Row],[b (mm)]]*Table112345791011[[#This Row],[h (mm)]]/100</f>
        <v>1652</v>
      </c>
      <c r="AJ20" s="109">
        <v>2.36</v>
      </c>
      <c r="AK20" s="111">
        <v>537</v>
      </c>
      <c r="AL20" s="111">
        <f>(1/3-0.21*(MIN(Table112345791011[[#This Row],[b (mm)]],AF20)/MAX(Table112345791011[[#This Row],[b (mm)]],AF20))*(MIN(Table112345791011[[#This Row],[b (mm)]],AF20)^4/(12*MAX(Table112345791011[[#This Row],[b (mm)]],AF20)^4)))*MAX(Table112345791011[[#This Row],[b (mm)]],AF20)*MIN(Table112345791011[[#This Row],[b (mm)]],AF20)^3</f>
        <v>930347910.59280849</v>
      </c>
      <c r="AM20" s="111">
        <f>Table112345791011[[#This Row],[b (mm)]]*AF20^3/12</f>
        <v>714583333.33333337</v>
      </c>
      <c r="AN20" s="307">
        <f>Table112345791011[[#This Row],[a (mm)]]*2</f>
        <v>3002.2799999999997</v>
      </c>
      <c r="AO20"/>
      <c r="AP20"/>
      <c r="AQ20"/>
      <c r="AR20"/>
      <c r="AS20"/>
      <c r="AT20"/>
      <c r="AU20"/>
      <c r="AV20"/>
      <c r="AW20"/>
    </row>
    <row r="21" spans="1:49" s="129" customFormat="1" ht="15" thickBot="1" x14ac:dyDescent="0.35">
      <c r="A21" s="308" t="s">
        <v>213</v>
      </c>
      <c r="B21" s="299">
        <v>20</v>
      </c>
      <c r="C21" s="299">
        <v>13</v>
      </c>
      <c r="D21" s="299">
        <f>Table112345791011[[#This Row],[a (mm)]]/Table112345791011[[#This Row],[d (mm)]]</f>
        <v>5.0037999999999991</v>
      </c>
      <c r="E21" s="316">
        <v>70</v>
      </c>
      <c r="F21" s="303">
        <f>Table112345791011[[#This Row],[d (mm)]]</f>
        <v>300</v>
      </c>
      <c r="G21" s="111">
        <f t="shared" si="5"/>
        <v>105079.79999999999</v>
      </c>
      <c r="H21" s="111">
        <f t="shared" si="6"/>
        <v>5.5834633900202724E-6</v>
      </c>
      <c r="I21" s="304">
        <f>G21/(Table112345791011[[#This Row],[b (mm)]]*Table112345791011[[#This Row],[h]]^2)</f>
        <v>4.2889714285714283E-3</v>
      </c>
      <c r="J21" s="111">
        <f t="shared" si="7"/>
        <v>0.39409930061117759</v>
      </c>
      <c r="K21" s="111">
        <f t="shared" si="8"/>
        <v>2.3961996772119768E-6</v>
      </c>
      <c r="L21" s="111">
        <f>E21/(Table112345791011[[#This Row],[b (mm)]]*AE21)</f>
        <v>1.1666666666666668E-3</v>
      </c>
      <c r="M21" s="111">
        <f>Table112345791011[[#This Row],[M (KN.mm)]]/(Table112345791011[[#This Row],[b (mm)]]*Table112345791011[[#This Row],[d (mm)]])</f>
        <v>1.7513299999999998</v>
      </c>
      <c r="N21" s="111">
        <f>Table112345791011[[#This Row],[M (KN.mm)]]/(Table112345791011[[#This Row],[b (mm)]]*Table112345791011[[#This Row],[h (mm)]])</f>
        <v>1.5011399999999999</v>
      </c>
      <c r="O21" s="111">
        <f>Table112345791011[[#This Row],[M (KN.mm)]]/(Table112345791011[[#This Row],[b (mm)]]*Table112345791011[[#This Row],[h (mm)]]*Table112345791011[[#This Row],[L(mm)]])</f>
        <v>5.0000000000000001E-4</v>
      </c>
      <c r="P21" s="111">
        <f>Table112345791011[[#This Row],[M (KN.mm)]]/(Table112345791011[[#This Row],[b (mm)]]*Table112345791011[[#This Row],[d (mm)]]*Table112345791011[[#This Row],[L(mm)]])</f>
        <v>5.8333333333333338E-4</v>
      </c>
      <c r="Q21" s="111">
        <f>Table112345791011[[#This Row],[M (KN.mm)]]/(Table112345791011[[#This Row],[b (mm)]]*Table112345791011[[#This Row],[h (mm)]]*Table112345791011[[#This Row],[L(mm)]]*Table112345791011[[#This Row],[fc (Mpa)]])</f>
        <v>1.0111223458038421E-5</v>
      </c>
      <c r="R21" s="111">
        <f>Table112345791011[[#This Row],[M (KN.mm)]]/(Table112345791011[[#This Row],[b (mm)]]*Table112345791011[[#This Row],[h (mm)]]*Table112345791011[[#This Row],[L(mm)]]/2)</f>
        <v>1E-3</v>
      </c>
      <c r="S21" s="111">
        <f>Table112345791011[[#This Row],[M (KN.mm)]]/(Table112345791011[[#This Row],[a (mm)]]*Table112345791011[[#This Row],[b (mm)]]*Table112345791011[[#This Row],[h (mm)]]*Table112345791011[[#This Row],[L(mm)]]/2)</f>
        <v>6.6616038477423814E-7</v>
      </c>
      <c r="T21" s="111">
        <f>Table112345791011[[#This Row],[M (KN.mm)]]/(Table112345791011[[#This Row],[a (mm)]]^2*Table112345791011[[#This Row],[b (mm)]]*Table112345791011[[#This Row],[h (mm)]])</f>
        <v>6.6616038477423835E-7</v>
      </c>
      <c r="U21" s="111">
        <f>Table112345791011[[#This Row],[M (KN.mm)]]/(Table112345791011[[#This Row],[b (mm)]]*Table112345791011[[#This Row],[d (mm)]]*Table112345791011[[#This Row],[pho (%)]])</f>
        <v>0.74208898305084736</v>
      </c>
      <c r="V21" s="111">
        <f>E21*224.8/(2*SQRT(Table112345791011[[#This Row],[fc (Mpa)]]*145.037)*Table112345791011[[#This Row],[b (mm)]]*Table112345791011[[#This Row],[d (mm)]]*(1/25.4)^2)</f>
        <v>0.99898273394390236</v>
      </c>
      <c r="W21" s="111">
        <f>Table112345791011[[#This Row],[M (KN.mm)]]/$G$22</f>
        <v>0.93333333333333335</v>
      </c>
      <c r="X21" s="111">
        <f>Table112345791011[[#This Row],[V/(2*sqrt(fc) bd)]]</f>
        <v>0.99898273394390236</v>
      </c>
      <c r="Y21" s="111">
        <f>Table112345791011[[#This Row],[a (mm)]]</f>
        <v>1501.1399999999999</v>
      </c>
      <c r="Z21" s="395">
        <f>Table112345791011[[#This Row],[width]]*Table112345791011[[#This Row],[h (mm)]]^2</f>
        <v>24500000</v>
      </c>
      <c r="AA21" s="395">
        <f>Table112345791011[[#This Row],[b (mm)]]</f>
        <v>200</v>
      </c>
      <c r="AB21" s="395">
        <f>Table112345791011[[#This Row],[a]]/Table112345791011[[#This Row],[h (mm)]]</f>
        <v>4.2889714285714282</v>
      </c>
      <c r="AC21" s="395">
        <f>Table112345791011[[#This Row],[h (mm)]]</f>
        <v>350</v>
      </c>
      <c r="AD21" s="111">
        <f t="shared" si="4"/>
        <v>1501.1399999999999</v>
      </c>
      <c r="AE21" s="111">
        <v>300</v>
      </c>
      <c r="AF21" s="111">
        <v>350</v>
      </c>
      <c r="AG21" s="111">
        <v>200</v>
      </c>
      <c r="AH21" s="109">
        <v>49.45</v>
      </c>
      <c r="AI21" s="111">
        <f>Table112345791011[[#This Row],[pho (%)]]*Table112345791011[[#This Row],[b (mm)]]*Table112345791011[[#This Row],[h (mm)]]/100</f>
        <v>1652</v>
      </c>
      <c r="AJ21" s="109">
        <v>2.36</v>
      </c>
      <c r="AK21" s="111">
        <v>538</v>
      </c>
      <c r="AL21" s="111">
        <f>(1/3-0.21*(MIN(Table112345791011[[#This Row],[b (mm)]],AF21)/MAX(Table112345791011[[#This Row],[b (mm)]],AF21))*(MIN(Table112345791011[[#This Row],[b (mm)]],AF21)^4/(12*MAX(Table112345791011[[#This Row],[b (mm)]],AF21)^4)))*MAX(Table112345791011[[#This Row],[b (mm)]],AF21)*MIN(Table112345791011[[#This Row],[b (mm)]],AF21)^3</f>
        <v>930347910.59280849</v>
      </c>
      <c r="AM21" s="111">
        <f>Table112345791011[[#This Row],[b (mm)]]*AF21^3/12</f>
        <v>714583333.33333337</v>
      </c>
      <c r="AN21" s="307">
        <f>Table112345791011[[#This Row],[a (mm)]]*2</f>
        <v>3002.2799999999997</v>
      </c>
      <c r="AO21"/>
      <c r="AP21"/>
      <c r="AQ21"/>
      <c r="AR21"/>
      <c r="AS21"/>
      <c r="AT21"/>
      <c r="AU21"/>
      <c r="AV21"/>
      <c r="AW21"/>
    </row>
    <row r="22" spans="1:49" s="129" customFormat="1" ht="16.5" customHeight="1" thickBot="1" x14ac:dyDescent="0.35">
      <c r="A22" s="308" t="s">
        <v>213</v>
      </c>
      <c r="B22" s="299">
        <v>21</v>
      </c>
      <c r="C22" s="299">
        <v>14</v>
      </c>
      <c r="D22" s="299">
        <f>Table112345791011[[#This Row],[a (mm)]]/Table112345791011[[#This Row],[d (mm)]]</f>
        <v>5.0037999999999991</v>
      </c>
      <c r="E22" s="316">
        <v>75</v>
      </c>
      <c r="F22" s="303">
        <f>Table112345791011[[#This Row],[d (mm)]]</f>
        <v>300</v>
      </c>
      <c r="G22" s="111">
        <f t="shared" si="5"/>
        <v>112585.49999999999</v>
      </c>
      <c r="H22" s="111">
        <f t="shared" si="6"/>
        <v>5.9822822035931494E-6</v>
      </c>
      <c r="I22" s="304">
        <f>G22/(Table112345791011[[#This Row],[b (mm)]]*Table112345791011[[#This Row],[h]]^2)</f>
        <v>4.5953265306122445E-3</v>
      </c>
      <c r="J22" s="111">
        <f t="shared" si="7"/>
        <v>0.42146585686883153</v>
      </c>
      <c r="K22" s="111">
        <f t="shared" si="8"/>
        <v>2.5673567970128326E-6</v>
      </c>
      <c r="L22" s="111">
        <f>E22/(Table112345791011[[#This Row],[b (mm)]]*AE22)</f>
        <v>1.25E-3</v>
      </c>
      <c r="M22" s="111">
        <f>Table112345791011[[#This Row],[M (KN.mm)]]/(Table112345791011[[#This Row],[b (mm)]]*Table112345791011[[#This Row],[d (mm)]])</f>
        <v>1.8764249999999998</v>
      </c>
      <c r="N22" s="111">
        <f>Table112345791011[[#This Row],[M (KN.mm)]]/(Table112345791011[[#This Row],[b (mm)]]*Table112345791011[[#This Row],[h (mm)]])</f>
        <v>1.6083642857142855</v>
      </c>
      <c r="O22" s="111">
        <f>Table112345791011[[#This Row],[M (KN.mm)]]/(Table112345791011[[#This Row],[b (mm)]]*Table112345791011[[#This Row],[h (mm)]]*Table112345791011[[#This Row],[L(mm)]])</f>
        <v>5.3571428571428574E-4</v>
      </c>
      <c r="P22" s="111">
        <f>Table112345791011[[#This Row],[M (KN.mm)]]/(Table112345791011[[#This Row],[b (mm)]]*Table112345791011[[#This Row],[d (mm)]]*Table112345791011[[#This Row],[L(mm)]])</f>
        <v>6.2500000000000001E-4</v>
      </c>
      <c r="Q22" s="111">
        <f>Table112345791011[[#This Row],[M (KN.mm)]]/(Table112345791011[[#This Row],[b (mm)]]*Table112345791011[[#This Row],[h (mm)]]*Table112345791011[[#This Row],[L(mm)]]*Table112345791011[[#This Row],[fc (Mpa)]])</f>
        <v>1.0833453705041166E-5</v>
      </c>
      <c r="R22" s="111">
        <f>Table112345791011[[#This Row],[M (KN.mm)]]/(Table112345791011[[#This Row],[b (mm)]]*Table112345791011[[#This Row],[h (mm)]]*Table112345791011[[#This Row],[L(mm)]]/2)</f>
        <v>1.0714285714285715E-3</v>
      </c>
      <c r="S22" s="111">
        <f>Table112345791011[[#This Row],[M (KN.mm)]]/(Table112345791011[[#This Row],[a (mm)]]*Table112345791011[[#This Row],[b (mm)]]*Table112345791011[[#This Row],[h (mm)]]*Table112345791011[[#This Row],[L(mm)]]/2)</f>
        <v>7.137432694009695E-7</v>
      </c>
      <c r="T22" s="111">
        <f>Table112345791011[[#This Row],[M (KN.mm)]]/(Table112345791011[[#This Row],[a (mm)]]^2*Table112345791011[[#This Row],[b (mm)]]*Table112345791011[[#This Row],[h (mm)]])</f>
        <v>7.1374326940096961E-7</v>
      </c>
      <c r="U22" s="111">
        <f>Table112345791011[[#This Row],[M (KN.mm)]]/(Table112345791011[[#This Row],[b (mm)]]*Table112345791011[[#This Row],[d (mm)]]*Table112345791011[[#This Row],[pho (%)]])</f>
        <v>0.79509533898305074</v>
      </c>
      <c r="V22" s="111">
        <f>E22*224.8/(2*SQRT(Table112345791011[[#This Row],[fc (Mpa)]]*145.037)*Table112345791011[[#This Row],[b (mm)]]*Table112345791011[[#This Row],[d (mm)]]*(1/25.4)^2)</f>
        <v>1.070338643511324</v>
      </c>
      <c r="W22" s="111">
        <f>Table112345791011[[#This Row],[M (KN.mm)]]/$G$22</f>
        <v>1</v>
      </c>
      <c r="X22" s="111">
        <f>Table112345791011[[#This Row],[V/(2*sqrt(fc) bd)]]</f>
        <v>1.070338643511324</v>
      </c>
      <c r="Y22" s="111">
        <f>Table112345791011[[#This Row],[a (mm)]]</f>
        <v>1501.1399999999999</v>
      </c>
      <c r="Z22" s="395">
        <f>Table112345791011[[#This Row],[width]]*Table112345791011[[#This Row],[h (mm)]]^2</f>
        <v>24500000</v>
      </c>
      <c r="AA22" s="395">
        <f>Table112345791011[[#This Row],[b (mm)]]</f>
        <v>200</v>
      </c>
      <c r="AB22" s="395">
        <f>Table112345791011[[#This Row],[a]]/Table112345791011[[#This Row],[h (mm)]]</f>
        <v>4.2889714285714282</v>
      </c>
      <c r="AC22" s="395">
        <f>Table112345791011[[#This Row],[h (mm)]]</f>
        <v>350</v>
      </c>
      <c r="AD22" s="111">
        <f t="shared" si="4"/>
        <v>1501.1399999999999</v>
      </c>
      <c r="AE22" s="111">
        <v>300</v>
      </c>
      <c r="AF22" s="111">
        <v>350</v>
      </c>
      <c r="AG22" s="111">
        <v>200</v>
      </c>
      <c r="AH22" s="109">
        <v>49.45</v>
      </c>
      <c r="AI22" s="111">
        <f>Table112345791011[[#This Row],[pho (%)]]*Table112345791011[[#This Row],[b (mm)]]*Table112345791011[[#This Row],[h (mm)]]/100</f>
        <v>1652</v>
      </c>
      <c r="AJ22" s="109">
        <v>2.36</v>
      </c>
      <c r="AK22" s="111">
        <v>539</v>
      </c>
      <c r="AL22" s="111">
        <f>(1/3-0.21*(MIN(Table112345791011[[#This Row],[b (mm)]],AF22)/MAX(Table112345791011[[#This Row],[b (mm)]],AF22))*(MIN(Table112345791011[[#This Row],[b (mm)]],AF22)^4/(12*MAX(Table112345791011[[#This Row],[b (mm)]],AF22)^4)))*MAX(Table112345791011[[#This Row],[b (mm)]],AF22)*MIN(Table112345791011[[#This Row],[b (mm)]],AF22)^3</f>
        <v>930347910.59280849</v>
      </c>
      <c r="AM22" s="111">
        <f>Table112345791011[[#This Row],[b (mm)]]*AF22^3/12</f>
        <v>714583333.33333337</v>
      </c>
      <c r="AN22" s="307">
        <f>Table112345791011[[#This Row],[a (mm)]]*2</f>
        <v>3002.2799999999997</v>
      </c>
      <c r="AO22"/>
      <c r="AP22"/>
      <c r="AQ22"/>
      <c r="AR22"/>
      <c r="AS22"/>
      <c r="AT22"/>
      <c r="AU22"/>
      <c r="AV22"/>
      <c r="AW22"/>
    </row>
    <row r="23" spans="1:49" s="129" customFormat="1" ht="15" thickBot="1" x14ac:dyDescent="0.35">
      <c r="A23" s="309" t="s">
        <v>214</v>
      </c>
      <c r="B23" s="237">
        <v>22</v>
      </c>
      <c r="C23" s="237">
        <v>1</v>
      </c>
      <c r="D23" s="300">
        <f>Table112345791011[[#This Row],[a (mm)]]/Table112345791011[[#This Row],[d (mm)]]</f>
        <v>3</v>
      </c>
      <c r="E23" s="300">
        <v>25</v>
      </c>
      <c r="F23" s="303">
        <f>Table112345791011[[#This Row],[d (mm)]]</f>
        <v>300</v>
      </c>
      <c r="G23" s="111">
        <f t="shared" si="5"/>
        <v>22500</v>
      </c>
      <c r="H23" s="111">
        <f t="shared" si="6"/>
        <v>1.1955478243721072E-6</v>
      </c>
      <c r="I23" s="304">
        <f>G23/(Table112345791011[[#This Row],[b (mm)]]*Table112345791011[[#This Row],[h]]^2)</f>
        <v>9.1836734693877546E-4</v>
      </c>
      <c r="J23" s="111">
        <f t="shared" si="7"/>
        <v>6.3188757456273378E-2</v>
      </c>
      <c r="K23" s="111">
        <f t="shared" si="8"/>
        <v>8.557855990042775E-7</v>
      </c>
      <c r="L23" s="111">
        <f>E23/(Table112345791011[[#This Row],[b (mm)]]*AE23)</f>
        <v>4.1666666666666669E-4</v>
      </c>
      <c r="M23" s="111">
        <f>Table112345791011[[#This Row],[M (KN.mm)]]/(Table112345791011[[#This Row],[b (mm)]]*Table112345791011[[#This Row],[d (mm)]])</f>
        <v>0.375</v>
      </c>
      <c r="N23" s="111">
        <f>Table112345791011[[#This Row],[M (KN.mm)]]/(Table112345791011[[#This Row],[b (mm)]]*Table112345791011[[#This Row],[h (mm)]])</f>
        <v>0.32142857142857145</v>
      </c>
      <c r="O23" s="111">
        <f>Table112345791011[[#This Row],[M (KN.mm)]]/(Table112345791011[[#This Row],[b (mm)]]*Table112345791011[[#This Row],[h (mm)]]*Table112345791011[[#This Row],[L(mm)]])</f>
        <v>1.7857142857142857E-4</v>
      </c>
      <c r="P23" s="111">
        <f>Table112345791011[[#This Row],[M (KN.mm)]]/(Table112345791011[[#This Row],[b (mm)]]*Table112345791011[[#This Row],[d (mm)]]*Table112345791011[[#This Row],[L(mm)]])</f>
        <v>2.0833333333333335E-4</v>
      </c>
      <c r="Q23" s="111">
        <f>Table112345791011[[#This Row],[M (KN.mm)]]/(Table112345791011[[#This Row],[b (mm)]]*Table112345791011[[#This Row],[h (mm)]]*Table112345791011[[#This Row],[L(mm)]]*Table112345791011[[#This Row],[fc (Mpa)]])</f>
        <v>3.2586027111574556E-6</v>
      </c>
      <c r="R23" s="111">
        <f>Table112345791011[[#This Row],[M (KN.mm)]]/(Table112345791011[[#This Row],[b (mm)]]*Table112345791011[[#This Row],[h (mm)]]*Table112345791011[[#This Row],[L(mm)]]/2)</f>
        <v>3.5714285714285714E-4</v>
      </c>
      <c r="S23" s="111">
        <f>Table112345791011[[#This Row],[M (KN.mm)]]/(Table112345791011[[#This Row],[a (mm)]]*Table112345791011[[#This Row],[b (mm)]]*Table112345791011[[#This Row],[h (mm)]]*Table112345791011[[#This Row],[L(mm)]]/2)</f>
        <v>3.9682539682539683E-7</v>
      </c>
      <c r="T23" s="111">
        <f>Table112345791011[[#This Row],[M (KN.mm)]]/(Table112345791011[[#This Row],[a (mm)]]^2*Table112345791011[[#This Row],[b (mm)]]*Table112345791011[[#This Row],[h (mm)]])</f>
        <v>3.9682539682539683E-7</v>
      </c>
      <c r="U23" s="111">
        <f>Table112345791011[[#This Row],[M (KN.mm)]]/(Table112345791011[[#This Row],[b (mm)]]*Table112345791011[[#This Row],[d (mm)]]*Table112345791011[[#This Row],[pho (%)]])</f>
        <v>0.11942675159235669</v>
      </c>
      <c r="V23" s="111">
        <f>E23*224.8/(2*SQRT(Table112345791011[[#This Row],[fc (Mpa)]]*145.037)*Table112345791011[[#This Row],[b (mm)]]*Table112345791011[[#This Row],[d (mm)]]*(1/25.4)^2)</f>
        <v>0.33891658326496249</v>
      </c>
      <c r="W23" s="111">
        <f>Table112345791011[[#This Row],[M (KN.mm)]]/$G$29</f>
        <v>0.29585798816568049</v>
      </c>
      <c r="X23" s="111">
        <f>Table112345791011[[#This Row],[V/(2*sqrt(fc) bd)]]</f>
        <v>0.33891658326496249</v>
      </c>
      <c r="Y23" s="111">
        <f>Table112345791011[[#This Row],[a (mm)]]</f>
        <v>900</v>
      </c>
      <c r="Z23" s="395">
        <f>Table112345791011[[#This Row],[width]]*Table112345791011[[#This Row],[h (mm)]]^2</f>
        <v>24500000</v>
      </c>
      <c r="AA23" s="395">
        <f>Table112345791011[[#This Row],[b (mm)]]</f>
        <v>200</v>
      </c>
      <c r="AB23" s="395">
        <f>Table112345791011[[#This Row],[a]]/Table112345791011[[#This Row],[h (mm)]]</f>
        <v>2.5714285714285716</v>
      </c>
      <c r="AC23" s="395">
        <f>Table112345791011[[#This Row],[h (mm)]]</f>
        <v>350</v>
      </c>
      <c r="AD23" s="109">
        <f>3*Table112345791011[[#This Row],[d (mm)]]</f>
        <v>900</v>
      </c>
      <c r="AE23" s="111">
        <v>300</v>
      </c>
      <c r="AF23" s="111">
        <v>350</v>
      </c>
      <c r="AG23" s="111">
        <v>200</v>
      </c>
      <c r="AH23" s="109">
        <v>54.8</v>
      </c>
      <c r="AI23" s="111">
        <f>Table112345791011[[#This Row],[pho (%)]]*Table112345791011[[#This Row],[b (mm)]]*Table112345791011[[#This Row],[h (mm)]]/100</f>
        <v>2198</v>
      </c>
      <c r="AJ23" s="109">
        <v>3.14</v>
      </c>
      <c r="AK23" s="111">
        <v>540</v>
      </c>
      <c r="AL23" s="111">
        <f>(1/3-0.21*(MIN(Table112345791011[[#This Row],[b (mm)]],AF23)/MAX(Table112345791011[[#This Row],[b (mm)]],AF23))*(MIN(Table112345791011[[#This Row],[b (mm)]],AF23)^4/(12*MAX(Table112345791011[[#This Row],[b (mm)]],AF23)^4)))*MAX(Table112345791011[[#This Row],[b (mm)]],AF23)*MIN(Table112345791011[[#This Row],[b (mm)]],AF23)^3</f>
        <v>930347910.59280849</v>
      </c>
      <c r="AM23" s="111">
        <f>Table112345791011[[#This Row],[b (mm)]]*AF23^3/12</f>
        <v>714583333.33333337</v>
      </c>
      <c r="AN23" s="307">
        <f>Table112345791011[[#This Row],[a (mm)]]*2</f>
        <v>1800</v>
      </c>
      <c r="AO23"/>
      <c r="AP23"/>
      <c r="AQ23"/>
      <c r="AR23"/>
      <c r="AS23"/>
      <c r="AT23"/>
      <c r="AU23"/>
      <c r="AV23"/>
      <c r="AW23"/>
    </row>
    <row r="24" spans="1:49" s="129" customFormat="1" ht="15" thickBot="1" x14ac:dyDescent="0.35">
      <c r="A24" s="309" t="s">
        <v>214</v>
      </c>
      <c r="B24" s="237">
        <v>23</v>
      </c>
      <c r="C24" s="237">
        <v>2</v>
      </c>
      <c r="D24" s="300">
        <f>Table112345791011[[#This Row],[a (mm)]]/Table112345791011[[#This Row],[d (mm)]]</f>
        <v>3</v>
      </c>
      <c r="E24" s="300">
        <v>35</v>
      </c>
      <c r="F24" s="303">
        <f>Table112345791011[[#This Row],[d (mm)]]</f>
        <v>300</v>
      </c>
      <c r="G24" s="111">
        <f t="shared" si="5"/>
        <v>31500</v>
      </c>
      <c r="H24" s="111">
        <f t="shared" si="6"/>
        <v>1.6737669541209501E-6</v>
      </c>
      <c r="I24" s="304">
        <f>G24/(Table112345791011[[#This Row],[b (mm)]]*Table112345791011[[#This Row],[h]]^2)</f>
        <v>1.2857142857142856E-3</v>
      </c>
      <c r="J24" s="111">
        <f t="shared" si="7"/>
        <v>8.8300740548877404E-2</v>
      </c>
      <c r="K24" s="111">
        <f t="shared" si="8"/>
        <v>1.1980998386059884E-6</v>
      </c>
      <c r="L24" s="111">
        <f>E24/(Table112345791011[[#This Row],[b (mm)]]*AE24)</f>
        <v>5.8333333333333338E-4</v>
      </c>
      <c r="M24" s="111">
        <f>Table112345791011[[#This Row],[M (KN.mm)]]/(Table112345791011[[#This Row],[b (mm)]]*Table112345791011[[#This Row],[d (mm)]])</f>
        <v>0.52500000000000002</v>
      </c>
      <c r="N24" s="111">
        <f>Table112345791011[[#This Row],[M (KN.mm)]]/(Table112345791011[[#This Row],[b (mm)]]*Table112345791011[[#This Row],[h (mm)]])</f>
        <v>0.45</v>
      </c>
      <c r="O24" s="111">
        <f>Table112345791011[[#This Row],[M (KN.mm)]]/(Table112345791011[[#This Row],[b (mm)]]*Table112345791011[[#This Row],[h (mm)]]*Table112345791011[[#This Row],[L(mm)]])</f>
        <v>2.5000000000000001E-4</v>
      </c>
      <c r="P24" s="111">
        <f>Table112345791011[[#This Row],[M (KN.mm)]]/(Table112345791011[[#This Row],[b (mm)]]*Table112345791011[[#This Row],[d (mm)]]*Table112345791011[[#This Row],[L(mm)]])</f>
        <v>2.9166666666666669E-4</v>
      </c>
      <c r="Q24" s="111">
        <f>Table112345791011[[#This Row],[M (KN.mm)]]/(Table112345791011[[#This Row],[b (mm)]]*Table112345791011[[#This Row],[h (mm)]]*Table112345791011[[#This Row],[L(mm)]]*Table112345791011[[#This Row],[fc (Mpa)]])</f>
        <v>4.5620437956204383E-6</v>
      </c>
      <c r="R24" s="111">
        <f>Table112345791011[[#This Row],[M (KN.mm)]]/(Table112345791011[[#This Row],[b (mm)]]*Table112345791011[[#This Row],[h (mm)]]*Table112345791011[[#This Row],[L(mm)]]/2)</f>
        <v>5.0000000000000001E-4</v>
      </c>
      <c r="S24" s="111">
        <f>Table112345791011[[#This Row],[M (KN.mm)]]/(Table112345791011[[#This Row],[a (mm)]]*Table112345791011[[#This Row],[b (mm)]]*Table112345791011[[#This Row],[h (mm)]]*Table112345791011[[#This Row],[L(mm)]]/2)</f>
        <v>5.5555555555555552E-7</v>
      </c>
      <c r="T24" s="111">
        <f>Table112345791011[[#This Row],[M (KN.mm)]]/(Table112345791011[[#This Row],[a (mm)]]^2*Table112345791011[[#This Row],[b (mm)]]*Table112345791011[[#This Row],[h (mm)]])</f>
        <v>5.5555555555555552E-7</v>
      </c>
      <c r="U24" s="111">
        <f>Table112345791011[[#This Row],[M (KN.mm)]]/(Table112345791011[[#This Row],[b (mm)]]*Table112345791011[[#This Row],[d (mm)]]*Table112345791011[[#This Row],[pho (%)]])</f>
        <v>0.16719745222929935</v>
      </c>
      <c r="V24" s="111">
        <f>E24*224.8/(2*SQRT(Table112345791011[[#This Row],[fc (Mpa)]]*145.037)*Table112345791011[[#This Row],[b (mm)]]*Table112345791011[[#This Row],[d (mm)]]*(1/25.4)^2)</f>
        <v>0.4744832165709475</v>
      </c>
      <c r="W24" s="111">
        <f>Table112345791011[[#This Row],[M (KN.mm)]]/$G$29</f>
        <v>0.41420118343195267</v>
      </c>
      <c r="X24" s="111">
        <f>Table112345791011[[#This Row],[V/(2*sqrt(fc) bd)]]</f>
        <v>0.4744832165709475</v>
      </c>
      <c r="Y24" s="111">
        <f>Table112345791011[[#This Row],[a (mm)]]</f>
        <v>900</v>
      </c>
      <c r="Z24" s="395">
        <f>Table112345791011[[#This Row],[width]]*Table112345791011[[#This Row],[h (mm)]]^2</f>
        <v>24500000</v>
      </c>
      <c r="AA24" s="395">
        <f>Table112345791011[[#This Row],[b (mm)]]</f>
        <v>200</v>
      </c>
      <c r="AB24" s="395">
        <f>Table112345791011[[#This Row],[a]]/Table112345791011[[#This Row],[h (mm)]]</f>
        <v>2.5714285714285716</v>
      </c>
      <c r="AC24" s="395">
        <f>Table112345791011[[#This Row],[h (mm)]]</f>
        <v>350</v>
      </c>
      <c r="AD24" s="109">
        <f>3*Table112345791011[[#This Row],[d (mm)]]</f>
        <v>900</v>
      </c>
      <c r="AE24" s="111">
        <v>300</v>
      </c>
      <c r="AF24" s="111">
        <v>350</v>
      </c>
      <c r="AG24" s="111">
        <v>200</v>
      </c>
      <c r="AH24" s="109">
        <v>54.8</v>
      </c>
      <c r="AI24" s="111">
        <f>Table112345791011[[#This Row],[pho (%)]]*Table112345791011[[#This Row],[b (mm)]]*Table112345791011[[#This Row],[h (mm)]]/100</f>
        <v>2198</v>
      </c>
      <c r="AJ24" s="109">
        <v>3.14</v>
      </c>
      <c r="AK24" s="111">
        <v>541</v>
      </c>
      <c r="AL24" s="111">
        <f>(1/3-0.21*(MIN(Table112345791011[[#This Row],[b (mm)]],AF24)/MAX(Table112345791011[[#This Row],[b (mm)]],AF24))*(MIN(Table112345791011[[#This Row],[b (mm)]],AF24)^4/(12*MAX(Table112345791011[[#This Row],[b (mm)]],AF24)^4)))*MAX(Table112345791011[[#This Row],[b (mm)]],AF24)*MIN(Table112345791011[[#This Row],[b (mm)]],AF24)^3</f>
        <v>930347910.59280849</v>
      </c>
      <c r="AM24" s="111">
        <f>Table112345791011[[#This Row],[b (mm)]]*AF24^3/12</f>
        <v>714583333.33333337</v>
      </c>
      <c r="AN24" s="307">
        <f>Table112345791011[[#This Row],[a (mm)]]*2</f>
        <v>1800</v>
      </c>
      <c r="AO24"/>
      <c r="AP24"/>
      <c r="AQ24"/>
      <c r="AR24"/>
      <c r="AS24"/>
      <c r="AT24"/>
      <c r="AU24"/>
      <c r="AV24"/>
      <c r="AW24"/>
    </row>
    <row r="25" spans="1:49" s="129" customFormat="1" ht="15" thickBot="1" x14ac:dyDescent="0.35">
      <c r="A25" s="309" t="s">
        <v>214</v>
      </c>
      <c r="B25" s="237">
        <v>24</v>
      </c>
      <c r="C25" s="237">
        <v>3</v>
      </c>
      <c r="D25" s="300">
        <f>Table112345791011[[#This Row],[a (mm)]]/Table112345791011[[#This Row],[d (mm)]]</f>
        <v>3</v>
      </c>
      <c r="E25" s="300">
        <v>45</v>
      </c>
      <c r="F25" s="303">
        <f>Table112345791011[[#This Row],[d (mm)]]</f>
        <v>300</v>
      </c>
      <c r="G25" s="111">
        <f t="shared" si="5"/>
        <v>40500</v>
      </c>
      <c r="H25" s="111">
        <f t="shared" si="6"/>
        <v>2.1519860838697931E-6</v>
      </c>
      <c r="I25" s="304">
        <f>G25/(Table112345791011[[#This Row],[b (mm)]]*Table112345791011[[#This Row],[h]]^2)</f>
        <v>1.6530612244897958E-3</v>
      </c>
      <c r="J25" s="111">
        <f t="shared" si="7"/>
        <v>0.11332005949722827</v>
      </c>
      <c r="K25" s="111">
        <f t="shared" si="8"/>
        <v>1.5404140782076994E-6</v>
      </c>
      <c r="L25" s="111">
        <f>E25/(Table112345791011[[#This Row],[b (mm)]]*AE25)</f>
        <v>7.5000000000000002E-4</v>
      </c>
      <c r="M25" s="111">
        <f>Table112345791011[[#This Row],[M (KN.mm)]]/(Table112345791011[[#This Row],[b (mm)]]*Table112345791011[[#This Row],[d (mm)]])</f>
        <v>0.67500000000000004</v>
      </c>
      <c r="N25" s="111">
        <f>Table112345791011[[#This Row],[M (KN.mm)]]/(Table112345791011[[#This Row],[b (mm)]]*Table112345791011[[#This Row],[h (mm)]])</f>
        <v>0.57857142857142863</v>
      </c>
      <c r="O25" s="111">
        <f>Table112345791011[[#This Row],[M (KN.mm)]]/(Table112345791011[[#This Row],[b (mm)]]*Table112345791011[[#This Row],[h (mm)]]*Table112345791011[[#This Row],[L(mm)]])</f>
        <v>3.2142857142857141E-4</v>
      </c>
      <c r="P25" s="111">
        <f>Table112345791011[[#This Row],[M (KN.mm)]]/(Table112345791011[[#This Row],[b (mm)]]*Table112345791011[[#This Row],[d (mm)]]*Table112345791011[[#This Row],[L(mm)]])</f>
        <v>3.7500000000000001E-4</v>
      </c>
      <c r="Q25" s="111">
        <f>Table112345791011[[#This Row],[M (KN.mm)]]/(Table112345791011[[#This Row],[b (mm)]]*Table112345791011[[#This Row],[h (mm)]]*Table112345791011[[#This Row],[L(mm)]]*Table112345791011[[#This Row],[fc (Mpa)]])</f>
        <v>5.8654848800834202E-6</v>
      </c>
      <c r="R25" s="111">
        <f>Table112345791011[[#This Row],[M (KN.mm)]]/(Table112345791011[[#This Row],[b (mm)]]*Table112345791011[[#This Row],[h (mm)]]*Table112345791011[[#This Row],[L(mm)]]/2)</f>
        <v>6.4285714285714282E-4</v>
      </c>
      <c r="S25" s="111">
        <f>Table112345791011[[#This Row],[M (KN.mm)]]/(Table112345791011[[#This Row],[a (mm)]]*Table112345791011[[#This Row],[b (mm)]]*Table112345791011[[#This Row],[h (mm)]]*Table112345791011[[#This Row],[L(mm)]]/2)</f>
        <v>7.1428571428571431E-7</v>
      </c>
      <c r="T25" s="111">
        <f>Table112345791011[[#This Row],[M (KN.mm)]]/(Table112345791011[[#This Row],[a (mm)]]^2*Table112345791011[[#This Row],[b (mm)]]*Table112345791011[[#This Row],[h (mm)]])</f>
        <v>7.1428571428571431E-7</v>
      </c>
      <c r="U25" s="111">
        <f>Table112345791011[[#This Row],[M (KN.mm)]]/(Table112345791011[[#This Row],[b (mm)]]*Table112345791011[[#This Row],[d (mm)]]*Table112345791011[[#This Row],[pho (%)]])</f>
        <v>0.21496815286624205</v>
      </c>
      <c r="V25" s="111">
        <f>E25*224.8/(2*SQRT(Table112345791011[[#This Row],[fc (Mpa)]]*145.037)*Table112345791011[[#This Row],[b (mm)]]*Table112345791011[[#This Row],[d (mm)]]*(1/25.4)^2)</f>
        <v>0.61004984987693245</v>
      </c>
      <c r="W25" s="111">
        <f>Table112345791011[[#This Row],[M (KN.mm)]]/$G$29</f>
        <v>0.53254437869822491</v>
      </c>
      <c r="X25" s="111">
        <f>Table112345791011[[#This Row],[V/(2*sqrt(fc) bd)]]</f>
        <v>0.61004984987693245</v>
      </c>
      <c r="Y25" s="111">
        <f>Table112345791011[[#This Row],[a (mm)]]</f>
        <v>900</v>
      </c>
      <c r="Z25" s="395">
        <f>Table112345791011[[#This Row],[width]]*Table112345791011[[#This Row],[h (mm)]]^2</f>
        <v>24500000</v>
      </c>
      <c r="AA25" s="395">
        <f>Table112345791011[[#This Row],[b (mm)]]</f>
        <v>200</v>
      </c>
      <c r="AB25" s="395">
        <f>Table112345791011[[#This Row],[a]]/Table112345791011[[#This Row],[h (mm)]]</f>
        <v>2.5714285714285716</v>
      </c>
      <c r="AC25" s="395">
        <f>Table112345791011[[#This Row],[h (mm)]]</f>
        <v>350</v>
      </c>
      <c r="AD25" s="109">
        <f>3*Table112345791011[[#This Row],[d (mm)]]</f>
        <v>900</v>
      </c>
      <c r="AE25" s="111">
        <v>300</v>
      </c>
      <c r="AF25" s="111">
        <v>350</v>
      </c>
      <c r="AG25" s="111">
        <v>200</v>
      </c>
      <c r="AH25" s="109">
        <v>54.8</v>
      </c>
      <c r="AI25" s="111">
        <f>Table112345791011[[#This Row],[pho (%)]]*Table112345791011[[#This Row],[b (mm)]]*Table112345791011[[#This Row],[h (mm)]]/100</f>
        <v>2198</v>
      </c>
      <c r="AJ25" s="109">
        <v>3.14</v>
      </c>
      <c r="AK25" s="111">
        <v>542</v>
      </c>
      <c r="AL25" s="111">
        <f>(1/3-0.21*(MIN(Table112345791011[[#This Row],[b (mm)]],AF25)/MAX(Table112345791011[[#This Row],[b (mm)]],AF25))*(MIN(Table112345791011[[#This Row],[b (mm)]],AF25)^4/(12*MAX(Table112345791011[[#This Row],[b (mm)]],AF25)^4)))*MAX(Table112345791011[[#This Row],[b (mm)]],AF25)*MIN(Table112345791011[[#This Row],[b (mm)]],AF25)^3</f>
        <v>930347910.59280849</v>
      </c>
      <c r="AM25" s="111">
        <f>Table112345791011[[#This Row],[b (mm)]]*AF25^3/12</f>
        <v>714583333.33333337</v>
      </c>
      <c r="AN25" s="307">
        <f>Table112345791011[[#This Row],[a (mm)]]*2</f>
        <v>1800</v>
      </c>
      <c r="AO25"/>
      <c r="AP25"/>
      <c r="AQ25"/>
      <c r="AR25"/>
      <c r="AS25"/>
      <c r="AT25"/>
      <c r="AU25"/>
      <c r="AV25"/>
      <c r="AW25"/>
    </row>
    <row r="26" spans="1:49" s="129" customFormat="1" ht="15" thickBot="1" x14ac:dyDescent="0.35">
      <c r="A26" s="309" t="s">
        <v>214</v>
      </c>
      <c r="B26" s="237">
        <v>25</v>
      </c>
      <c r="C26" s="237">
        <v>4</v>
      </c>
      <c r="D26" s="300">
        <f>Table112345791011[[#This Row],[a (mm)]]/Table112345791011[[#This Row],[d (mm)]]</f>
        <v>3</v>
      </c>
      <c r="E26" s="300">
        <v>55</v>
      </c>
      <c r="F26" s="303">
        <f>Table112345791011[[#This Row],[d (mm)]]</f>
        <v>300</v>
      </c>
      <c r="G26" s="111">
        <f t="shared" si="5"/>
        <v>49500</v>
      </c>
      <c r="H26" s="111">
        <f t="shared" si="6"/>
        <v>2.630205213618636E-6</v>
      </c>
      <c r="I26" s="304">
        <f>G26/(Table112345791011[[#This Row],[b (mm)]]*Table112345791011[[#This Row],[h]]^2)</f>
        <v>2.0204081632653062E-3</v>
      </c>
      <c r="J26" s="111">
        <f t="shared" si="7"/>
        <v>0.13824722625792407</v>
      </c>
      <c r="K26" s="111">
        <f t="shared" si="8"/>
        <v>1.8827283178094104E-6</v>
      </c>
      <c r="L26" s="111">
        <f>E26/(Table112345791011[[#This Row],[b (mm)]]*AE26)</f>
        <v>9.1666666666666665E-4</v>
      </c>
      <c r="M26" s="111">
        <f>Table112345791011[[#This Row],[M (KN.mm)]]/(Table112345791011[[#This Row],[b (mm)]]*Table112345791011[[#This Row],[d (mm)]])</f>
        <v>0.82499999999999996</v>
      </c>
      <c r="N26" s="111">
        <f>Table112345791011[[#This Row],[M (KN.mm)]]/(Table112345791011[[#This Row],[b (mm)]]*Table112345791011[[#This Row],[h (mm)]])</f>
        <v>0.70714285714285718</v>
      </c>
      <c r="O26" s="111">
        <f>Table112345791011[[#This Row],[M (KN.mm)]]/(Table112345791011[[#This Row],[b (mm)]]*Table112345791011[[#This Row],[h (mm)]]*Table112345791011[[#This Row],[L(mm)]])</f>
        <v>3.9285714285714287E-4</v>
      </c>
      <c r="P26" s="111">
        <f>Table112345791011[[#This Row],[M (KN.mm)]]/(Table112345791011[[#This Row],[b (mm)]]*Table112345791011[[#This Row],[d (mm)]]*Table112345791011[[#This Row],[L(mm)]])</f>
        <v>4.5833333333333332E-4</v>
      </c>
      <c r="Q26" s="111">
        <f>Table112345791011[[#This Row],[M (KN.mm)]]/(Table112345791011[[#This Row],[b (mm)]]*Table112345791011[[#This Row],[h (mm)]]*Table112345791011[[#This Row],[L(mm)]]*Table112345791011[[#This Row],[fc (Mpa)]])</f>
        <v>7.1689259645464022E-6</v>
      </c>
      <c r="R26" s="111">
        <f>Table112345791011[[#This Row],[M (KN.mm)]]/(Table112345791011[[#This Row],[b (mm)]]*Table112345791011[[#This Row],[h (mm)]]*Table112345791011[[#This Row],[L(mm)]]/2)</f>
        <v>7.8571428571428575E-4</v>
      </c>
      <c r="S26" s="111">
        <f>Table112345791011[[#This Row],[M (KN.mm)]]/(Table112345791011[[#This Row],[a (mm)]]*Table112345791011[[#This Row],[b (mm)]]*Table112345791011[[#This Row],[h (mm)]]*Table112345791011[[#This Row],[L(mm)]]/2)</f>
        <v>8.73015873015873E-7</v>
      </c>
      <c r="T26" s="111">
        <f>Table112345791011[[#This Row],[M (KN.mm)]]/(Table112345791011[[#This Row],[a (mm)]]^2*Table112345791011[[#This Row],[b (mm)]]*Table112345791011[[#This Row],[h (mm)]])</f>
        <v>8.73015873015873E-7</v>
      </c>
      <c r="U26" s="111">
        <f>Table112345791011[[#This Row],[M (KN.mm)]]/(Table112345791011[[#This Row],[b (mm)]]*Table112345791011[[#This Row],[d (mm)]]*Table112345791011[[#This Row],[pho (%)]])</f>
        <v>0.26273885350318471</v>
      </c>
      <c r="V26" s="111">
        <f>E26*224.8/(2*SQRT(Table112345791011[[#This Row],[fc (Mpa)]]*145.037)*Table112345791011[[#This Row],[b (mm)]]*Table112345791011[[#This Row],[d (mm)]]*(1/25.4)^2)</f>
        <v>0.74561648318291751</v>
      </c>
      <c r="W26" s="111">
        <f>Table112345791011[[#This Row],[M (KN.mm)]]/$G$29</f>
        <v>0.65088757396449703</v>
      </c>
      <c r="X26" s="111">
        <f>Table112345791011[[#This Row],[V/(2*sqrt(fc) bd)]]</f>
        <v>0.74561648318291751</v>
      </c>
      <c r="Y26" s="111">
        <f>Table112345791011[[#This Row],[a (mm)]]</f>
        <v>900</v>
      </c>
      <c r="Z26" s="395">
        <f>Table112345791011[[#This Row],[width]]*Table112345791011[[#This Row],[h (mm)]]^2</f>
        <v>24500000</v>
      </c>
      <c r="AA26" s="395">
        <f>Table112345791011[[#This Row],[b (mm)]]</f>
        <v>200</v>
      </c>
      <c r="AB26" s="395">
        <f>Table112345791011[[#This Row],[a]]/Table112345791011[[#This Row],[h (mm)]]</f>
        <v>2.5714285714285716</v>
      </c>
      <c r="AC26" s="395">
        <f>Table112345791011[[#This Row],[h (mm)]]</f>
        <v>350</v>
      </c>
      <c r="AD26" s="109">
        <f>3*Table112345791011[[#This Row],[d (mm)]]</f>
        <v>900</v>
      </c>
      <c r="AE26" s="111">
        <v>300</v>
      </c>
      <c r="AF26" s="111">
        <v>350</v>
      </c>
      <c r="AG26" s="111">
        <v>200</v>
      </c>
      <c r="AH26" s="109">
        <v>54.8</v>
      </c>
      <c r="AI26" s="111">
        <f>Table112345791011[[#This Row],[pho (%)]]*Table112345791011[[#This Row],[b (mm)]]*Table112345791011[[#This Row],[h (mm)]]/100</f>
        <v>2198</v>
      </c>
      <c r="AJ26" s="109">
        <v>3.14</v>
      </c>
      <c r="AK26" s="111">
        <v>543</v>
      </c>
      <c r="AL26" s="111">
        <f>(1/3-0.21*(MIN(Table112345791011[[#This Row],[b (mm)]],AF26)/MAX(Table112345791011[[#This Row],[b (mm)]],AF26))*(MIN(Table112345791011[[#This Row],[b (mm)]],AF26)^4/(12*MAX(Table112345791011[[#This Row],[b (mm)]],AF26)^4)))*MAX(Table112345791011[[#This Row],[b (mm)]],AF26)*MIN(Table112345791011[[#This Row],[b (mm)]],AF26)^3</f>
        <v>930347910.59280849</v>
      </c>
      <c r="AM26" s="111">
        <f>Table112345791011[[#This Row],[b (mm)]]*AF26^3/12</f>
        <v>714583333.33333337</v>
      </c>
      <c r="AN26" s="307">
        <f>Table112345791011[[#This Row],[a (mm)]]*2</f>
        <v>1800</v>
      </c>
      <c r="AO26"/>
      <c r="AP26"/>
      <c r="AQ26"/>
      <c r="AR26"/>
      <c r="AS26"/>
      <c r="AT26"/>
      <c r="AU26"/>
      <c r="AV26"/>
      <c r="AW26"/>
    </row>
    <row r="27" spans="1:49" s="129" customFormat="1" ht="15" thickBot="1" x14ac:dyDescent="0.35">
      <c r="A27" s="309" t="s">
        <v>214</v>
      </c>
      <c r="B27" s="237">
        <v>26</v>
      </c>
      <c r="C27" s="237">
        <v>5</v>
      </c>
      <c r="D27" s="300">
        <f>Table112345791011[[#This Row],[a (mm)]]/Table112345791011[[#This Row],[d (mm)]]</f>
        <v>3</v>
      </c>
      <c r="E27" s="300">
        <v>65</v>
      </c>
      <c r="F27" s="303">
        <f>Table112345791011[[#This Row],[d (mm)]]</f>
        <v>300</v>
      </c>
      <c r="G27" s="111">
        <f t="shared" si="5"/>
        <v>58500</v>
      </c>
      <c r="H27" s="111">
        <f t="shared" si="6"/>
        <v>3.108424343367479E-6</v>
      </c>
      <c r="I27" s="304">
        <f>G27/(Table112345791011[[#This Row],[b (mm)]]*Table112345791011[[#This Row],[h]]^2)</f>
        <v>2.3877551020408164E-3</v>
      </c>
      <c r="J27" s="111">
        <f t="shared" si="7"/>
        <v>0.16308274902317613</v>
      </c>
      <c r="K27" s="111">
        <f t="shared" si="8"/>
        <v>2.2250425574111214E-6</v>
      </c>
      <c r="L27" s="111">
        <f>E27/(Table112345791011[[#This Row],[b (mm)]]*AE27)</f>
        <v>1.0833333333333333E-3</v>
      </c>
      <c r="M27" s="111">
        <f>Table112345791011[[#This Row],[M (KN.mm)]]/(Table112345791011[[#This Row],[b (mm)]]*Table112345791011[[#This Row],[d (mm)]])</f>
        <v>0.97499999999999998</v>
      </c>
      <c r="N27" s="111">
        <f>Table112345791011[[#This Row],[M (KN.mm)]]/(Table112345791011[[#This Row],[b (mm)]]*Table112345791011[[#This Row],[h (mm)]])</f>
        <v>0.83571428571428574</v>
      </c>
      <c r="O27" s="111">
        <f>Table112345791011[[#This Row],[M (KN.mm)]]/(Table112345791011[[#This Row],[b (mm)]]*Table112345791011[[#This Row],[h (mm)]]*Table112345791011[[#This Row],[L(mm)]])</f>
        <v>4.6428571428571428E-4</v>
      </c>
      <c r="P27" s="111">
        <f>Table112345791011[[#This Row],[M (KN.mm)]]/(Table112345791011[[#This Row],[b (mm)]]*Table112345791011[[#This Row],[d (mm)]]*Table112345791011[[#This Row],[L(mm)]])</f>
        <v>5.4166666666666664E-4</v>
      </c>
      <c r="Q27" s="111">
        <f>Table112345791011[[#This Row],[M (KN.mm)]]/(Table112345791011[[#This Row],[b (mm)]]*Table112345791011[[#This Row],[h (mm)]]*Table112345791011[[#This Row],[L(mm)]]*Table112345791011[[#This Row],[fc (Mpa)]])</f>
        <v>8.4723670490093841E-6</v>
      </c>
      <c r="R27" s="111">
        <f>Table112345791011[[#This Row],[M (KN.mm)]]/(Table112345791011[[#This Row],[b (mm)]]*Table112345791011[[#This Row],[h (mm)]]*Table112345791011[[#This Row],[L(mm)]]/2)</f>
        <v>9.2857142857142856E-4</v>
      </c>
      <c r="S27" s="111">
        <f>Table112345791011[[#This Row],[M (KN.mm)]]/(Table112345791011[[#This Row],[a (mm)]]*Table112345791011[[#This Row],[b (mm)]]*Table112345791011[[#This Row],[h (mm)]]*Table112345791011[[#This Row],[L(mm)]]/2)</f>
        <v>1.0317460317460317E-6</v>
      </c>
      <c r="T27" s="111">
        <f>Table112345791011[[#This Row],[M (KN.mm)]]/(Table112345791011[[#This Row],[a (mm)]]^2*Table112345791011[[#This Row],[b (mm)]]*Table112345791011[[#This Row],[h (mm)]])</f>
        <v>1.0317460317460317E-6</v>
      </c>
      <c r="U27" s="111">
        <f>Table112345791011[[#This Row],[M (KN.mm)]]/(Table112345791011[[#This Row],[b (mm)]]*Table112345791011[[#This Row],[d (mm)]]*Table112345791011[[#This Row],[pho (%)]])</f>
        <v>0.31050955414012738</v>
      </c>
      <c r="V27" s="111">
        <f>E27*224.8/(2*SQRT(Table112345791011[[#This Row],[fc (Mpa)]]*145.037)*Table112345791011[[#This Row],[b (mm)]]*Table112345791011[[#This Row],[d (mm)]]*(1/25.4)^2)</f>
        <v>0.88118311648890246</v>
      </c>
      <c r="W27" s="111">
        <f>Table112345791011[[#This Row],[M (KN.mm)]]/$G$29</f>
        <v>0.76923076923076927</v>
      </c>
      <c r="X27" s="111">
        <f>Table112345791011[[#This Row],[V/(2*sqrt(fc) bd)]]</f>
        <v>0.88118311648890246</v>
      </c>
      <c r="Y27" s="111">
        <f>Table112345791011[[#This Row],[a (mm)]]</f>
        <v>900</v>
      </c>
      <c r="Z27" s="395">
        <f>Table112345791011[[#This Row],[width]]*Table112345791011[[#This Row],[h (mm)]]^2</f>
        <v>24500000</v>
      </c>
      <c r="AA27" s="395">
        <f>Table112345791011[[#This Row],[b (mm)]]</f>
        <v>200</v>
      </c>
      <c r="AB27" s="395">
        <f>Table112345791011[[#This Row],[a]]/Table112345791011[[#This Row],[h (mm)]]</f>
        <v>2.5714285714285716</v>
      </c>
      <c r="AC27" s="395">
        <f>Table112345791011[[#This Row],[h (mm)]]</f>
        <v>350</v>
      </c>
      <c r="AD27" s="109">
        <f>3*Table112345791011[[#This Row],[d (mm)]]</f>
        <v>900</v>
      </c>
      <c r="AE27" s="111">
        <v>300</v>
      </c>
      <c r="AF27" s="111">
        <v>350</v>
      </c>
      <c r="AG27" s="111">
        <v>200</v>
      </c>
      <c r="AH27" s="109">
        <v>54.8</v>
      </c>
      <c r="AI27" s="111">
        <f>Table112345791011[[#This Row],[pho (%)]]*Table112345791011[[#This Row],[b (mm)]]*Table112345791011[[#This Row],[h (mm)]]/100</f>
        <v>2198</v>
      </c>
      <c r="AJ27" s="109">
        <v>3.14</v>
      </c>
      <c r="AK27" s="111">
        <v>544</v>
      </c>
      <c r="AL27" s="111">
        <f>(1/3-0.21*(MIN(Table112345791011[[#This Row],[b (mm)]],AF27)/MAX(Table112345791011[[#This Row],[b (mm)]],AF27))*(MIN(Table112345791011[[#This Row],[b (mm)]],AF27)^4/(12*MAX(Table112345791011[[#This Row],[b (mm)]],AF27)^4)))*MAX(Table112345791011[[#This Row],[b (mm)]],AF27)*MIN(Table112345791011[[#This Row],[b (mm)]],AF27)^3</f>
        <v>930347910.59280849</v>
      </c>
      <c r="AM27" s="111">
        <f>Table112345791011[[#This Row],[b (mm)]]*AF27^3/12</f>
        <v>714583333.33333337</v>
      </c>
      <c r="AN27" s="307">
        <f>Table112345791011[[#This Row],[a (mm)]]*2</f>
        <v>1800</v>
      </c>
      <c r="AO27"/>
      <c r="AP27"/>
      <c r="AQ27"/>
      <c r="AR27"/>
      <c r="AS27"/>
      <c r="AT27"/>
      <c r="AU27"/>
      <c r="AV27"/>
      <c r="AW27"/>
    </row>
    <row r="28" spans="1:49" s="129" customFormat="1" ht="15" thickBot="1" x14ac:dyDescent="0.35">
      <c r="A28" s="309" t="s">
        <v>214</v>
      </c>
      <c r="B28" s="237">
        <v>27</v>
      </c>
      <c r="C28" s="237">
        <v>6</v>
      </c>
      <c r="D28" s="300">
        <f>Table112345791011[[#This Row],[a (mm)]]/Table112345791011[[#This Row],[d (mm)]]</f>
        <v>3</v>
      </c>
      <c r="E28" s="300">
        <v>75</v>
      </c>
      <c r="F28" s="303">
        <f>Table112345791011[[#This Row],[d (mm)]]</f>
        <v>300</v>
      </c>
      <c r="G28" s="111">
        <f t="shared" si="5"/>
        <v>67500</v>
      </c>
      <c r="H28" s="111">
        <f t="shared" si="6"/>
        <v>3.5866434731163215E-6</v>
      </c>
      <c r="I28" s="304">
        <f>G28/(Table112345791011[[#This Row],[b (mm)]]*Table112345791011[[#This Row],[h]]^2)</f>
        <v>2.7551020408163266E-3</v>
      </c>
      <c r="J28" s="111">
        <f t="shared" si="7"/>
        <v>0.18782713225534473</v>
      </c>
      <c r="K28" s="111">
        <f t="shared" si="8"/>
        <v>2.5673567970128326E-6</v>
      </c>
      <c r="L28" s="111">
        <f>E28/(Table112345791011[[#This Row],[b (mm)]]*AE28)</f>
        <v>1.25E-3</v>
      </c>
      <c r="M28" s="111">
        <f>Table112345791011[[#This Row],[M (KN.mm)]]/(Table112345791011[[#This Row],[b (mm)]]*Table112345791011[[#This Row],[d (mm)]])</f>
        <v>1.125</v>
      </c>
      <c r="N28" s="111">
        <f>Table112345791011[[#This Row],[M (KN.mm)]]/(Table112345791011[[#This Row],[b (mm)]]*Table112345791011[[#This Row],[h (mm)]])</f>
        <v>0.9642857142857143</v>
      </c>
      <c r="O28" s="111">
        <f>Table112345791011[[#This Row],[M (KN.mm)]]/(Table112345791011[[#This Row],[b (mm)]]*Table112345791011[[#This Row],[h (mm)]]*Table112345791011[[#This Row],[L(mm)]])</f>
        <v>5.3571428571428574E-4</v>
      </c>
      <c r="P28" s="111">
        <f>Table112345791011[[#This Row],[M (KN.mm)]]/(Table112345791011[[#This Row],[b (mm)]]*Table112345791011[[#This Row],[d (mm)]]*Table112345791011[[#This Row],[L(mm)]])</f>
        <v>6.2500000000000001E-4</v>
      </c>
      <c r="Q28" s="111">
        <f>Table112345791011[[#This Row],[M (KN.mm)]]/(Table112345791011[[#This Row],[b (mm)]]*Table112345791011[[#This Row],[h (mm)]]*Table112345791011[[#This Row],[L(mm)]]*Table112345791011[[#This Row],[fc (Mpa)]])</f>
        <v>9.7758081334723676E-6</v>
      </c>
      <c r="R28" s="111">
        <f>Table112345791011[[#This Row],[M (KN.mm)]]/(Table112345791011[[#This Row],[b (mm)]]*Table112345791011[[#This Row],[h (mm)]]*Table112345791011[[#This Row],[L(mm)]]/2)</f>
        <v>1.0714285714285715E-3</v>
      </c>
      <c r="S28" s="111">
        <f>Table112345791011[[#This Row],[M (KN.mm)]]/(Table112345791011[[#This Row],[a (mm)]]*Table112345791011[[#This Row],[b (mm)]]*Table112345791011[[#This Row],[h (mm)]]*Table112345791011[[#This Row],[L(mm)]]/2)</f>
        <v>1.1904761904761904E-6</v>
      </c>
      <c r="T28" s="111">
        <f>Table112345791011[[#This Row],[M (KN.mm)]]/(Table112345791011[[#This Row],[a (mm)]]^2*Table112345791011[[#This Row],[b (mm)]]*Table112345791011[[#This Row],[h (mm)]])</f>
        <v>1.1904761904761904E-6</v>
      </c>
      <c r="U28" s="111">
        <f>Table112345791011[[#This Row],[M (KN.mm)]]/(Table112345791011[[#This Row],[b (mm)]]*Table112345791011[[#This Row],[d (mm)]]*Table112345791011[[#This Row],[pho (%)]])</f>
        <v>0.35828025477707004</v>
      </c>
      <c r="V28" s="111">
        <f>E28*224.8/(2*SQRT(Table112345791011[[#This Row],[fc (Mpa)]]*145.037)*Table112345791011[[#This Row],[b (mm)]]*Table112345791011[[#This Row],[d (mm)]]*(1/25.4)^2)</f>
        <v>1.0167497497948874</v>
      </c>
      <c r="W28" s="111">
        <f>Table112345791011[[#This Row],[M (KN.mm)]]/$G$29</f>
        <v>0.8875739644970414</v>
      </c>
      <c r="X28" s="111">
        <f>Table112345791011[[#This Row],[V/(2*sqrt(fc) bd)]]</f>
        <v>1.0167497497948874</v>
      </c>
      <c r="Y28" s="111">
        <f>Table112345791011[[#This Row],[a (mm)]]</f>
        <v>900</v>
      </c>
      <c r="Z28" s="395">
        <f>Table112345791011[[#This Row],[width]]*Table112345791011[[#This Row],[h (mm)]]^2</f>
        <v>24500000</v>
      </c>
      <c r="AA28" s="395">
        <f>Table112345791011[[#This Row],[b (mm)]]</f>
        <v>200</v>
      </c>
      <c r="AB28" s="395">
        <f>Table112345791011[[#This Row],[a]]/Table112345791011[[#This Row],[h (mm)]]</f>
        <v>2.5714285714285716</v>
      </c>
      <c r="AC28" s="395">
        <f>Table112345791011[[#This Row],[h (mm)]]</f>
        <v>350</v>
      </c>
      <c r="AD28" s="109">
        <f>3*Table112345791011[[#This Row],[d (mm)]]</f>
        <v>900</v>
      </c>
      <c r="AE28" s="111">
        <v>300</v>
      </c>
      <c r="AF28" s="111">
        <v>350</v>
      </c>
      <c r="AG28" s="111">
        <v>200</v>
      </c>
      <c r="AH28" s="109">
        <v>54.8</v>
      </c>
      <c r="AI28" s="111">
        <f>Table112345791011[[#This Row],[pho (%)]]*Table112345791011[[#This Row],[b (mm)]]*Table112345791011[[#This Row],[h (mm)]]/100</f>
        <v>2198</v>
      </c>
      <c r="AJ28" s="109">
        <v>3.14</v>
      </c>
      <c r="AK28" s="111">
        <v>545</v>
      </c>
      <c r="AL28" s="111">
        <f>(1/3-0.21*(MIN(Table112345791011[[#This Row],[b (mm)]],AF28)/MAX(Table112345791011[[#This Row],[b (mm)]],AF28))*(MIN(Table112345791011[[#This Row],[b (mm)]],AF28)^4/(12*MAX(Table112345791011[[#This Row],[b (mm)]],AF28)^4)))*MAX(Table112345791011[[#This Row],[b (mm)]],AF28)*MIN(Table112345791011[[#This Row],[b (mm)]],AF28)^3</f>
        <v>930347910.59280849</v>
      </c>
      <c r="AM28" s="111">
        <f>Table112345791011[[#This Row],[b (mm)]]*AF28^3/12</f>
        <v>714583333.33333337</v>
      </c>
      <c r="AN28" s="307">
        <f>Table112345791011[[#This Row],[a (mm)]]*2</f>
        <v>1800</v>
      </c>
      <c r="AO28"/>
      <c r="AP28"/>
      <c r="AQ28"/>
      <c r="AR28"/>
      <c r="AS28"/>
      <c r="AT28"/>
      <c r="AU28"/>
      <c r="AV28"/>
      <c r="AW28"/>
    </row>
    <row r="29" spans="1:49" s="129" customFormat="1" ht="15" thickBot="1" x14ac:dyDescent="0.35">
      <c r="A29" s="310" t="s">
        <v>214</v>
      </c>
      <c r="B29" s="311">
        <v>28</v>
      </c>
      <c r="C29" s="311">
        <v>7</v>
      </c>
      <c r="D29" s="312">
        <f>Table112345791011[[#This Row],[a (mm)]]/Table112345791011[[#This Row],[d (mm)]]</f>
        <v>3</v>
      </c>
      <c r="E29" s="312">
        <v>84.5</v>
      </c>
      <c r="F29" s="303">
        <f>Table112345791011[[#This Row],[d (mm)]]</f>
        <v>300</v>
      </c>
      <c r="G29" s="313">
        <f t="shared" si="5"/>
        <v>76050</v>
      </c>
      <c r="H29" s="313">
        <f t="shared" si="6"/>
        <v>4.0409516463777226E-6</v>
      </c>
      <c r="I29" s="304">
        <f>G29/(Table112345791011[[#This Row],[b (mm)]]*Table112345791011[[#This Row],[h]]^2)</f>
        <v>3.1040816326530613E-3</v>
      </c>
      <c r="J29" s="313">
        <f t="shared" si="7"/>
        <v>0.211230989210971</v>
      </c>
      <c r="K29" s="313">
        <f t="shared" si="8"/>
        <v>2.8925553246344579E-6</v>
      </c>
      <c r="L29" s="313">
        <f>E29/(Table112345791011[[#This Row],[b (mm)]]*AE29)</f>
        <v>1.4083333333333333E-3</v>
      </c>
      <c r="M29" s="313">
        <f>Table112345791011[[#This Row],[M (KN.mm)]]/(Table112345791011[[#This Row],[b (mm)]]*Table112345791011[[#This Row],[d (mm)]])</f>
        <v>1.2675000000000001</v>
      </c>
      <c r="N29" s="313">
        <f>Table112345791011[[#This Row],[M (KN.mm)]]/(Table112345791011[[#This Row],[b (mm)]]*Table112345791011[[#This Row],[h (mm)]])</f>
        <v>1.0864285714285715</v>
      </c>
      <c r="O29" s="313">
        <f>Table112345791011[[#This Row],[M (KN.mm)]]/(Table112345791011[[#This Row],[b (mm)]]*Table112345791011[[#This Row],[h (mm)]]*Table112345791011[[#This Row],[L(mm)]])</f>
        <v>6.0357142857142857E-4</v>
      </c>
      <c r="P29" s="313">
        <f>Table112345791011[[#This Row],[M (KN.mm)]]/(Table112345791011[[#This Row],[b (mm)]]*Table112345791011[[#This Row],[d (mm)]]*Table112345791011[[#This Row],[L(mm)]])</f>
        <v>7.0416666666666663E-4</v>
      </c>
      <c r="Q29" s="313">
        <f>Table112345791011[[#This Row],[M (KN.mm)]]/(Table112345791011[[#This Row],[b (mm)]]*Table112345791011[[#This Row],[h (mm)]]*Table112345791011[[#This Row],[L(mm)]]*Table112345791011[[#This Row],[fc (Mpa)]])</f>
        <v>1.1014077163712201E-5</v>
      </c>
      <c r="R29" s="313">
        <f>Table112345791011[[#This Row],[M (KN.mm)]]/(Table112345791011[[#This Row],[b (mm)]]*Table112345791011[[#This Row],[h (mm)]]*Table112345791011[[#This Row],[L(mm)]]/2)</f>
        <v>1.2071428571428571E-3</v>
      </c>
      <c r="S29" s="313">
        <f>Table112345791011[[#This Row],[M (KN.mm)]]/(Table112345791011[[#This Row],[a (mm)]]*Table112345791011[[#This Row],[b (mm)]]*Table112345791011[[#This Row],[h (mm)]]*Table112345791011[[#This Row],[L(mm)]]/2)</f>
        <v>1.3412698412698413E-6</v>
      </c>
      <c r="T29" s="313">
        <f>Table112345791011[[#This Row],[M (KN.mm)]]/(Table112345791011[[#This Row],[a (mm)]]^2*Table112345791011[[#This Row],[b (mm)]]*Table112345791011[[#This Row],[h (mm)]])</f>
        <v>1.3412698412698413E-6</v>
      </c>
      <c r="U29" s="313">
        <f>Table112345791011[[#This Row],[M (KN.mm)]]/(Table112345791011[[#This Row],[b (mm)]]*Table112345791011[[#This Row],[d (mm)]]*Table112345791011[[#This Row],[pho (%)]])</f>
        <v>0.4036624203821656</v>
      </c>
      <c r="V29" s="313">
        <f>E29*224.8/(2*SQRT(Table112345791011[[#This Row],[fc (Mpa)]]*145.037)*Table112345791011[[#This Row],[b (mm)]]*Table112345791011[[#This Row],[d (mm)]]*(1/25.4)^2)</f>
        <v>1.1455380514355733</v>
      </c>
      <c r="W29" s="111">
        <f>Table112345791011[[#This Row],[M (KN.mm)]]/$G$29</f>
        <v>1</v>
      </c>
      <c r="X29" s="111">
        <f>Table112345791011[[#This Row],[V/(2*sqrt(fc) bd)]]</f>
        <v>1.1455380514355733</v>
      </c>
      <c r="Y29" s="111">
        <f>Table112345791011[[#This Row],[a (mm)]]</f>
        <v>900</v>
      </c>
      <c r="Z29" s="395">
        <f>Table112345791011[[#This Row],[width]]*Table112345791011[[#This Row],[h (mm)]]^2</f>
        <v>24500000</v>
      </c>
      <c r="AA29" s="395">
        <f>Table112345791011[[#This Row],[b (mm)]]</f>
        <v>200</v>
      </c>
      <c r="AB29" s="397">
        <f>Table112345791011[[#This Row],[a]]/Table112345791011[[#This Row],[h (mm)]]</f>
        <v>2.5714285714285716</v>
      </c>
      <c r="AC29" s="397">
        <f>Table112345791011[[#This Row],[h (mm)]]</f>
        <v>350</v>
      </c>
      <c r="AD29" s="314">
        <f>3*Table112345791011[[#This Row],[d (mm)]]</f>
        <v>900</v>
      </c>
      <c r="AE29" s="313">
        <v>300</v>
      </c>
      <c r="AF29" s="313">
        <v>350</v>
      </c>
      <c r="AG29" s="313">
        <v>200</v>
      </c>
      <c r="AH29" s="314">
        <v>54.8</v>
      </c>
      <c r="AI29" s="313">
        <f>Table112345791011[[#This Row],[pho (%)]]*Table112345791011[[#This Row],[b (mm)]]*Table112345791011[[#This Row],[h (mm)]]/100</f>
        <v>2198</v>
      </c>
      <c r="AJ29" s="314">
        <v>3.14</v>
      </c>
      <c r="AK29" s="313">
        <v>546</v>
      </c>
      <c r="AL29" s="313">
        <f>(1/3-0.21*(MIN(Table112345791011[[#This Row],[b (mm)]],AF29)/MAX(Table112345791011[[#This Row],[b (mm)]],AF29))*(MIN(Table112345791011[[#This Row],[b (mm)]],AF29)^4/(12*MAX(Table112345791011[[#This Row],[b (mm)]],AF29)^4)))*MAX(Table112345791011[[#This Row],[b (mm)]],AF29)*MIN(Table112345791011[[#This Row],[b (mm)]],AF29)^3</f>
        <v>930347910.59280849</v>
      </c>
      <c r="AM29" s="313">
        <f>Table112345791011[[#This Row],[b (mm)]]*AF29^3/12</f>
        <v>714583333.33333337</v>
      </c>
      <c r="AN29" s="315">
        <f>Table112345791011[[#This Row],[a (mm)]]*2</f>
        <v>1800</v>
      </c>
      <c r="AO29"/>
      <c r="AP29"/>
      <c r="AQ29"/>
      <c r="AR29"/>
      <c r="AS29"/>
      <c r="AT29"/>
      <c r="AU29"/>
      <c r="AV29"/>
      <c r="AW29"/>
    </row>
    <row r="30" spans="1:49" s="129" customFormat="1" x14ac:dyDescent="0.3">
      <c r="A30"/>
      <c r="B30"/>
      <c r="C30"/>
      <c r="D30"/>
      <c r="E30" s="1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</row>
    <row r="31" spans="1:49" x14ac:dyDescent="0.3">
      <c r="A31"/>
      <c r="B31"/>
      <c r="C31"/>
      <c r="D31"/>
      <c r="E31" s="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P31"/>
      <c r="AQ31"/>
      <c r="AR31"/>
      <c r="AS31"/>
      <c r="AT31"/>
      <c r="AW31"/>
    </row>
    <row r="32" spans="1:49" x14ac:dyDescent="0.3">
      <c r="A32"/>
      <c r="B32"/>
      <c r="C32"/>
      <c r="D32"/>
      <c r="E32" s="1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P32"/>
      <c r="AQ32"/>
      <c r="AR32"/>
      <c r="AS32"/>
      <c r="AT32"/>
      <c r="AW32"/>
    </row>
    <row r="33" spans="1:49" x14ac:dyDescent="0.3">
      <c r="A33"/>
      <c r="B33"/>
      <c r="C33"/>
      <c r="D33"/>
      <c r="E33" s="1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P33"/>
      <c r="AQ33"/>
      <c r="AR33"/>
      <c r="AS33"/>
      <c r="AT33"/>
      <c r="AW33"/>
    </row>
    <row r="34" spans="1:49" x14ac:dyDescent="0.3">
      <c r="A34"/>
      <c r="B34"/>
      <c r="C34"/>
      <c r="D34"/>
      <c r="E34" s="1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P34"/>
      <c r="AQ34"/>
      <c r="AR34"/>
      <c r="AS34"/>
      <c r="AT34"/>
      <c r="AW34"/>
    </row>
    <row r="35" spans="1:49" x14ac:dyDescent="0.3">
      <c r="A35"/>
      <c r="B35"/>
      <c r="C35"/>
      <c r="D35"/>
      <c r="E35" s="1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P35"/>
      <c r="AQ35"/>
      <c r="AR35"/>
      <c r="AS35"/>
      <c r="AT35"/>
      <c r="AW35"/>
    </row>
    <row r="36" spans="1:49" x14ac:dyDescent="0.3">
      <c r="A36"/>
      <c r="B36"/>
      <c r="C36"/>
      <c r="D36"/>
      <c r="E36" s="1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P36"/>
      <c r="AQ36"/>
      <c r="AR36"/>
      <c r="AS36"/>
      <c r="AT36"/>
      <c r="AW36"/>
    </row>
    <row r="37" spans="1:49" x14ac:dyDescent="0.3">
      <c r="A37"/>
      <c r="B37"/>
      <c r="C37"/>
      <c r="D37"/>
      <c r="E37" s="1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P37"/>
      <c r="AQ37"/>
      <c r="AR37"/>
      <c r="AS37"/>
      <c r="AT37"/>
      <c r="AW37"/>
    </row>
    <row r="38" spans="1:49" x14ac:dyDescent="0.3">
      <c r="A38"/>
      <c r="B38"/>
      <c r="C38"/>
      <c r="D38"/>
      <c r="E38" s="1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P38"/>
      <c r="AQ38"/>
      <c r="AR38"/>
      <c r="AS38"/>
      <c r="AT38"/>
      <c r="AW38"/>
    </row>
    <row r="39" spans="1:49" x14ac:dyDescent="0.3">
      <c r="A39"/>
      <c r="B39"/>
      <c r="C39"/>
      <c r="D39"/>
      <c r="E39" s="1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P39"/>
      <c r="AQ39"/>
      <c r="AR39"/>
      <c r="AS39"/>
      <c r="AT39"/>
      <c r="AW39"/>
    </row>
    <row r="40" spans="1:49" x14ac:dyDescent="0.3">
      <c r="A40"/>
      <c r="B40"/>
      <c r="C40"/>
      <c r="D40"/>
      <c r="E40" s="1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P40"/>
      <c r="AQ40"/>
      <c r="AR40"/>
      <c r="AS40"/>
      <c r="AT40"/>
      <c r="AW40"/>
    </row>
    <row r="41" spans="1:49" x14ac:dyDescent="0.3">
      <c r="A41"/>
      <c r="B41"/>
      <c r="C41"/>
      <c r="D41"/>
      <c r="E41" s="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P41"/>
      <c r="AQ41"/>
      <c r="AR41"/>
      <c r="AS41"/>
      <c r="AT41"/>
      <c r="AW41"/>
    </row>
    <row r="42" spans="1:49" x14ac:dyDescent="0.3">
      <c r="A42"/>
      <c r="B42"/>
      <c r="C42"/>
      <c r="D42"/>
      <c r="E42" s="1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P42"/>
      <c r="AQ42"/>
      <c r="AR42"/>
      <c r="AS42"/>
      <c r="AT42"/>
      <c r="AW42"/>
    </row>
    <row r="43" spans="1:49" x14ac:dyDescent="0.3">
      <c r="A43"/>
      <c r="B43"/>
      <c r="C43"/>
      <c r="D43"/>
      <c r="E43" s="1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P43"/>
      <c r="AQ43"/>
      <c r="AR43"/>
      <c r="AS43"/>
      <c r="AT43"/>
      <c r="AW43"/>
    </row>
    <row r="44" spans="1:49" customFormat="1" x14ac:dyDescent="0.3">
      <c r="E44" s="1"/>
    </row>
    <row r="45" spans="1:49" x14ac:dyDescent="0.3">
      <c r="A45"/>
      <c r="B45"/>
      <c r="C45"/>
      <c r="D45"/>
      <c r="E45" s="1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P45"/>
      <c r="AQ45"/>
      <c r="AR45"/>
      <c r="AS45"/>
      <c r="AT45"/>
      <c r="AW45"/>
    </row>
    <row r="46" spans="1:49" x14ac:dyDescent="0.3">
      <c r="A46"/>
      <c r="B46"/>
      <c r="C46"/>
      <c r="D46"/>
      <c r="E46" s="1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P46"/>
      <c r="AQ46"/>
      <c r="AR46"/>
      <c r="AS46"/>
      <c r="AT46"/>
      <c r="AW46"/>
    </row>
    <row r="47" spans="1:49" x14ac:dyDescent="0.3">
      <c r="A47"/>
      <c r="B47"/>
      <c r="C47"/>
      <c r="D47"/>
      <c r="E47" s="1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P47"/>
      <c r="AQ47"/>
      <c r="AR47"/>
      <c r="AS47"/>
      <c r="AT47"/>
      <c r="AW47"/>
    </row>
    <row r="48" spans="1:49" x14ac:dyDescent="0.3">
      <c r="A48"/>
      <c r="B48"/>
      <c r="C48"/>
      <c r="D48"/>
      <c r="E48" s="1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P48"/>
      <c r="AQ48"/>
      <c r="AR48"/>
      <c r="AS48"/>
      <c r="AT48"/>
      <c r="AW48"/>
    </row>
    <row r="49" spans="1:49" x14ac:dyDescent="0.3">
      <c r="A49"/>
      <c r="B49"/>
      <c r="C49"/>
      <c r="D49"/>
      <c r="E49" s="1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P49"/>
      <c r="AQ49"/>
      <c r="AR49"/>
      <c r="AS49"/>
      <c r="AT49"/>
      <c r="AW49"/>
    </row>
    <row r="50" spans="1:49" x14ac:dyDescent="0.3">
      <c r="A50"/>
      <c r="B50"/>
      <c r="C50"/>
      <c r="D50"/>
      <c r="E50" s="1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P50"/>
      <c r="AQ50"/>
      <c r="AR50"/>
      <c r="AS50"/>
      <c r="AT50"/>
      <c r="AW50"/>
    </row>
    <row r="51" spans="1:49" x14ac:dyDescent="0.3">
      <c r="A51"/>
      <c r="B51"/>
      <c r="C51"/>
      <c r="D51"/>
      <c r="E51" s="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P51"/>
      <c r="AQ51"/>
      <c r="AR51"/>
      <c r="AS51"/>
      <c r="AT51"/>
      <c r="AW51"/>
    </row>
    <row r="52" spans="1:49" x14ac:dyDescent="0.3">
      <c r="A52"/>
      <c r="B52"/>
      <c r="C52"/>
      <c r="D52"/>
      <c r="E52" s="1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P52"/>
      <c r="AQ52"/>
      <c r="AR52"/>
      <c r="AS52"/>
      <c r="AT52"/>
      <c r="AW52"/>
    </row>
    <row r="53" spans="1:49" x14ac:dyDescent="0.3">
      <c r="A53"/>
      <c r="B53"/>
      <c r="C53"/>
      <c r="D53"/>
      <c r="E53" s="1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P53"/>
      <c r="AQ53"/>
      <c r="AR53"/>
      <c r="AS53"/>
      <c r="AT53"/>
      <c r="AW53"/>
    </row>
    <row r="54" spans="1:49" x14ac:dyDescent="0.3">
      <c r="A54"/>
      <c r="B54"/>
      <c r="C54"/>
      <c r="D54"/>
      <c r="E54" s="1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P54"/>
      <c r="AQ54"/>
      <c r="AR54"/>
      <c r="AS54"/>
      <c r="AT54"/>
      <c r="AW54"/>
    </row>
    <row r="55" spans="1:49" x14ac:dyDescent="0.3">
      <c r="A55"/>
      <c r="B55"/>
      <c r="C55"/>
      <c r="D55"/>
      <c r="E55" s="1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P55"/>
      <c r="AQ55"/>
      <c r="AR55"/>
      <c r="AS55"/>
      <c r="AT55"/>
      <c r="AW55"/>
    </row>
    <row r="56" spans="1:49" x14ac:dyDescent="0.3">
      <c r="A56"/>
      <c r="B56"/>
      <c r="C56"/>
      <c r="D56"/>
      <c r="E56" s="1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P56"/>
      <c r="AQ56"/>
      <c r="AR56"/>
      <c r="AS56"/>
      <c r="AT56"/>
      <c r="AW56"/>
    </row>
    <row r="57" spans="1:49" x14ac:dyDescent="0.3">
      <c r="A57"/>
      <c r="B57"/>
      <c r="C57"/>
      <c r="D57"/>
      <c r="E57" s="1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P57"/>
      <c r="AQ57"/>
      <c r="AR57"/>
      <c r="AS57"/>
      <c r="AT57"/>
      <c r="AW57"/>
    </row>
    <row r="58" spans="1:49" x14ac:dyDescent="0.3">
      <c r="A58"/>
      <c r="B58"/>
      <c r="C58"/>
      <c r="D58"/>
      <c r="E58" s="1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P58"/>
      <c r="AQ58"/>
      <c r="AR58"/>
      <c r="AS58"/>
      <c r="AT58"/>
      <c r="AW58"/>
    </row>
    <row r="59" spans="1:49" x14ac:dyDescent="0.3">
      <c r="A59"/>
      <c r="B59"/>
      <c r="C59"/>
      <c r="D59"/>
      <c r="E59" s="1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P59"/>
      <c r="AQ59"/>
      <c r="AR59"/>
      <c r="AS59"/>
      <c r="AT59"/>
      <c r="AW59"/>
    </row>
    <row r="60" spans="1:49" x14ac:dyDescent="0.3">
      <c r="A60"/>
      <c r="B60"/>
      <c r="C60"/>
      <c r="D60"/>
      <c r="E60" s="1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P60"/>
      <c r="AQ60"/>
      <c r="AR60"/>
      <c r="AS60"/>
      <c r="AT60"/>
      <c r="AW60"/>
    </row>
    <row r="61" spans="1:49" x14ac:dyDescent="0.3">
      <c r="A61"/>
      <c r="B61"/>
      <c r="C61"/>
      <c r="D61"/>
      <c r="E61" s="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P61"/>
      <c r="AQ61"/>
      <c r="AR61"/>
      <c r="AS61"/>
      <c r="AT61"/>
      <c r="AW61"/>
    </row>
    <row r="62" spans="1:49" x14ac:dyDescent="0.3">
      <c r="A62"/>
      <c r="B62"/>
      <c r="C62"/>
      <c r="D62"/>
      <c r="E62" s="1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P62"/>
      <c r="AQ62"/>
      <c r="AR62"/>
      <c r="AS62"/>
      <c r="AT62"/>
      <c r="AW62"/>
    </row>
    <row r="63" spans="1:49" x14ac:dyDescent="0.3">
      <c r="A63"/>
      <c r="B63"/>
      <c r="C63"/>
      <c r="D63"/>
      <c r="E63" s="1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P63"/>
      <c r="AQ63"/>
      <c r="AR63"/>
      <c r="AS63"/>
      <c r="AT63"/>
      <c r="AW63"/>
    </row>
    <row r="64" spans="1:49" s="1" customFormat="1" x14ac:dyDescent="0.3">
      <c r="A64"/>
      <c r="B64"/>
      <c r="C64"/>
      <c r="D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</row>
    <row r="65" spans="1:49" s="1" customFormat="1" x14ac:dyDescent="0.3">
      <c r="A65"/>
      <c r="B65"/>
      <c r="C65"/>
      <c r="D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</row>
    <row r="66" spans="1:49" s="1" customFormat="1" x14ac:dyDescent="0.3">
      <c r="A66"/>
      <c r="B66"/>
      <c r="C66"/>
      <c r="D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</row>
    <row r="67" spans="1:49" x14ac:dyDescent="0.3">
      <c r="A67"/>
      <c r="B67"/>
      <c r="C67"/>
      <c r="D67"/>
      <c r="E67" s="1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P67"/>
      <c r="AQ67"/>
      <c r="AR67"/>
      <c r="AS67"/>
      <c r="AT67"/>
      <c r="AW67"/>
    </row>
    <row r="68" spans="1:49" x14ac:dyDescent="0.3">
      <c r="A68"/>
      <c r="B68"/>
      <c r="C68"/>
      <c r="D68"/>
      <c r="E68" s="1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P68"/>
      <c r="AQ68"/>
      <c r="AR68"/>
      <c r="AS68"/>
      <c r="AT68"/>
      <c r="AW68"/>
    </row>
    <row r="69" spans="1:49" x14ac:dyDescent="0.3">
      <c r="A69"/>
      <c r="B69"/>
      <c r="C69"/>
      <c r="D69"/>
      <c r="E69" s="1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P69"/>
      <c r="AQ69"/>
      <c r="AR69"/>
      <c r="AS69"/>
      <c r="AT69"/>
      <c r="AW69"/>
    </row>
    <row r="70" spans="1:49" x14ac:dyDescent="0.3">
      <c r="A70"/>
      <c r="B70"/>
      <c r="C70"/>
      <c r="D70"/>
      <c r="E70" s="1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P70"/>
      <c r="AQ70"/>
      <c r="AR70"/>
      <c r="AS70"/>
      <c r="AT70"/>
      <c r="AW70"/>
    </row>
    <row r="71" spans="1:49" x14ac:dyDescent="0.3">
      <c r="A71"/>
      <c r="B71"/>
      <c r="C71"/>
      <c r="D71"/>
      <c r="E71" s="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P71"/>
      <c r="AQ71"/>
      <c r="AR71"/>
      <c r="AS71"/>
      <c r="AT71"/>
      <c r="AW71"/>
    </row>
    <row r="72" spans="1:49" x14ac:dyDescent="0.3">
      <c r="A72"/>
      <c r="B72"/>
      <c r="C72"/>
      <c r="D72"/>
      <c r="E72" s="1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P72"/>
      <c r="AQ72"/>
      <c r="AR72"/>
      <c r="AS72"/>
      <c r="AT72"/>
      <c r="AW72"/>
    </row>
    <row r="73" spans="1:49" x14ac:dyDescent="0.3">
      <c r="A73"/>
      <c r="B73"/>
      <c r="C73"/>
      <c r="D73"/>
      <c r="E73" s="1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P73"/>
      <c r="AQ73"/>
      <c r="AR73"/>
      <c r="AS73"/>
      <c r="AT73"/>
      <c r="AW73"/>
    </row>
    <row r="74" spans="1:49" x14ac:dyDescent="0.3">
      <c r="A74"/>
      <c r="B74"/>
      <c r="C74"/>
      <c r="D74"/>
      <c r="E74" s="1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P74"/>
      <c r="AQ74"/>
      <c r="AR74"/>
      <c r="AS74"/>
      <c r="AT74"/>
      <c r="AW74"/>
    </row>
    <row r="75" spans="1:49" x14ac:dyDescent="0.3">
      <c r="A75"/>
      <c r="B75"/>
      <c r="C75"/>
      <c r="D75"/>
      <c r="E75" s="1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P75"/>
      <c r="AQ75"/>
      <c r="AR75"/>
      <c r="AS75"/>
      <c r="AT75"/>
      <c r="AW75"/>
    </row>
    <row r="76" spans="1:49" x14ac:dyDescent="0.3">
      <c r="A76"/>
      <c r="B76"/>
      <c r="C76"/>
      <c r="D76"/>
      <c r="E76" s="1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P76"/>
      <c r="AQ76"/>
      <c r="AR76"/>
      <c r="AS76"/>
      <c r="AT76"/>
      <c r="AW76"/>
    </row>
    <row r="77" spans="1:49" x14ac:dyDescent="0.3">
      <c r="A77"/>
      <c r="B77"/>
      <c r="C77"/>
      <c r="D77"/>
      <c r="E77" s="1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P77"/>
      <c r="AQ77"/>
      <c r="AR77"/>
      <c r="AS77"/>
      <c r="AT77"/>
      <c r="AW77"/>
    </row>
    <row r="78" spans="1:49" x14ac:dyDescent="0.3">
      <c r="A78"/>
      <c r="B78"/>
      <c r="C78"/>
      <c r="D78"/>
      <c r="E78" s="1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P78"/>
      <c r="AQ78"/>
      <c r="AR78"/>
      <c r="AS78"/>
      <c r="AT78"/>
      <c r="AW78"/>
    </row>
    <row r="79" spans="1:49" x14ac:dyDescent="0.3">
      <c r="A79"/>
      <c r="B79"/>
      <c r="C79"/>
      <c r="D79"/>
      <c r="E79" s="1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P79"/>
      <c r="AQ79"/>
      <c r="AR79"/>
      <c r="AS79"/>
      <c r="AT79"/>
      <c r="AW79"/>
    </row>
    <row r="80" spans="1:49" x14ac:dyDescent="0.3">
      <c r="A80"/>
      <c r="B80"/>
      <c r="C80"/>
      <c r="D80"/>
      <c r="E80" s="1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P80"/>
      <c r="AQ80"/>
      <c r="AR80"/>
      <c r="AS80"/>
      <c r="AT80"/>
      <c r="AW80"/>
    </row>
    <row r="81" spans="1:49" x14ac:dyDescent="0.3">
      <c r="A81"/>
      <c r="B81"/>
      <c r="C81"/>
      <c r="D81"/>
      <c r="E81" s="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P81"/>
      <c r="AQ81"/>
      <c r="AR81"/>
      <c r="AS81"/>
      <c r="AT81"/>
      <c r="AW81"/>
    </row>
    <row r="82" spans="1:49" x14ac:dyDescent="0.3">
      <c r="A82"/>
      <c r="B82"/>
      <c r="C82"/>
      <c r="D82"/>
      <c r="E82" s="1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P82"/>
      <c r="AQ82"/>
      <c r="AR82"/>
      <c r="AS82"/>
      <c r="AT82"/>
      <c r="AW82"/>
    </row>
    <row r="83" spans="1:49" x14ac:dyDescent="0.3">
      <c r="A83"/>
      <c r="B83"/>
      <c r="C83"/>
      <c r="D83"/>
      <c r="E83" s="1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P83"/>
      <c r="AQ83"/>
      <c r="AR83"/>
      <c r="AS83"/>
      <c r="AT83"/>
      <c r="AW83"/>
    </row>
    <row r="84" spans="1:49" x14ac:dyDescent="0.3">
      <c r="A84"/>
      <c r="B84"/>
      <c r="C84"/>
      <c r="D84"/>
      <c r="E84" s="1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P84"/>
      <c r="AQ84"/>
      <c r="AR84"/>
      <c r="AS84"/>
      <c r="AT84"/>
      <c r="AW84"/>
    </row>
    <row r="85" spans="1:49" x14ac:dyDescent="0.3">
      <c r="A85"/>
      <c r="B85"/>
      <c r="C85"/>
      <c r="D85"/>
      <c r="E85" s="1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P85"/>
      <c r="AQ85"/>
      <c r="AR85"/>
      <c r="AS85"/>
      <c r="AT85"/>
      <c r="AW85"/>
    </row>
    <row r="86" spans="1:49" x14ac:dyDescent="0.3">
      <c r="A86"/>
      <c r="B86"/>
      <c r="C86"/>
      <c r="D86"/>
      <c r="E86" s="1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P86"/>
      <c r="AQ86"/>
      <c r="AR86"/>
      <c r="AS86"/>
      <c r="AT86"/>
      <c r="AW86"/>
    </row>
    <row r="87" spans="1:49" x14ac:dyDescent="0.3">
      <c r="A87"/>
      <c r="B87"/>
      <c r="C87"/>
      <c r="D87"/>
      <c r="E87" s="1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P87"/>
      <c r="AQ87"/>
      <c r="AR87"/>
      <c r="AS87"/>
      <c r="AT87"/>
      <c r="AW87"/>
    </row>
    <row r="88" spans="1:49" x14ac:dyDescent="0.3">
      <c r="A88"/>
      <c r="B88"/>
      <c r="C88"/>
      <c r="D88"/>
      <c r="E88" s="1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P88"/>
      <c r="AQ88"/>
      <c r="AR88"/>
      <c r="AS88"/>
      <c r="AT88"/>
      <c r="AW88"/>
    </row>
    <row r="89" spans="1:49" x14ac:dyDescent="0.3">
      <c r="A89"/>
      <c r="B89"/>
      <c r="C89"/>
      <c r="D89"/>
      <c r="E89" s="1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P89"/>
      <c r="AQ89"/>
      <c r="AR89"/>
      <c r="AS89"/>
      <c r="AT89"/>
      <c r="AW89"/>
    </row>
    <row r="90" spans="1:49" x14ac:dyDescent="0.3">
      <c r="A90"/>
      <c r="B90"/>
      <c r="C90"/>
      <c r="D90"/>
      <c r="E90" s="1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P90"/>
      <c r="AQ90"/>
      <c r="AR90"/>
      <c r="AS90"/>
      <c r="AT90"/>
      <c r="AW90"/>
    </row>
    <row r="91" spans="1:49" x14ac:dyDescent="0.3">
      <c r="A91"/>
      <c r="B91"/>
      <c r="C91"/>
      <c r="D91"/>
      <c r="E91" s="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P91"/>
      <c r="AQ91"/>
      <c r="AR91"/>
      <c r="AS91"/>
      <c r="AT91"/>
      <c r="AW91"/>
    </row>
    <row r="92" spans="1:49" x14ac:dyDescent="0.3">
      <c r="A92"/>
      <c r="B92"/>
      <c r="C92"/>
      <c r="D92"/>
      <c r="E92" s="1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P92"/>
      <c r="AQ92"/>
      <c r="AR92"/>
      <c r="AS92"/>
      <c r="AT92"/>
      <c r="AW92"/>
    </row>
    <row r="93" spans="1:49" x14ac:dyDescent="0.3">
      <c r="A93"/>
      <c r="B93"/>
      <c r="C93"/>
      <c r="D93"/>
      <c r="E93" s="1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P93"/>
      <c r="AQ93"/>
      <c r="AR93"/>
      <c r="AS93"/>
      <c r="AT93"/>
      <c r="AW93"/>
    </row>
    <row r="94" spans="1:49" x14ac:dyDescent="0.3">
      <c r="A94"/>
      <c r="B94"/>
      <c r="C94"/>
      <c r="D94"/>
      <c r="E94" s="1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P94"/>
      <c r="AQ94"/>
      <c r="AR94"/>
      <c r="AS94"/>
      <c r="AT94"/>
      <c r="AW94"/>
    </row>
    <row r="95" spans="1:49" x14ac:dyDescent="0.3">
      <c r="A95"/>
      <c r="B95"/>
      <c r="C95"/>
      <c r="D95"/>
      <c r="E95" s="1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P95"/>
      <c r="AQ95"/>
      <c r="AR95"/>
      <c r="AS95"/>
      <c r="AT95"/>
      <c r="AW95"/>
    </row>
    <row r="96" spans="1:49" x14ac:dyDescent="0.3">
      <c r="A96"/>
      <c r="B96"/>
      <c r="C96"/>
      <c r="D96"/>
      <c r="E96" s="1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P96"/>
      <c r="AQ96"/>
      <c r="AR96"/>
      <c r="AS96"/>
      <c r="AT96"/>
      <c r="AW96"/>
    </row>
    <row r="97" spans="1:49" x14ac:dyDescent="0.3">
      <c r="A97"/>
      <c r="B97"/>
      <c r="C97"/>
      <c r="D97"/>
      <c r="E97" s="1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P97"/>
      <c r="AQ97"/>
      <c r="AR97"/>
      <c r="AS97"/>
      <c r="AT97"/>
      <c r="AW97"/>
    </row>
    <row r="98" spans="1:49" x14ac:dyDescent="0.3">
      <c r="A98"/>
      <c r="B98"/>
      <c r="C98"/>
      <c r="D98"/>
      <c r="E98" s="1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P98"/>
      <c r="AQ98"/>
      <c r="AR98"/>
      <c r="AS98"/>
      <c r="AT98"/>
      <c r="AW98"/>
    </row>
    <row r="99" spans="1:49" x14ac:dyDescent="0.3">
      <c r="A99"/>
      <c r="B99"/>
      <c r="C99"/>
      <c r="D99"/>
      <c r="E99" s="1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P99"/>
      <c r="AQ99"/>
      <c r="AR99"/>
      <c r="AS99"/>
      <c r="AT99"/>
      <c r="AW99"/>
    </row>
    <row r="100" spans="1:49" x14ac:dyDescent="0.3">
      <c r="A100"/>
      <c r="B100"/>
      <c r="C100"/>
      <c r="D100"/>
      <c r="E100" s="1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P100"/>
      <c r="AQ100"/>
      <c r="AR100"/>
      <c r="AS100"/>
      <c r="AT100"/>
      <c r="AW100"/>
    </row>
    <row r="101" spans="1:49" x14ac:dyDescent="0.3">
      <c r="A101"/>
      <c r="B101"/>
      <c r="C101"/>
      <c r="D101"/>
      <c r="E101" s="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P101"/>
      <c r="AQ101"/>
      <c r="AR101"/>
      <c r="AS101"/>
      <c r="AT101"/>
      <c r="AW101"/>
    </row>
    <row r="102" spans="1:49" x14ac:dyDescent="0.3">
      <c r="A102"/>
      <c r="B102"/>
      <c r="C102"/>
      <c r="D102"/>
      <c r="E102" s="1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P102"/>
      <c r="AQ102"/>
      <c r="AR102"/>
      <c r="AS102"/>
      <c r="AT102"/>
      <c r="AW102"/>
    </row>
    <row r="103" spans="1:49" x14ac:dyDescent="0.3">
      <c r="A103"/>
      <c r="B103"/>
      <c r="C103"/>
      <c r="D103"/>
      <c r="E103" s="1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P103"/>
      <c r="AQ103"/>
      <c r="AR103"/>
      <c r="AS103"/>
      <c r="AT103"/>
      <c r="AW103"/>
    </row>
    <row r="104" spans="1:49" x14ac:dyDescent="0.3">
      <c r="A104"/>
      <c r="B104"/>
      <c r="C104"/>
      <c r="D104"/>
      <c r="E104" s="1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P104"/>
      <c r="AQ104"/>
      <c r="AR104"/>
      <c r="AS104"/>
      <c r="AT104"/>
      <c r="AW104"/>
    </row>
    <row r="105" spans="1:49" x14ac:dyDescent="0.3">
      <c r="A105"/>
      <c r="B105"/>
      <c r="C105"/>
      <c r="D105"/>
      <c r="E105" s="1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P105"/>
      <c r="AQ105"/>
      <c r="AR105"/>
      <c r="AS105"/>
      <c r="AT105"/>
      <c r="AW105"/>
    </row>
    <row r="106" spans="1:49" x14ac:dyDescent="0.3">
      <c r="A106"/>
      <c r="B106"/>
      <c r="C106"/>
      <c r="D106"/>
      <c r="E106" s="1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P106"/>
      <c r="AQ106"/>
      <c r="AR106"/>
      <c r="AS106"/>
      <c r="AT106"/>
      <c r="AW106"/>
    </row>
    <row r="107" spans="1:49" x14ac:dyDescent="0.3">
      <c r="A107"/>
      <c r="B107"/>
      <c r="C107"/>
      <c r="D107"/>
      <c r="E107" s="1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P107"/>
      <c r="AQ107"/>
      <c r="AR107"/>
      <c r="AS107"/>
      <c r="AT107"/>
      <c r="AW107"/>
    </row>
    <row r="108" spans="1:49" x14ac:dyDescent="0.3">
      <c r="A108"/>
      <c r="B108"/>
      <c r="C108"/>
      <c r="D108"/>
      <c r="E108" s="1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P108"/>
      <c r="AQ108"/>
      <c r="AR108"/>
      <c r="AS108"/>
      <c r="AT108"/>
      <c r="AW108"/>
    </row>
    <row r="109" spans="1:49" x14ac:dyDescent="0.3">
      <c r="A109"/>
      <c r="B109"/>
      <c r="C109"/>
      <c r="D109"/>
      <c r="E109" s="1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P109"/>
      <c r="AQ109"/>
      <c r="AR109"/>
      <c r="AS109"/>
      <c r="AT109"/>
      <c r="AW109"/>
    </row>
    <row r="110" spans="1:49" x14ac:dyDescent="0.3">
      <c r="A110"/>
      <c r="B110"/>
      <c r="C110"/>
      <c r="D110"/>
      <c r="E110" s="1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P110"/>
      <c r="AQ110"/>
      <c r="AR110"/>
      <c r="AS110"/>
      <c r="AT110"/>
      <c r="AW110"/>
    </row>
    <row r="111" spans="1:49" x14ac:dyDescent="0.3">
      <c r="A111"/>
      <c r="B111"/>
      <c r="C111"/>
      <c r="D111"/>
      <c r="E111" s="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P111"/>
      <c r="AQ111"/>
      <c r="AR111"/>
      <c r="AS111"/>
      <c r="AT111"/>
      <c r="AW111"/>
    </row>
    <row r="112" spans="1:49" x14ac:dyDescent="0.3">
      <c r="A112"/>
      <c r="B112"/>
      <c r="C112"/>
      <c r="D112"/>
      <c r="E112" s="1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P112"/>
      <c r="AQ112"/>
      <c r="AR112"/>
      <c r="AS112"/>
      <c r="AT112"/>
      <c r="AW112"/>
    </row>
    <row r="113" spans="1:49" x14ac:dyDescent="0.3">
      <c r="A113"/>
      <c r="B113"/>
      <c r="C113"/>
      <c r="D113"/>
      <c r="E113" s="1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P113"/>
      <c r="AQ113"/>
      <c r="AR113"/>
      <c r="AS113"/>
      <c r="AT113"/>
      <c r="AW113"/>
    </row>
    <row r="114" spans="1:49" x14ac:dyDescent="0.3">
      <c r="A114"/>
      <c r="B114"/>
      <c r="C114"/>
      <c r="D114"/>
      <c r="E114" s="1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P114"/>
      <c r="AQ114"/>
      <c r="AR114"/>
      <c r="AS114"/>
      <c r="AT114"/>
      <c r="AW114"/>
    </row>
    <row r="115" spans="1:49" x14ac:dyDescent="0.3">
      <c r="A115"/>
      <c r="B115"/>
      <c r="C115"/>
      <c r="D115"/>
      <c r="E115" s="1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P115"/>
      <c r="AQ115"/>
      <c r="AR115"/>
      <c r="AS115"/>
      <c r="AT115"/>
      <c r="AW115"/>
    </row>
    <row r="116" spans="1:49" x14ac:dyDescent="0.3">
      <c r="A116"/>
      <c r="B116"/>
      <c r="C116"/>
      <c r="D116"/>
      <c r="E116" s="1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P116"/>
      <c r="AQ116"/>
      <c r="AR116"/>
      <c r="AS116"/>
      <c r="AT116"/>
      <c r="AW116"/>
    </row>
    <row r="117" spans="1:49" x14ac:dyDescent="0.3">
      <c r="A117"/>
      <c r="B117"/>
      <c r="C117"/>
      <c r="D117"/>
      <c r="E117" s="1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P117"/>
      <c r="AQ117"/>
      <c r="AR117"/>
      <c r="AS117"/>
      <c r="AT117"/>
      <c r="AW117"/>
    </row>
    <row r="118" spans="1:49" x14ac:dyDescent="0.3">
      <c r="A118"/>
      <c r="B118"/>
      <c r="C118"/>
      <c r="D118"/>
      <c r="E118" s="1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P118"/>
      <c r="AQ118"/>
      <c r="AR118"/>
      <c r="AS118"/>
      <c r="AT118"/>
      <c r="AW118"/>
    </row>
    <row r="119" spans="1:49" x14ac:dyDescent="0.3">
      <c r="A119"/>
      <c r="B119"/>
      <c r="C119"/>
      <c r="D119"/>
      <c r="E119" s="1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P119"/>
      <c r="AQ119"/>
      <c r="AR119"/>
      <c r="AS119"/>
      <c r="AT119"/>
      <c r="AW119"/>
    </row>
    <row r="120" spans="1:49" x14ac:dyDescent="0.3">
      <c r="A120"/>
      <c r="B120"/>
      <c r="C120"/>
      <c r="D120"/>
      <c r="E120" s="1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P120"/>
      <c r="AQ120"/>
      <c r="AR120"/>
      <c r="AS120"/>
      <c r="AT120"/>
      <c r="AW120"/>
    </row>
    <row r="121" spans="1:49" x14ac:dyDescent="0.3">
      <c r="A121"/>
      <c r="B121"/>
      <c r="C121"/>
      <c r="D121"/>
      <c r="E121" s="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P121"/>
      <c r="AQ121"/>
      <c r="AR121"/>
      <c r="AS121"/>
      <c r="AT121"/>
      <c r="AW121"/>
    </row>
    <row r="122" spans="1:49" x14ac:dyDescent="0.3">
      <c r="A122"/>
      <c r="B122"/>
      <c r="C122"/>
      <c r="D122"/>
      <c r="E122" s="1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P122"/>
      <c r="AQ122"/>
      <c r="AR122"/>
      <c r="AS122"/>
      <c r="AT122"/>
      <c r="AW122"/>
    </row>
    <row r="123" spans="1:49" x14ac:dyDescent="0.3">
      <c r="A123"/>
      <c r="B123"/>
      <c r="C123"/>
      <c r="D123"/>
      <c r="E123" s="1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P123"/>
      <c r="AQ123"/>
      <c r="AR123"/>
      <c r="AS123"/>
      <c r="AT123"/>
      <c r="AW123"/>
    </row>
    <row r="124" spans="1:49" x14ac:dyDescent="0.3">
      <c r="A124"/>
      <c r="B124"/>
      <c r="C124"/>
      <c r="D124"/>
      <c r="E124" s="1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P124"/>
      <c r="AQ124"/>
      <c r="AR124"/>
      <c r="AS124"/>
      <c r="AT124"/>
      <c r="AW124"/>
    </row>
    <row r="125" spans="1:49" x14ac:dyDescent="0.3">
      <c r="A125"/>
      <c r="B125"/>
      <c r="C125"/>
      <c r="D125"/>
      <c r="E125" s="1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P125"/>
      <c r="AQ125"/>
      <c r="AR125"/>
      <c r="AS125"/>
      <c r="AT125"/>
      <c r="AW125"/>
    </row>
    <row r="126" spans="1:49" x14ac:dyDescent="0.3">
      <c r="A126"/>
      <c r="B126"/>
      <c r="C126"/>
      <c r="D126"/>
      <c r="E126" s="1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P126"/>
      <c r="AQ126"/>
      <c r="AR126"/>
      <c r="AS126"/>
      <c r="AT126"/>
      <c r="AW126"/>
    </row>
    <row r="127" spans="1:49" x14ac:dyDescent="0.3">
      <c r="A127"/>
      <c r="B127"/>
      <c r="C127"/>
      <c r="D127"/>
      <c r="E127" s="1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P127"/>
      <c r="AQ127"/>
      <c r="AR127"/>
      <c r="AS127"/>
      <c r="AT127"/>
      <c r="AW127"/>
    </row>
    <row r="128" spans="1:49" x14ac:dyDescent="0.3">
      <c r="A128"/>
      <c r="B128"/>
      <c r="C128"/>
      <c r="D128"/>
      <c r="E128" s="1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P128"/>
      <c r="AQ128"/>
      <c r="AR128"/>
      <c r="AS128"/>
      <c r="AT128"/>
      <c r="AW128"/>
    </row>
    <row r="129" spans="1:49" x14ac:dyDescent="0.3">
      <c r="A129"/>
      <c r="B129"/>
      <c r="C129"/>
      <c r="D129"/>
      <c r="E129" s="1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P129"/>
      <c r="AQ129"/>
      <c r="AR129"/>
      <c r="AS129"/>
      <c r="AT129"/>
      <c r="AW129"/>
    </row>
    <row r="130" spans="1:49" x14ac:dyDescent="0.3">
      <c r="A130"/>
      <c r="B130"/>
      <c r="C130"/>
      <c r="D130"/>
      <c r="E130" s="1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P130"/>
      <c r="AQ130"/>
      <c r="AR130"/>
      <c r="AS130"/>
      <c r="AT130"/>
      <c r="AW130"/>
    </row>
    <row r="131" spans="1:49" x14ac:dyDescent="0.3">
      <c r="A131"/>
      <c r="B131"/>
      <c r="C131"/>
      <c r="D131"/>
      <c r="E131" s="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P131"/>
      <c r="AQ131"/>
      <c r="AR131"/>
      <c r="AS131"/>
      <c r="AT131"/>
      <c r="AW131"/>
    </row>
    <row r="132" spans="1:49" x14ac:dyDescent="0.3">
      <c r="A132"/>
      <c r="B132"/>
      <c r="C132"/>
      <c r="D132"/>
      <c r="E132" s="1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P132"/>
      <c r="AQ132"/>
      <c r="AR132"/>
      <c r="AS132"/>
      <c r="AT132"/>
      <c r="AW132"/>
    </row>
    <row r="133" spans="1:49" x14ac:dyDescent="0.3">
      <c r="A133"/>
      <c r="B133"/>
      <c r="C133"/>
      <c r="D133"/>
      <c r="E133" s="1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P133"/>
      <c r="AQ133"/>
      <c r="AR133"/>
      <c r="AS133"/>
      <c r="AT133"/>
      <c r="AW133"/>
    </row>
    <row r="134" spans="1:49" x14ac:dyDescent="0.3">
      <c r="A134"/>
      <c r="B134"/>
      <c r="C134"/>
      <c r="D134"/>
      <c r="E134" s="1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P134"/>
      <c r="AQ134"/>
      <c r="AR134"/>
      <c r="AS134"/>
      <c r="AT134"/>
      <c r="AW134"/>
    </row>
    <row r="135" spans="1:49" x14ac:dyDescent="0.3">
      <c r="A135"/>
      <c r="B135"/>
      <c r="C135"/>
      <c r="D135"/>
      <c r="E135" s="1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P135"/>
      <c r="AQ135"/>
      <c r="AR135"/>
      <c r="AS135"/>
      <c r="AT135"/>
      <c r="AW135"/>
    </row>
    <row r="136" spans="1:49" x14ac:dyDescent="0.3">
      <c r="A136"/>
      <c r="B136"/>
      <c r="C136"/>
      <c r="D136"/>
      <c r="E136" s="1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P136"/>
      <c r="AQ136"/>
      <c r="AR136"/>
      <c r="AS136"/>
      <c r="AT136"/>
      <c r="AW136"/>
    </row>
    <row r="137" spans="1:49" x14ac:dyDescent="0.3">
      <c r="A137"/>
      <c r="B137"/>
      <c r="C137"/>
      <c r="D137"/>
      <c r="E137" s="1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P137"/>
      <c r="AQ137"/>
      <c r="AR137"/>
      <c r="AS137"/>
      <c r="AT137"/>
      <c r="AW137"/>
    </row>
    <row r="138" spans="1:49" x14ac:dyDescent="0.3">
      <c r="A138"/>
      <c r="B138"/>
      <c r="C138"/>
      <c r="D138"/>
      <c r="E138" s="1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P138"/>
      <c r="AQ138"/>
      <c r="AR138"/>
      <c r="AS138"/>
      <c r="AT138"/>
      <c r="AW138"/>
    </row>
    <row r="139" spans="1:49" x14ac:dyDescent="0.3">
      <c r="A139"/>
      <c r="B139"/>
      <c r="C139"/>
      <c r="D139"/>
      <c r="E139" s="1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P139"/>
      <c r="AQ139"/>
      <c r="AR139"/>
      <c r="AS139"/>
      <c r="AT139"/>
      <c r="AW139"/>
    </row>
    <row r="140" spans="1:49" x14ac:dyDescent="0.3">
      <c r="A140"/>
      <c r="B140"/>
      <c r="C140"/>
      <c r="D140"/>
      <c r="E140" s="1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P140"/>
      <c r="AQ140"/>
      <c r="AR140"/>
      <c r="AS140"/>
      <c r="AT140"/>
      <c r="AW140"/>
    </row>
    <row r="141" spans="1:49" x14ac:dyDescent="0.3">
      <c r="A141"/>
      <c r="B141"/>
      <c r="C141"/>
      <c r="D141"/>
      <c r="E141" s="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P141"/>
      <c r="AQ141"/>
      <c r="AR141"/>
      <c r="AS141"/>
      <c r="AT141"/>
      <c r="AW141"/>
    </row>
    <row r="142" spans="1:49" x14ac:dyDescent="0.3">
      <c r="A142"/>
      <c r="B142"/>
      <c r="C142"/>
      <c r="D142"/>
      <c r="E142" s="1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P142"/>
      <c r="AQ142"/>
      <c r="AR142"/>
      <c r="AS142"/>
      <c r="AT142"/>
      <c r="AW142"/>
    </row>
    <row r="143" spans="1:49" x14ac:dyDescent="0.3">
      <c r="A143"/>
      <c r="B143"/>
      <c r="C143"/>
      <c r="D143"/>
      <c r="E143" s="1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P143"/>
      <c r="AQ143"/>
      <c r="AR143"/>
      <c r="AS143"/>
      <c r="AT143"/>
      <c r="AW143"/>
    </row>
    <row r="144" spans="1:49" x14ac:dyDescent="0.3">
      <c r="A144"/>
      <c r="B144"/>
      <c r="C144"/>
      <c r="D144"/>
      <c r="E144" s="1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P144"/>
      <c r="AQ144"/>
      <c r="AR144"/>
      <c r="AS144"/>
      <c r="AT144"/>
      <c r="AW144"/>
    </row>
    <row r="145" spans="1:49" x14ac:dyDescent="0.3">
      <c r="A145"/>
      <c r="B145"/>
      <c r="C145"/>
      <c r="D145"/>
      <c r="E145" s="1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P145"/>
      <c r="AQ145"/>
      <c r="AR145"/>
      <c r="AS145"/>
      <c r="AT145"/>
      <c r="AW145"/>
    </row>
    <row r="146" spans="1:49" x14ac:dyDescent="0.3">
      <c r="A146"/>
      <c r="B146"/>
      <c r="C146"/>
      <c r="D146"/>
      <c r="E146" s="1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P146"/>
      <c r="AQ146"/>
      <c r="AR146"/>
      <c r="AS146"/>
      <c r="AT146"/>
      <c r="AW146"/>
    </row>
    <row r="147" spans="1:49" x14ac:dyDescent="0.3">
      <c r="A147"/>
      <c r="B147"/>
      <c r="C147"/>
      <c r="D147"/>
      <c r="E147" s="1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P147"/>
      <c r="AQ147"/>
      <c r="AR147"/>
      <c r="AS147"/>
      <c r="AT147"/>
      <c r="AW147"/>
    </row>
    <row r="148" spans="1:49" x14ac:dyDescent="0.3">
      <c r="A148"/>
      <c r="B148"/>
      <c r="C148"/>
      <c r="D148"/>
      <c r="E148" s="1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P148"/>
      <c r="AQ148"/>
      <c r="AR148"/>
      <c r="AS148"/>
      <c r="AT148"/>
      <c r="AW148"/>
    </row>
    <row r="149" spans="1:49" x14ac:dyDescent="0.3">
      <c r="A149"/>
      <c r="B149"/>
      <c r="C149"/>
      <c r="D149"/>
      <c r="E149" s="1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P149"/>
      <c r="AQ149"/>
      <c r="AR149"/>
      <c r="AS149"/>
      <c r="AT149"/>
      <c r="AW149"/>
    </row>
    <row r="150" spans="1:49" x14ac:dyDescent="0.3">
      <c r="A150"/>
      <c r="B150"/>
      <c r="C150"/>
      <c r="D150"/>
      <c r="E150" s="1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P150"/>
      <c r="AQ150"/>
      <c r="AR150"/>
      <c r="AS150"/>
      <c r="AT150"/>
      <c r="AW150"/>
    </row>
    <row r="151" spans="1:49" x14ac:dyDescent="0.3">
      <c r="A151"/>
      <c r="B151"/>
      <c r="C151"/>
      <c r="D151"/>
      <c r="E151" s="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P151"/>
      <c r="AQ151"/>
      <c r="AR151"/>
      <c r="AS151"/>
      <c r="AT151"/>
      <c r="AW151"/>
    </row>
    <row r="152" spans="1:49" x14ac:dyDescent="0.3">
      <c r="A152"/>
      <c r="B152"/>
      <c r="C152"/>
      <c r="D152"/>
      <c r="E152" s="1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P152"/>
      <c r="AQ152"/>
      <c r="AR152"/>
      <c r="AS152"/>
      <c r="AT152"/>
      <c r="AW152"/>
    </row>
    <row r="153" spans="1:49" x14ac:dyDescent="0.3">
      <c r="A153"/>
      <c r="B153"/>
      <c r="C153"/>
      <c r="D153"/>
      <c r="E153" s="1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P153"/>
      <c r="AQ153"/>
      <c r="AR153"/>
      <c r="AS153"/>
      <c r="AT153"/>
      <c r="AW153"/>
    </row>
    <row r="154" spans="1:49" x14ac:dyDescent="0.3">
      <c r="A154"/>
      <c r="B154"/>
      <c r="C154"/>
      <c r="D154"/>
      <c r="E154" s="1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P154"/>
      <c r="AQ154"/>
      <c r="AR154"/>
      <c r="AS154"/>
      <c r="AT154"/>
      <c r="AW154"/>
    </row>
    <row r="155" spans="1:49" x14ac:dyDescent="0.3">
      <c r="A155"/>
      <c r="B155"/>
      <c r="C155"/>
      <c r="D155"/>
      <c r="E155" s="1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P155"/>
      <c r="AQ155"/>
      <c r="AR155"/>
      <c r="AS155"/>
      <c r="AT155"/>
      <c r="AW155"/>
    </row>
    <row r="156" spans="1:49" x14ac:dyDescent="0.3">
      <c r="A156"/>
      <c r="B156"/>
      <c r="C156"/>
      <c r="D156"/>
      <c r="E156" s="1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P156"/>
      <c r="AQ156"/>
      <c r="AR156"/>
      <c r="AS156"/>
      <c r="AT156"/>
      <c r="AW156"/>
    </row>
    <row r="157" spans="1:49" x14ac:dyDescent="0.3">
      <c r="A157"/>
      <c r="B157"/>
      <c r="C157"/>
      <c r="D157"/>
      <c r="E157" s="1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P157"/>
      <c r="AQ157"/>
      <c r="AR157"/>
      <c r="AS157"/>
      <c r="AT157"/>
      <c r="AW157"/>
    </row>
    <row r="158" spans="1:49" x14ac:dyDescent="0.3">
      <c r="A158"/>
      <c r="B158"/>
      <c r="C158"/>
      <c r="D158"/>
      <c r="E158" s="1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P158"/>
      <c r="AQ158"/>
      <c r="AR158"/>
      <c r="AS158"/>
      <c r="AT158"/>
      <c r="AW158"/>
    </row>
    <row r="159" spans="1:49" x14ac:dyDescent="0.3">
      <c r="A159"/>
      <c r="B159"/>
      <c r="C159"/>
      <c r="D159"/>
      <c r="E159" s="1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P159"/>
      <c r="AQ159"/>
      <c r="AR159"/>
      <c r="AS159"/>
      <c r="AT159"/>
      <c r="AW159"/>
    </row>
    <row r="160" spans="1:49" x14ac:dyDescent="0.3">
      <c r="A160"/>
      <c r="B160"/>
      <c r="C160"/>
      <c r="D160"/>
      <c r="E160" s="1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P160"/>
      <c r="AQ160"/>
      <c r="AR160"/>
      <c r="AS160"/>
      <c r="AT160"/>
      <c r="AW160"/>
    </row>
    <row r="161" spans="1:49" x14ac:dyDescent="0.3">
      <c r="A161"/>
      <c r="B161"/>
      <c r="C161"/>
      <c r="D161"/>
      <c r="E161" s="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P161"/>
      <c r="AQ161"/>
      <c r="AR161"/>
      <c r="AS161"/>
      <c r="AT161"/>
      <c r="AW161"/>
    </row>
    <row r="162" spans="1:49" x14ac:dyDescent="0.3">
      <c r="A162"/>
      <c r="B162"/>
      <c r="C162"/>
      <c r="D162"/>
      <c r="E162" s="1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P162"/>
      <c r="AQ162"/>
      <c r="AR162"/>
      <c r="AS162"/>
      <c r="AT162"/>
      <c r="AW162"/>
    </row>
    <row r="163" spans="1:49" x14ac:dyDescent="0.3">
      <c r="A163"/>
      <c r="B163"/>
      <c r="C163"/>
      <c r="D163"/>
      <c r="E163" s="1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P163"/>
      <c r="AQ163"/>
      <c r="AR163"/>
      <c r="AS163"/>
      <c r="AT163"/>
      <c r="AW163"/>
    </row>
    <row r="164" spans="1:49" x14ac:dyDescent="0.3">
      <c r="A164"/>
      <c r="B164"/>
      <c r="C164"/>
      <c r="D164"/>
      <c r="E164" s="1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P164"/>
      <c r="AQ164"/>
      <c r="AR164"/>
      <c r="AS164"/>
      <c r="AT164"/>
      <c r="AW164"/>
    </row>
    <row r="165" spans="1:49" x14ac:dyDescent="0.3">
      <c r="A165"/>
      <c r="B165"/>
      <c r="C165"/>
      <c r="D165"/>
      <c r="E165" s="1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P165"/>
      <c r="AQ165"/>
      <c r="AR165"/>
      <c r="AS165"/>
      <c r="AT165"/>
      <c r="AW165"/>
    </row>
    <row r="166" spans="1:49" x14ac:dyDescent="0.3">
      <c r="A166"/>
      <c r="B166"/>
      <c r="C166"/>
      <c r="D166"/>
      <c r="E166" s="1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P166"/>
      <c r="AQ166"/>
      <c r="AR166"/>
      <c r="AS166"/>
      <c r="AT166"/>
      <c r="AW166"/>
    </row>
    <row r="167" spans="1:49" x14ac:dyDescent="0.3">
      <c r="A167"/>
      <c r="B167"/>
      <c r="C167"/>
      <c r="D167"/>
      <c r="E167" s="1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P167"/>
      <c r="AQ167"/>
      <c r="AR167"/>
      <c r="AS167"/>
      <c r="AT167"/>
      <c r="AW167"/>
    </row>
    <row r="168" spans="1:49" x14ac:dyDescent="0.3">
      <c r="A168"/>
      <c r="B168"/>
      <c r="C168"/>
      <c r="D168"/>
      <c r="E168" s="1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P168"/>
      <c r="AQ168"/>
      <c r="AR168"/>
      <c r="AS168"/>
      <c r="AT168"/>
      <c r="AW168"/>
    </row>
    <row r="169" spans="1:49" x14ac:dyDescent="0.3">
      <c r="A169"/>
      <c r="B169"/>
      <c r="C169"/>
      <c r="D169"/>
      <c r="E169" s="1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P169"/>
      <c r="AQ169"/>
      <c r="AR169"/>
      <c r="AS169"/>
      <c r="AT169"/>
      <c r="AW169"/>
    </row>
    <row r="170" spans="1:49" x14ac:dyDescent="0.3">
      <c r="A170"/>
      <c r="B170"/>
      <c r="C170"/>
      <c r="D170"/>
      <c r="E170" s="1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P170"/>
      <c r="AQ170"/>
      <c r="AR170"/>
      <c r="AS170"/>
      <c r="AT170"/>
      <c r="AW170"/>
    </row>
    <row r="171" spans="1:49" x14ac:dyDescent="0.3">
      <c r="A171"/>
      <c r="B171"/>
      <c r="C171"/>
      <c r="D171"/>
      <c r="E171" s="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P171"/>
      <c r="AQ171"/>
      <c r="AR171"/>
      <c r="AS171"/>
      <c r="AT171"/>
      <c r="AW171"/>
    </row>
    <row r="172" spans="1:49" x14ac:dyDescent="0.3">
      <c r="A172"/>
      <c r="B172"/>
      <c r="C172"/>
      <c r="D172"/>
      <c r="E172" s="1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P172"/>
      <c r="AQ172"/>
      <c r="AR172"/>
      <c r="AS172"/>
      <c r="AT172"/>
      <c r="AW172"/>
    </row>
    <row r="173" spans="1:49" x14ac:dyDescent="0.3">
      <c r="A173"/>
      <c r="B173"/>
      <c r="C173"/>
      <c r="D173"/>
      <c r="E173" s="1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P173"/>
      <c r="AQ173"/>
      <c r="AR173"/>
      <c r="AS173"/>
      <c r="AT173"/>
      <c r="AW173"/>
    </row>
    <row r="174" spans="1:49" x14ac:dyDescent="0.3">
      <c r="A174"/>
      <c r="B174"/>
      <c r="C174"/>
      <c r="D174"/>
      <c r="E174" s="1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P174"/>
      <c r="AQ174"/>
      <c r="AR174"/>
      <c r="AS174"/>
      <c r="AT174"/>
      <c r="AW174"/>
    </row>
    <row r="175" spans="1:49" x14ac:dyDescent="0.3">
      <c r="A175"/>
      <c r="B175"/>
      <c r="C175"/>
      <c r="D175"/>
      <c r="E175" s="1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P175"/>
      <c r="AQ175"/>
      <c r="AR175"/>
      <c r="AS175"/>
      <c r="AT175"/>
      <c r="AW175"/>
    </row>
    <row r="176" spans="1:49" x14ac:dyDescent="0.3">
      <c r="A176"/>
      <c r="B176"/>
      <c r="C176"/>
      <c r="D176"/>
      <c r="E176" s="1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P176"/>
      <c r="AQ176"/>
      <c r="AR176"/>
      <c r="AS176"/>
      <c r="AT176"/>
      <c r="AW176"/>
    </row>
    <row r="177" spans="1:49" x14ac:dyDescent="0.3">
      <c r="A177"/>
      <c r="B177"/>
      <c r="C177"/>
      <c r="D177"/>
      <c r="E177" s="1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P177"/>
      <c r="AQ177"/>
      <c r="AR177"/>
      <c r="AS177"/>
      <c r="AT177"/>
      <c r="AW177"/>
    </row>
    <row r="178" spans="1:49" x14ac:dyDescent="0.3">
      <c r="A178"/>
      <c r="B178"/>
      <c r="C178"/>
      <c r="D178"/>
      <c r="E178" s="1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P178"/>
      <c r="AQ178"/>
      <c r="AR178"/>
      <c r="AS178"/>
      <c r="AT178"/>
      <c r="AW178"/>
    </row>
    <row r="179" spans="1:49" x14ac:dyDescent="0.3">
      <c r="A179"/>
      <c r="B179"/>
      <c r="C179"/>
      <c r="D179"/>
      <c r="E179" s="1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P179"/>
      <c r="AQ179"/>
      <c r="AR179"/>
      <c r="AS179"/>
      <c r="AT179"/>
      <c r="AW179"/>
    </row>
    <row r="180" spans="1:49" x14ac:dyDescent="0.3">
      <c r="A180"/>
      <c r="B180"/>
      <c r="C180"/>
      <c r="D180"/>
      <c r="E180" s="1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P180"/>
      <c r="AQ180"/>
      <c r="AR180"/>
      <c r="AS180"/>
      <c r="AT180"/>
      <c r="AW180"/>
    </row>
    <row r="181" spans="1:49" x14ac:dyDescent="0.3">
      <c r="A181"/>
      <c r="B181"/>
      <c r="C181"/>
      <c r="D181"/>
      <c r="E181" s="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P181"/>
      <c r="AQ181"/>
      <c r="AR181"/>
      <c r="AS181"/>
      <c r="AT181"/>
      <c r="AW181"/>
    </row>
    <row r="182" spans="1:49" x14ac:dyDescent="0.3">
      <c r="A182"/>
      <c r="B182"/>
      <c r="C182"/>
      <c r="D182"/>
      <c r="E182" s="1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P182"/>
      <c r="AQ182"/>
      <c r="AR182"/>
      <c r="AS182"/>
      <c r="AT182"/>
      <c r="AW182"/>
    </row>
    <row r="183" spans="1:49" x14ac:dyDescent="0.3">
      <c r="A183"/>
      <c r="B183"/>
      <c r="C183"/>
      <c r="D183"/>
      <c r="E183" s="1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P183"/>
      <c r="AQ183"/>
      <c r="AR183"/>
      <c r="AS183"/>
      <c r="AT183"/>
      <c r="AW183"/>
    </row>
    <row r="184" spans="1:49" x14ac:dyDescent="0.3">
      <c r="A184"/>
      <c r="B184"/>
      <c r="C184"/>
      <c r="D184"/>
      <c r="E184" s="1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P184"/>
      <c r="AQ184"/>
      <c r="AR184"/>
      <c r="AS184"/>
      <c r="AT184"/>
      <c r="AW184"/>
    </row>
    <row r="185" spans="1:49" x14ac:dyDescent="0.3">
      <c r="A185"/>
      <c r="B185"/>
      <c r="C185"/>
      <c r="D185"/>
      <c r="E185" s="1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P185"/>
      <c r="AQ185"/>
      <c r="AR185"/>
      <c r="AS185"/>
      <c r="AT185"/>
      <c r="AW185"/>
    </row>
    <row r="186" spans="1:49" x14ac:dyDescent="0.3">
      <c r="A186"/>
      <c r="B186"/>
      <c r="C186"/>
      <c r="D186"/>
      <c r="E186" s="1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P186"/>
      <c r="AQ186"/>
      <c r="AR186"/>
      <c r="AS186"/>
      <c r="AT186"/>
      <c r="AW186"/>
    </row>
    <row r="187" spans="1:49" x14ac:dyDescent="0.3">
      <c r="A187"/>
      <c r="B187"/>
      <c r="C187"/>
      <c r="D187"/>
      <c r="E187" s="1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P187"/>
      <c r="AQ187"/>
      <c r="AR187"/>
      <c r="AS187"/>
      <c r="AT187"/>
      <c r="AW187"/>
    </row>
    <row r="188" spans="1:49" x14ac:dyDescent="0.3">
      <c r="A188"/>
      <c r="B188"/>
      <c r="C188"/>
      <c r="D188"/>
      <c r="E188" s="1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P188"/>
      <c r="AQ188"/>
      <c r="AR188"/>
      <c r="AS188"/>
      <c r="AT188"/>
      <c r="AW188"/>
    </row>
    <row r="189" spans="1:49" x14ac:dyDescent="0.3">
      <c r="A189"/>
      <c r="B189"/>
      <c r="C189"/>
      <c r="D189"/>
      <c r="E189" s="1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P189"/>
      <c r="AQ189"/>
      <c r="AR189"/>
      <c r="AS189"/>
      <c r="AT189"/>
      <c r="AW189"/>
    </row>
    <row r="190" spans="1:49" x14ac:dyDescent="0.3">
      <c r="A190"/>
      <c r="B190"/>
      <c r="C190"/>
      <c r="D190"/>
      <c r="E190" s="1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P190"/>
      <c r="AQ190"/>
      <c r="AR190"/>
      <c r="AS190"/>
      <c r="AT190"/>
      <c r="AW190"/>
    </row>
    <row r="191" spans="1:49" x14ac:dyDescent="0.3">
      <c r="A191"/>
      <c r="B191"/>
      <c r="C191"/>
      <c r="D191"/>
      <c r="E191" s="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P191"/>
      <c r="AQ191"/>
      <c r="AR191"/>
      <c r="AS191"/>
      <c r="AT191"/>
      <c r="AW191"/>
    </row>
    <row r="192" spans="1:49" x14ac:dyDescent="0.3">
      <c r="A192"/>
      <c r="B192"/>
      <c r="C192"/>
      <c r="D192"/>
      <c r="E192" s="1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P192"/>
      <c r="AQ192"/>
      <c r="AR192"/>
      <c r="AS192"/>
      <c r="AT192"/>
      <c r="AW192"/>
    </row>
    <row r="193" spans="1:49" x14ac:dyDescent="0.3">
      <c r="A193"/>
      <c r="B193"/>
      <c r="C193"/>
      <c r="D193"/>
      <c r="E193" s="1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P193"/>
      <c r="AQ193"/>
      <c r="AR193"/>
      <c r="AS193"/>
      <c r="AT193"/>
      <c r="AW193"/>
    </row>
    <row r="194" spans="1:49" x14ac:dyDescent="0.3">
      <c r="A194"/>
      <c r="B194"/>
      <c r="C194"/>
      <c r="D194"/>
      <c r="E194" s="1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P194"/>
      <c r="AQ194"/>
      <c r="AR194"/>
      <c r="AS194"/>
      <c r="AT194"/>
      <c r="AW194"/>
    </row>
    <row r="195" spans="1:49" x14ac:dyDescent="0.3">
      <c r="A195"/>
      <c r="B195"/>
      <c r="C195"/>
      <c r="D195"/>
      <c r="E195" s="1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P195"/>
      <c r="AQ195"/>
      <c r="AR195"/>
      <c r="AS195"/>
      <c r="AT195"/>
      <c r="AW195"/>
    </row>
    <row r="196" spans="1:49" x14ac:dyDescent="0.3">
      <c r="A196"/>
      <c r="B196"/>
      <c r="C196"/>
      <c r="D196"/>
      <c r="E196" s="1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P196"/>
      <c r="AQ196"/>
      <c r="AR196"/>
      <c r="AS196"/>
      <c r="AT196"/>
      <c r="AW196"/>
    </row>
    <row r="197" spans="1:49" x14ac:dyDescent="0.3">
      <c r="A197"/>
      <c r="B197"/>
      <c r="C197"/>
      <c r="D197"/>
      <c r="E197" s="1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P197"/>
      <c r="AQ197"/>
      <c r="AR197"/>
      <c r="AS197"/>
      <c r="AT197"/>
      <c r="AW197"/>
    </row>
    <row r="198" spans="1:49" x14ac:dyDescent="0.3">
      <c r="A198"/>
      <c r="B198"/>
      <c r="C198"/>
      <c r="D198"/>
      <c r="E198" s="1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P198"/>
      <c r="AQ198"/>
      <c r="AR198"/>
      <c r="AS198"/>
      <c r="AT198"/>
      <c r="AW198"/>
    </row>
    <row r="199" spans="1:49" x14ac:dyDescent="0.3">
      <c r="A199"/>
      <c r="B199"/>
      <c r="C199"/>
      <c r="D199"/>
      <c r="E199" s="1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P199"/>
      <c r="AQ199"/>
      <c r="AR199"/>
      <c r="AS199"/>
      <c r="AT199"/>
      <c r="AW199"/>
    </row>
    <row r="200" spans="1:49" x14ac:dyDescent="0.3">
      <c r="A200"/>
      <c r="B200"/>
      <c r="C200"/>
      <c r="D200"/>
      <c r="E200" s="1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P200"/>
      <c r="AQ200"/>
      <c r="AR200"/>
      <c r="AS200"/>
      <c r="AT200"/>
      <c r="AW200"/>
    </row>
    <row r="201" spans="1:49" x14ac:dyDescent="0.3">
      <c r="A201"/>
      <c r="B201"/>
      <c r="C201"/>
      <c r="D201"/>
      <c r="E201" s="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P201"/>
      <c r="AQ201"/>
      <c r="AR201"/>
      <c r="AS201"/>
      <c r="AT201"/>
      <c r="AW201"/>
    </row>
    <row r="202" spans="1:49" x14ac:dyDescent="0.3">
      <c r="A202"/>
      <c r="B202"/>
      <c r="C202"/>
      <c r="D202"/>
      <c r="E202" s="1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P202"/>
      <c r="AQ202"/>
      <c r="AR202"/>
      <c r="AS202"/>
      <c r="AT202"/>
      <c r="AW202"/>
    </row>
    <row r="203" spans="1:49" x14ac:dyDescent="0.3">
      <c r="A203"/>
      <c r="B203"/>
      <c r="C203"/>
      <c r="D203"/>
      <c r="E203" s="1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P203"/>
      <c r="AQ203"/>
      <c r="AR203"/>
      <c r="AS203"/>
      <c r="AT203"/>
      <c r="AW203"/>
    </row>
    <row r="204" spans="1:49" x14ac:dyDescent="0.3">
      <c r="A204"/>
      <c r="B204"/>
      <c r="C204"/>
      <c r="D204"/>
      <c r="E204" s="1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P204"/>
      <c r="AQ204"/>
      <c r="AR204"/>
      <c r="AS204"/>
      <c r="AT204"/>
      <c r="AW204"/>
    </row>
    <row r="205" spans="1:49" x14ac:dyDescent="0.3">
      <c r="A205"/>
      <c r="B205"/>
      <c r="C205"/>
      <c r="D205"/>
      <c r="E205" s="1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P205"/>
      <c r="AQ205"/>
      <c r="AR205"/>
      <c r="AS205"/>
      <c r="AT205"/>
      <c r="AW205"/>
    </row>
    <row r="206" spans="1:49" x14ac:dyDescent="0.3">
      <c r="A206"/>
      <c r="B206"/>
      <c r="C206"/>
      <c r="D206"/>
      <c r="E206" s="1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P206"/>
      <c r="AQ206"/>
      <c r="AR206"/>
      <c r="AS206"/>
      <c r="AT206"/>
      <c r="AW206"/>
    </row>
    <row r="207" spans="1:49" x14ac:dyDescent="0.3">
      <c r="A207"/>
      <c r="B207"/>
      <c r="C207"/>
      <c r="D207"/>
      <c r="E207" s="1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P207"/>
      <c r="AQ207"/>
      <c r="AR207"/>
      <c r="AS207"/>
      <c r="AT207"/>
      <c r="AW207"/>
    </row>
    <row r="208" spans="1:49" x14ac:dyDescent="0.3">
      <c r="A208"/>
      <c r="B208"/>
      <c r="C208"/>
      <c r="D208"/>
      <c r="E208" s="1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P208"/>
      <c r="AQ208"/>
      <c r="AR208"/>
      <c r="AS208"/>
      <c r="AT208"/>
      <c r="AW208"/>
    </row>
    <row r="209" spans="1:49" x14ac:dyDescent="0.3">
      <c r="A209"/>
      <c r="B209"/>
      <c r="C209"/>
      <c r="D209"/>
      <c r="E209" s="1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P209"/>
      <c r="AQ209"/>
      <c r="AR209"/>
      <c r="AS209"/>
      <c r="AT209"/>
      <c r="AW209"/>
    </row>
    <row r="210" spans="1:49" x14ac:dyDescent="0.3">
      <c r="A210"/>
      <c r="B210"/>
      <c r="C210"/>
      <c r="D210"/>
      <c r="E210" s="1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P210"/>
      <c r="AQ210"/>
      <c r="AR210"/>
      <c r="AS210"/>
      <c r="AT210"/>
      <c r="AW210"/>
    </row>
    <row r="211" spans="1:49" x14ac:dyDescent="0.3">
      <c r="A211"/>
      <c r="B211"/>
      <c r="C211"/>
      <c r="D211"/>
      <c r="E211" s="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P211"/>
      <c r="AQ211"/>
      <c r="AR211"/>
      <c r="AS211"/>
      <c r="AT211"/>
      <c r="AW211"/>
    </row>
    <row r="212" spans="1:49" x14ac:dyDescent="0.3">
      <c r="A212"/>
      <c r="B212"/>
      <c r="C212"/>
      <c r="D212"/>
      <c r="E212" s="1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P212"/>
      <c r="AQ212"/>
      <c r="AR212"/>
      <c r="AS212"/>
      <c r="AT212"/>
      <c r="AW212"/>
    </row>
    <row r="213" spans="1:49" x14ac:dyDescent="0.3">
      <c r="A213"/>
      <c r="B213"/>
      <c r="C213"/>
      <c r="D213"/>
      <c r="E213" s="1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P213"/>
      <c r="AQ213"/>
      <c r="AR213"/>
      <c r="AS213"/>
      <c r="AT213"/>
      <c r="AW213"/>
    </row>
    <row r="214" spans="1:49" x14ac:dyDescent="0.3">
      <c r="A214"/>
      <c r="B214"/>
      <c r="C214"/>
      <c r="D214"/>
      <c r="E214" s="1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P214"/>
      <c r="AQ214"/>
      <c r="AR214"/>
      <c r="AS214"/>
      <c r="AT214"/>
      <c r="AW214"/>
    </row>
    <row r="215" spans="1:49" x14ac:dyDescent="0.3">
      <c r="A215"/>
      <c r="B215"/>
      <c r="C215"/>
      <c r="D215"/>
      <c r="E215" s="1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P215"/>
      <c r="AQ215"/>
      <c r="AR215"/>
      <c r="AS215"/>
      <c r="AT215"/>
      <c r="AW215"/>
    </row>
    <row r="216" spans="1:49" x14ac:dyDescent="0.3">
      <c r="A216"/>
      <c r="B216"/>
      <c r="C216"/>
      <c r="D216"/>
      <c r="E216" s="1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P216"/>
      <c r="AQ216"/>
      <c r="AR216"/>
      <c r="AS216"/>
      <c r="AT216"/>
      <c r="AW216"/>
    </row>
    <row r="217" spans="1:49" x14ac:dyDescent="0.3">
      <c r="A217"/>
      <c r="B217"/>
      <c r="C217"/>
      <c r="D217"/>
      <c r="E217" s="1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P217"/>
      <c r="AQ217"/>
      <c r="AR217"/>
      <c r="AS217"/>
      <c r="AT217"/>
      <c r="AW217"/>
    </row>
    <row r="218" spans="1:49" x14ac:dyDescent="0.3">
      <c r="A218"/>
      <c r="B218"/>
      <c r="C218"/>
      <c r="D218"/>
      <c r="E218" s="1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P218"/>
      <c r="AQ218"/>
      <c r="AR218"/>
      <c r="AS218"/>
      <c r="AT218"/>
      <c r="AW218"/>
    </row>
    <row r="219" spans="1:49" x14ac:dyDescent="0.3">
      <c r="A219"/>
      <c r="B219"/>
      <c r="C219"/>
      <c r="D219"/>
      <c r="E219" s="1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P219"/>
      <c r="AQ219"/>
      <c r="AR219"/>
      <c r="AS219"/>
      <c r="AT219"/>
      <c r="AW219"/>
    </row>
    <row r="220" spans="1:49" x14ac:dyDescent="0.3">
      <c r="A220"/>
      <c r="B220"/>
      <c r="C220"/>
      <c r="D220"/>
      <c r="E220" s="1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P220"/>
      <c r="AQ220"/>
      <c r="AR220"/>
      <c r="AS220"/>
      <c r="AT220"/>
      <c r="AW220"/>
    </row>
    <row r="221" spans="1:49" x14ac:dyDescent="0.3">
      <c r="A221"/>
      <c r="B221"/>
      <c r="C221"/>
      <c r="D221"/>
      <c r="E221" s="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P221"/>
      <c r="AQ221"/>
      <c r="AR221"/>
      <c r="AS221"/>
      <c r="AT221"/>
      <c r="AW221"/>
    </row>
    <row r="222" spans="1:49" x14ac:dyDescent="0.3">
      <c r="A222"/>
      <c r="B222"/>
      <c r="C222"/>
      <c r="D222"/>
      <c r="E222" s="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P222"/>
      <c r="AQ222"/>
      <c r="AR222"/>
      <c r="AS222"/>
      <c r="AT222"/>
      <c r="AW222"/>
    </row>
    <row r="223" spans="1:49" x14ac:dyDescent="0.3">
      <c r="A223"/>
      <c r="B223"/>
      <c r="C223"/>
      <c r="D223"/>
      <c r="E223" s="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P223"/>
      <c r="AQ223"/>
      <c r="AR223"/>
      <c r="AS223"/>
      <c r="AT223"/>
      <c r="AW223"/>
    </row>
    <row r="224" spans="1:49" x14ac:dyDescent="0.3">
      <c r="A224"/>
      <c r="B224"/>
      <c r="C224"/>
      <c r="D224"/>
      <c r="E224" s="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P224"/>
      <c r="AQ224"/>
      <c r="AR224"/>
      <c r="AS224"/>
      <c r="AT224"/>
      <c r="AW224"/>
    </row>
    <row r="225" spans="1:49" x14ac:dyDescent="0.3">
      <c r="A225"/>
      <c r="B225"/>
      <c r="C225"/>
      <c r="D225"/>
      <c r="E225" s="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P225"/>
      <c r="AQ225"/>
      <c r="AR225"/>
      <c r="AS225"/>
      <c r="AT225"/>
      <c r="AW225"/>
    </row>
    <row r="226" spans="1:49" x14ac:dyDescent="0.3">
      <c r="A226"/>
      <c r="B226"/>
      <c r="C226"/>
      <c r="D226"/>
      <c r="E226" s="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P226"/>
      <c r="AQ226"/>
      <c r="AR226"/>
      <c r="AS226"/>
      <c r="AT226"/>
      <c r="AW226"/>
    </row>
    <row r="227" spans="1:49" x14ac:dyDescent="0.3">
      <c r="A227"/>
      <c r="B227"/>
      <c r="C227"/>
      <c r="D227"/>
      <c r="E227" s="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P227"/>
      <c r="AQ227"/>
      <c r="AR227"/>
      <c r="AS227"/>
      <c r="AT227"/>
      <c r="AW227"/>
    </row>
    <row r="228" spans="1:49" x14ac:dyDescent="0.3">
      <c r="A228"/>
      <c r="B228"/>
      <c r="C228"/>
      <c r="D228"/>
      <c r="E228" s="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P228"/>
      <c r="AQ228"/>
      <c r="AR228"/>
      <c r="AS228"/>
      <c r="AT228"/>
      <c r="AW228"/>
    </row>
    <row r="229" spans="1:49" x14ac:dyDescent="0.3">
      <c r="A229"/>
      <c r="B229"/>
      <c r="C229"/>
      <c r="D229"/>
      <c r="E229" s="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P229"/>
      <c r="AQ229"/>
      <c r="AR229"/>
      <c r="AS229"/>
      <c r="AT229"/>
      <c r="AW229"/>
    </row>
    <row r="230" spans="1:49" x14ac:dyDescent="0.3">
      <c r="A230"/>
      <c r="B230"/>
      <c r="C230"/>
      <c r="D230"/>
      <c r="E230" s="1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P230"/>
      <c r="AQ230"/>
      <c r="AR230"/>
      <c r="AS230"/>
      <c r="AT230"/>
      <c r="AW230"/>
    </row>
    <row r="231" spans="1:49" x14ac:dyDescent="0.3">
      <c r="A231"/>
      <c r="B231"/>
      <c r="C231"/>
      <c r="D231"/>
      <c r="E231" s="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P231"/>
      <c r="AQ231"/>
      <c r="AR231"/>
      <c r="AS231"/>
      <c r="AT231"/>
      <c r="AW231"/>
    </row>
    <row r="232" spans="1:49" x14ac:dyDescent="0.3">
      <c r="A232"/>
      <c r="B232"/>
      <c r="C232"/>
      <c r="D232"/>
      <c r="E232" s="1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P232"/>
      <c r="AQ232"/>
      <c r="AR232"/>
      <c r="AS232"/>
      <c r="AT232"/>
      <c r="AW232"/>
    </row>
    <row r="233" spans="1:49" x14ac:dyDescent="0.3">
      <c r="A233"/>
      <c r="B233"/>
      <c r="C233"/>
      <c r="D233"/>
      <c r="E233" s="1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P233"/>
      <c r="AQ233"/>
      <c r="AR233"/>
      <c r="AS233"/>
      <c r="AT233"/>
      <c r="AW233"/>
    </row>
    <row r="234" spans="1:49" x14ac:dyDescent="0.3">
      <c r="A234"/>
      <c r="B234"/>
      <c r="C234"/>
      <c r="D234"/>
      <c r="E234" s="1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P234"/>
      <c r="AQ234"/>
      <c r="AR234"/>
      <c r="AS234"/>
      <c r="AT234"/>
      <c r="AW234"/>
    </row>
    <row r="235" spans="1:49" x14ac:dyDescent="0.3">
      <c r="A235"/>
      <c r="B235"/>
      <c r="C235"/>
      <c r="D235"/>
      <c r="E235" s="1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P235"/>
      <c r="AQ235"/>
      <c r="AR235"/>
      <c r="AS235"/>
      <c r="AT235"/>
      <c r="AW235"/>
    </row>
    <row r="236" spans="1:49" x14ac:dyDescent="0.3">
      <c r="A236"/>
      <c r="B236"/>
      <c r="C236"/>
      <c r="D236"/>
      <c r="E236" s="1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P236"/>
      <c r="AQ236"/>
      <c r="AR236"/>
      <c r="AS236"/>
      <c r="AT236"/>
      <c r="AW236"/>
    </row>
    <row r="237" spans="1:49" x14ac:dyDescent="0.3">
      <c r="A237"/>
      <c r="B237"/>
      <c r="C237"/>
      <c r="D237"/>
      <c r="E237" s="1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P237"/>
      <c r="AQ237"/>
      <c r="AR237"/>
      <c r="AS237"/>
      <c r="AT237"/>
      <c r="AW237"/>
    </row>
    <row r="238" spans="1:49" x14ac:dyDescent="0.3">
      <c r="A238"/>
      <c r="B238"/>
      <c r="C238"/>
      <c r="D238"/>
      <c r="E238" s="1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P238"/>
      <c r="AQ238"/>
      <c r="AR238"/>
      <c r="AS238"/>
      <c r="AT238"/>
      <c r="AW238"/>
    </row>
    <row r="239" spans="1:49" x14ac:dyDescent="0.3">
      <c r="A239"/>
      <c r="B239"/>
      <c r="C239"/>
      <c r="D239"/>
      <c r="E239" s="1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P239"/>
      <c r="AQ239"/>
      <c r="AR239"/>
      <c r="AS239"/>
      <c r="AT239"/>
      <c r="AW239"/>
    </row>
    <row r="240" spans="1:49" x14ac:dyDescent="0.3">
      <c r="A240"/>
      <c r="B240"/>
      <c r="C240"/>
      <c r="D240"/>
      <c r="E240" s="1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P240"/>
      <c r="AQ240"/>
      <c r="AR240"/>
      <c r="AS240"/>
      <c r="AT240"/>
      <c r="AW240"/>
    </row>
    <row r="241" spans="1:49" x14ac:dyDescent="0.3">
      <c r="A241"/>
      <c r="B241"/>
      <c r="C241"/>
      <c r="D241"/>
      <c r="E241" s="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P241"/>
      <c r="AQ241"/>
      <c r="AR241"/>
      <c r="AS241"/>
      <c r="AT241"/>
      <c r="AW241"/>
    </row>
    <row r="242" spans="1:49" x14ac:dyDescent="0.3">
      <c r="A242"/>
      <c r="B242"/>
      <c r="C242"/>
      <c r="D242"/>
      <c r="E242" s="1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P242"/>
      <c r="AQ242"/>
      <c r="AR242"/>
      <c r="AS242"/>
      <c r="AT242"/>
      <c r="AW242"/>
    </row>
    <row r="243" spans="1:49" x14ac:dyDescent="0.3">
      <c r="A243"/>
      <c r="B243"/>
      <c r="C243"/>
      <c r="D243"/>
      <c r="E243" s="1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P243"/>
      <c r="AQ243"/>
      <c r="AR243"/>
      <c r="AS243"/>
      <c r="AT243"/>
      <c r="AW243"/>
    </row>
    <row r="244" spans="1:49" x14ac:dyDescent="0.3">
      <c r="A244"/>
      <c r="B244"/>
      <c r="C244"/>
      <c r="D244"/>
      <c r="E244" s="1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P244"/>
      <c r="AQ244"/>
      <c r="AR244"/>
      <c r="AS244"/>
      <c r="AT244"/>
      <c r="AW244"/>
    </row>
    <row r="245" spans="1:49" x14ac:dyDescent="0.3">
      <c r="A245"/>
      <c r="B245"/>
      <c r="C245"/>
      <c r="D245"/>
      <c r="E245" s="1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P245"/>
      <c r="AQ245"/>
      <c r="AR245"/>
      <c r="AS245"/>
      <c r="AT245"/>
      <c r="AW245"/>
    </row>
    <row r="246" spans="1:49" x14ac:dyDescent="0.3">
      <c r="A246"/>
      <c r="B246"/>
      <c r="C246"/>
      <c r="D246"/>
      <c r="E246" s="1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P246"/>
      <c r="AQ246"/>
      <c r="AR246"/>
      <c r="AS246"/>
      <c r="AT246"/>
      <c r="AW246"/>
    </row>
    <row r="247" spans="1:49" x14ac:dyDescent="0.3">
      <c r="A247"/>
      <c r="B247"/>
      <c r="C247"/>
      <c r="D247"/>
      <c r="E247" s="1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P247"/>
      <c r="AQ247"/>
      <c r="AR247"/>
      <c r="AS247"/>
      <c r="AT247"/>
      <c r="AW247"/>
    </row>
    <row r="248" spans="1:49" x14ac:dyDescent="0.3">
      <c r="A248"/>
      <c r="B248"/>
      <c r="C248"/>
      <c r="D248"/>
      <c r="E248" s="1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P248"/>
      <c r="AQ248"/>
      <c r="AR248"/>
      <c r="AS248"/>
      <c r="AT248"/>
      <c r="AW248"/>
    </row>
    <row r="249" spans="1:49" x14ac:dyDescent="0.3">
      <c r="A249"/>
      <c r="B249"/>
      <c r="C249"/>
      <c r="D249"/>
      <c r="E249" s="1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P249"/>
      <c r="AQ249"/>
      <c r="AR249"/>
      <c r="AS249"/>
      <c r="AT249"/>
      <c r="AW249"/>
    </row>
    <row r="250" spans="1:49" x14ac:dyDescent="0.3">
      <c r="A250"/>
      <c r="B250"/>
      <c r="C250"/>
      <c r="D250"/>
      <c r="E250" s="1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P250"/>
      <c r="AQ250"/>
      <c r="AR250"/>
      <c r="AS250"/>
      <c r="AT250"/>
      <c r="AW250"/>
    </row>
    <row r="251" spans="1:49" x14ac:dyDescent="0.3">
      <c r="A251"/>
      <c r="B251"/>
      <c r="C251"/>
      <c r="D251"/>
      <c r="E251" s="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P251"/>
      <c r="AQ251"/>
      <c r="AR251"/>
      <c r="AS251"/>
      <c r="AT251"/>
      <c r="AW251"/>
    </row>
    <row r="252" spans="1:49" x14ac:dyDescent="0.3">
      <c r="A252"/>
      <c r="B252"/>
      <c r="C252"/>
      <c r="D252"/>
      <c r="E252" s="1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P252"/>
      <c r="AQ252"/>
      <c r="AR252"/>
      <c r="AS252"/>
      <c r="AT252"/>
      <c r="AW252"/>
    </row>
    <row r="253" spans="1:49" x14ac:dyDescent="0.3">
      <c r="A253"/>
      <c r="B253"/>
      <c r="C253"/>
      <c r="D253"/>
      <c r="E253" s="1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P253"/>
      <c r="AQ253"/>
      <c r="AR253"/>
      <c r="AS253"/>
      <c r="AT253"/>
      <c r="AW253"/>
    </row>
    <row r="254" spans="1:49" x14ac:dyDescent="0.3">
      <c r="A254"/>
      <c r="B254"/>
      <c r="C254"/>
      <c r="D254"/>
      <c r="E254" s="1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P254"/>
      <c r="AQ254"/>
      <c r="AR254"/>
      <c r="AS254"/>
      <c r="AT254"/>
      <c r="AW254"/>
    </row>
    <row r="255" spans="1:49" x14ac:dyDescent="0.3">
      <c r="A255"/>
      <c r="B255"/>
      <c r="C255"/>
      <c r="D255"/>
      <c r="E255" s="1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P255"/>
      <c r="AQ255"/>
      <c r="AR255"/>
      <c r="AS255"/>
      <c r="AT255"/>
      <c r="AW255"/>
    </row>
    <row r="256" spans="1:49" x14ac:dyDescent="0.3">
      <c r="A256"/>
      <c r="B256"/>
      <c r="C256"/>
      <c r="D256"/>
      <c r="E256" s="1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P256"/>
      <c r="AQ256"/>
      <c r="AR256"/>
      <c r="AS256"/>
      <c r="AT256"/>
      <c r="AW256"/>
    </row>
    <row r="257" spans="1:49" x14ac:dyDescent="0.3">
      <c r="A257"/>
      <c r="B257"/>
      <c r="C257"/>
      <c r="D257"/>
      <c r="E257" s="1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P257"/>
      <c r="AQ257"/>
      <c r="AR257"/>
      <c r="AS257"/>
      <c r="AT257"/>
      <c r="AW257"/>
    </row>
    <row r="258" spans="1:49" x14ac:dyDescent="0.3">
      <c r="A258"/>
      <c r="B258"/>
      <c r="C258"/>
      <c r="D258"/>
      <c r="E258" s="1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P258"/>
      <c r="AQ258"/>
      <c r="AR258"/>
      <c r="AS258"/>
      <c r="AT258"/>
      <c r="AW258"/>
    </row>
    <row r="259" spans="1:49" x14ac:dyDescent="0.3">
      <c r="A259"/>
      <c r="B259"/>
      <c r="C259"/>
      <c r="D259"/>
      <c r="E259" s="1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P259"/>
      <c r="AQ259"/>
      <c r="AR259"/>
      <c r="AS259"/>
      <c r="AT259"/>
      <c r="AW259"/>
    </row>
    <row r="260" spans="1:49" x14ac:dyDescent="0.3">
      <c r="A260"/>
      <c r="B260"/>
      <c r="C260"/>
      <c r="D260"/>
      <c r="E260" s="1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P260"/>
      <c r="AQ260"/>
      <c r="AR260"/>
      <c r="AS260"/>
      <c r="AT260"/>
      <c r="AW260"/>
    </row>
    <row r="261" spans="1:49" x14ac:dyDescent="0.3">
      <c r="A261"/>
      <c r="B261"/>
      <c r="C261"/>
      <c r="D261"/>
      <c r="E261" s="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P261"/>
      <c r="AQ261"/>
      <c r="AR261"/>
      <c r="AS261"/>
      <c r="AT261"/>
      <c r="AW261"/>
    </row>
    <row r="262" spans="1:49" x14ac:dyDescent="0.3">
      <c r="A262"/>
      <c r="B262"/>
      <c r="C262"/>
      <c r="D262"/>
      <c r="E262" s="1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P262"/>
      <c r="AQ262"/>
      <c r="AR262"/>
      <c r="AS262"/>
      <c r="AT262"/>
      <c r="AW262"/>
    </row>
    <row r="263" spans="1:49" x14ac:dyDescent="0.3">
      <c r="A263"/>
      <c r="B263"/>
      <c r="C263"/>
      <c r="D263"/>
      <c r="E263" s="1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P263"/>
      <c r="AQ263"/>
      <c r="AR263"/>
      <c r="AS263"/>
      <c r="AT263"/>
      <c r="AW263"/>
    </row>
    <row r="264" spans="1:49" x14ac:dyDescent="0.3">
      <c r="A264"/>
      <c r="B264"/>
      <c r="C264"/>
      <c r="D264"/>
      <c r="E264" s="1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P264"/>
      <c r="AQ264"/>
      <c r="AR264"/>
      <c r="AS264"/>
      <c r="AT264"/>
      <c r="AW264"/>
    </row>
    <row r="265" spans="1:49" x14ac:dyDescent="0.3">
      <c r="A265"/>
      <c r="B265"/>
      <c r="C265"/>
      <c r="D265"/>
      <c r="E265" s="1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P265"/>
      <c r="AQ265"/>
      <c r="AR265"/>
      <c r="AS265"/>
      <c r="AT265"/>
      <c r="AW265"/>
    </row>
    <row r="266" spans="1:49" x14ac:dyDescent="0.3">
      <c r="A266"/>
      <c r="B266"/>
      <c r="C266"/>
      <c r="D266"/>
      <c r="E266" s="1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P266"/>
      <c r="AQ266"/>
      <c r="AR266"/>
      <c r="AS266"/>
      <c r="AT266"/>
      <c r="AW266"/>
    </row>
    <row r="267" spans="1:49" x14ac:dyDescent="0.3">
      <c r="A267"/>
      <c r="B267"/>
      <c r="C267"/>
      <c r="D267"/>
      <c r="E267" s="1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P267"/>
      <c r="AQ267"/>
      <c r="AR267"/>
      <c r="AS267"/>
      <c r="AT267"/>
      <c r="AW267"/>
    </row>
    <row r="268" spans="1:49" x14ac:dyDescent="0.3">
      <c r="A268"/>
      <c r="B268"/>
      <c r="C268"/>
      <c r="D268"/>
      <c r="E268" s="1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P268"/>
      <c r="AQ268"/>
      <c r="AR268"/>
      <c r="AS268"/>
      <c r="AT268"/>
      <c r="AW268"/>
    </row>
    <row r="269" spans="1:49" x14ac:dyDescent="0.3">
      <c r="A269"/>
      <c r="B269"/>
      <c r="C269"/>
      <c r="D269"/>
      <c r="E269" s="1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P269"/>
      <c r="AQ269"/>
      <c r="AR269"/>
      <c r="AS269"/>
      <c r="AT269"/>
      <c r="AW269"/>
    </row>
    <row r="270" spans="1:49" x14ac:dyDescent="0.3">
      <c r="A270"/>
      <c r="B270"/>
      <c r="C270"/>
      <c r="D270"/>
      <c r="E270" s="1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P270"/>
      <c r="AQ270"/>
      <c r="AR270"/>
      <c r="AS270"/>
      <c r="AT270"/>
      <c r="AW270"/>
    </row>
    <row r="271" spans="1:49" x14ac:dyDescent="0.3">
      <c r="A271"/>
      <c r="B271"/>
      <c r="C271"/>
      <c r="D271"/>
      <c r="E271" s="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P271"/>
      <c r="AQ271"/>
      <c r="AR271"/>
      <c r="AS271"/>
      <c r="AT271"/>
      <c r="AW271"/>
    </row>
    <row r="272" spans="1:49" x14ac:dyDescent="0.3">
      <c r="A272"/>
      <c r="B272"/>
      <c r="C272"/>
      <c r="D272"/>
      <c r="E272" s="1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P272"/>
      <c r="AQ272"/>
      <c r="AR272"/>
      <c r="AS272"/>
      <c r="AT272"/>
      <c r="AW272"/>
    </row>
    <row r="273" spans="1:49" x14ac:dyDescent="0.3">
      <c r="A273"/>
      <c r="B273"/>
      <c r="C273"/>
      <c r="D273"/>
      <c r="E273" s="1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P273"/>
      <c r="AQ273"/>
      <c r="AR273"/>
      <c r="AS273"/>
      <c r="AT273"/>
      <c r="AW273"/>
    </row>
    <row r="274" spans="1:49" x14ac:dyDescent="0.3">
      <c r="A274"/>
      <c r="B274"/>
      <c r="C274"/>
      <c r="D274"/>
      <c r="E274" s="1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P274"/>
      <c r="AQ274"/>
      <c r="AR274"/>
      <c r="AS274"/>
      <c r="AT274"/>
      <c r="AW274"/>
    </row>
    <row r="275" spans="1:49" x14ac:dyDescent="0.3">
      <c r="A275"/>
      <c r="B275"/>
      <c r="C275"/>
      <c r="D275"/>
      <c r="E275" s="1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P275"/>
      <c r="AQ275"/>
      <c r="AR275"/>
      <c r="AS275"/>
      <c r="AT275"/>
      <c r="AW275"/>
    </row>
    <row r="276" spans="1:49" x14ac:dyDescent="0.3">
      <c r="A276"/>
      <c r="B276"/>
      <c r="C276"/>
      <c r="D276"/>
      <c r="E276" s="1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P276"/>
      <c r="AQ276"/>
      <c r="AR276"/>
      <c r="AS276"/>
      <c r="AT276"/>
      <c r="AW276"/>
    </row>
    <row r="277" spans="1:49" x14ac:dyDescent="0.3">
      <c r="A277"/>
      <c r="B277"/>
      <c r="C277"/>
      <c r="D277"/>
      <c r="E277" s="1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P277"/>
      <c r="AQ277"/>
      <c r="AR277"/>
      <c r="AS277"/>
      <c r="AT277"/>
      <c r="AW277"/>
    </row>
    <row r="278" spans="1:49" x14ac:dyDescent="0.3">
      <c r="A278"/>
      <c r="B278"/>
      <c r="C278"/>
      <c r="D278"/>
      <c r="E278" s="1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P278"/>
      <c r="AQ278"/>
      <c r="AR278"/>
      <c r="AS278"/>
      <c r="AT278"/>
      <c r="AW278"/>
    </row>
    <row r="279" spans="1:49" x14ac:dyDescent="0.3">
      <c r="A279"/>
      <c r="B279"/>
      <c r="C279"/>
      <c r="D279"/>
      <c r="E279" s="1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P279"/>
      <c r="AQ279"/>
      <c r="AR279"/>
      <c r="AS279"/>
      <c r="AT279"/>
      <c r="AW279"/>
    </row>
    <row r="280" spans="1:49" x14ac:dyDescent="0.3">
      <c r="A280"/>
      <c r="B280"/>
      <c r="C280"/>
      <c r="D280"/>
      <c r="E280" s="1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P280"/>
      <c r="AQ280"/>
      <c r="AR280"/>
      <c r="AS280"/>
      <c r="AT280"/>
      <c r="AW280"/>
    </row>
    <row r="281" spans="1:49" x14ac:dyDescent="0.3">
      <c r="A281"/>
      <c r="B281"/>
      <c r="C281"/>
      <c r="D281"/>
      <c r="E281" s="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P281"/>
      <c r="AQ281"/>
      <c r="AR281"/>
      <c r="AS281"/>
      <c r="AT281"/>
      <c r="AW281"/>
    </row>
    <row r="282" spans="1:49" x14ac:dyDescent="0.3">
      <c r="A282"/>
      <c r="B282"/>
      <c r="C282"/>
      <c r="D282"/>
      <c r="E282" s="1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P282"/>
      <c r="AQ282"/>
      <c r="AR282"/>
      <c r="AS282"/>
      <c r="AT282"/>
      <c r="AW282"/>
    </row>
    <row r="283" spans="1:49" x14ac:dyDescent="0.3">
      <c r="A283"/>
      <c r="B283"/>
      <c r="C283"/>
      <c r="D283"/>
      <c r="E283" s="1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P283"/>
      <c r="AQ283"/>
      <c r="AR283"/>
      <c r="AS283"/>
      <c r="AT283"/>
      <c r="AW283"/>
    </row>
    <row r="284" spans="1:49" x14ac:dyDescent="0.3">
      <c r="A284"/>
      <c r="B284"/>
      <c r="C284"/>
      <c r="D284"/>
      <c r="E284" s="1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P284"/>
      <c r="AQ284"/>
      <c r="AR284"/>
      <c r="AS284"/>
      <c r="AT284"/>
      <c r="AW284"/>
    </row>
    <row r="285" spans="1:49" x14ac:dyDescent="0.3">
      <c r="A285"/>
      <c r="B285"/>
      <c r="C285"/>
      <c r="D285"/>
      <c r="E285" s="1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P285"/>
      <c r="AQ285"/>
      <c r="AR285"/>
      <c r="AS285"/>
      <c r="AT285"/>
      <c r="AW285"/>
    </row>
    <row r="286" spans="1:49" x14ac:dyDescent="0.3">
      <c r="A286"/>
      <c r="B286"/>
      <c r="C286"/>
      <c r="D286"/>
      <c r="E286" s="1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P286"/>
      <c r="AQ286"/>
      <c r="AR286"/>
      <c r="AS286"/>
      <c r="AT286"/>
      <c r="AW286"/>
    </row>
    <row r="287" spans="1:49" x14ac:dyDescent="0.3">
      <c r="A287"/>
      <c r="B287"/>
      <c r="C287"/>
      <c r="D287"/>
      <c r="E287" s="1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P287"/>
      <c r="AQ287"/>
      <c r="AR287"/>
      <c r="AS287"/>
      <c r="AT287"/>
      <c r="AW287"/>
    </row>
    <row r="288" spans="1:49" x14ac:dyDescent="0.3">
      <c r="A288"/>
      <c r="B288"/>
      <c r="C288"/>
      <c r="D288"/>
      <c r="E288" s="1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P288"/>
      <c r="AQ288"/>
      <c r="AR288"/>
      <c r="AS288"/>
      <c r="AT288"/>
      <c r="AW288"/>
    </row>
    <row r="289" spans="1:49" x14ac:dyDescent="0.3">
      <c r="A289"/>
      <c r="B289"/>
      <c r="C289"/>
      <c r="D289"/>
      <c r="E289" s="1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P289"/>
      <c r="AQ289"/>
      <c r="AR289"/>
      <c r="AS289"/>
      <c r="AT289"/>
      <c r="AW289"/>
    </row>
    <row r="290" spans="1:49" x14ac:dyDescent="0.3">
      <c r="A290"/>
      <c r="B290"/>
      <c r="C290"/>
      <c r="D290"/>
      <c r="E290" s="1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P290"/>
      <c r="AQ290"/>
      <c r="AR290"/>
      <c r="AS290"/>
      <c r="AT290"/>
      <c r="AW290"/>
    </row>
    <row r="291" spans="1:49" x14ac:dyDescent="0.3">
      <c r="A291"/>
      <c r="B291"/>
      <c r="C291"/>
      <c r="D291"/>
      <c r="E291" s="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P291"/>
      <c r="AQ291"/>
      <c r="AR291"/>
      <c r="AS291"/>
      <c r="AT291"/>
      <c r="AW291"/>
    </row>
    <row r="292" spans="1:49" x14ac:dyDescent="0.3">
      <c r="A292"/>
      <c r="B292"/>
      <c r="C292"/>
      <c r="D292"/>
      <c r="E292" s="1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P292"/>
      <c r="AQ292"/>
      <c r="AR292"/>
      <c r="AS292"/>
      <c r="AT292"/>
      <c r="AW292"/>
    </row>
    <row r="293" spans="1:49" x14ac:dyDescent="0.3">
      <c r="A293"/>
      <c r="B293"/>
      <c r="C293"/>
      <c r="D293"/>
      <c r="E293" s="1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P293"/>
      <c r="AQ293"/>
      <c r="AR293"/>
      <c r="AS293"/>
      <c r="AT293"/>
      <c r="AW293"/>
    </row>
    <row r="294" spans="1:49" x14ac:dyDescent="0.3">
      <c r="A294"/>
      <c r="B294"/>
      <c r="C294"/>
      <c r="D294"/>
      <c r="E294" s="1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P294"/>
      <c r="AQ294"/>
      <c r="AR294"/>
      <c r="AS294"/>
      <c r="AT294"/>
      <c r="AW294"/>
    </row>
    <row r="295" spans="1:49" x14ac:dyDescent="0.3">
      <c r="A295"/>
      <c r="B295"/>
      <c r="C295"/>
      <c r="D295"/>
      <c r="E295" s="1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P295"/>
      <c r="AQ295"/>
      <c r="AR295"/>
      <c r="AS295"/>
      <c r="AT295"/>
      <c r="AW295"/>
    </row>
    <row r="296" spans="1:49" x14ac:dyDescent="0.3">
      <c r="A296"/>
      <c r="B296"/>
      <c r="C296"/>
      <c r="D296"/>
      <c r="E296" s="1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P296"/>
      <c r="AQ296"/>
      <c r="AR296"/>
      <c r="AS296"/>
      <c r="AT296"/>
      <c r="AW296"/>
    </row>
    <row r="297" spans="1:49" x14ac:dyDescent="0.3">
      <c r="A297"/>
      <c r="B297"/>
      <c r="C297"/>
      <c r="D297"/>
      <c r="E297" s="1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P297"/>
      <c r="AQ297"/>
      <c r="AR297"/>
      <c r="AS297"/>
      <c r="AT297"/>
      <c r="AW297"/>
    </row>
    <row r="298" spans="1:49" x14ac:dyDescent="0.3">
      <c r="A298"/>
      <c r="B298"/>
      <c r="C298"/>
      <c r="D298"/>
      <c r="E298" s="1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P298"/>
      <c r="AQ298"/>
      <c r="AR298"/>
      <c r="AS298"/>
      <c r="AT298"/>
      <c r="AW298"/>
    </row>
    <row r="299" spans="1:49" x14ac:dyDescent="0.3">
      <c r="A299"/>
      <c r="B299"/>
      <c r="C299"/>
      <c r="D299"/>
      <c r="E299" s="1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P299"/>
      <c r="AQ299"/>
      <c r="AR299"/>
      <c r="AS299"/>
      <c r="AT299"/>
      <c r="AW299"/>
    </row>
    <row r="300" spans="1:49" x14ac:dyDescent="0.3">
      <c r="A300"/>
      <c r="B300"/>
      <c r="C300"/>
      <c r="D300"/>
      <c r="E300" s="1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P300"/>
      <c r="AQ300"/>
      <c r="AR300"/>
      <c r="AS300"/>
      <c r="AT300"/>
      <c r="AW300"/>
    </row>
    <row r="301" spans="1:49" x14ac:dyDescent="0.3">
      <c r="A301"/>
      <c r="B301"/>
      <c r="C301"/>
      <c r="D301"/>
      <c r="E301" s="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P301"/>
      <c r="AQ301"/>
      <c r="AR301"/>
      <c r="AS301"/>
      <c r="AT301"/>
      <c r="AW301"/>
    </row>
    <row r="302" spans="1:49" x14ac:dyDescent="0.3">
      <c r="A302"/>
      <c r="B302"/>
      <c r="C302"/>
      <c r="D302"/>
      <c r="E302" s="1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P302"/>
      <c r="AQ302"/>
      <c r="AR302"/>
      <c r="AS302"/>
      <c r="AT302"/>
      <c r="AW302"/>
    </row>
    <row r="303" spans="1:49" x14ac:dyDescent="0.3">
      <c r="A303"/>
      <c r="B303"/>
      <c r="C303"/>
      <c r="D303"/>
      <c r="E303" s="1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P303"/>
      <c r="AQ303"/>
      <c r="AR303"/>
      <c r="AS303"/>
      <c r="AT303"/>
      <c r="AW303"/>
    </row>
    <row r="304" spans="1:49" x14ac:dyDescent="0.3">
      <c r="A304"/>
      <c r="B304"/>
      <c r="C304"/>
      <c r="D304"/>
      <c r="E304" s="1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P304"/>
      <c r="AQ304"/>
      <c r="AR304"/>
      <c r="AS304"/>
      <c r="AT304"/>
      <c r="AW304"/>
    </row>
    <row r="305" spans="1:49" x14ac:dyDescent="0.3">
      <c r="A305"/>
      <c r="B305"/>
      <c r="C305"/>
      <c r="D305"/>
      <c r="E305" s="1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P305"/>
      <c r="AQ305"/>
      <c r="AR305"/>
      <c r="AS305"/>
      <c r="AT305"/>
      <c r="AW305"/>
    </row>
    <row r="306" spans="1:49" x14ac:dyDescent="0.3">
      <c r="A306"/>
      <c r="B306"/>
      <c r="C306"/>
      <c r="D306"/>
      <c r="E306" s="1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P306"/>
      <c r="AQ306"/>
      <c r="AR306"/>
      <c r="AS306"/>
      <c r="AT306"/>
      <c r="AW306"/>
    </row>
    <row r="307" spans="1:49" x14ac:dyDescent="0.3">
      <c r="A307"/>
      <c r="B307"/>
      <c r="C307"/>
      <c r="D307"/>
      <c r="E307" s="1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P307"/>
      <c r="AQ307"/>
      <c r="AR307"/>
      <c r="AS307"/>
      <c r="AT307"/>
      <c r="AW307"/>
    </row>
    <row r="308" spans="1:49" x14ac:dyDescent="0.3">
      <c r="A308"/>
      <c r="B308"/>
      <c r="C308"/>
      <c r="D308"/>
      <c r="E308" s="1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P308"/>
      <c r="AQ308"/>
      <c r="AR308"/>
      <c r="AS308"/>
      <c r="AT308"/>
      <c r="AW308"/>
    </row>
    <row r="309" spans="1:49" x14ac:dyDescent="0.3">
      <c r="A309"/>
      <c r="B309"/>
      <c r="C309"/>
      <c r="D309"/>
      <c r="E309" s="1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P309"/>
      <c r="AQ309"/>
      <c r="AR309"/>
      <c r="AS309"/>
      <c r="AT309"/>
      <c r="AW309"/>
    </row>
    <row r="310" spans="1:49" x14ac:dyDescent="0.3">
      <c r="A310"/>
      <c r="B310"/>
      <c r="C310"/>
      <c r="D310"/>
      <c r="E310" s="1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P310"/>
      <c r="AQ310"/>
      <c r="AR310"/>
      <c r="AS310"/>
      <c r="AT310"/>
      <c r="AW310"/>
    </row>
    <row r="311" spans="1:49" x14ac:dyDescent="0.3">
      <c r="A311"/>
      <c r="B311"/>
      <c r="C311"/>
      <c r="D311"/>
      <c r="E311" s="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P311"/>
      <c r="AQ311"/>
      <c r="AR311"/>
      <c r="AS311"/>
      <c r="AT311"/>
      <c r="AW311"/>
    </row>
    <row r="312" spans="1:49" x14ac:dyDescent="0.3">
      <c r="A312"/>
      <c r="B312"/>
      <c r="C312"/>
      <c r="D312"/>
      <c r="E312" s="1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P312"/>
      <c r="AQ312"/>
      <c r="AR312"/>
      <c r="AS312"/>
      <c r="AT312"/>
      <c r="AW312"/>
    </row>
    <row r="313" spans="1:49" x14ac:dyDescent="0.3">
      <c r="A313"/>
      <c r="B313"/>
      <c r="C313"/>
      <c r="D313"/>
      <c r="E313" s="1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P313"/>
      <c r="AQ313"/>
      <c r="AR313"/>
      <c r="AS313"/>
      <c r="AT313"/>
      <c r="AW313"/>
    </row>
    <row r="314" spans="1:49" x14ac:dyDescent="0.3">
      <c r="A314"/>
      <c r="B314"/>
      <c r="C314"/>
      <c r="D314"/>
      <c r="E314" s="1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P314"/>
      <c r="AQ314"/>
      <c r="AR314"/>
      <c r="AS314"/>
      <c r="AT314"/>
      <c r="AW314"/>
    </row>
    <row r="315" spans="1:49" x14ac:dyDescent="0.3">
      <c r="A315"/>
      <c r="B315"/>
      <c r="C315"/>
      <c r="D315"/>
      <c r="E315" s="1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P315"/>
      <c r="AQ315"/>
      <c r="AR315"/>
      <c r="AS315"/>
      <c r="AT315"/>
      <c r="AW315"/>
    </row>
    <row r="316" spans="1:49" x14ac:dyDescent="0.3">
      <c r="A316"/>
      <c r="B316" s="1"/>
      <c r="C316" s="1"/>
      <c r="D316" s="177"/>
      <c r="E316" s="1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P316"/>
      <c r="AQ316"/>
      <c r="AR316"/>
    </row>
    <row r="317" spans="1:49" x14ac:dyDescent="0.3">
      <c r="A317"/>
      <c r="B317" s="1"/>
      <c r="C317" s="1"/>
      <c r="D317" s="177"/>
      <c r="E317" s="1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P317"/>
      <c r="AQ317"/>
      <c r="AR317"/>
    </row>
    <row r="318" spans="1:49" x14ac:dyDescent="0.3">
      <c r="A318"/>
      <c r="B318" s="1"/>
      <c r="C318" s="1"/>
      <c r="D318" s="177"/>
      <c r="E318" s="1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P318"/>
      <c r="AQ318"/>
      <c r="AR318"/>
    </row>
    <row r="319" spans="1:49" x14ac:dyDescent="0.3">
      <c r="A319"/>
      <c r="B319" s="1"/>
      <c r="C319" s="1"/>
      <c r="D319" s="177"/>
      <c r="E319" s="1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P319"/>
      <c r="AQ319"/>
      <c r="AR319"/>
    </row>
    <row r="320" spans="1:49" x14ac:dyDescent="0.3">
      <c r="A320"/>
      <c r="B320" s="1"/>
      <c r="C320" s="1"/>
      <c r="D320" s="177"/>
      <c r="E320" s="1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P320"/>
      <c r="AQ320"/>
      <c r="AR320"/>
    </row>
    <row r="321" spans="1:44" x14ac:dyDescent="0.3">
      <c r="A321"/>
      <c r="B321" s="1"/>
      <c r="C321" s="1"/>
      <c r="D321" s="177"/>
      <c r="E321" s="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P321"/>
      <c r="AQ321"/>
      <c r="AR321"/>
    </row>
    <row r="322" spans="1:44" x14ac:dyDescent="0.3">
      <c r="A322"/>
      <c r="B322" s="1"/>
      <c r="C322" s="1"/>
      <c r="D322" s="177"/>
      <c r="E322" s="1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</row>
    <row r="323" spans="1:44" x14ac:dyDescent="0.3">
      <c r="A323"/>
      <c r="B323" s="1"/>
      <c r="C323" s="1"/>
      <c r="D323" s="177"/>
      <c r="E323" s="1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</row>
    <row r="324" spans="1:44" x14ac:dyDescent="0.3">
      <c r="A324"/>
      <c r="B324" s="1"/>
      <c r="C324" s="1"/>
      <c r="D324" s="177"/>
      <c r="E324" s="1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</row>
    <row r="325" spans="1:44" x14ac:dyDescent="0.3">
      <c r="A325"/>
      <c r="B325" s="1"/>
      <c r="C325" s="1"/>
      <c r="D325" s="177"/>
      <c r="E325" s="1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</row>
    <row r="326" spans="1:44" x14ac:dyDescent="0.3">
      <c r="A326"/>
      <c r="B326" s="1"/>
      <c r="C326" s="1"/>
      <c r="D326" s="177"/>
      <c r="E326" s="1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</row>
    <row r="327" spans="1:44" x14ac:dyDescent="0.3">
      <c r="A327"/>
      <c r="B327" s="1"/>
      <c r="C327" s="1"/>
      <c r="D327" s="177"/>
      <c r="E327" s="1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</row>
    <row r="328" spans="1:44" x14ac:dyDescent="0.3">
      <c r="A328"/>
      <c r="B328" s="1"/>
      <c r="C328" s="1"/>
      <c r="D328" s="177"/>
      <c r="E328" s="1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</row>
    <row r="329" spans="1:44" x14ac:dyDescent="0.3">
      <c r="A329"/>
      <c r="B329" s="1"/>
      <c r="C329" s="1"/>
      <c r="D329" s="177"/>
      <c r="E329" s="1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</row>
    <row r="330" spans="1:44" x14ac:dyDescent="0.3">
      <c r="A330"/>
      <c r="B330" s="1"/>
      <c r="C330" s="1"/>
      <c r="D330" s="177"/>
      <c r="E330" s="1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</row>
    <row r="331" spans="1:44" x14ac:dyDescent="0.3">
      <c r="A331"/>
      <c r="B331" s="1"/>
      <c r="C331" s="1"/>
      <c r="D331" s="177"/>
      <c r="E331" s="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</row>
  </sheetData>
  <pageMargins left="0.7" right="0.7" top="0.75" bottom="0.75" header="0.3" footer="0.3"/>
  <pageSetup orientation="portrait" horizontalDpi="0" verticalDpi="0" r:id="rId1"/>
  <drawing r:id="rId2"/>
  <legacyDrawing r:id="rId3"/>
  <tableParts count="1">
    <tablePart r:id="rId4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S331"/>
  <sheetViews>
    <sheetView topLeftCell="K1" zoomScale="85" zoomScaleNormal="85" workbookViewId="0">
      <selection activeCell="X1" sqref="X1"/>
    </sheetView>
  </sheetViews>
  <sheetFormatPr defaultColWidth="9.109375" defaultRowHeight="14.4" x14ac:dyDescent="0.3"/>
  <cols>
    <col min="1" max="1" width="15" style="140" customWidth="1"/>
    <col min="2" max="2" width="8.33203125" style="2" customWidth="1"/>
    <col min="3" max="3" width="7.44140625" style="2" customWidth="1"/>
    <col min="4" max="4" width="9.44140625" style="188" customWidth="1"/>
    <col min="5" max="5" width="10.88671875" style="188" customWidth="1"/>
    <col min="6" max="6" width="12.88671875" style="2" customWidth="1"/>
    <col min="7" max="7" width="12" style="2" customWidth="1"/>
    <col min="8" max="8" width="10.5546875" style="2" customWidth="1"/>
    <col min="9" max="9" width="10.88671875" style="2" customWidth="1"/>
    <col min="10" max="10" width="17.6640625" style="2" customWidth="1"/>
    <col min="11" max="11" width="8.88671875" style="2" customWidth="1"/>
    <col min="12" max="12" width="8.44140625" style="2" customWidth="1"/>
    <col min="13" max="17" width="10" style="2" customWidth="1"/>
    <col min="18" max="25" width="14.6640625" style="2" customWidth="1"/>
    <col min="26" max="26" width="9.44140625" style="2" customWidth="1"/>
    <col min="27" max="28" width="9.5546875" style="2" customWidth="1"/>
    <col min="29" max="29" width="10.6640625" style="2" customWidth="1"/>
    <col min="30" max="30" width="9.88671875" style="2" customWidth="1"/>
    <col min="31" max="31" width="12.5546875" style="2" customWidth="1"/>
    <col min="32" max="32" width="11.6640625" style="2" customWidth="1"/>
    <col min="33" max="33" width="11" style="2" customWidth="1"/>
    <col min="34" max="34" width="12.44140625" style="2" customWidth="1"/>
    <col min="35" max="36" width="14.33203125" style="2" customWidth="1"/>
    <col min="37" max="37" width="15.33203125" style="2" customWidth="1"/>
    <col min="38" max="38" width="13.5546875" style="2" customWidth="1"/>
    <col min="39" max="39" width="12.44140625" style="1" customWidth="1"/>
    <col min="40" max="40" width="9.109375" style="1"/>
    <col min="41" max="16384" width="9.109375" style="2"/>
  </cols>
  <sheetData>
    <row r="1" spans="1:40" ht="80.25" customHeight="1" x14ac:dyDescent="0.3">
      <c r="A1" s="231" t="s">
        <v>59</v>
      </c>
      <c r="B1" s="74" t="s">
        <v>57</v>
      </c>
      <c r="C1" s="74" t="s">
        <v>58</v>
      </c>
      <c r="D1" s="273" t="s">
        <v>194</v>
      </c>
      <c r="E1" s="274" t="s">
        <v>24</v>
      </c>
      <c r="F1" s="74" t="s">
        <v>63</v>
      </c>
      <c r="G1" s="3" t="s">
        <v>23</v>
      </c>
      <c r="H1" s="3" t="s">
        <v>3</v>
      </c>
      <c r="I1" s="3" t="s">
        <v>13</v>
      </c>
      <c r="J1" s="3" t="s">
        <v>14</v>
      </c>
      <c r="K1" s="3" t="s">
        <v>20</v>
      </c>
      <c r="L1" s="3" t="s">
        <v>19</v>
      </c>
      <c r="M1" s="3" t="s">
        <v>53</v>
      </c>
      <c r="N1" s="3" t="s">
        <v>54</v>
      </c>
      <c r="O1" s="3" t="s">
        <v>79</v>
      </c>
      <c r="P1" s="3" t="s">
        <v>81</v>
      </c>
      <c r="Q1" s="3" t="s">
        <v>82</v>
      </c>
      <c r="R1" s="3" t="s">
        <v>84</v>
      </c>
      <c r="S1" s="3" t="s">
        <v>85</v>
      </c>
      <c r="T1" s="3" t="s">
        <v>88</v>
      </c>
      <c r="U1" s="3" t="s">
        <v>91</v>
      </c>
      <c r="V1" s="3" t="s">
        <v>140</v>
      </c>
      <c r="W1" s="3" t="s">
        <v>103</v>
      </c>
      <c r="X1" s="3" t="s">
        <v>302</v>
      </c>
      <c r="Y1" s="191" t="s">
        <v>240</v>
      </c>
      <c r="Z1" s="3" t="s">
        <v>5</v>
      </c>
      <c r="AA1" s="3" t="s">
        <v>9</v>
      </c>
      <c r="AB1" s="3" t="s">
        <v>12</v>
      </c>
      <c r="AC1" s="3" t="s">
        <v>76</v>
      </c>
      <c r="AD1" s="3" t="s">
        <v>77</v>
      </c>
      <c r="AE1" s="3" t="s">
        <v>10</v>
      </c>
      <c r="AF1" s="3" t="s">
        <v>11</v>
      </c>
      <c r="AG1" s="3" t="s">
        <v>18</v>
      </c>
      <c r="AH1" s="3" t="s">
        <v>15</v>
      </c>
      <c r="AI1" s="3" t="s">
        <v>17</v>
      </c>
      <c r="AJ1" s="3" t="s">
        <v>78</v>
      </c>
      <c r="AK1" s="1" t="s">
        <v>50</v>
      </c>
      <c r="AL1" s="1" t="s">
        <v>75</v>
      </c>
      <c r="AM1" s="1" t="s">
        <v>80</v>
      </c>
      <c r="AN1" s="1" t="s">
        <v>90</v>
      </c>
    </row>
    <row r="2" spans="1:40" x14ac:dyDescent="0.3">
      <c r="A2" s="143" t="s">
        <v>186</v>
      </c>
      <c r="B2" s="185">
        <v>1</v>
      </c>
      <c r="C2" s="185">
        <v>1</v>
      </c>
      <c r="D2" s="275">
        <f>Table11234579[[#This Row],[a (mm)]]/Table11234579[[#This Row],[d (mm)]]</f>
        <v>2.5945945945945947</v>
      </c>
      <c r="E2" s="275">
        <f>277/2</f>
        <v>138.5</v>
      </c>
      <c r="F2" s="137">
        <f>Table11234579[[#This Row],[d (mm)]]</f>
        <v>925</v>
      </c>
      <c r="G2" s="111">
        <f>E2*Z2</f>
        <v>332400</v>
      </c>
      <c r="H2" s="111">
        <f t="shared" ref="H2:H43" si="0">G2/($AM$5*AI2*0.001)</f>
        <v>5.0484530818408127E-7</v>
      </c>
      <c r="I2" s="111">
        <f>G2/(Table11234579[[#This Row],[b (mm)]]*AA2^2)</f>
        <v>1.2949598246895543E-3</v>
      </c>
      <c r="J2" s="111">
        <f t="shared" ref="J2:J43" si="1">G2/(AE2*AG2*AA2*0.001)</f>
        <v>0.23281590628529403</v>
      </c>
      <c r="K2" s="111">
        <f t="shared" ref="K2:K42" si="2">E2/($AM$4*AH2*0.001)</f>
        <v>4.9015453429556909E-7</v>
      </c>
      <c r="L2" s="111">
        <f>E2/(Table11234579[[#This Row],[b (mm)]]*AA2)</f>
        <v>4.9909909909909907E-4</v>
      </c>
      <c r="M2" s="111">
        <f>Table11234579[[#This Row],[M (KN.mm)]]/(Table11234579[[#This Row],[b (mm)]]*Table11234579[[#This Row],[d (mm)]])</f>
        <v>1.1978378378378378</v>
      </c>
      <c r="N2" s="111">
        <f>Table11234579[[#This Row],[M (KN.mm)]]/(Table11234579[[#This Row],[b (mm)]]*Table11234579[[#This Row],[h (mm)]])</f>
        <v>1.1080000000000001</v>
      </c>
      <c r="O2" s="111">
        <f>Table11234579[[#This Row],[M (KN.mm)]]/(Table11234579[[#This Row],[b (mm)]]*Table11234579[[#This Row],[h (mm)]]*Table11234579[[#This Row],[L(mm)]])</f>
        <v>2.3083333333333332E-4</v>
      </c>
      <c r="P2" s="111">
        <f>Table11234579[[#This Row],[M (KN.mm)]]/(Table11234579[[#This Row],[b (mm)]]*Table11234579[[#This Row],[d (mm)]]*Table11234579[[#This Row],[L(mm)]])</f>
        <v>2.4954954954954954E-4</v>
      </c>
      <c r="Q2" s="111">
        <f>Table11234579[[#This Row],[M (KN.mm)]]/(Table11234579[[#This Row],[b (mm)]]*Table11234579[[#This Row],[h (mm)]]*Table11234579[[#This Row],[L(mm)]]*Table11234579[[#This Row],[fc (Mpa)]])</f>
        <v>3.6067708333333332E-6</v>
      </c>
      <c r="R2" s="111">
        <f>Table11234579[[#This Row],[M (KN.mm)]]/(Table11234579[[#This Row],[b (mm)]]*Table11234579[[#This Row],[h (mm)]]*Table11234579[[#This Row],[L(mm)]]/2)</f>
        <v>4.6166666666666665E-4</v>
      </c>
      <c r="S2" s="111">
        <f>Table11234579[[#This Row],[M (KN.mm)]]/(Table11234579[[#This Row],[a (mm)]]*Table11234579[[#This Row],[b (mm)]]*Table11234579[[#This Row],[h (mm)]]*Table11234579[[#This Row],[L(mm)]]/2)</f>
        <v>1.923611111111111E-7</v>
      </c>
      <c r="T2" s="111">
        <f>Table11234579[[#This Row],[M (KN.mm)]]/(Table11234579[[#This Row],[a (mm)]]^2*Table11234579[[#This Row],[b (mm)]]*Table11234579[[#This Row],[h (mm)]])</f>
        <v>1.923611111111111E-7</v>
      </c>
      <c r="U2" s="111">
        <f>Table11234579[[#This Row],[M (KN.mm)]]/(Table11234579[[#This Row],[b (mm)]]*Table11234579[[#This Row],[d (mm)]]*Table11234579[[#This Row],[pho (%)]])</f>
        <v>1.2222835079977936</v>
      </c>
      <c r="V2" s="111">
        <f>E2*224.8/(2*SQRT(Table11234579[[#This Row],[fc (Mpa)]]*145.037)*Table11234579[[#This Row],[b (mm)]]*Table11234579[[#This Row],[d (mm)]]*(1/25.4)^2)</f>
        <v>0.3756567002706418</v>
      </c>
      <c r="W2" s="111">
        <f>Table11234579[[#This Row],[M (KN.mm)]]/$G$7</f>
        <v>0.3923512747875354</v>
      </c>
      <c r="X2" s="111">
        <f>Table11234579[[#This Row],[V/(2*sqrt(fc) bd)]]</f>
        <v>0.3756567002706418</v>
      </c>
      <c r="Y2" s="111">
        <f>2*SQRT(Table11234579[[#This Row],[fc (Mpa)]]*145.037)/Table11234579[[#This Row],[pho (%)]]*Table11234579[[#This Row],[L(mm)]]/4*1/(224.8*25.4^2)</f>
        <v>1.6268623814205898</v>
      </c>
      <c r="Z2" s="111">
        <f t="shared" ref="Z2:Z7" si="3">4800/2</f>
        <v>2400</v>
      </c>
      <c r="AA2" s="111">
        <v>925</v>
      </c>
      <c r="AB2" s="111">
        <v>1000</v>
      </c>
      <c r="AC2" s="111">
        <v>300</v>
      </c>
      <c r="AD2" s="7">
        <v>64</v>
      </c>
      <c r="AE2" s="111">
        <f>Table11234579[[#This Row],[pho (%)]]*Table11234579[[#This Row],[b (mm)]]*Table11234579[[#This Row],[h (mm)]]/100</f>
        <v>2940</v>
      </c>
      <c r="AF2" s="111">
        <f t="shared" ref="AF2:AF43" si="4">0.76+0.22</f>
        <v>0.98</v>
      </c>
      <c r="AG2" s="111">
        <v>525</v>
      </c>
      <c r="AH2" s="111">
        <f>(1/3-0.21*(MIN(Table11234579[[#This Row],[b (mm)]],AB2)/MAX(Table11234579[[#This Row],[b (mm)]],AB2))*(MIN(Table11234579[[#This Row],[b (mm)]],AB2)^4/(12*MAX(Table11234579[[#This Row],[b (mm)]],AB2)^4)))*MAX(Table11234579[[#This Row],[b (mm)]],AB2)*MIN(Table11234579[[#This Row],[b (mm)]],AB2)^3</f>
        <v>8998851825</v>
      </c>
      <c r="AI2" s="111">
        <f>Table11234579[[#This Row],[b (mm)]]*AB2^3/12</f>
        <v>25000000000</v>
      </c>
      <c r="AJ2" s="111">
        <v>4800</v>
      </c>
      <c r="AK2" s="1"/>
      <c r="AL2" s="1"/>
    </row>
    <row r="3" spans="1:40" x14ac:dyDescent="0.3">
      <c r="A3" s="143" t="s">
        <v>186</v>
      </c>
      <c r="B3" s="185">
        <v>2</v>
      </c>
      <c r="C3" s="185">
        <v>2</v>
      </c>
      <c r="D3" s="275">
        <f>Table11234579[[#This Row],[a (mm)]]/Table11234579[[#This Row],[d (mm)]]</f>
        <v>2.5945945945945947</v>
      </c>
      <c r="E3" s="275">
        <f>402.6/2</f>
        <v>201.3</v>
      </c>
      <c r="F3" s="137">
        <f>Table11234579[[#This Row],[d (mm)]]</f>
        <v>925</v>
      </c>
      <c r="G3" s="111">
        <f t="shared" ref="G3:G42" si="5">E3*Z3</f>
        <v>483120</v>
      </c>
      <c r="H3" s="111">
        <f t="shared" si="0"/>
        <v>7.3375711579390296E-7</v>
      </c>
      <c r="I3" s="111">
        <f>G3/(Table11234579[[#This Row],[b (mm)]]*AA3^2)</f>
        <v>1.8821329437545653E-3</v>
      </c>
      <c r="J3" s="111">
        <f t="shared" si="1"/>
        <v>0.33838153021826489</v>
      </c>
      <c r="K3" s="111">
        <f t="shared" si="2"/>
        <v>7.1240511013500409E-7</v>
      </c>
      <c r="L3" s="111">
        <f>E3/(Table11234579[[#This Row],[b (mm)]]*AA3)</f>
        <v>7.2540540540540546E-4</v>
      </c>
      <c r="M3" s="111">
        <f>Table11234579[[#This Row],[M (KN.mm)]]/(Table11234579[[#This Row],[b (mm)]]*Table11234579[[#This Row],[d (mm)]])</f>
        <v>1.740972972972973</v>
      </c>
      <c r="N3" s="111">
        <f>Table11234579[[#This Row],[M (KN.mm)]]/(Table11234579[[#This Row],[b (mm)]]*Table11234579[[#This Row],[h (mm)]])</f>
        <v>1.6104000000000001</v>
      </c>
      <c r="O3" s="111">
        <f>Table11234579[[#This Row],[M (KN.mm)]]/(Table11234579[[#This Row],[b (mm)]]*Table11234579[[#This Row],[h (mm)]]*Table11234579[[#This Row],[L(mm)]])</f>
        <v>3.3550000000000002E-4</v>
      </c>
      <c r="P3" s="111">
        <f>Table11234579[[#This Row],[M (KN.mm)]]/(Table11234579[[#This Row],[b (mm)]]*Table11234579[[#This Row],[d (mm)]]*Table11234579[[#This Row],[L(mm)]])</f>
        <v>3.6270270270270268E-4</v>
      </c>
      <c r="Q3" s="111">
        <f>Table11234579[[#This Row],[M (KN.mm)]]/(Table11234579[[#This Row],[b (mm)]]*Table11234579[[#This Row],[h (mm)]]*Table11234579[[#This Row],[L(mm)]]*Table11234579[[#This Row],[fc (Mpa)]])</f>
        <v>5.2421875000000004E-6</v>
      </c>
      <c r="R3" s="111">
        <f>Table11234579[[#This Row],[M (KN.mm)]]/(Table11234579[[#This Row],[b (mm)]]*Table11234579[[#This Row],[h (mm)]]*Table11234579[[#This Row],[L(mm)]]/2)</f>
        <v>6.7100000000000005E-4</v>
      </c>
      <c r="S3" s="111">
        <f>Table11234579[[#This Row],[M (KN.mm)]]/(Table11234579[[#This Row],[a (mm)]]*Table11234579[[#This Row],[b (mm)]]*Table11234579[[#This Row],[h (mm)]]*Table11234579[[#This Row],[L(mm)]]/2)</f>
        <v>2.7958333333333334E-7</v>
      </c>
      <c r="T3" s="111">
        <f>Table11234579[[#This Row],[M (KN.mm)]]/(Table11234579[[#This Row],[a (mm)]]^2*Table11234579[[#This Row],[b (mm)]]*Table11234579[[#This Row],[h (mm)]])</f>
        <v>2.7958333333333334E-7</v>
      </c>
      <c r="U3" s="111">
        <f>Table11234579[[#This Row],[M (KN.mm)]]/(Table11234579[[#This Row],[b (mm)]]*Table11234579[[#This Row],[d (mm)]]*Table11234579[[#This Row],[pho (%)]])</f>
        <v>1.7765030336458907</v>
      </c>
      <c r="V3" s="111">
        <f>E3*224.8/(2*SQRT(Table11234579[[#This Row],[fc (Mpa)]]*145.037)*Table11234579[[#This Row],[b (mm)]]*Table11234579[[#This Row],[d (mm)]]*(1/25.4)^2)</f>
        <v>0.54599056869660789</v>
      </c>
      <c r="W3" s="111">
        <f>Table11234579[[#This Row],[M (KN.mm)]]/$G$7</f>
        <v>0.57025495750708211</v>
      </c>
      <c r="X3" s="111">
        <f>Table11234579[[#This Row],[V/(2*sqrt(fc) bd)]]</f>
        <v>0.54599056869660789</v>
      </c>
      <c r="Y3" s="111">
        <f>2*SQRT(Table11234579[[#This Row],[fc (Mpa)]]*145.037)/Table11234579[[#This Row],[pho (%)]]*Table11234579[[#This Row],[L(mm)]]/4*1/(224.8*25.4^2)</f>
        <v>1.6268623814205898</v>
      </c>
      <c r="Z3" s="111">
        <f t="shared" si="3"/>
        <v>2400</v>
      </c>
      <c r="AA3" s="111">
        <v>925</v>
      </c>
      <c r="AB3" s="111">
        <v>1000</v>
      </c>
      <c r="AC3" s="111">
        <v>300</v>
      </c>
      <c r="AD3" s="7">
        <v>64</v>
      </c>
      <c r="AE3" s="111">
        <f>Table11234579[[#This Row],[pho (%)]]*Table11234579[[#This Row],[b (mm)]]*Table11234579[[#This Row],[h (mm)]]/100</f>
        <v>2940</v>
      </c>
      <c r="AF3" s="111">
        <f t="shared" si="4"/>
        <v>0.98</v>
      </c>
      <c r="AG3" s="111">
        <v>525</v>
      </c>
      <c r="AH3" s="111">
        <f>(1/3-0.21*(MIN(Table11234579[[#This Row],[b (mm)]],AB3)/MAX(Table11234579[[#This Row],[b (mm)]],AB3))*(MIN(Table11234579[[#This Row],[b (mm)]],AB3)^4/(12*MAX(Table11234579[[#This Row],[b (mm)]],AB3)^4)))*MAX(Table11234579[[#This Row],[b (mm)]],AB3)*MIN(Table11234579[[#This Row],[b (mm)]],AB3)^3</f>
        <v>8998851825</v>
      </c>
      <c r="AI3" s="111">
        <f>Table11234579[[#This Row],[b (mm)]]*AB3^3/12</f>
        <v>25000000000</v>
      </c>
      <c r="AJ3" s="111">
        <v>4800</v>
      </c>
      <c r="AK3" s="1"/>
      <c r="AL3" s="1"/>
    </row>
    <row r="4" spans="1:40" x14ac:dyDescent="0.3">
      <c r="A4" s="143" t="s">
        <v>186</v>
      </c>
      <c r="B4" s="185">
        <v>3</v>
      </c>
      <c r="C4" s="185">
        <v>3</v>
      </c>
      <c r="D4" s="275">
        <f>Table11234579[[#This Row],[a (mm)]]/Table11234579[[#This Row],[d (mm)]]</f>
        <v>2.5945945945945947</v>
      </c>
      <c r="E4" s="275">
        <f>507/2</f>
        <v>253.5</v>
      </c>
      <c r="F4" s="137">
        <f>Table11234579[[#This Row],[d (mm)]]</f>
        <v>925</v>
      </c>
      <c r="G4" s="111">
        <f t="shared" si="5"/>
        <v>608400</v>
      </c>
      <c r="H4" s="111">
        <f t="shared" si="0"/>
        <v>9.2403094313837265E-7</v>
      </c>
      <c r="I4" s="111">
        <f>G4/(Table11234579[[#This Row],[b (mm)]]*AA4^2)</f>
        <v>2.3701972242512782E-3</v>
      </c>
      <c r="J4" s="111">
        <f t="shared" si="1"/>
        <v>0.4261287526593649</v>
      </c>
      <c r="K4" s="111">
        <f t="shared" si="2"/>
        <v>8.9714205374676366E-7</v>
      </c>
      <c r="L4" s="111">
        <f>E4/(Table11234579[[#This Row],[b (mm)]]*AA4)</f>
        <v>9.1351351351351352E-4</v>
      </c>
      <c r="M4" s="111">
        <f>Table11234579[[#This Row],[M (KN.mm)]]/(Table11234579[[#This Row],[b (mm)]]*Table11234579[[#This Row],[d (mm)]])</f>
        <v>2.1924324324324322</v>
      </c>
      <c r="N4" s="111">
        <f>Table11234579[[#This Row],[M (KN.mm)]]/(Table11234579[[#This Row],[b (mm)]]*Table11234579[[#This Row],[h (mm)]])</f>
        <v>2.028</v>
      </c>
      <c r="O4" s="111">
        <f>Table11234579[[#This Row],[M (KN.mm)]]/(Table11234579[[#This Row],[b (mm)]]*Table11234579[[#This Row],[h (mm)]]*Table11234579[[#This Row],[L(mm)]])</f>
        <v>4.2250000000000002E-4</v>
      </c>
      <c r="P4" s="111">
        <f>Table11234579[[#This Row],[M (KN.mm)]]/(Table11234579[[#This Row],[b (mm)]]*Table11234579[[#This Row],[d (mm)]]*Table11234579[[#This Row],[L(mm)]])</f>
        <v>4.5675675675675676E-4</v>
      </c>
      <c r="Q4" s="111">
        <f>Table11234579[[#This Row],[M (KN.mm)]]/(Table11234579[[#This Row],[b (mm)]]*Table11234579[[#This Row],[h (mm)]]*Table11234579[[#This Row],[L(mm)]]*Table11234579[[#This Row],[fc (Mpa)]])</f>
        <v>6.6015625000000004E-6</v>
      </c>
      <c r="R4" s="111">
        <f>Table11234579[[#This Row],[M (KN.mm)]]/(Table11234579[[#This Row],[b (mm)]]*Table11234579[[#This Row],[h (mm)]]*Table11234579[[#This Row],[L(mm)]]/2)</f>
        <v>8.4500000000000005E-4</v>
      </c>
      <c r="S4" s="111">
        <f>Table11234579[[#This Row],[M (KN.mm)]]/(Table11234579[[#This Row],[a (mm)]]*Table11234579[[#This Row],[b (mm)]]*Table11234579[[#This Row],[h (mm)]]*Table11234579[[#This Row],[L(mm)]]/2)</f>
        <v>3.5208333333333333E-7</v>
      </c>
      <c r="T4" s="111">
        <f>Table11234579[[#This Row],[M (KN.mm)]]/(Table11234579[[#This Row],[a (mm)]]^2*Table11234579[[#This Row],[b (mm)]]*Table11234579[[#This Row],[h (mm)]])</f>
        <v>3.5208333333333333E-7</v>
      </c>
      <c r="U4" s="111">
        <f>Table11234579[[#This Row],[M (KN.mm)]]/(Table11234579[[#This Row],[b (mm)]]*Table11234579[[#This Row],[d (mm)]]*Table11234579[[#This Row],[pho (%)]])</f>
        <v>2.2371759514616656</v>
      </c>
      <c r="V4" s="111">
        <f>E4*224.8/(2*SQRT(Table11234579[[#This Row],[fc (Mpa)]]*145.037)*Table11234579[[#This Row],[b (mm)]]*Table11234579[[#This Row],[d (mm)]]*(1/25.4)^2)</f>
        <v>0.68757381601882805</v>
      </c>
      <c r="W4" s="111">
        <f>Table11234579[[#This Row],[M (KN.mm)]]/$G$7</f>
        <v>0.71813031161473084</v>
      </c>
      <c r="X4" s="111">
        <f>Table11234579[[#This Row],[V/(2*sqrt(fc) bd)]]</f>
        <v>0.68757381601882805</v>
      </c>
      <c r="Y4" s="111">
        <f>2*SQRT(Table11234579[[#This Row],[fc (Mpa)]]*145.037)/Table11234579[[#This Row],[pho (%)]]*Table11234579[[#This Row],[L(mm)]]/4*1/(224.8*25.4^2)</f>
        <v>1.6268623814205898</v>
      </c>
      <c r="Z4" s="111">
        <f t="shared" si="3"/>
        <v>2400</v>
      </c>
      <c r="AA4" s="111">
        <v>925</v>
      </c>
      <c r="AB4" s="111">
        <v>1000</v>
      </c>
      <c r="AC4" s="111">
        <v>300</v>
      </c>
      <c r="AD4" s="7">
        <v>64</v>
      </c>
      <c r="AE4" s="111">
        <f>Table11234579[[#This Row],[pho (%)]]*Table11234579[[#This Row],[b (mm)]]*Table11234579[[#This Row],[h (mm)]]/100</f>
        <v>2940</v>
      </c>
      <c r="AF4" s="111">
        <f t="shared" si="4"/>
        <v>0.98</v>
      </c>
      <c r="AG4" s="111">
        <v>525</v>
      </c>
      <c r="AH4" s="111">
        <f>(1/3-0.21*(MIN(Table11234579[[#This Row],[b (mm)]],AB4)/MAX(Table11234579[[#This Row],[b (mm)]],AB4))*(MIN(Table11234579[[#This Row],[b (mm)]],AB4)^4/(12*MAX(Table11234579[[#This Row],[b (mm)]],AB4)^4)))*MAX(Table11234579[[#This Row],[b (mm)]],AB4)*MIN(Table11234579[[#This Row],[b (mm)]],AB4)^3</f>
        <v>8998851825</v>
      </c>
      <c r="AI4" s="111">
        <f>Table11234579[[#This Row],[b (mm)]]*AB4^3/12</f>
        <v>25000000000</v>
      </c>
      <c r="AJ4" s="111">
        <v>4800</v>
      </c>
      <c r="AK4" s="138"/>
      <c r="AL4" s="126" t="s">
        <v>7</v>
      </c>
      <c r="AM4" s="107">
        <v>31.4</v>
      </c>
    </row>
    <row r="5" spans="1:40" x14ac:dyDescent="0.3">
      <c r="A5" s="143" t="s">
        <v>186</v>
      </c>
      <c r="B5" s="185">
        <v>4</v>
      </c>
      <c r="C5" s="185">
        <v>4</v>
      </c>
      <c r="D5" s="275">
        <f>Table11234579[[#This Row],[a (mm)]]/Table11234579[[#This Row],[d (mm)]]</f>
        <v>2.5945945945945947</v>
      </c>
      <c r="E5" s="275">
        <f>597/2</f>
        <v>298.5</v>
      </c>
      <c r="F5" s="137">
        <f>Table11234579[[#This Row],[d (mm)]]</f>
        <v>925</v>
      </c>
      <c r="G5" s="111">
        <f t="shared" si="5"/>
        <v>716400</v>
      </c>
      <c r="H5" s="111">
        <f t="shared" si="0"/>
        <v>1.0880601046422258E-6</v>
      </c>
      <c r="I5" s="111">
        <f>G5/(Table11234579[[#This Row],[b (mm)]]*AA5^2)</f>
        <v>2.7909422936449962E-3</v>
      </c>
      <c r="J5" s="111">
        <f t="shared" si="1"/>
        <v>0.50177290993617529</v>
      </c>
      <c r="K5" s="111">
        <f t="shared" si="2"/>
        <v>1.0563980396189701E-6</v>
      </c>
      <c r="L5" s="111">
        <f>E5/(Table11234579[[#This Row],[b (mm)]]*AA5)</f>
        <v>1.0756756756756757E-3</v>
      </c>
      <c r="M5" s="111">
        <f>Table11234579[[#This Row],[M (KN.mm)]]/(Table11234579[[#This Row],[b (mm)]]*Table11234579[[#This Row],[d (mm)]])</f>
        <v>2.5816216216216215</v>
      </c>
      <c r="N5" s="111">
        <f>Table11234579[[#This Row],[M (KN.mm)]]/(Table11234579[[#This Row],[b (mm)]]*Table11234579[[#This Row],[h (mm)]])</f>
        <v>2.3879999999999999</v>
      </c>
      <c r="O5" s="111">
        <f>Table11234579[[#This Row],[M (KN.mm)]]/(Table11234579[[#This Row],[b (mm)]]*Table11234579[[#This Row],[h (mm)]]*Table11234579[[#This Row],[L(mm)]])</f>
        <v>4.975E-4</v>
      </c>
      <c r="P5" s="111">
        <f>Table11234579[[#This Row],[M (KN.mm)]]/(Table11234579[[#This Row],[b (mm)]]*Table11234579[[#This Row],[d (mm)]]*Table11234579[[#This Row],[L(mm)]])</f>
        <v>5.3783783783783784E-4</v>
      </c>
      <c r="Q5" s="111">
        <f>Table11234579[[#This Row],[M (KN.mm)]]/(Table11234579[[#This Row],[b (mm)]]*Table11234579[[#This Row],[h (mm)]]*Table11234579[[#This Row],[L(mm)]]*Table11234579[[#This Row],[fc (Mpa)]])</f>
        <v>7.7734375000000001E-6</v>
      </c>
      <c r="R5" s="111">
        <f>Table11234579[[#This Row],[M (KN.mm)]]/(Table11234579[[#This Row],[b (mm)]]*Table11234579[[#This Row],[h (mm)]]*Table11234579[[#This Row],[L(mm)]]/2)</f>
        <v>9.9500000000000001E-4</v>
      </c>
      <c r="S5" s="111">
        <f>Table11234579[[#This Row],[M (KN.mm)]]/(Table11234579[[#This Row],[a (mm)]]*Table11234579[[#This Row],[b (mm)]]*Table11234579[[#This Row],[h (mm)]]*Table11234579[[#This Row],[L(mm)]]/2)</f>
        <v>4.1458333333333332E-7</v>
      </c>
      <c r="T5" s="111">
        <f>Table11234579[[#This Row],[M (KN.mm)]]/(Table11234579[[#This Row],[a (mm)]]^2*Table11234579[[#This Row],[b (mm)]]*Table11234579[[#This Row],[h (mm)]])</f>
        <v>4.1458333333333332E-7</v>
      </c>
      <c r="U5" s="111">
        <f>Table11234579[[#This Row],[M (KN.mm)]]/(Table11234579[[#This Row],[b (mm)]]*Table11234579[[#This Row],[d (mm)]]*Table11234579[[#This Row],[pho (%)]])</f>
        <v>2.6343077771649202</v>
      </c>
      <c r="V5" s="111">
        <f>E5*224.8/(2*SQRT(Table11234579[[#This Row],[fc (Mpa)]]*145.037)*Table11234579[[#This Row],[b (mm)]]*Table11234579[[#This Row],[d (mm)]]*(1/25.4)^2)</f>
        <v>0.80962833957246616</v>
      </c>
      <c r="W5" s="111">
        <f>Table11234579[[#This Row],[M (KN.mm)]]/$G$7</f>
        <v>0.84560906515580736</v>
      </c>
      <c r="X5" s="111">
        <f>Table11234579[[#This Row],[V/(2*sqrt(fc) bd)]]</f>
        <v>0.80962833957246616</v>
      </c>
      <c r="Y5" s="111">
        <f>2*SQRT(Table11234579[[#This Row],[fc (Mpa)]]*145.037)/Table11234579[[#This Row],[pho (%)]]*Table11234579[[#This Row],[L(mm)]]/4*1/(224.8*25.4^2)</f>
        <v>1.6268623814205898</v>
      </c>
      <c r="Z5" s="111">
        <f t="shared" si="3"/>
        <v>2400</v>
      </c>
      <c r="AA5" s="111">
        <v>925</v>
      </c>
      <c r="AB5" s="111">
        <v>1000</v>
      </c>
      <c r="AC5" s="111">
        <v>300</v>
      </c>
      <c r="AD5" s="7">
        <v>64</v>
      </c>
      <c r="AE5" s="111">
        <f>Table11234579[[#This Row],[pho (%)]]*Table11234579[[#This Row],[b (mm)]]*Table11234579[[#This Row],[h (mm)]]/100</f>
        <v>2940</v>
      </c>
      <c r="AF5" s="111">
        <f t="shared" si="4"/>
        <v>0.98</v>
      </c>
      <c r="AG5" s="111">
        <v>525</v>
      </c>
      <c r="AH5" s="111">
        <f>(1/3-0.21*(MIN(Table11234579[[#This Row],[b (mm)]],AB5)/MAX(Table11234579[[#This Row],[b (mm)]],AB5))*(MIN(Table11234579[[#This Row],[b (mm)]],AB5)^4/(12*MAX(Table11234579[[#This Row],[b (mm)]],AB5)^4)))*MAX(Table11234579[[#This Row],[b (mm)]],AB5)*MIN(Table11234579[[#This Row],[b (mm)]],AB5)^3</f>
        <v>8998851825</v>
      </c>
      <c r="AI5" s="111">
        <f>Table11234579[[#This Row],[b (mm)]]*AB5^3/12</f>
        <v>25000000000</v>
      </c>
      <c r="AJ5" s="111">
        <v>4800</v>
      </c>
      <c r="AK5" s="138"/>
      <c r="AL5" s="126" t="s">
        <v>8</v>
      </c>
      <c r="AM5" s="107">
        <f>4700*SQRT(AM4)</f>
        <v>26336.780365109171</v>
      </c>
    </row>
    <row r="6" spans="1:40" x14ac:dyDescent="0.3">
      <c r="A6" s="143" t="s">
        <v>186</v>
      </c>
      <c r="B6" s="185">
        <v>5</v>
      </c>
      <c r="C6" s="185">
        <v>5</v>
      </c>
      <c r="D6" s="275">
        <f>Table11234579[[#This Row],[a (mm)]]/Table11234579[[#This Row],[d (mm)]]</f>
        <v>2.5945945945945947</v>
      </c>
      <c r="E6" s="275">
        <f>678/2</f>
        <v>339</v>
      </c>
      <c r="F6" s="137">
        <f>Table11234579[[#This Row],[d (mm)]]</f>
        <v>925</v>
      </c>
      <c r="G6" s="111">
        <f t="shared" si="5"/>
        <v>813600</v>
      </c>
      <c r="H6" s="111">
        <f t="shared" si="0"/>
        <v>1.2356863499956936E-6</v>
      </c>
      <c r="I6" s="111">
        <f>G6/(Table11234579[[#This Row],[b (mm)]]*AA6^2)</f>
        <v>3.1696128560993425E-3</v>
      </c>
      <c r="J6" s="111">
        <f t="shared" si="1"/>
        <v>0.56985265148530451</v>
      </c>
      <c r="K6" s="111">
        <f t="shared" si="2"/>
        <v>1.199728426903956E-6</v>
      </c>
      <c r="L6" s="111">
        <f>E6/(Table11234579[[#This Row],[b (mm)]]*AA6)</f>
        <v>1.2216216216216216E-3</v>
      </c>
      <c r="M6" s="111">
        <f>Table11234579[[#This Row],[M (KN.mm)]]/(Table11234579[[#This Row],[b (mm)]]*Table11234579[[#This Row],[d (mm)]])</f>
        <v>2.9318918918918917</v>
      </c>
      <c r="N6" s="111">
        <f>Table11234579[[#This Row],[M (KN.mm)]]/(Table11234579[[#This Row],[b (mm)]]*Table11234579[[#This Row],[h (mm)]])</f>
        <v>2.7120000000000002</v>
      </c>
      <c r="O6" s="111">
        <f>Table11234579[[#This Row],[M (KN.mm)]]/(Table11234579[[#This Row],[b (mm)]]*Table11234579[[#This Row],[h (mm)]]*Table11234579[[#This Row],[L(mm)]])</f>
        <v>5.6499999999999996E-4</v>
      </c>
      <c r="P6" s="111">
        <f>Table11234579[[#This Row],[M (KN.mm)]]/(Table11234579[[#This Row],[b (mm)]]*Table11234579[[#This Row],[d (mm)]]*Table11234579[[#This Row],[L(mm)]])</f>
        <v>6.1081081081081079E-4</v>
      </c>
      <c r="Q6" s="111">
        <f>Table11234579[[#This Row],[M (KN.mm)]]/(Table11234579[[#This Row],[b (mm)]]*Table11234579[[#This Row],[h (mm)]]*Table11234579[[#This Row],[L(mm)]]*Table11234579[[#This Row],[fc (Mpa)]])</f>
        <v>8.8281249999999994E-6</v>
      </c>
      <c r="R6" s="111">
        <f>Table11234579[[#This Row],[M (KN.mm)]]/(Table11234579[[#This Row],[b (mm)]]*Table11234579[[#This Row],[h (mm)]]*Table11234579[[#This Row],[L(mm)]]/2)</f>
        <v>1.1299999999999999E-3</v>
      </c>
      <c r="S6" s="111">
        <f>Table11234579[[#This Row],[M (KN.mm)]]/(Table11234579[[#This Row],[a (mm)]]*Table11234579[[#This Row],[b (mm)]]*Table11234579[[#This Row],[h (mm)]]*Table11234579[[#This Row],[L(mm)]]/2)</f>
        <v>4.7083333333333331E-7</v>
      </c>
      <c r="T6" s="111">
        <f>Table11234579[[#This Row],[M (KN.mm)]]/(Table11234579[[#This Row],[a (mm)]]^2*Table11234579[[#This Row],[b (mm)]]*Table11234579[[#This Row],[h (mm)]])</f>
        <v>4.7083333333333331E-7</v>
      </c>
      <c r="U6" s="111">
        <f>Table11234579[[#This Row],[M (KN.mm)]]/(Table11234579[[#This Row],[b (mm)]]*Table11234579[[#This Row],[d (mm)]]*Table11234579[[#This Row],[pho (%)]])</f>
        <v>2.9917264202978489</v>
      </c>
      <c r="V6" s="111">
        <f>E6*224.8/(2*SQRT(Table11234579[[#This Row],[fc (Mpa)]]*145.037)*Table11234579[[#This Row],[b (mm)]]*Table11234579[[#This Row],[d (mm)]]*(1/25.4)^2)</f>
        <v>0.91947741077074041</v>
      </c>
      <c r="W6" s="111">
        <f>Table11234579[[#This Row],[M (KN.mm)]]/$G$7</f>
        <v>0.96033994334277617</v>
      </c>
      <c r="X6" s="111">
        <f>Table11234579[[#This Row],[V/(2*sqrt(fc) bd)]]</f>
        <v>0.91947741077074041</v>
      </c>
      <c r="Y6" s="111">
        <f>2*SQRT(Table11234579[[#This Row],[fc (Mpa)]]*145.037)/Table11234579[[#This Row],[pho (%)]]*Table11234579[[#This Row],[L(mm)]]/4*1/(224.8*25.4^2)</f>
        <v>1.6268623814205898</v>
      </c>
      <c r="Z6" s="111">
        <f t="shared" si="3"/>
        <v>2400</v>
      </c>
      <c r="AA6" s="111">
        <v>925</v>
      </c>
      <c r="AB6" s="111">
        <v>1000</v>
      </c>
      <c r="AC6" s="111">
        <v>300</v>
      </c>
      <c r="AD6" s="7">
        <v>64</v>
      </c>
      <c r="AE6" s="111">
        <f>Table11234579[[#This Row],[pho (%)]]*Table11234579[[#This Row],[b (mm)]]*Table11234579[[#This Row],[h (mm)]]/100</f>
        <v>2940</v>
      </c>
      <c r="AF6" s="111">
        <f t="shared" si="4"/>
        <v>0.98</v>
      </c>
      <c r="AG6" s="111">
        <v>525</v>
      </c>
      <c r="AH6" s="111">
        <f>(1/3-0.21*(MIN(Table11234579[[#This Row],[b (mm)]],AB6)/MAX(Table11234579[[#This Row],[b (mm)]],AB6))*(MIN(Table11234579[[#This Row],[b (mm)]],AB6)^4/(12*MAX(Table11234579[[#This Row],[b (mm)]],AB6)^4)))*MAX(Table11234579[[#This Row],[b (mm)]],AB6)*MIN(Table11234579[[#This Row],[b (mm)]],AB6)^3</f>
        <v>8998851825</v>
      </c>
      <c r="AI6" s="111">
        <f>Table11234579[[#This Row],[b (mm)]]*AB6^3/12</f>
        <v>25000000000</v>
      </c>
      <c r="AJ6" s="111">
        <v>4800</v>
      </c>
      <c r="AK6" s="138"/>
      <c r="AL6" s="126" t="s">
        <v>16</v>
      </c>
      <c r="AM6" s="107">
        <f>AM5/(2*(1+0.15))</f>
        <v>11450.774071786596</v>
      </c>
    </row>
    <row r="7" spans="1:40" x14ac:dyDescent="0.3">
      <c r="A7" s="143" t="s">
        <v>186</v>
      </c>
      <c r="B7" s="185" t="s">
        <v>142</v>
      </c>
      <c r="C7" s="185">
        <v>6</v>
      </c>
      <c r="D7" s="275">
        <f>Table11234579[[#This Row],[a (mm)]]/Table11234579[[#This Row],[d (mm)]]</f>
        <v>2.5945945945945947</v>
      </c>
      <c r="E7" s="275">
        <f>706/2</f>
        <v>353</v>
      </c>
      <c r="F7" s="137">
        <f>Table11234579[[#This Row],[d (mm)]]</f>
        <v>925</v>
      </c>
      <c r="G7" s="111">
        <f t="shared" si="5"/>
        <v>847200</v>
      </c>
      <c r="H7" s="111">
        <f t="shared" si="0"/>
        <v>1.2867176446857811E-6</v>
      </c>
      <c r="I7" s="111">
        <f>G7/(Table11234579[[#This Row],[b (mm)]]*AA7^2)</f>
        <v>3.3005113221329439E-3</v>
      </c>
      <c r="J7" s="111">
        <f t="shared" si="1"/>
        <v>0.59338638930475662</v>
      </c>
      <c r="K7" s="111">
        <f t="shared" si="2"/>
        <v>1.2492747336197537E-6</v>
      </c>
      <c r="L7" s="111">
        <f>E7/(Table11234579[[#This Row],[b (mm)]]*AA7)</f>
        <v>1.272072072072072E-3</v>
      </c>
      <c r="M7" s="111">
        <f>Table11234579[[#This Row],[M (KN.mm)]]/(Table11234579[[#This Row],[b (mm)]]*Table11234579[[#This Row],[d (mm)]])</f>
        <v>3.0529729729729729</v>
      </c>
      <c r="N7" s="111">
        <f>Table11234579[[#This Row],[M (KN.mm)]]/(Table11234579[[#This Row],[b (mm)]]*Table11234579[[#This Row],[h (mm)]])</f>
        <v>2.8239999999999998</v>
      </c>
      <c r="O7" s="111">
        <f>Table11234579[[#This Row],[M (KN.mm)]]/(Table11234579[[#This Row],[b (mm)]]*Table11234579[[#This Row],[h (mm)]]*Table11234579[[#This Row],[L(mm)]])</f>
        <v>5.8833333333333329E-4</v>
      </c>
      <c r="P7" s="111">
        <f>Table11234579[[#This Row],[M (KN.mm)]]/(Table11234579[[#This Row],[b (mm)]]*Table11234579[[#This Row],[d (mm)]]*Table11234579[[#This Row],[L(mm)]])</f>
        <v>6.3603603603603601E-4</v>
      </c>
      <c r="Q7" s="111">
        <f>Table11234579[[#This Row],[M (KN.mm)]]/(Table11234579[[#This Row],[b (mm)]]*Table11234579[[#This Row],[h (mm)]]*Table11234579[[#This Row],[L(mm)]]*Table11234579[[#This Row],[fc (Mpa)]])</f>
        <v>9.1927083333333326E-6</v>
      </c>
      <c r="R7" s="111">
        <f>Table11234579[[#This Row],[M (KN.mm)]]/(Table11234579[[#This Row],[b (mm)]]*Table11234579[[#This Row],[h (mm)]]*Table11234579[[#This Row],[L(mm)]]/2)</f>
        <v>1.1766666666666666E-3</v>
      </c>
      <c r="S7" s="111">
        <f>Table11234579[[#This Row],[M (KN.mm)]]/(Table11234579[[#This Row],[a (mm)]]*Table11234579[[#This Row],[b (mm)]]*Table11234579[[#This Row],[h (mm)]]*Table11234579[[#This Row],[L(mm)]]/2)</f>
        <v>4.9027777777777779E-7</v>
      </c>
      <c r="T7" s="111">
        <f>Table11234579[[#This Row],[M (KN.mm)]]/(Table11234579[[#This Row],[a (mm)]]^2*Table11234579[[#This Row],[b (mm)]]*Table11234579[[#This Row],[h (mm)]])</f>
        <v>4.9027777777777779E-7</v>
      </c>
      <c r="U7" s="111">
        <f>Table11234579[[#This Row],[M (KN.mm)]]/(Table11234579[[#This Row],[b (mm)]]*Table11234579[[#This Row],[d (mm)]]*Table11234579[[#This Row],[pho (%)]])</f>
        <v>3.1152785438499726</v>
      </c>
      <c r="V7" s="111">
        <f>E7*224.8/(2*SQRT(Table11234579[[#This Row],[fc (Mpa)]]*145.037)*Table11234579[[#This Row],[b (mm)]]*Table11234579[[#This Row],[d (mm)]]*(1/25.4)^2)</f>
        <v>0.95744992920965011</v>
      </c>
      <c r="W7" s="111">
        <f>Table11234579[[#This Row],[M (KN.mm)]]/$G$7</f>
        <v>1</v>
      </c>
      <c r="X7" s="111">
        <f>Table11234579[[#This Row],[V/(2*sqrt(fc) bd)]]</f>
        <v>0.95744992920965011</v>
      </c>
      <c r="Y7" s="111">
        <f>2*SQRT(Table11234579[[#This Row],[fc (Mpa)]]*145.037)/Table11234579[[#This Row],[pho (%)]]*Table11234579[[#This Row],[L(mm)]]/4*1/(224.8*25.4^2)</f>
        <v>1.6268623814205898</v>
      </c>
      <c r="Z7" s="111">
        <f t="shared" si="3"/>
        <v>2400</v>
      </c>
      <c r="AA7" s="111">
        <v>925</v>
      </c>
      <c r="AB7" s="111">
        <v>1000</v>
      </c>
      <c r="AC7" s="111">
        <v>300</v>
      </c>
      <c r="AD7" s="7">
        <v>64</v>
      </c>
      <c r="AE7" s="111">
        <f>Table11234579[[#This Row],[pho (%)]]*Table11234579[[#This Row],[b (mm)]]*Table11234579[[#This Row],[h (mm)]]/100</f>
        <v>2940</v>
      </c>
      <c r="AF7" s="111">
        <f t="shared" si="4"/>
        <v>0.98</v>
      </c>
      <c r="AG7" s="111">
        <v>525</v>
      </c>
      <c r="AH7" s="111">
        <f>(1/3-0.21*(MIN(Table11234579[[#This Row],[b (mm)]],AB7)/MAX(Table11234579[[#This Row],[b (mm)]],AB7))*(MIN(Table11234579[[#This Row],[b (mm)]],AB7)^4/(12*MAX(Table11234579[[#This Row],[b (mm)]],AB7)^4)))*MAX(Table11234579[[#This Row],[b (mm)]],AB7)*MIN(Table11234579[[#This Row],[b (mm)]],AB7)^3</f>
        <v>8998851825</v>
      </c>
      <c r="AI7" s="111">
        <f>Table11234579[[#This Row],[b (mm)]]*AB7^3/12</f>
        <v>25000000000</v>
      </c>
      <c r="AJ7" s="111">
        <v>4800</v>
      </c>
      <c r="AK7" s="138"/>
      <c r="AL7" s="107"/>
    </row>
    <row r="8" spans="1:40" x14ac:dyDescent="0.3">
      <c r="A8" s="276" t="s">
        <v>187</v>
      </c>
      <c r="B8" s="277">
        <v>1</v>
      </c>
      <c r="C8" s="277">
        <v>7</v>
      </c>
      <c r="D8" s="275">
        <f>Table11234579[[#This Row],[a (mm)]]/Table11234579[[#This Row],[d (mm)]]</f>
        <v>1.9459459459459461</v>
      </c>
      <c r="E8" s="278">
        <f>340.5/2</f>
        <v>170.25</v>
      </c>
      <c r="F8" s="137">
        <f>Table11234579[[#This Row],[d (mm)]]</f>
        <v>925</v>
      </c>
      <c r="G8" s="111">
        <f t="shared" si="5"/>
        <v>306450</v>
      </c>
      <c r="H8" s="111">
        <f t="shared" si="0"/>
        <v>4.6543274576718327E-7</v>
      </c>
      <c r="I8" s="111">
        <f>G8/(Table11234579[[#This Row],[b (mm)]]*AA8^2)</f>
        <v>1.1938641344046749E-3</v>
      </c>
      <c r="J8" s="111">
        <f t="shared" si="1"/>
        <v>0.21464029627294934</v>
      </c>
      <c r="K8" s="111">
        <f t="shared" si="2"/>
        <v>6.0251847988318152E-7</v>
      </c>
      <c r="L8" s="111">
        <f>E8/(Table11234579[[#This Row],[b (mm)]]*AA8)</f>
        <v>6.135135135135135E-4</v>
      </c>
      <c r="M8" s="111">
        <f>Table11234579[[#This Row],[M (KN.mm)]]/(Table11234579[[#This Row],[b (mm)]]*Table11234579[[#This Row],[d (mm)]])</f>
        <v>1.1043243243243244</v>
      </c>
      <c r="N8" s="111">
        <f>Table11234579[[#This Row],[M (KN.mm)]]/(Table11234579[[#This Row],[b (mm)]]*Table11234579[[#This Row],[h (mm)]])</f>
        <v>1.0215000000000001</v>
      </c>
      <c r="O8" s="111">
        <f>Table11234579[[#This Row],[M (KN.mm)]]/(Table11234579[[#This Row],[b (mm)]]*Table11234579[[#This Row],[h (mm)]]*Table11234579[[#This Row],[L(mm)]])</f>
        <v>2.8374999999999999E-4</v>
      </c>
      <c r="P8" s="111">
        <f>Table11234579[[#This Row],[M (KN.mm)]]/(Table11234579[[#This Row],[b (mm)]]*Table11234579[[#This Row],[d (mm)]]*Table11234579[[#This Row],[L(mm)]])</f>
        <v>3.0675675675675675E-4</v>
      </c>
      <c r="Q8" s="111">
        <f>Table11234579[[#This Row],[M (KN.mm)]]/(Table11234579[[#This Row],[b (mm)]]*Table11234579[[#This Row],[h (mm)]]*Table11234579[[#This Row],[L(mm)]]*Table11234579[[#This Row],[fc (Mpa)]])</f>
        <v>7.2756410256410255E-6</v>
      </c>
      <c r="R8" s="111">
        <f>Table11234579[[#This Row],[M (KN.mm)]]/(Table11234579[[#This Row],[b (mm)]]*Table11234579[[#This Row],[h (mm)]]*Table11234579[[#This Row],[L(mm)]]/2)</f>
        <v>5.6749999999999997E-4</v>
      </c>
      <c r="S8" s="111">
        <f>Table11234579[[#This Row],[M (KN.mm)]]/(Table11234579[[#This Row],[a (mm)]]*Table11234579[[#This Row],[b (mm)]]*Table11234579[[#This Row],[h (mm)]]*Table11234579[[#This Row],[L(mm)]]/2)</f>
        <v>3.1527777777777777E-7</v>
      </c>
      <c r="T8" s="111">
        <f>Table11234579[[#This Row],[M (KN.mm)]]/(Table11234579[[#This Row],[a (mm)]]^2*Table11234579[[#This Row],[b (mm)]]*Table11234579[[#This Row],[h (mm)]])</f>
        <v>3.1527777777777777E-7</v>
      </c>
      <c r="U8" s="111">
        <f>Table11234579[[#This Row],[M (KN.mm)]]/(Table11234579[[#This Row],[b (mm)]]*Table11234579[[#This Row],[d (mm)]]*Table11234579[[#This Row],[pho (%)]])</f>
        <v>1.1268615554329839</v>
      </c>
      <c r="V8" s="111">
        <f>E8*224.8/(2*SQRT(Table11234579[[#This Row],[fc (Mpa)]]*145.037)*Table11234579[[#This Row],[b (mm)]]*Table11234579[[#This Row],[d (mm)]]*(1/25.4)^2)</f>
        <v>0.59154279641149543</v>
      </c>
      <c r="W8" s="111">
        <f>Table11234579[[#This Row],[M (KN.mm)]]/$G$12</f>
        <v>0.21833921128566849</v>
      </c>
      <c r="X8" s="111">
        <f>Table11234579[[#This Row],[V/(2*sqrt(fc) bd)]]</f>
        <v>0.59154279641149543</v>
      </c>
      <c r="Y8" s="111">
        <f>2*SQRT(Table11234579[[#This Row],[fc (Mpa)]]*145.037)/Table11234579[[#This Row],[pho (%)]]*Table11234579[[#This Row],[L(mm)]]/4*1/(224.8*25.4^2)</f>
        <v>0.9524767795913659</v>
      </c>
      <c r="Z8" s="111">
        <v>1800</v>
      </c>
      <c r="AA8" s="111">
        <v>925</v>
      </c>
      <c r="AB8" s="111">
        <v>1000</v>
      </c>
      <c r="AC8" s="111">
        <v>300</v>
      </c>
      <c r="AD8" s="7">
        <v>39</v>
      </c>
      <c r="AE8" s="111">
        <f>Table11234579[[#This Row],[pho (%)]]*Table11234579[[#This Row],[b (mm)]]*Table11234579[[#This Row],[h (mm)]]/100</f>
        <v>2940</v>
      </c>
      <c r="AF8" s="111">
        <f t="shared" si="4"/>
        <v>0.98</v>
      </c>
      <c r="AG8" s="111">
        <v>525</v>
      </c>
      <c r="AH8" s="111">
        <f>(1/3-0.21*(MIN(Table11234579[[#This Row],[b (mm)]],AB8)/MAX(Table11234579[[#This Row],[b (mm)]],AB8))*(MIN(Table11234579[[#This Row],[b (mm)]],AB8)^4/(12*MAX(Table11234579[[#This Row],[b (mm)]],AB8)^4)))*MAX(Table11234579[[#This Row],[b (mm)]],AB8)*MIN(Table11234579[[#This Row],[b (mm)]],AB8)^3</f>
        <v>8998851825</v>
      </c>
      <c r="AI8" s="111">
        <f>Table11234579[[#This Row],[b (mm)]]*AB8^3/12</f>
        <v>25000000000</v>
      </c>
      <c r="AJ8" s="111">
        <v>3600</v>
      </c>
      <c r="AK8" s="138"/>
      <c r="AL8" s="107"/>
    </row>
    <row r="9" spans="1:40" x14ac:dyDescent="0.3">
      <c r="A9" s="276" t="s">
        <v>187</v>
      </c>
      <c r="B9" s="277">
        <v>2</v>
      </c>
      <c r="C9" s="277">
        <v>8</v>
      </c>
      <c r="D9" s="275">
        <f>Table11234579[[#This Row],[a (mm)]]/Table11234579[[#This Row],[d (mm)]]</f>
        <v>1.9459459459459461</v>
      </c>
      <c r="E9" s="278">
        <f>678.5/2</f>
        <v>339.25</v>
      </c>
      <c r="F9" s="137">
        <f>Table11234579[[#This Row],[d (mm)]]</f>
        <v>925</v>
      </c>
      <c r="G9" s="111">
        <f t="shared" si="5"/>
        <v>610650</v>
      </c>
      <c r="H9" s="111">
        <f t="shared" si="0"/>
        <v>9.274482173363696E-7</v>
      </c>
      <c r="I9" s="111">
        <f>G9/(Table11234579[[#This Row],[b (mm)]]*AA9^2)</f>
        <v>2.3789627465303142E-3</v>
      </c>
      <c r="J9" s="111">
        <f t="shared" si="1"/>
        <v>0.42770467260263179</v>
      </c>
      <c r="K9" s="111">
        <f t="shared" si="2"/>
        <v>1.200613182381024E-6</v>
      </c>
      <c r="L9" s="111">
        <f>E9/(Table11234579[[#This Row],[b (mm)]]*AA9)</f>
        <v>1.2225225225225226E-3</v>
      </c>
      <c r="M9" s="111">
        <f>Table11234579[[#This Row],[M (KN.mm)]]/(Table11234579[[#This Row],[b (mm)]]*Table11234579[[#This Row],[d (mm)]])</f>
        <v>2.2005405405405405</v>
      </c>
      <c r="N9" s="111">
        <f>Table11234579[[#This Row],[M (KN.mm)]]/(Table11234579[[#This Row],[b (mm)]]*Table11234579[[#This Row],[h (mm)]])</f>
        <v>2.0354999999999999</v>
      </c>
      <c r="O9" s="111">
        <f>Table11234579[[#This Row],[M (KN.mm)]]/(Table11234579[[#This Row],[b (mm)]]*Table11234579[[#This Row],[h (mm)]]*Table11234579[[#This Row],[L(mm)]])</f>
        <v>5.6541666666666665E-4</v>
      </c>
      <c r="P9" s="111">
        <f>Table11234579[[#This Row],[M (KN.mm)]]/(Table11234579[[#This Row],[b (mm)]]*Table11234579[[#This Row],[d (mm)]]*Table11234579[[#This Row],[L(mm)]])</f>
        <v>6.1126126126126131E-4</v>
      </c>
      <c r="Q9" s="111">
        <f>Table11234579[[#This Row],[M (KN.mm)]]/(Table11234579[[#This Row],[b (mm)]]*Table11234579[[#This Row],[h (mm)]]*Table11234579[[#This Row],[L(mm)]]*Table11234579[[#This Row],[fc (Mpa)]])</f>
        <v>1.4497863247863248E-5</v>
      </c>
      <c r="R9" s="111">
        <f>Table11234579[[#This Row],[M (KN.mm)]]/(Table11234579[[#This Row],[b (mm)]]*Table11234579[[#This Row],[h (mm)]]*Table11234579[[#This Row],[L(mm)]]/2)</f>
        <v>1.1308333333333333E-3</v>
      </c>
      <c r="S9" s="111">
        <f>Table11234579[[#This Row],[M (KN.mm)]]/(Table11234579[[#This Row],[a (mm)]]*Table11234579[[#This Row],[b (mm)]]*Table11234579[[#This Row],[h (mm)]]*Table11234579[[#This Row],[L(mm)]]/2)</f>
        <v>6.2824074074074075E-7</v>
      </c>
      <c r="T9" s="111">
        <f>Table11234579[[#This Row],[M (KN.mm)]]/(Table11234579[[#This Row],[a (mm)]]^2*Table11234579[[#This Row],[b (mm)]]*Table11234579[[#This Row],[h (mm)]])</f>
        <v>6.2824074074074075E-7</v>
      </c>
      <c r="U9" s="111">
        <f>Table11234579[[#This Row],[M (KN.mm)]]/(Table11234579[[#This Row],[b (mm)]]*Table11234579[[#This Row],[d (mm)]]*Table11234579[[#This Row],[pho (%)]])</f>
        <v>2.2454495311638167</v>
      </c>
      <c r="V9" s="111">
        <f>E9*224.8/(2*SQRT(Table11234579[[#This Row],[fc (Mpa)]]*145.037)*Table11234579[[#This Row],[b (mm)]]*Table11234579[[#This Row],[d (mm)]]*(1/25.4)^2)</f>
        <v>1.1787424004851679</v>
      </c>
      <c r="W9" s="111">
        <f>Table11234579[[#This Row],[M (KN.mm)]]/$G$12</f>
        <v>0.43507534466175057</v>
      </c>
      <c r="X9" s="111">
        <f>Table11234579[[#This Row],[V/(2*sqrt(fc) bd)]]</f>
        <v>1.1787424004851679</v>
      </c>
      <c r="Y9" s="111">
        <f>2*SQRT(Table11234579[[#This Row],[fc (Mpa)]]*145.037)/Table11234579[[#This Row],[pho (%)]]*Table11234579[[#This Row],[L(mm)]]/4*1/(224.8*25.4^2)</f>
        <v>0.9524767795913659</v>
      </c>
      <c r="Z9" s="111">
        <v>1800</v>
      </c>
      <c r="AA9" s="111">
        <v>925</v>
      </c>
      <c r="AB9" s="111">
        <v>1000</v>
      </c>
      <c r="AC9" s="111">
        <v>300</v>
      </c>
      <c r="AD9" s="7">
        <v>39</v>
      </c>
      <c r="AE9" s="111">
        <f>Table11234579[[#This Row],[pho (%)]]*Table11234579[[#This Row],[b (mm)]]*Table11234579[[#This Row],[h (mm)]]/100</f>
        <v>2940</v>
      </c>
      <c r="AF9" s="111">
        <f t="shared" si="4"/>
        <v>0.98</v>
      </c>
      <c r="AG9" s="111">
        <v>525</v>
      </c>
      <c r="AH9" s="111">
        <f>(1/3-0.21*(MIN(Table11234579[[#This Row],[b (mm)]],AB9)/MAX(Table11234579[[#This Row],[b (mm)]],AB9))*(MIN(Table11234579[[#This Row],[b (mm)]],AB9)^4/(12*MAX(Table11234579[[#This Row],[b (mm)]],AB9)^4)))*MAX(Table11234579[[#This Row],[b (mm)]],AB9)*MIN(Table11234579[[#This Row],[b (mm)]],AB9)^3</f>
        <v>8998851825</v>
      </c>
      <c r="AI9" s="111">
        <f>Table11234579[[#This Row],[b (mm)]]*AB9^3/12</f>
        <v>25000000000</v>
      </c>
      <c r="AJ9" s="111">
        <v>3600</v>
      </c>
      <c r="AK9" s="138"/>
      <c r="AL9" s="107"/>
    </row>
    <row r="10" spans="1:40" ht="12.75" customHeight="1" x14ac:dyDescent="0.3">
      <c r="A10" s="276" t="s">
        <v>187</v>
      </c>
      <c r="B10" s="277">
        <v>3</v>
      </c>
      <c r="C10" s="277">
        <v>9</v>
      </c>
      <c r="D10" s="275">
        <f>Table11234579[[#This Row],[a (mm)]]/Table11234579[[#This Row],[d (mm)]]</f>
        <v>1.9459459459459461</v>
      </c>
      <c r="E10" s="278">
        <f>889/2</f>
        <v>444.5</v>
      </c>
      <c r="F10" s="137">
        <f>Table11234579[[#This Row],[d (mm)]]</f>
        <v>925</v>
      </c>
      <c r="G10" s="111">
        <f t="shared" si="5"/>
        <v>800100</v>
      </c>
      <c r="H10" s="111">
        <f t="shared" si="0"/>
        <v>1.215182704807712E-6</v>
      </c>
      <c r="I10" s="111">
        <f>G10/(Table11234579[[#This Row],[b (mm)]]*AA10^2)</f>
        <v>3.1170197224251279E-3</v>
      </c>
      <c r="J10" s="111">
        <f t="shared" si="1"/>
        <v>0.56039713182570328</v>
      </c>
      <c r="K10" s="111">
        <f t="shared" si="2"/>
        <v>1.5730952382265736E-6</v>
      </c>
      <c r="L10" s="111">
        <f>E10/(Table11234579[[#This Row],[b (mm)]]*AA10)</f>
        <v>1.6018018018018017E-3</v>
      </c>
      <c r="M10" s="111">
        <f>Table11234579[[#This Row],[M (KN.mm)]]/(Table11234579[[#This Row],[b (mm)]]*Table11234579[[#This Row],[d (mm)]])</f>
        <v>2.8832432432432431</v>
      </c>
      <c r="N10" s="111">
        <f>Table11234579[[#This Row],[M (KN.mm)]]/(Table11234579[[#This Row],[b (mm)]]*Table11234579[[#This Row],[h (mm)]])</f>
        <v>2.6669999999999998</v>
      </c>
      <c r="O10" s="111">
        <f>Table11234579[[#This Row],[M (KN.mm)]]/(Table11234579[[#This Row],[b (mm)]]*Table11234579[[#This Row],[h (mm)]]*Table11234579[[#This Row],[L(mm)]])</f>
        <v>7.4083333333333336E-4</v>
      </c>
      <c r="P10" s="111">
        <f>Table11234579[[#This Row],[M (KN.mm)]]/(Table11234579[[#This Row],[b (mm)]]*Table11234579[[#This Row],[d (mm)]]*Table11234579[[#This Row],[L(mm)]])</f>
        <v>8.0090090090090087E-4</v>
      </c>
      <c r="Q10" s="111">
        <f>Table11234579[[#This Row],[M (KN.mm)]]/(Table11234579[[#This Row],[b (mm)]]*Table11234579[[#This Row],[h (mm)]]*Table11234579[[#This Row],[L(mm)]]*Table11234579[[#This Row],[fc (Mpa)]])</f>
        <v>1.8995726495726496E-5</v>
      </c>
      <c r="R10" s="111">
        <f>Table11234579[[#This Row],[M (KN.mm)]]/(Table11234579[[#This Row],[b (mm)]]*Table11234579[[#This Row],[h (mm)]]*Table11234579[[#This Row],[L(mm)]]/2)</f>
        <v>1.4816666666666667E-3</v>
      </c>
      <c r="S10" s="111">
        <f>Table11234579[[#This Row],[M (KN.mm)]]/(Table11234579[[#This Row],[a (mm)]]*Table11234579[[#This Row],[b (mm)]]*Table11234579[[#This Row],[h (mm)]]*Table11234579[[#This Row],[L(mm)]]/2)</f>
        <v>8.2314814814814814E-7</v>
      </c>
      <c r="T10" s="111">
        <f>Table11234579[[#This Row],[M (KN.mm)]]/(Table11234579[[#This Row],[a (mm)]]^2*Table11234579[[#This Row],[b (mm)]]*Table11234579[[#This Row],[h (mm)]])</f>
        <v>8.2314814814814814E-7</v>
      </c>
      <c r="U10" s="111">
        <f>Table11234579[[#This Row],[M (KN.mm)]]/(Table11234579[[#This Row],[b (mm)]]*Table11234579[[#This Row],[d (mm)]]*Table11234579[[#This Row],[pho (%)]])</f>
        <v>2.942084942084942</v>
      </c>
      <c r="V10" s="111">
        <f>E10*224.8/(2*SQRT(Table11234579[[#This Row],[fc (Mpa)]]*145.037)*Table11234579[[#This Row],[b (mm)]]*Table11234579[[#This Row],[d (mm)]]*(1/25.4)^2)</f>
        <v>1.5444391953298662</v>
      </c>
      <c r="W10" s="111">
        <f>Table11234579[[#This Row],[M (KN.mm)]]/$G$12</f>
        <v>0.57005450464892593</v>
      </c>
      <c r="X10" s="111">
        <f>Table11234579[[#This Row],[V/(2*sqrt(fc) bd)]]</f>
        <v>1.5444391953298662</v>
      </c>
      <c r="Y10" s="111">
        <f>2*SQRT(Table11234579[[#This Row],[fc (Mpa)]]*145.037)/Table11234579[[#This Row],[pho (%)]]*Table11234579[[#This Row],[L(mm)]]/4*1/(224.8*25.4^2)</f>
        <v>0.9524767795913659</v>
      </c>
      <c r="Z10" s="111">
        <v>1800</v>
      </c>
      <c r="AA10" s="111">
        <v>925</v>
      </c>
      <c r="AB10" s="111">
        <v>1000</v>
      </c>
      <c r="AC10" s="111">
        <v>300</v>
      </c>
      <c r="AD10" s="7">
        <v>39</v>
      </c>
      <c r="AE10" s="111">
        <f>Table11234579[[#This Row],[pho (%)]]*Table11234579[[#This Row],[b (mm)]]*Table11234579[[#This Row],[h (mm)]]/100</f>
        <v>2940</v>
      </c>
      <c r="AF10" s="111">
        <f t="shared" si="4"/>
        <v>0.98</v>
      </c>
      <c r="AG10" s="111">
        <v>525</v>
      </c>
      <c r="AH10" s="111">
        <f>(1/3-0.21*(MIN(Table11234579[[#This Row],[b (mm)]],AB10)/MAX(Table11234579[[#This Row],[b (mm)]],AB10))*(MIN(Table11234579[[#This Row],[b (mm)]],AB10)^4/(12*MAX(Table11234579[[#This Row],[b (mm)]],AB10)^4)))*MAX(Table11234579[[#This Row],[b (mm)]],AB10)*MIN(Table11234579[[#This Row],[b (mm)]],AB10)^3</f>
        <v>8998851825</v>
      </c>
      <c r="AI10" s="111">
        <f>Table11234579[[#This Row],[b (mm)]]*AB10^3/12</f>
        <v>25000000000</v>
      </c>
      <c r="AJ10" s="111">
        <v>3600</v>
      </c>
      <c r="AK10" s="138"/>
      <c r="AL10" s="107"/>
    </row>
    <row r="11" spans="1:40" x14ac:dyDescent="0.3">
      <c r="A11" s="276" t="s">
        <v>187</v>
      </c>
      <c r="B11" s="277">
        <v>4</v>
      </c>
      <c r="C11" s="277">
        <v>10</v>
      </c>
      <c r="D11" s="275">
        <f>Table11234579[[#This Row],[a (mm)]]/Table11234579[[#This Row],[d (mm)]]</f>
        <v>1.9459459459459461</v>
      </c>
      <c r="E11" s="278">
        <f>1202/2</f>
        <v>601</v>
      </c>
      <c r="F11" s="137">
        <f>Table11234579[[#This Row],[d (mm)]]</f>
        <v>925</v>
      </c>
      <c r="G11" s="111">
        <f t="shared" si="5"/>
        <v>1081800</v>
      </c>
      <c r="H11" s="111">
        <f t="shared" si="0"/>
        <v>1.6430254343969289E-6</v>
      </c>
      <c r="I11" s="111">
        <f>G11/(Table11234579[[#This Row],[b (mm)]]*AA11^2)</f>
        <v>4.214463111760409E-3</v>
      </c>
      <c r="J11" s="111">
        <f t="shared" si="1"/>
        <v>0.75770230872271693</v>
      </c>
      <c r="K11" s="111">
        <f t="shared" si="2"/>
        <v>2.1269521668710252E-6</v>
      </c>
      <c r="L11" s="111">
        <f>E11/(Table11234579[[#This Row],[b (mm)]]*AA11)</f>
        <v>2.165765765765766E-3</v>
      </c>
      <c r="M11" s="111">
        <f>Table11234579[[#This Row],[M (KN.mm)]]/(Table11234579[[#This Row],[b (mm)]]*Table11234579[[#This Row],[d (mm)]])</f>
        <v>3.8983783783783785</v>
      </c>
      <c r="N11" s="111">
        <f>Table11234579[[#This Row],[M (KN.mm)]]/(Table11234579[[#This Row],[b (mm)]]*Table11234579[[#This Row],[h (mm)]])</f>
        <v>3.6059999999999999</v>
      </c>
      <c r="O11" s="111">
        <f>Table11234579[[#This Row],[M (KN.mm)]]/(Table11234579[[#This Row],[b (mm)]]*Table11234579[[#This Row],[h (mm)]]*Table11234579[[#This Row],[L(mm)]])</f>
        <v>1.0016666666666668E-3</v>
      </c>
      <c r="P11" s="111">
        <f>Table11234579[[#This Row],[M (KN.mm)]]/(Table11234579[[#This Row],[b (mm)]]*Table11234579[[#This Row],[d (mm)]]*Table11234579[[#This Row],[L(mm)]])</f>
        <v>1.082882882882883E-3</v>
      </c>
      <c r="Q11" s="111">
        <f>Table11234579[[#This Row],[M (KN.mm)]]/(Table11234579[[#This Row],[b (mm)]]*Table11234579[[#This Row],[h (mm)]]*Table11234579[[#This Row],[L(mm)]]*Table11234579[[#This Row],[fc (Mpa)]])</f>
        <v>2.5683760683760682E-5</v>
      </c>
      <c r="R11" s="111">
        <f>Table11234579[[#This Row],[M (KN.mm)]]/(Table11234579[[#This Row],[b (mm)]]*Table11234579[[#This Row],[h (mm)]]*Table11234579[[#This Row],[L(mm)]]/2)</f>
        <v>2.0033333333333335E-3</v>
      </c>
      <c r="S11" s="111">
        <f>Table11234579[[#This Row],[M (KN.mm)]]/(Table11234579[[#This Row],[a (mm)]]*Table11234579[[#This Row],[b (mm)]]*Table11234579[[#This Row],[h (mm)]]*Table11234579[[#This Row],[L(mm)]]/2)</f>
        <v>1.112962962962963E-6</v>
      </c>
      <c r="T11" s="111">
        <f>Table11234579[[#This Row],[M (KN.mm)]]/(Table11234579[[#This Row],[a (mm)]]^2*Table11234579[[#This Row],[b (mm)]]*Table11234579[[#This Row],[h (mm)]])</f>
        <v>1.112962962962963E-6</v>
      </c>
      <c r="U11" s="111">
        <f>Table11234579[[#This Row],[M (KN.mm)]]/(Table11234579[[#This Row],[b (mm)]]*Table11234579[[#This Row],[d (mm)]]*Table11234579[[#This Row],[pho (%)]])</f>
        <v>3.9779371207942638</v>
      </c>
      <c r="V11" s="111">
        <f>E11*224.8/(2*SQRT(Table11234579[[#This Row],[fc (Mpa)]]*145.037)*Table11234579[[#This Row],[b (mm)]]*Table11234579[[#This Row],[d (mm)]]*(1/25.4)^2)</f>
        <v>2.0882068760253087</v>
      </c>
      <c r="W11" s="111">
        <f>Table11234579[[#This Row],[M (KN.mm)]]/$G$12</f>
        <v>0.770759858929144</v>
      </c>
      <c r="X11" s="111">
        <f>Table11234579[[#This Row],[V/(2*sqrt(fc) bd)]]</f>
        <v>2.0882068760253087</v>
      </c>
      <c r="Y11" s="111">
        <f>2*SQRT(Table11234579[[#This Row],[fc (Mpa)]]*145.037)/Table11234579[[#This Row],[pho (%)]]*Table11234579[[#This Row],[L(mm)]]/4*1/(224.8*25.4^2)</f>
        <v>0.9524767795913659</v>
      </c>
      <c r="Z11" s="111">
        <v>1800</v>
      </c>
      <c r="AA11" s="111">
        <v>925</v>
      </c>
      <c r="AB11" s="111">
        <v>1000</v>
      </c>
      <c r="AC11" s="111">
        <v>300</v>
      </c>
      <c r="AD11" s="7">
        <v>39</v>
      </c>
      <c r="AE11" s="111">
        <f>Table11234579[[#This Row],[pho (%)]]*Table11234579[[#This Row],[b (mm)]]*Table11234579[[#This Row],[h (mm)]]/100</f>
        <v>2940</v>
      </c>
      <c r="AF11" s="111">
        <f t="shared" si="4"/>
        <v>0.98</v>
      </c>
      <c r="AG11" s="111">
        <v>525</v>
      </c>
      <c r="AH11" s="111">
        <f>(1/3-0.21*(MIN(Table11234579[[#This Row],[b (mm)]],AB11)/MAX(Table11234579[[#This Row],[b (mm)]],AB11))*(MIN(Table11234579[[#This Row],[b (mm)]],AB11)^4/(12*MAX(Table11234579[[#This Row],[b (mm)]],AB11)^4)))*MAX(Table11234579[[#This Row],[b (mm)]],AB11)*MIN(Table11234579[[#This Row],[b (mm)]],AB11)^3</f>
        <v>8998851825</v>
      </c>
      <c r="AI11" s="111">
        <f>Table11234579[[#This Row],[b (mm)]]*AB11^3/12</f>
        <v>25000000000</v>
      </c>
      <c r="AJ11" s="111">
        <v>3600</v>
      </c>
      <c r="AK11" s="138"/>
      <c r="AL11" s="107"/>
    </row>
    <row r="12" spans="1:40" ht="17.25" customHeight="1" x14ac:dyDescent="0.3">
      <c r="A12" s="276" t="s">
        <v>187</v>
      </c>
      <c r="B12" s="277" t="s">
        <v>142</v>
      </c>
      <c r="C12" s="277">
        <v>11</v>
      </c>
      <c r="D12" s="275">
        <f>Table11234579[[#This Row],[a (mm)]]/Table11234579[[#This Row],[d (mm)]]</f>
        <v>1.9459459459459461</v>
      </c>
      <c r="E12" s="278">
        <f>1559.5/2</f>
        <v>779.75</v>
      </c>
      <c r="F12" s="137">
        <f>Table11234579[[#This Row],[d (mm)]]</f>
        <v>925</v>
      </c>
      <c r="G12" s="111">
        <f t="shared" si="5"/>
        <v>1403550</v>
      </c>
      <c r="H12" s="111">
        <f t="shared" si="0"/>
        <v>2.1316956447104914E-6</v>
      </c>
      <c r="I12" s="111">
        <f>G12/(Table11234579[[#This Row],[b (mm)]]*AA12^2)</f>
        <v>5.4679327976625272E-3</v>
      </c>
      <c r="J12" s="111">
        <f t="shared" si="1"/>
        <v>0.98305886060988101</v>
      </c>
      <c r="K12" s="111">
        <f t="shared" si="2"/>
        <v>2.7595523329745124E-6</v>
      </c>
      <c r="L12" s="111">
        <f>E12/(Table11234579[[#This Row],[b (mm)]]*AA12)</f>
        <v>2.8099099099099098E-3</v>
      </c>
      <c r="M12" s="111">
        <f>Table11234579[[#This Row],[M (KN.mm)]]/(Table11234579[[#This Row],[b (mm)]]*Table11234579[[#This Row],[d (mm)]])</f>
        <v>5.0578378378378375</v>
      </c>
      <c r="N12" s="111">
        <f>Table11234579[[#This Row],[M (KN.mm)]]/(Table11234579[[#This Row],[b (mm)]]*Table11234579[[#This Row],[h (mm)]])</f>
        <v>4.6784999999999997</v>
      </c>
      <c r="O12" s="111">
        <f>Table11234579[[#This Row],[M (KN.mm)]]/(Table11234579[[#This Row],[b (mm)]]*Table11234579[[#This Row],[h (mm)]]*Table11234579[[#This Row],[L(mm)]])</f>
        <v>1.2995833333333334E-3</v>
      </c>
      <c r="P12" s="111">
        <f>Table11234579[[#This Row],[M (KN.mm)]]/(Table11234579[[#This Row],[b (mm)]]*Table11234579[[#This Row],[d (mm)]]*Table11234579[[#This Row],[L(mm)]])</f>
        <v>1.4049549549549549E-3</v>
      </c>
      <c r="Q12" s="111">
        <f>Table11234579[[#This Row],[M (KN.mm)]]/(Table11234579[[#This Row],[b (mm)]]*Table11234579[[#This Row],[h (mm)]]*Table11234579[[#This Row],[L(mm)]]*Table11234579[[#This Row],[fc (Mpa)]])</f>
        <v>3.3322649572649573E-5</v>
      </c>
      <c r="R12" s="111">
        <f>Table11234579[[#This Row],[M (KN.mm)]]/(Table11234579[[#This Row],[b (mm)]]*Table11234579[[#This Row],[h (mm)]]*Table11234579[[#This Row],[L(mm)]]/2)</f>
        <v>2.5991666666666667E-3</v>
      </c>
      <c r="S12" s="111">
        <f>Table11234579[[#This Row],[M (KN.mm)]]/(Table11234579[[#This Row],[a (mm)]]*Table11234579[[#This Row],[b (mm)]]*Table11234579[[#This Row],[h (mm)]]*Table11234579[[#This Row],[L(mm)]]/2)</f>
        <v>1.4439814814814814E-6</v>
      </c>
      <c r="T12" s="111">
        <f>Table11234579[[#This Row],[M (KN.mm)]]/(Table11234579[[#This Row],[a (mm)]]^2*Table11234579[[#This Row],[b (mm)]]*Table11234579[[#This Row],[h (mm)]])</f>
        <v>1.4439814814814814E-6</v>
      </c>
      <c r="U12" s="111">
        <f>Table11234579[[#This Row],[M (KN.mm)]]/(Table11234579[[#This Row],[b (mm)]]*Table11234579[[#This Row],[d (mm)]]*Table11234579[[#This Row],[pho (%)]])</f>
        <v>5.1610590182018754</v>
      </c>
      <c r="V12" s="111">
        <f>E12*224.8/(2*SQRT(Table11234579[[#This Row],[fc (Mpa)]]*145.037)*Table11234579[[#This Row],[b (mm)]]*Table11234579[[#This Row],[d (mm)]]*(1/25.4)^2)</f>
        <v>2.7092833803340004</v>
      </c>
      <c r="W12" s="111">
        <f>Table11234579[[#This Row],[M (KN.mm)]]/$G$12</f>
        <v>1</v>
      </c>
      <c r="X12" s="111">
        <f>Table11234579[[#This Row],[V/(2*sqrt(fc) bd)]]</f>
        <v>2.7092833803340004</v>
      </c>
      <c r="Y12" s="111">
        <f>2*SQRT(Table11234579[[#This Row],[fc (Mpa)]]*145.037)/Table11234579[[#This Row],[pho (%)]]*Table11234579[[#This Row],[L(mm)]]/4*1/(224.8*25.4^2)</f>
        <v>0.9524767795913659</v>
      </c>
      <c r="Z12" s="111">
        <v>1800</v>
      </c>
      <c r="AA12" s="111">
        <v>925</v>
      </c>
      <c r="AB12" s="111">
        <v>1000</v>
      </c>
      <c r="AC12" s="111">
        <v>300</v>
      </c>
      <c r="AD12" s="7">
        <v>39</v>
      </c>
      <c r="AE12" s="111">
        <f>Table11234579[[#This Row],[pho (%)]]*Table11234579[[#This Row],[b (mm)]]*Table11234579[[#This Row],[h (mm)]]/100</f>
        <v>2940</v>
      </c>
      <c r="AF12" s="111">
        <f t="shared" si="4"/>
        <v>0.98</v>
      </c>
      <c r="AG12" s="111">
        <v>525</v>
      </c>
      <c r="AH12" s="111">
        <f>(1/3-0.21*(MIN(Table11234579[[#This Row],[b (mm)]],AB12)/MAX(Table11234579[[#This Row],[b (mm)]],AB12))*(MIN(Table11234579[[#This Row],[b (mm)]],AB12)^4/(12*MAX(Table11234579[[#This Row],[b (mm)]],AB12)^4)))*MAX(Table11234579[[#This Row],[b (mm)]],AB12)*MIN(Table11234579[[#This Row],[b (mm)]],AB12)^3</f>
        <v>8998851825</v>
      </c>
      <c r="AI12" s="111">
        <f>Table11234579[[#This Row],[b (mm)]]*AB12^3/12</f>
        <v>25000000000</v>
      </c>
      <c r="AJ12" s="111">
        <v>3600</v>
      </c>
      <c r="AK12" s="138"/>
      <c r="AL12" s="107"/>
    </row>
    <row r="13" spans="1:40" x14ac:dyDescent="0.3">
      <c r="A13" s="319" t="s">
        <v>188</v>
      </c>
      <c r="B13" s="320">
        <v>1</v>
      </c>
      <c r="C13" s="320">
        <v>12</v>
      </c>
      <c r="D13" s="321">
        <f>Table11234579[[#This Row],[a (mm)]]/Table11234579[[#This Row],[d (mm)]]</f>
        <v>1.9459459459459461</v>
      </c>
      <c r="E13" s="322">
        <f>419/2</f>
        <v>209.5</v>
      </c>
      <c r="F13" s="137">
        <f>Table11234579[[#This Row],[d (mm)]]</f>
        <v>925</v>
      </c>
      <c r="G13" s="111">
        <f t="shared" si="5"/>
        <v>377100</v>
      </c>
      <c r="H13" s="111">
        <f t="shared" si="0"/>
        <v>5.7273515558428722E-7</v>
      </c>
      <c r="I13" s="111">
        <f>G13/(Table11234579[[#This Row],[b (mm)]]*AA13^2)</f>
        <v>1.4691015339663989E-3</v>
      </c>
      <c r="J13" s="111">
        <f t="shared" si="1"/>
        <v>0.26412418249152941</v>
      </c>
      <c r="K13" s="111">
        <f t="shared" si="2"/>
        <v>7.4142508978282834E-7</v>
      </c>
      <c r="L13" s="111">
        <f>E13/(Table11234579[[#This Row],[b (mm)]]*AA13)</f>
        <v>7.5495495495495491E-4</v>
      </c>
      <c r="M13" s="111">
        <f>Table11234579[[#This Row],[M (KN.mm)]]/(Table11234579[[#This Row],[b (mm)]]*Table11234579[[#This Row],[d (mm)]])</f>
        <v>1.358918918918919</v>
      </c>
      <c r="N13" s="111">
        <f>Table11234579[[#This Row],[M (KN.mm)]]/(Table11234579[[#This Row],[b (mm)]]*Table11234579[[#This Row],[h (mm)]])</f>
        <v>1.2569999999999999</v>
      </c>
      <c r="O13" s="111">
        <f>Table11234579[[#This Row],[M (KN.mm)]]/(Table11234579[[#This Row],[b (mm)]]*Table11234579[[#This Row],[h (mm)]]*Table11234579[[#This Row],[L(mm)]])</f>
        <v>3.4916666666666668E-4</v>
      </c>
      <c r="P13" s="111">
        <f>Table11234579[[#This Row],[M (KN.mm)]]/(Table11234579[[#This Row],[b (mm)]]*Table11234579[[#This Row],[d (mm)]]*Table11234579[[#This Row],[L(mm)]])</f>
        <v>3.7747747747747746E-4</v>
      </c>
      <c r="Q13" s="111">
        <f>Table11234579[[#This Row],[M (KN.mm)]]/(Table11234579[[#This Row],[b (mm)]]*Table11234579[[#This Row],[h (mm)]]*Table11234579[[#This Row],[L(mm)]]*Table11234579[[#This Row],[fc (Mpa)]])</f>
        <v>7.7592592592592599E-6</v>
      </c>
      <c r="R13" s="111">
        <f>Table11234579[[#This Row],[M (KN.mm)]]/(Table11234579[[#This Row],[b (mm)]]*Table11234579[[#This Row],[h (mm)]]*Table11234579[[#This Row],[L(mm)]]/2)</f>
        <v>6.9833333333333336E-4</v>
      </c>
      <c r="S13" s="111">
        <f>Table11234579[[#This Row],[M (KN.mm)]]/(Table11234579[[#This Row],[a (mm)]]*Table11234579[[#This Row],[b (mm)]]*Table11234579[[#This Row],[h (mm)]]*Table11234579[[#This Row],[L(mm)]]/2)</f>
        <v>3.8796296296296294E-7</v>
      </c>
      <c r="T13" s="111">
        <f>Table11234579[[#This Row],[M (KN.mm)]]/(Table11234579[[#This Row],[a (mm)]]^2*Table11234579[[#This Row],[b (mm)]]*Table11234579[[#This Row],[h (mm)]])</f>
        <v>3.8796296296296294E-7</v>
      </c>
      <c r="U13" s="111">
        <f>Table11234579[[#This Row],[M (KN.mm)]]/(Table11234579[[#This Row],[b (mm)]]*Table11234579[[#This Row],[d (mm)]]*Table11234579[[#This Row],[pho (%)]])</f>
        <v>1.3866519580805294</v>
      </c>
      <c r="V13" s="111">
        <f>E13*224.8/(2*SQRT(Table11234579[[#This Row],[fc (Mpa)]]*145.037)*Table11234579[[#This Row],[b (mm)]]*Table11234579[[#This Row],[d (mm)]]*(1/25.4)^2)</f>
        <v>0.67765574324048594</v>
      </c>
      <c r="W13" s="111">
        <f>Table11234579[[#This Row],[M (KN.mm)]]/$G$19</f>
        <v>0.20504037191093713</v>
      </c>
      <c r="X13" s="111">
        <f>Table11234579[[#This Row],[V/(2*sqrt(fc) bd)]]</f>
        <v>0.67765574324048594</v>
      </c>
      <c r="Y13" s="111">
        <f>2*SQRT(Table11234579[[#This Row],[fc (Mpa)]]*145.037)/Table11234579[[#This Row],[pho (%)]]*Table11234579[[#This Row],[L(mm)]]/4*1/(224.8*25.4^2)</f>
        <v>1.0231241835638334</v>
      </c>
      <c r="Z13" s="111">
        <v>1800</v>
      </c>
      <c r="AA13" s="111">
        <v>925</v>
      </c>
      <c r="AB13" s="111">
        <v>1000</v>
      </c>
      <c r="AC13" s="111">
        <v>300</v>
      </c>
      <c r="AD13" s="7">
        <v>45</v>
      </c>
      <c r="AE13" s="111">
        <f>Table11234579[[#This Row],[pho (%)]]*Table11234579[[#This Row],[b (mm)]]*Table11234579[[#This Row],[h (mm)]]/100</f>
        <v>2940</v>
      </c>
      <c r="AF13" s="111">
        <f t="shared" si="4"/>
        <v>0.98</v>
      </c>
      <c r="AG13" s="160">
        <v>525</v>
      </c>
      <c r="AH13" s="111">
        <f>(1/3-0.21*(MIN(Table11234579[[#This Row],[b (mm)]],AB13)/MAX(Table11234579[[#This Row],[b (mm)]],AB13))*(MIN(Table11234579[[#This Row],[b (mm)]],AB13)^4/(12*MAX(Table11234579[[#This Row],[b (mm)]],AB13)^4)))*MAX(Table11234579[[#This Row],[b (mm)]],AB13)*MIN(Table11234579[[#This Row],[b (mm)]],AB13)^3</f>
        <v>8998851825</v>
      </c>
      <c r="AI13" s="111">
        <f>Table11234579[[#This Row],[b (mm)]]*AB13^3/12</f>
        <v>25000000000</v>
      </c>
      <c r="AJ13" s="111">
        <v>3600</v>
      </c>
      <c r="AK13" s="138"/>
      <c r="AL13" s="107"/>
    </row>
    <row r="14" spans="1:40" x14ac:dyDescent="0.3">
      <c r="A14" s="234" t="s">
        <v>188</v>
      </c>
      <c r="B14" s="279">
        <v>2</v>
      </c>
      <c r="C14" s="279">
        <v>13</v>
      </c>
      <c r="D14" s="275">
        <f>Table11234579[[#This Row],[a (mm)]]/Table11234579[[#This Row],[d (mm)]]</f>
        <v>1.9459459459459461</v>
      </c>
      <c r="E14" s="280">
        <f>704/2</f>
        <v>352</v>
      </c>
      <c r="F14" s="137">
        <f>Table11234579[[#This Row],[d (mm)]]</f>
        <v>925</v>
      </c>
      <c r="G14" s="111">
        <f t="shared" si="5"/>
        <v>633600</v>
      </c>
      <c r="H14" s="111">
        <f t="shared" si="0"/>
        <v>9.6230441415593835E-7</v>
      </c>
      <c r="I14" s="111">
        <f>G14/(Table11234579[[#This Row],[b (mm)]]*AA14^2)</f>
        <v>2.4683710737764793E-3</v>
      </c>
      <c r="J14" s="111">
        <f t="shared" si="1"/>
        <v>0.44377905602395401</v>
      </c>
      <c r="K14" s="111">
        <f t="shared" si="2"/>
        <v>1.2457357117114825E-6</v>
      </c>
      <c r="L14" s="111">
        <f>E14/(Table11234579[[#This Row],[b (mm)]]*AA14)</f>
        <v>1.2684684684684685E-3</v>
      </c>
      <c r="M14" s="111">
        <f>Table11234579[[#This Row],[M (KN.mm)]]/(Table11234579[[#This Row],[b (mm)]]*Table11234579[[#This Row],[d (mm)]])</f>
        <v>2.2832432432432435</v>
      </c>
      <c r="N14" s="111">
        <f>Table11234579[[#This Row],[M (KN.mm)]]/(Table11234579[[#This Row],[b (mm)]]*Table11234579[[#This Row],[h (mm)]])</f>
        <v>2.1120000000000001</v>
      </c>
      <c r="O14" s="111">
        <f>Table11234579[[#This Row],[M (KN.mm)]]/(Table11234579[[#This Row],[b (mm)]]*Table11234579[[#This Row],[h (mm)]]*Table11234579[[#This Row],[L(mm)]])</f>
        <v>5.8666666666666665E-4</v>
      </c>
      <c r="P14" s="111">
        <f>Table11234579[[#This Row],[M (KN.mm)]]/(Table11234579[[#This Row],[b (mm)]]*Table11234579[[#This Row],[d (mm)]]*Table11234579[[#This Row],[L(mm)]])</f>
        <v>6.3423423423423424E-4</v>
      </c>
      <c r="Q14" s="111">
        <f>Table11234579[[#This Row],[M (KN.mm)]]/(Table11234579[[#This Row],[b (mm)]]*Table11234579[[#This Row],[h (mm)]]*Table11234579[[#This Row],[L(mm)]]*Table11234579[[#This Row],[fc (Mpa)]])</f>
        <v>1.3037037037037038E-5</v>
      </c>
      <c r="R14" s="111">
        <f>Table11234579[[#This Row],[M (KN.mm)]]/(Table11234579[[#This Row],[b (mm)]]*Table11234579[[#This Row],[h (mm)]]*Table11234579[[#This Row],[L(mm)]]/2)</f>
        <v>1.1733333333333333E-3</v>
      </c>
      <c r="S14" s="111">
        <f>Table11234579[[#This Row],[M (KN.mm)]]/(Table11234579[[#This Row],[a (mm)]]*Table11234579[[#This Row],[b (mm)]]*Table11234579[[#This Row],[h (mm)]]*Table11234579[[#This Row],[L(mm)]]/2)</f>
        <v>6.5185185185185182E-7</v>
      </c>
      <c r="T14" s="111">
        <f>Table11234579[[#This Row],[M (KN.mm)]]/(Table11234579[[#This Row],[a (mm)]]^2*Table11234579[[#This Row],[b (mm)]]*Table11234579[[#This Row],[h (mm)]])</f>
        <v>6.5185185185185182E-7</v>
      </c>
      <c r="U14" s="111">
        <f>Table11234579[[#This Row],[M (KN.mm)]]/(Table11234579[[#This Row],[b (mm)]]*Table11234579[[#This Row],[d (mm)]]*Table11234579[[#This Row],[pho (%)]])</f>
        <v>2.3298400441257585</v>
      </c>
      <c r="V14" s="111">
        <f>E14*224.8/(2*SQRT(Table11234579[[#This Row],[fc (Mpa)]]*145.037)*Table11234579[[#This Row],[b (mm)]]*Table11234579[[#This Row],[d (mm)]]*(1/25.4)^2)</f>
        <v>1.1385910339887879</v>
      </c>
      <c r="W14" s="111">
        <f>Table11234579[[#This Row],[M (KN.mm)]]/$G$19</f>
        <v>0.34450697333007096</v>
      </c>
      <c r="X14" s="111">
        <f>Table11234579[[#This Row],[V/(2*sqrt(fc) bd)]]</f>
        <v>1.1385910339887879</v>
      </c>
      <c r="Y14" s="111">
        <f>2*SQRT(Table11234579[[#This Row],[fc (Mpa)]]*145.037)/Table11234579[[#This Row],[pho (%)]]*Table11234579[[#This Row],[L(mm)]]/4*1/(224.8*25.4^2)</f>
        <v>1.0231241835638334</v>
      </c>
      <c r="Z14" s="111">
        <v>1800</v>
      </c>
      <c r="AA14" s="111">
        <v>925</v>
      </c>
      <c r="AB14" s="111">
        <v>1000</v>
      </c>
      <c r="AC14" s="111">
        <v>300</v>
      </c>
      <c r="AD14" s="7">
        <v>45</v>
      </c>
      <c r="AE14" s="111">
        <f>Table11234579[[#This Row],[pho (%)]]*Table11234579[[#This Row],[b (mm)]]*Table11234579[[#This Row],[h (mm)]]/100</f>
        <v>2940</v>
      </c>
      <c r="AF14" s="111">
        <f t="shared" si="4"/>
        <v>0.98</v>
      </c>
      <c r="AG14" s="160">
        <v>525</v>
      </c>
      <c r="AH14" s="111">
        <f>(1/3-0.21*(MIN(Table11234579[[#This Row],[b (mm)]],AB14)/MAX(Table11234579[[#This Row],[b (mm)]],AB14))*(MIN(Table11234579[[#This Row],[b (mm)]],AB14)^4/(12*MAX(Table11234579[[#This Row],[b (mm)]],AB14)^4)))*MAX(Table11234579[[#This Row],[b (mm)]],AB14)*MIN(Table11234579[[#This Row],[b (mm)]],AB14)^3</f>
        <v>8998851825</v>
      </c>
      <c r="AI14" s="111">
        <f>Table11234579[[#This Row],[b (mm)]]*AB14^3/12</f>
        <v>25000000000</v>
      </c>
      <c r="AJ14" s="111">
        <v>3600</v>
      </c>
      <c r="AK14" s="138"/>
      <c r="AL14" s="107"/>
    </row>
    <row r="15" spans="1:40" x14ac:dyDescent="0.3">
      <c r="A15" s="234" t="s">
        <v>188</v>
      </c>
      <c r="B15" s="279">
        <v>3</v>
      </c>
      <c r="C15" s="279">
        <v>14</v>
      </c>
      <c r="D15" s="275">
        <f>Table11234579[[#This Row],[a (mm)]]/Table11234579[[#This Row],[d (mm)]]</f>
        <v>1.9459459459459461</v>
      </c>
      <c r="E15" s="280">
        <f>1002.5/2</f>
        <v>501.25</v>
      </c>
      <c r="F15" s="137">
        <f>Table11234579[[#This Row],[d (mm)]]</f>
        <v>925</v>
      </c>
      <c r="G15" s="111">
        <f t="shared" si="5"/>
        <v>902250</v>
      </c>
      <c r="H15" s="111">
        <f t="shared" si="0"/>
        <v>1.370326953396773E-6</v>
      </c>
      <c r="I15" s="111">
        <f>G15/(Table11234579[[#This Row],[b (mm)]]*AA15^2)</f>
        <v>3.5149744338933528E-3</v>
      </c>
      <c r="J15" s="111">
        <f t="shared" si="1"/>
        <v>0.63194389725001965</v>
      </c>
      <c r="K15" s="111">
        <f t="shared" si="2"/>
        <v>1.7739347315209676E-6</v>
      </c>
      <c r="L15" s="111">
        <f>E15/(Table11234579[[#This Row],[b (mm)]]*AA15)</f>
        <v>1.8063063063063062E-3</v>
      </c>
      <c r="M15" s="111">
        <f>Table11234579[[#This Row],[M (KN.mm)]]/(Table11234579[[#This Row],[b (mm)]]*Table11234579[[#This Row],[d (mm)]])</f>
        <v>3.2513513513513512</v>
      </c>
      <c r="N15" s="111">
        <f>Table11234579[[#This Row],[M (KN.mm)]]/(Table11234579[[#This Row],[b (mm)]]*Table11234579[[#This Row],[h (mm)]])</f>
        <v>3.0074999999999998</v>
      </c>
      <c r="O15" s="111">
        <f>Table11234579[[#This Row],[M (KN.mm)]]/(Table11234579[[#This Row],[b (mm)]]*Table11234579[[#This Row],[h (mm)]]*Table11234579[[#This Row],[L(mm)]])</f>
        <v>8.3541666666666671E-4</v>
      </c>
      <c r="P15" s="111">
        <f>Table11234579[[#This Row],[M (KN.mm)]]/(Table11234579[[#This Row],[b (mm)]]*Table11234579[[#This Row],[d (mm)]]*Table11234579[[#This Row],[L(mm)]])</f>
        <v>9.031531531531531E-4</v>
      </c>
      <c r="Q15" s="111">
        <f>Table11234579[[#This Row],[M (KN.mm)]]/(Table11234579[[#This Row],[b (mm)]]*Table11234579[[#This Row],[h (mm)]]*Table11234579[[#This Row],[L(mm)]]*Table11234579[[#This Row],[fc (Mpa)]])</f>
        <v>1.8564814814814816E-5</v>
      </c>
      <c r="R15" s="111">
        <f>Table11234579[[#This Row],[M (KN.mm)]]/(Table11234579[[#This Row],[b (mm)]]*Table11234579[[#This Row],[h (mm)]]*Table11234579[[#This Row],[L(mm)]]/2)</f>
        <v>1.6708333333333334E-3</v>
      </c>
      <c r="S15" s="111">
        <f>Table11234579[[#This Row],[M (KN.mm)]]/(Table11234579[[#This Row],[a (mm)]]*Table11234579[[#This Row],[b (mm)]]*Table11234579[[#This Row],[h (mm)]]*Table11234579[[#This Row],[L(mm)]]/2)</f>
        <v>9.2824074074074073E-7</v>
      </c>
      <c r="T15" s="111">
        <f>Table11234579[[#This Row],[M (KN.mm)]]/(Table11234579[[#This Row],[a (mm)]]^2*Table11234579[[#This Row],[b (mm)]]*Table11234579[[#This Row],[h (mm)]])</f>
        <v>9.2824074074074073E-7</v>
      </c>
      <c r="U15" s="111">
        <f>Table11234579[[#This Row],[M (KN.mm)]]/(Table11234579[[#This Row],[b (mm)]]*Table11234579[[#This Row],[d (mm)]]*Table11234579[[#This Row],[pho (%)]])</f>
        <v>3.3177054605626033</v>
      </c>
      <c r="V15" s="111">
        <f>E15*224.8/(2*SQRT(Table11234579[[#This Row],[fc (Mpa)]]*145.037)*Table11234579[[#This Row],[b (mm)]]*Table11234579[[#This Row],[d (mm)]]*(1/25.4)^2)</f>
        <v>1.6213601016672723</v>
      </c>
      <c r="W15" s="111">
        <f>Table11234579[[#This Row],[M (KN.mm)]]/$G$19</f>
        <v>0.49057988744800585</v>
      </c>
      <c r="X15" s="111">
        <f>Table11234579[[#This Row],[V/(2*sqrt(fc) bd)]]</f>
        <v>1.6213601016672723</v>
      </c>
      <c r="Y15" s="111">
        <f>2*SQRT(Table11234579[[#This Row],[fc (Mpa)]]*145.037)/Table11234579[[#This Row],[pho (%)]]*Table11234579[[#This Row],[L(mm)]]/4*1/(224.8*25.4^2)</f>
        <v>1.0231241835638334</v>
      </c>
      <c r="Z15" s="111">
        <v>1800</v>
      </c>
      <c r="AA15" s="111">
        <v>925</v>
      </c>
      <c r="AB15" s="111">
        <v>1000</v>
      </c>
      <c r="AC15" s="111">
        <v>300</v>
      </c>
      <c r="AD15" s="7">
        <v>45</v>
      </c>
      <c r="AE15" s="111">
        <f>Table11234579[[#This Row],[pho (%)]]*Table11234579[[#This Row],[b (mm)]]*Table11234579[[#This Row],[h (mm)]]/100</f>
        <v>2940</v>
      </c>
      <c r="AF15" s="111">
        <f t="shared" si="4"/>
        <v>0.98</v>
      </c>
      <c r="AG15" s="160">
        <v>525</v>
      </c>
      <c r="AH15" s="111">
        <f>(1/3-0.21*(MIN(Table11234579[[#This Row],[b (mm)]],AB15)/MAX(Table11234579[[#This Row],[b (mm)]],AB15))*(MIN(Table11234579[[#This Row],[b (mm)]],AB15)^4/(12*MAX(Table11234579[[#This Row],[b (mm)]],AB15)^4)))*MAX(Table11234579[[#This Row],[b (mm)]],AB15)*MIN(Table11234579[[#This Row],[b (mm)]],AB15)^3</f>
        <v>8998851825</v>
      </c>
      <c r="AI15" s="111">
        <f>Table11234579[[#This Row],[b (mm)]]*AB15^3/12</f>
        <v>25000000000</v>
      </c>
      <c r="AJ15" s="111">
        <v>3600</v>
      </c>
      <c r="AK15" s="138"/>
      <c r="AL15" s="107"/>
    </row>
    <row r="16" spans="1:40" x14ac:dyDescent="0.3">
      <c r="A16" s="234" t="s">
        <v>188</v>
      </c>
      <c r="B16" s="279">
        <v>4</v>
      </c>
      <c r="C16" s="279">
        <v>15</v>
      </c>
      <c r="D16" s="275">
        <f>Table11234579[[#This Row],[a (mm)]]/Table11234579[[#This Row],[d (mm)]]</f>
        <v>1.9459459459459461</v>
      </c>
      <c r="E16" s="280">
        <f>1265/2</f>
        <v>632.5</v>
      </c>
      <c r="F16" s="137">
        <f>Table11234579[[#This Row],[d (mm)]]</f>
        <v>925</v>
      </c>
      <c r="G16" s="111">
        <f t="shared" si="5"/>
        <v>1138500</v>
      </c>
      <c r="H16" s="111">
        <f t="shared" si="0"/>
        <v>1.7291407441864517E-6</v>
      </c>
      <c r="I16" s="111">
        <f>G16/(Table11234579[[#This Row],[b (mm)]]*AA16^2)</f>
        <v>4.4353542731921112E-3</v>
      </c>
      <c r="J16" s="111">
        <f t="shared" si="1"/>
        <v>0.79741549129304234</v>
      </c>
      <c r="K16" s="111">
        <f t="shared" si="2"/>
        <v>2.23843135698157E-6</v>
      </c>
      <c r="L16" s="111">
        <f>E16/(Table11234579[[#This Row],[b (mm)]]*AA16)</f>
        <v>2.2792792792792793E-3</v>
      </c>
      <c r="M16" s="111">
        <f>Table11234579[[#This Row],[M (KN.mm)]]/(Table11234579[[#This Row],[b (mm)]]*Table11234579[[#This Row],[d (mm)]])</f>
        <v>4.102702702702703</v>
      </c>
      <c r="N16" s="111">
        <f>Table11234579[[#This Row],[M (KN.mm)]]/(Table11234579[[#This Row],[b (mm)]]*Table11234579[[#This Row],[h (mm)]])</f>
        <v>3.7949999999999999</v>
      </c>
      <c r="O16" s="111">
        <f>Table11234579[[#This Row],[M (KN.mm)]]/(Table11234579[[#This Row],[b (mm)]]*Table11234579[[#This Row],[h (mm)]]*Table11234579[[#This Row],[L(mm)]])</f>
        <v>1.0541666666666666E-3</v>
      </c>
      <c r="P16" s="111">
        <f>Table11234579[[#This Row],[M (KN.mm)]]/(Table11234579[[#This Row],[b (mm)]]*Table11234579[[#This Row],[d (mm)]]*Table11234579[[#This Row],[L(mm)]])</f>
        <v>1.1396396396396397E-3</v>
      </c>
      <c r="Q16" s="111">
        <f>Table11234579[[#This Row],[M (KN.mm)]]/(Table11234579[[#This Row],[b (mm)]]*Table11234579[[#This Row],[h (mm)]]*Table11234579[[#This Row],[L(mm)]]*Table11234579[[#This Row],[fc (Mpa)]])</f>
        <v>2.3425925925925925E-5</v>
      </c>
      <c r="R16" s="111">
        <f>Table11234579[[#This Row],[M (KN.mm)]]/(Table11234579[[#This Row],[b (mm)]]*Table11234579[[#This Row],[h (mm)]]*Table11234579[[#This Row],[L(mm)]]/2)</f>
        <v>2.1083333333333332E-3</v>
      </c>
      <c r="S16" s="111">
        <f>Table11234579[[#This Row],[M (KN.mm)]]/(Table11234579[[#This Row],[a (mm)]]*Table11234579[[#This Row],[b (mm)]]*Table11234579[[#This Row],[h (mm)]]*Table11234579[[#This Row],[L(mm)]]/2)</f>
        <v>1.1712962962962964E-6</v>
      </c>
      <c r="T16" s="111">
        <f>Table11234579[[#This Row],[M (KN.mm)]]/(Table11234579[[#This Row],[a (mm)]]^2*Table11234579[[#This Row],[b (mm)]]*Table11234579[[#This Row],[h (mm)]])</f>
        <v>1.1712962962962964E-6</v>
      </c>
      <c r="U16" s="111">
        <f>Table11234579[[#This Row],[M (KN.mm)]]/(Table11234579[[#This Row],[b (mm)]]*Table11234579[[#This Row],[d (mm)]]*Table11234579[[#This Row],[pho (%)]])</f>
        <v>4.1864313292884718</v>
      </c>
      <c r="V16" s="111">
        <f>E16*224.8/(2*SQRT(Table11234579[[#This Row],[fc (Mpa)]]*145.037)*Table11234579[[#This Row],[b (mm)]]*Table11234579[[#This Row],[d (mm)]]*(1/25.4)^2)</f>
        <v>2.0459057641986029</v>
      </c>
      <c r="W16" s="111">
        <f>Table11234579[[#This Row],[M (KN.mm)]]/$G$19</f>
        <v>0.61903596770247127</v>
      </c>
      <c r="X16" s="111">
        <f>Table11234579[[#This Row],[V/(2*sqrt(fc) bd)]]</f>
        <v>2.0459057641986029</v>
      </c>
      <c r="Y16" s="111">
        <f>2*SQRT(Table11234579[[#This Row],[fc (Mpa)]]*145.037)/Table11234579[[#This Row],[pho (%)]]*Table11234579[[#This Row],[L(mm)]]/4*1/(224.8*25.4^2)</f>
        <v>1.0231241835638334</v>
      </c>
      <c r="Z16" s="111">
        <v>1800</v>
      </c>
      <c r="AA16" s="111">
        <v>925</v>
      </c>
      <c r="AB16" s="111">
        <v>1000</v>
      </c>
      <c r="AC16" s="111">
        <v>300</v>
      </c>
      <c r="AD16" s="7">
        <v>45</v>
      </c>
      <c r="AE16" s="111">
        <f>Table11234579[[#This Row],[pho (%)]]*Table11234579[[#This Row],[b (mm)]]*Table11234579[[#This Row],[h (mm)]]/100</f>
        <v>2940</v>
      </c>
      <c r="AF16" s="160">
        <f t="shared" si="4"/>
        <v>0.98</v>
      </c>
      <c r="AG16" s="160">
        <v>525</v>
      </c>
      <c r="AH16" s="111">
        <f>(1/3-0.21*(MIN(Table11234579[[#This Row],[b (mm)]],AB16)/MAX(Table11234579[[#This Row],[b (mm)]],AB16))*(MIN(Table11234579[[#This Row],[b (mm)]],AB16)^4/(12*MAX(Table11234579[[#This Row],[b (mm)]],AB16)^4)))*MAX(Table11234579[[#This Row],[b (mm)]],AB16)*MIN(Table11234579[[#This Row],[b (mm)]],AB16)^3</f>
        <v>8998851825</v>
      </c>
      <c r="AI16" s="111">
        <f>Table11234579[[#This Row],[b (mm)]]*AB16^3/12</f>
        <v>25000000000</v>
      </c>
      <c r="AJ16" s="111">
        <v>3600</v>
      </c>
      <c r="AK16" s="138"/>
      <c r="AL16" s="107"/>
    </row>
    <row r="17" spans="1:40" x14ac:dyDescent="0.3">
      <c r="A17" s="234" t="s">
        <v>188</v>
      </c>
      <c r="B17" s="279">
        <v>5</v>
      </c>
      <c r="C17" s="279">
        <v>16</v>
      </c>
      <c r="D17" s="275">
        <f>Table11234579[[#This Row],[a (mm)]]/Table11234579[[#This Row],[d (mm)]]</f>
        <v>1.9459459459459461</v>
      </c>
      <c r="E17" s="280">
        <f>1599/2</f>
        <v>799.5</v>
      </c>
      <c r="F17" s="137">
        <f>Table11234579[[#This Row],[d (mm)]]</f>
        <v>925</v>
      </c>
      <c r="G17" s="111">
        <f t="shared" si="5"/>
        <v>1439100</v>
      </c>
      <c r="H17" s="111">
        <f t="shared" si="0"/>
        <v>2.1856885770388429E-6</v>
      </c>
      <c r="I17" s="111">
        <f>G17/(Table11234579[[#This Row],[b (mm)]]*AA17^2)</f>
        <v>5.6064280496712932E-3</v>
      </c>
      <c r="J17" s="111">
        <f t="shared" si="1"/>
        <v>1.0079583957134977</v>
      </c>
      <c r="K17" s="111">
        <f t="shared" si="2"/>
        <v>2.82944801566287E-6</v>
      </c>
      <c r="L17" s="111">
        <f>E17/(Table11234579[[#This Row],[b (mm)]]*AA17)</f>
        <v>2.8810810810810813E-3</v>
      </c>
      <c r="M17" s="111">
        <f>Table11234579[[#This Row],[M (KN.mm)]]/(Table11234579[[#This Row],[b (mm)]]*Table11234579[[#This Row],[d (mm)]])</f>
        <v>5.1859459459459458</v>
      </c>
      <c r="N17" s="111">
        <f>Table11234579[[#This Row],[M (KN.mm)]]/(Table11234579[[#This Row],[b (mm)]]*Table11234579[[#This Row],[h (mm)]])</f>
        <v>4.7969999999999997</v>
      </c>
      <c r="O17" s="111">
        <f>Table11234579[[#This Row],[M (KN.mm)]]/(Table11234579[[#This Row],[b (mm)]]*Table11234579[[#This Row],[h (mm)]]*Table11234579[[#This Row],[L(mm)]])</f>
        <v>1.3324999999999999E-3</v>
      </c>
      <c r="P17" s="111">
        <f>Table11234579[[#This Row],[M (KN.mm)]]/(Table11234579[[#This Row],[b (mm)]]*Table11234579[[#This Row],[d (mm)]]*Table11234579[[#This Row],[L(mm)]])</f>
        <v>1.4405405405405406E-3</v>
      </c>
      <c r="Q17" s="111">
        <f>Table11234579[[#This Row],[M (KN.mm)]]/(Table11234579[[#This Row],[b (mm)]]*Table11234579[[#This Row],[h (mm)]]*Table11234579[[#This Row],[L(mm)]]*Table11234579[[#This Row],[fc (Mpa)]])</f>
        <v>2.9611111111111111E-5</v>
      </c>
      <c r="R17" s="111">
        <f>Table11234579[[#This Row],[M (KN.mm)]]/(Table11234579[[#This Row],[b (mm)]]*Table11234579[[#This Row],[h (mm)]]*Table11234579[[#This Row],[L(mm)]]/2)</f>
        <v>2.6649999999999998E-3</v>
      </c>
      <c r="S17" s="111">
        <f>Table11234579[[#This Row],[M (KN.mm)]]/(Table11234579[[#This Row],[a (mm)]]*Table11234579[[#This Row],[b (mm)]]*Table11234579[[#This Row],[h (mm)]]*Table11234579[[#This Row],[L(mm)]]/2)</f>
        <v>1.4805555555555555E-6</v>
      </c>
      <c r="T17" s="111">
        <f>Table11234579[[#This Row],[M (KN.mm)]]/(Table11234579[[#This Row],[a (mm)]]^2*Table11234579[[#This Row],[b (mm)]]*Table11234579[[#This Row],[h (mm)]])</f>
        <v>1.4805555555555555E-6</v>
      </c>
      <c r="U17" s="111">
        <f>Table11234579[[#This Row],[M (KN.mm)]]/(Table11234579[[#This Row],[b (mm)]]*Table11234579[[#This Row],[d (mm)]]*Table11234579[[#This Row],[pho (%)]])</f>
        <v>5.291781577495863</v>
      </c>
      <c r="V17" s="111">
        <f>E17*224.8/(2*SQRT(Table11234579[[#This Row],[fc (Mpa)]]*145.037)*Table11234579[[#This Row],[b (mm)]]*Table11234579[[#This Row],[d (mm)]]*(1/25.4)^2)</f>
        <v>2.5860895786194198</v>
      </c>
      <c r="W17" s="111">
        <f>Table11234579[[#This Row],[M (KN.mm)]]/$G$19</f>
        <v>0.78248103743577191</v>
      </c>
      <c r="X17" s="111">
        <f>Table11234579[[#This Row],[V/(2*sqrt(fc) bd)]]</f>
        <v>2.5860895786194198</v>
      </c>
      <c r="Y17" s="111">
        <f>2*SQRT(Table11234579[[#This Row],[fc (Mpa)]]*145.037)/Table11234579[[#This Row],[pho (%)]]*Table11234579[[#This Row],[L(mm)]]/4*1/(224.8*25.4^2)</f>
        <v>1.0231241835638334</v>
      </c>
      <c r="Z17" s="111">
        <v>1800</v>
      </c>
      <c r="AA17" s="111">
        <v>925</v>
      </c>
      <c r="AB17" s="111">
        <v>1000</v>
      </c>
      <c r="AC17" s="111">
        <v>300</v>
      </c>
      <c r="AD17" s="7">
        <v>45</v>
      </c>
      <c r="AE17" s="111">
        <f>Table11234579[[#This Row],[pho (%)]]*Table11234579[[#This Row],[b (mm)]]*Table11234579[[#This Row],[h (mm)]]/100</f>
        <v>2940</v>
      </c>
      <c r="AF17" s="160">
        <f t="shared" si="4"/>
        <v>0.98</v>
      </c>
      <c r="AG17" s="160">
        <v>525</v>
      </c>
      <c r="AH17" s="111">
        <f>(1/3-0.21*(MIN(Table11234579[[#This Row],[b (mm)]],AB17)/MAX(Table11234579[[#This Row],[b (mm)]],AB17))*(MIN(Table11234579[[#This Row],[b (mm)]],AB17)^4/(12*MAX(Table11234579[[#This Row],[b (mm)]],AB17)^4)))*MAX(Table11234579[[#This Row],[b (mm)]],AB17)*MIN(Table11234579[[#This Row],[b (mm)]],AB17)^3</f>
        <v>8998851825</v>
      </c>
      <c r="AI17" s="111">
        <f>Table11234579[[#This Row],[b (mm)]]*AB17^3/12</f>
        <v>25000000000</v>
      </c>
      <c r="AJ17" s="111">
        <v>3600</v>
      </c>
      <c r="AK17" s="138"/>
      <c r="AL17" s="107"/>
    </row>
    <row r="18" spans="1:40" s="129" customFormat="1" x14ac:dyDescent="0.3">
      <c r="A18" s="234" t="s">
        <v>188</v>
      </c>
      <c r="B18" s="279">
        <v>6</v>
      </c>
      <c r="C18" s="279">
        <v>17</v>
      </c>
      <c r="D18" s="275">
        <f>Table11234579[[#This Row],[a (mm)]]/Table11234579[[#This Row],[d (mm)]]</f>
        <v>1.9459459459459461</v>
      </c>
      <c r="E18" s="280">
        <f>1901/2</f>
        <v>950.5</v>
      </c>
      <c r="F18" s="137">
        <f>Table11234579[[#This Row],[d (mm)]]</f>
        <v>925</v>
      </c>
      <c r="G18" s="111">
        <f t="shared" si="5"/>
        <v>1710900</v>
      </c>
      <c r="H18" s="111">
        <f t="shared" si="0"/>
        <v>2.5984953001568731E-6</v>
      </c>
      <c r="I18" s="111">
        <f>G18/(Table11234579[[#This Row],[b (mm)]]*AA18^2)</f>
        <v>6.6653031409788163E-3</v>
      </c>
      <c r="J18" s="111">
        <f t="shared" si="1"/>
        <v>1.1983295248601371</v>
      </c>
      <c r="K18" s="111">
        <f t="shared" si="2"/>
        <v>3.3638403238118296E-6</v>
      </c>
      <c r="L18" s="111">
        <f>E18/(Table11234579[[#This Row],[b (mm)]]*AA18)</f>
        <v>3.4252252252252252E-3</v>
      </c>
      <c r="M18" s="111">
        <f>Table11234579[[#This Row],[M (KN.mm)]]/(Table11234579[[#This Row],[b (mm)]]*Table11234579[[#This Row],[d (mm)]])</f>
        <v>6.165405405405405</v>
      </c>
      <c r="N18" s="111">
        <f>Table11234579[[#This Row],[M (KN.mm)]]/(Table11234579[[#This Row],[b (mm)]]*Table11234579[[#This Row],[h (mm)]])</f>
        <v>5.7030000000000003</v>
      </c>
      <c r="O18" s="111">
        <f>Table11234579[[#This Row],[M (KN.mm)]]/(Table11234579[[#This Row],[b (mm)]]*Table11234579[[#This Row],[h (mm)]]*Table11234579[[#This Row],[L(mm)]])</f>
        <v>1.5841666666666667E-3</v>
      </c>
      <c r="P18" s="111">
        <f>Table11234579[[#This Row],[M (KN.mm)]]/(Table11234579[[#This Row],[b (mm)]]*Table11234579[[#This Row],[d (mm)]]*Table11234579[[#This Row],[L(mm)]])</f>
        <v>1.7126126126126126E-3</v>
      </c>
      <c r="Q18" s="111">
        <f>Table11234579[[#This Row],[M (KN.mm)]]/(Table11234579[[#This Row],[b (mm)]]*Table11234579[[#This Row],[h (mm)]]*Table11234579[[#This Row],[L(mm)]]*Table11234579[[#This Row],[fc (Mpa)]])</f>
        <v>3.5203703703703702E-5</v>
      </c>
      <c r="R18" s="111">
        <f>Table11234579[[#This Row],[M (KN.mm)]]/(Table11234579[[#This Row],[b (mm)]]*Table11234579[[#This Row],[h (mm)]]*Table11234579[[#This Row],[L(mm)]]/2)</f>
        <v>3.1683333333333333E-3</v>
      </c>
      <c r="S18" s="111">
        <f>Table11234579[[#This Row],[M (KN.mm)]]/(Table11234579[[#This Row],[a (mm)]]*Table11234579[[#This Row],[b (mm)]]*Table11234579[[#This Row],[h (mm)]]*Table11234579[[#This Row],[L(mm)]]/2)</f>
        <v>1.7601851851851852E-6</v>
      </c>
      <c r="T18" s="111">
        <f>Table11234579[[#This Row],[M (KN.mm)]]/(Table11234579[[#This Row],[a (mm)]]^2*Table11234579[[#This Row],[b (mm)]]*Table11234579[[#This Row],[h (mm)]])</f>
        <v>1.7601851851851852E-6</v>
      </c>
      <c r="U18" s="111">
        <f>Table11234579[[#This Row],[M (KN.mm)]]/(Table11234579[[#This Row],[b (mm)]]*Table11234579[[#This Row],[d (mm)]]*Table11234579[[#This Row],[pho (%)]])</f>
        <v>6.29123000551572</v>
      </c>
      <c r="V18" s="111">
        <f>E18*224.8/(2*SQRT(Table11234579[[#This Row],[fc (Mpa)]]*145.037)*Table11234579[[#This Row],[b (mm)]]*Table11234579[[#This Row],[d (mm)]]*(1/25.4)^2)</f>
        <v>3.0745192551316558</v>
      </c>
      <c r="W18" s="111">
        <f>Table11234579[[#This Row],[M (KN.mm)]]/$G$19</f>
        <v>0.93026669929043304</v>
      </c>
      <c r="X18" s="111">
        <f>Table11234579[[#This Row],[V/(2*sqrt(fc) bd)]]</f>
        <v>3.0745192551316558</v>
      </c>
      <c r="Y18" s="111">
        <f>2*SQRT(Table11234579[[#This Row],[fc (Mpa)]]*145.037)/Table11234579[[#This Row],[pho (%)]]*Table11234579[[#This Row],[L(mm)]]/4*1/(224.8*25.4^2)</f>
        <v>1.0231241835638334</v>
      </c>
      <c r="Z18" s="111">
        <v>1800</v>
      </c>
      <c r="AA18" s="111">
        <v>925</v>
      </c>
      <c r="AB18" s="111">
        <v>1000</v>
      </c>
      <c r="AC18" s="111">
        <v>300</v>
      </c>
      <c r="AD18" s="7">
        <v>45</v>
      </c>
      <c r="AE18" s="111">
        <f>Table11234579[[#This Row],[pho (%)]]*Table11234579[[#This Row],[b (mm)]]*Table11234579[[#This Row],[h (mm)]]/100</f>
        <v>2940</v>
      </c>
      <c r="AF18" s="160">
        <f t="shared" si="4"/>
        <v>0.98</v>
      </c>
      <c r="AG18" s="160">
        <v>525</v>
      </c>
      <c r="AH18" s="111">
        <f>(1/3-0.21*(MIN(Table11234579[[#This Row],[b (mm)]],AB18)/MAX(Table11234579[[#This Row],[b (mm)]],AB18))*(MIN(Table11234579[[#This Row],[b (mm)]],AB18)^4/(12*MAX(Table11234579[[#This Row],[b (mm)]],AB18)^4)))*MAX(Table11234579[[#This Row],[b (mm)]],AB18)*MIN(Table11234579[[#This Row],[b (mm)]],AB18)^3</f>
        <v>8998851825</v>
      </c>
      <c r="AI18" s="111">
        <f>Table11234579[[#This Row],[b (mm)]]*AB18^3/12</f>
        <v>25000000000</v>
      </c>
      <c r="AJ18" s="111">
        <v>3600</v>
      </c>
      <c r="AK18" s="138"/>
      <c r="AL18" s="128"/>
      <c r="AM18" s="138"/>
      <c r="AN18" s="1"/>
    </row>
    <row r="19" spans="1:40" s="129" customFormat="1" x14ac:dyDescent="0.3">
      <c r="A19" s="234" t="s">
        <v>188</v>
      </c>
      <c r="B19" s="279" t="s">
        <v>142</v>
      </c>
      <c r="C19" s="279">
        <v>18</v>
      </c>
      <c r="D19" s="275">
        <f>Table11234579[[#This Row],[a (mm)]]/Table11234579[[#This Row],[d (mm)]]</f>
        <v>1.9459459459459461</v>
      </c>
      <c r="E19" s="280">
        <f>2043.5/2</f>
        <v>1021.75</v>
      </c>
      <c r="F19" s="137">
        <f>Table11234579[[#This Row],[d (mm)]]</f>
        <v>925</v>
      </c>
      <c r="G19" s="111">
        <f t="shared" si="5"/>
        <v>1839150</v>
      </c>
      <c r="H19" s="111">
        <f t="shared" si="0"/>
        <v>2.7932799294426987E-6</v>
      </c>
      <c r="I19" s="111">
        <f>G19/(Table11234579[[#This Row],[b (mm)]]*AA19^2)</f>
        <v>7.1649379108838568E-3</v>
      </c>
      <c r="J19" s="111">
        <f t="shared" si="1"/>
        <v>1.2881569616263493</v>
      </c>
      <c r="K19" s="111">
        <f t="shared" si="2"/>
        <v>3.6159956347761569E-6</v>
      </c>
      <c r="L19" s="111">
        <f>E19/(Table11234579[[#This Row],[b (mm)]]*AA19)</f>
        <v>3.6819819819819818E-3</v>
      </c>
      <c r="M19" s="111">
        <f>Table11234579[[#This Row],[M (KN.mm)]]/(Table11234579[[#This Row],[b (mm)]]*Table11234579[[#This Row],[d (mm)]])</f>
        <v>6.6275675675675672</v>
      </c>
      <c r="N19" s="111">
        <f>Table11234579[[#This Row],[M (KN.mm)]]/(Table11234579[[#This Row],[b (mm)]]*Table11234579[[#This Row],[h (mm)]])</f>
        <v>6.1304999999999996</v>
      </c>
      <c r="O19" s="111">
        <f>Table11234579[[#This Row],[M (KN.mm)]]/(Table11234579[[#This Row],[b (mm)]]*Table11234579[[#This Row],[h (mm)]]*Table11234579[[#This Row],[L(mm)]])</f>
        <v>1.7029166666666666E-3</v>
      </c>
      <c r="P19" s="111">
        <f>Table11234579[[#This Row],[M (KN.mm)]]/(Table11234579[[#This Row],[b (mm)]]*Table11234579[[#This Row],[d (mm)]]*Table11234579[[#This Row],[L(mm)]])</f>
        <v>1.8409909909909909E-3</v>
      </c>
      <c r="Q19" s="111">
        <f>Table11234579[[#This Row],[M (KN.mm)]]/(Table11234579[[#This Row],[b (mm)]]*Table11234579[[#This Row],[h (mm)]]*Table11234579[[#This Row],[L(mm)]]*Table11234579[[#This Row],[fc (Mpa)]])</f>
        <v>3.7842592592592592E-5</v>
      </c>
      <c r="R19" s="111">
        <f>Table11234579[[#This Row],[M (KN.mm)]]/(Table11234579[[#This Row],[b (mm)]]*Table11234579[[#This Row],[h (mm)]]*Table11234579[[#This Row],[L(mm)]]/2)</f>
        <v>3.4058333333333332E-3</v>
      </c>
      <c r="S19" s="111">
        <f>Table11234579[[#This Row],[M (KN.mm)]]/(Table11234579[[#This Row],[a (mm)]]*Table11234579[[#This Row],[b (mm)]]*Table11234579[[#This Row],[h (mm)]]*Table11234579[[#This Row],[L(mm)]]/2)</f>
        <v>1.8921296296296297E-6</v>
      </c>
      <c r="T19" s="111">
        <f>Table11234579[[#This Row],[M (KN.mm)]]/(Table11234579[[#This Row],[a (mm)]]^2*Table11234579[[#This Row],[b (mm)]]*Table11234579[[#This Row],[h (mm)]])</f>
        <v>1.8921296296296297E-6</v>
      </c>
      <c r="U19" s="111">
        <f>Table11234579[[#This Row],[M (KN.mm)]]/(Table11234579[[#This Row],[b (mm)]]*Table11234579[[#This Row],[d (mm)]]*Table11234579[[#This Row],[pho (%)]])</f>
        <v>6.7628240485383344</v>
      </c>
      <c r="V19" s="111">
        <f>E19*224.8/(2*SQRT(Table11234579[[#This Row],[fc (Mpa)]]*145.037)*Table11234579[[#This Row],[b (mm)]]*Table11234579[[#This Row],[d (mm)]]*(1/25.4)^2)</f>
        <v>3.3049869005058068</v>
      </c>
      <c r="W19" s="111">
        <f>Table11234579[[#This Row],[M (KN.mm)]]/$G$19</f>
        <v>1</v>
      </c>
      <c r="X19" s="111">
        <f>Table11234579[[#This Row],[V/(2*sqrt(fc) bd)]]</f>
        <v>3.3049869005058068</v>
      </c>
      <c r="Y19" s="111">
        <f>2*SQRT(Table11234579[[#This Row],[fc (Mpa)]]*145.037)/Table11234579[[#This Row],[pho (%)]]*Table11234579[[#This Row],[L(mm)]]/4*1/(224.8*25.4^2)</f>
        <v>1.0231241835638334</v>
      </c>
      <c r="Z19" s="111">
        <v>1800</v>
      </c>
      <c r="AA19" s="111">
        <v>925</v>
      </c>
      <c r="AB19" s="111">
        <v>1000</v>
      </c>
      <c r="AC19" s="111">
        <v>300</v>
      </c>
      <c r="AD19" s="7">
        <v>45</v>
      </c>
      <c r="AE19" s="111">
        <f>Table11234579[[#This Row],[pho (%)]]*Table11234579[[#This Row],[b (mm)]]*Table11234579[[#This Row],[h (mm)]]/100</f>
        <v>2940</v>
      </c>
      <c r="AF19" s="160">
        <f t="shared" si="4"/>
        <v>0.98</v>
      </c>
      <c r="AG19" s="160">
        <v>525</v>
      </c>
      <c r="AH19" s="111">
        <f>(1/3-0.21*(MIN(Table11234579[[#This Row],[b (mm)]],AB19)/MAX(Table11234579[[#This Row],[b (mm)]],AB19))*(MIN(Table11234579[[#This Row],[b (mm)]],AB19)^4/(12*MAX(Table11234579[[#This Row],[b (mm)]],AB19)^4)))*MAX(Table11234579[[#This Row],[b (mm)]],AB19)*MIN(Table11234579[[#This Row],[b (mm)]],AB19)^3</f>
        <v>8998851825</v>
      </c>
      <c r="AI19" s="111">
        <f>Table11234579[[#This Row],[b (mm)]]*AB19^3/12</f>
        <v>25000000000</v>
      </c>
      <c r="AJ19" s="111">
        <v>3600</v>
      </c>
      <c r="AK19" s="138"/>
      <c r="AL19" s="128"/>
      <c r="AM19" s="138"/>
      <c r="AN19" s="1"/>
    </row>
    <row r="20" spans="1:40" s="129" customFormat="1" x14ac:dyDescent="0.3">
      <c r="A20" s="164" t="s">
        <v>189</v>
      </c>
      <c r="B20" s="281">
        <v>1</v>
      </c>
      <c r="C20" s="281">
        <v>19</v>
      </c>
      <c r="D20" s="275">
        <f>Table11234579[[#This Row],[a (mm)]]/Table11234579[[#This Row],[d (mm)]]</f>
        <v>1.6216216216216217</v>
      </c>
      <c r="E20" s="282">
        <f>467/2</f>
        <v>233.5</v>
      </c>
      <c r="F20" s="137">
        <f>Table11234579[[#This Row],[d (mm)]]</f>
        <v>925</v>
      </c>
      <c r="G20" s="111">
        <f t="shared" si="5"/>
        <v>350250</v>
      </c>
      <c r="H20" s="111">
        <f t="shared" si="0"/>
        <v>5.3195568348819031E-7</v>
      </c>
      <c r="I20" s="111">
        <f>G20/(Table11234579[[#This Row],[b (mm)]]*AA20^2)</f>
        <v>1.364499634769905E-3</v>
      </c>
      <c r="J20" s="111">
        <f t="shared" si="1"/>
        <v>0.24531820450187797</v>
      </c>
      <c r="K20" s="111">
        <f t="shared" si="2"/>
        <v>8.2636161558133844E-7</v>
      </c>
      <c r="L20" s="111">
        <f>E20/(Table11234579[[#This Row],[b (mm)]]*AA20)</f>
        <v>8.4144144144144141E-4</v>
      </c>
      <c r="M20" s="111">
        <f>Table11234579[[#This Row],[M (KN.mm)]]/(Table11234579[[#This Row],[b (mm)]]*Table11234579[[#This Row],[d (mm)]])</f>
        <v>1.2621621621621621</v>
      </c>
      <c r="N20" s="111">
        <f>Table11234579[[#This Row],[M (KN.mm)]]/(Table11234579[[#This Row],[b (mm)]]*Table11234579[[#This Row],[h (mm)]])</f>
        <v>1.1675</v>
      </c>
      <c r="O20" s="111">
        <f>Table11234579[[#This Row],[M (KN.mm)]]/(Table11234579[[#This Row],[b (mm)]]*Table11234579[[#This Row],[h (mm)]]*Table11234579[[#This Row],[L(mm)]])</f>
        <v>3.8916666666666668E-4</v>
      </c>
      <c r="P20" s="111">
        <f>Table11234579[[#This Row],[M (KN.mm)]]/(Table11234579[[#This Row],[b (mm)]]*Table11234579[[#This Row],[d (mm)]]*Table11234579[[#This Row],[L(mm)]])</f>
        <v>4.207207207207207E-4</v>
      </c>
      <c r="Q20" s="111">
        <f>Table11234579[[#This Row],[M (KN.mm)]]/(Table11234579[[#This Row],[b (mm)]]*Table11234579[[#This Row],[h (mm)]]*Table11234579[[#This Row],[L(mm)]]*Table11234579[[#This Row],[fc (Mpa)]])</f>
        <v>9.9786324786324794E-6</v>
      </c>
      <c r="R20" s="111">
        <f>Table11234579[[#This Row],[M (KN.mm)]]/(Table11234579[[#This Row],[b (mm)]]*Table11234579[[#This Row],[h (mm)]]*Table11234579[[#This Row],[L(mm)]]/2)</f>
        <v>7.7833333333333335E-4</v>
      </c>
      <c r="S20" s="111">
        <f>Table11234579[[#This Row],[M (KN.mm)]]/(Table11234579[[#This Row],[a (mm)]]*Table11234579[[#This Row],[b (mm)]]*Table11234579[[#This Row],[h (mm)]]*Table11234579[[#This Row],[L(mm)]]/2)</f>
        <v>5.1888888888888892E-7</v>
      </c>
      <c r="T20" s="111">
        <f>Table11234579[[#This Row],[M (KN.mm)]]/(Table11234579[[#This Row],[a (mm)]]^2*Table11234579[[#This Row],[b (mm)]]*Table11234579[[#This Row],[h (mm)]])</f>
        <v>5.1888888888888892E-7</v>
      </c>
      <c r="U20" s="111">
        <f>Table11234579[[#This Row],[M (KN.mm)]]/(Table11234579[[#This Row],[b (mm)]]*Table11234579[[#This Row],[d (mm)]]*Table11234579[[#This Row],[pho (%)]])</f>
        <v>1.2879205736348593</v>
      </c>
      <c r="V20" s="111">
        <f>E20*224.8/(2*SQRT(Table11234579[[#This Row],[fc (Mpa)]]*145.037)*Table11234579[[#This Row],[b (mm)]]*Table11234579[[#This Row],[d (mm)]]*(1/25.4)^2)</f>
        <v>0.81130832870534031</v>
      </c>
      <c r="W20" s="111">
        <f>Table11234579[[#This Row],[M (KN.mm)]]/$G$26</f>
        <v>0.21083521444695261</v>
      </c>
      <c r="X20" s="111">
        <f>Table11234579[[#This Row],[V/(2*sqrt(fc) bd)]]</f>
        <v>0.81130832870534031</v>
      </c>
      <c r="Y20" s="111">
        <f>2*SQRT(Table11234579[[#This Row],[fc (Mpa)]]*145.037)/Table11234579[[#This Row],[pho (%)]]*Table11234579[[#This Row],[L(mm)]]/4*1/(224.8*25.4^2)</f>
        <v>0.79373064965947149</v>
      </c>
      <c r="Z20" s="111">
        <v>1500</v>
      </c>
      <c r="AA20" s="111">
        <v>925</v>
      </c>
      <c r="AB20" s="111">
        <v>1000</v>
      </c>
      <c r="AC20" s="111">
        <v>300</v>
      </c>
      <c r="AD20" s="7">
        <v>39</v>
      </c>
      <c r="AE20" s="111">
        <f>Table11234579[[#This Row],[pho (%)]]*Table11234579[[#This Row],[b (mm)]]*Table11234579[[#This Row],[h (mm)]]/100</f>
        <v>2940</v>
      </c>
      <c r="AF20" s="160">
        <f t="shared" si="4"/>
        <v>0.98</v>
      </c>
      <c r="AG20" s="160">
        <v>525</v>
      </c>
      <c r="AH20" s="111">
        <f>(1/3-0.21*(MIN(Table11234579[[#This Row],[b (mm)]],AB20)/MAX(Table11234579[[#This Row],[b (mm)]],AB20))*(MIN(Table11234579[[#This Row],[b (mm)]],AB20)^4/(12*MAX(Table11234579[[#This Row],[b (mm)]],AB20)^4)))*MAX(Table11234579[[#This Row],[b (mm)]],AB20)*MIN(Table11234579[[#This Row],[b (mm)]],AB20)^3</f>
        <v>8998851825</v>
      </c>
      <c r="AI20" s="111">
        <f>Table11234579[[#This Row],[b (mm)]]*AB20^3/12</f>
        <v>25000000000</v>
      </c>
      <c r="AJ20" s="111">
        <v>3000</v>
      </c>
      <c r="AK20" s="138"/>
      <c r="AL20" s="128"/>
      <c r="AM20" s="138"/>
      <c r="AN20" s="1"/>
    </row>
    <row r="21" spans="1:40" s="129" customFormat="1" x14ac:dyDescent="0.3">
      <c r="A21" s="164" t="s">
        <v>189</v>
      </c>
      <c r="B21" s="281">
        <v>2</v>
      </c>
      <c r="C21" s="281">
        <v>20</v>
      </c>
      <c r="D21" s="275">
        <f>Table11234579[[#This Row],[a (mm)]]/Table11234579[[#This Row],[d (mm)]]</f>
        <v>1.6216216216216217</v>
      </c>
      <c r="E21" s="282">
        <f>802/2</f>
        <v>401</v>
      </c>
      <c r="F21" s="137">
        <f>Table11234579[[#This Row],[d (mm)]]</f>
        <v>925</v>
      </c>
      <c r="G21" s="111">
        <f t="shared" si="5"/>
        <v>601500</v>
      </c>
      <c r="H21" s="111">
        <f t="shared" si="0"/>
        <v>9.1355130226451535E-7</v>
      </c>
      <c r="I21" s="111">
        <f>G21/(Table11234579[[#This Row],[b (mm)]]*AA21^2)</f>
        <v>2.3433162892622351E-3</v>
      </c>
      <c r="J21" s="111">
        <f t="shared" si="1"/>
        <v>0.42129593150001315</v>
      </c>
      <c r="K21" s="111">
        <f t="shared" si="2"/>
        <v>1.4191477852167741E-6</v>
      </c>
      <c r="L21" s="111">
        <f>E21/(Table11234579[[#This Row],[b (mm)]]*AA21)</f>
        <v>1.445045045045045E-3</v>
      </c>
      <c r="M21" s="111">
        <f>Table11234579[[#This Row],[M (KN.mm)]]/(Table11234579[[#This Row],[b (mm)]]*Table11234579[[#This Row],[d (mm)]])</f>
        <v>2.1675675675675676</v>
      </c>
      <c r="N21" s="111">
        <f>Table11234579[[#This Row],[M (KN.mm)]]/(Table11234579[[#This Row],[b (mm)]]*Table11234579[[#This Row],[h (mm)]])</f>
        <v>2.0049999999999999</v>
      </c>
      <c r="O21" s="111">
        <f>Table11234579[[#This Row],[M (KN.mm)]]/(Table11234579[[#This Row],[b (mm)]]*Table11234579[[#This Row],[h (mm)]]*Table11234579[[#This Row],[L(mm)]])</f>
        <v>6.6833333333333328E-4</v>
      </c>
      <c r="P21" s="111">
        <f>Table11234579[[#This Row],[M (KN.mm)]]/(Table11234579[[#This Row],[b (mm)]]*Table11234579[[#This Row],[d (mm)]]*Table11234579[[#This Row],[L(mm)]])</f>
        <v>7.225225225225225E-4</v>
      </c>
      <c r="Q21" s="111">
        <f>Table11234579[[#This Row],[M (KN.mm)]]/(Table11234579[[#This Row],[b (mm)]]*Table11234579[[#This Row],[h (mm)]]*Table11234579[[#This Row],[L(mm)]]*Table11234579[[#This Row],[fc (Mpa)]])</f>
        <v>1.7136752136752138E-5</v>
      </c>
      <c r="R21" s="111">
        <f>Table11234579[[#This Row],[M (KN.mm)]]/(Table11234579[[#This Row],[b (mm)]]*Table11234579[[#This Row],[h (mm)]]*Table11234579[[#This Row],[L(mm)]]/2)</f>
        <v>1.3366666666666666E-3</v>
      </c>
      <c r="S21" s="111">
        <f>Table11234579[[#This Row],[M (KN.mm)]]/(Table11234579[[#This Row],[a (mm)]]*Table11234579[[#This Row],[b (mm)]]*Table11234579[[#This Row],[h (mm)]]*Table11234579[[#This Row],[L(mm)]]/2)</f>
        <v>8.9111111111111113E-7</v>
      </c>
      <c r="T21" s="111">
        <f>Table11234579[[#This Row],[M (KN.mm)]]/(Table11234579[[#This Row],[a (mm)]]^2*Table11234579[[#This Row],[b (mm)]]*Table11234579[[#This Row],[h (mm)]])</f>
        <v>8.9111111111111113E-7</v>
      </c>
      <c r="U21" s="111">
        <f>Table11234579[[#This Row],[M (KN.mm)]]/(Table11234579[[#This Row],[b (mm)]]*Table11234579[[#This Row],[d (mm)]]*Table11234579[[#This Row],[pho (%)]])</f>
        <v>2.2118036403750692</v>
      </c>
      <c r="V21" s="111">
        <f>E21*224.8/(2*SQRT(Table11234579[[#This Row],[fc (Mpa)]]*145.037)*Table11234579[[#This Row],[b (mm)]]*Table11234579[[#This Row],[d (mm)]]*(1/25.4)^2)</f>
        <v>1.393296101973625</v>
      </c>
      <c r="W21" s="111">
        <f>Table11234579[[#This Row],[M (KN.mm)]]/$G$26</f>
        <v>0.36207674943566592</v>
      </c>
      <c r="X21" s="111">
        <f>Table11234579[[#This Row],[V/(2*sqrt(fc) bd)]]</f>
        <v>1.393296101973625</v>
      </c>
      <c r="Y21" s="111">
        <f>2*SQRT(Table11234579[[#This Row],[fc (Mpa)]]*145.037)/Table11234579[[#This Row],[pho (%)]]*Table11234579[[#This Row],[L(mm)]]/4*1/(224.8*25.4^2)</f>
        <v>0.79373064965947149</v>
      </c>
      <c r="Z21" s="111">
        <v>1500</v>
      </c>
      <c r="AA21" s="111">
        <v>925</v>
      </c>
      <c r="AB21" s="111">
        <v>1000</v>
      </c>
      <c r="AC21" s="111">
        <v>300</v>
      </c>
      <c r="AD21" s="7">
        <v>39</v>
      </c>
      <c r="AE21" s="111">
        <f>Table11234579[[#This Row],[pho (%)]]*Table11234579[[#This Row],[b (mm)]]*Table11234579[[#This Row],[h (mm)]]/100</f>
        <v>2940</v>
      </c>
      <c r="AF21" s="160">
        <f t="shared" si="4"/>
        <v>0.98</v>
      </c>
      <c r="AG21" s="160">
        <v>525</v>
      </c>
      <c r="AH21" s="111">
        <f>(1/3-0.21*(MIN(Table11234579[[#This Row],[b (mm)]],AB21)/MAX(Table11234579[[#This Row],[b (mm)]],AB21))*(MIN(Table11234579[[#This Row],[b (mm)]],AB21)^4/(12*MAX(Table11234579[[#This Row],[b (mm)]],AB21)^4)))*MAX(Table11234579[[#This Row],[b (mm)]],AB21)*MIN(Table11234579[[#This Row],[b (mm)]],AB21)^3</f>
        <v>8998851825</v>
      </c>
      <c r="AI21" s="111">
        <f>Table11234579[[#This Row],[b (mm)]]*AB21^3/12</f>
        <v>25000000000</v>
      </c>
      <c r="AJ21" s="111">
        <v>3000</v>
      </c>
      <c r="AK21" s="138"/>
      <c r="AL21" s="128"/>
      <c r="AM21" s="138"/>
      <c r="AN21" s="1"/>
    </row>
    <row r="22" spans="1:40" s="129" customFormat="1" ht="16.5" customHeight="1" x14ac:dyDescent="0.3">
      <c r="A22" s="164" t="s">
        <v>189</v>
      </c>
      <c r="B22" s="281">
        <v>3</v>
      </c>
      <c r="C22" s="281">
        <v>21</v>
      </c>
      <c r="D22" s="275">
        <f>Table11234579[[#This Row],[a (mm)]]/Table11234579[[#This Row],[d (mm)]]</f>
        <v>1.6216216216216217</v>
      </c>
      <c r="E22" s="282">
        <f>1105/2</f>
        <v>552.5</v>
      </c>
      <c r="F22" s="137">
        <f>Table11234579[[#This Row],[d (mm)]]</f>
        <v>925</v>
      </c>
      <c r="G22" s="111">
        <f t="shared" si="5"/>
        <v>828750</v>
      </c>
      <c r="H22" s="111">
        <f t="shared" si="0"/>
        <v>1.2586959962622062E-6</v>
      </c>
      <c r="I22" s="111">
        <f>G22/(Table11234579[[#This Row],[b (mm)]]*AA22^2)</f>
        <v>3.2286340394448504E-3</v>
      </c>
      <c r="J22" s="111">
        <f t="shared" si="1"/>
        <v>0.58046384576996823</v>
      </c>
      <c r="K22" s="111">
        <f t="shared" si="2"/>
        <v>1.9553096043198695E-6</v>
      </c>
      <c r="L22" s="111">
        <f>E22/(Table11234579[[#This Row],[b (mm)]]*AA22)</f>
        <v>1.9909909909909909E-3</v>
      </c>
      <c r="M22" s="111">
        <f>Table11234579[[#This Row],[M (KN.mm)]]/(Table11234579[[#This Row],[b (mm)]]*Table11234579[[#This Row],[d (mm)]])</f>
        <v>2.9864864864864864</v>
      </c>
      <c r="N22" s="111">
        <f>Table11234579[[#This Row],[M (KN.mm)]]/(Table11234579[[#This Row],[b (mm)]]*Table11234579[[#This Row],[h (mm)]])</f>
        <v>2.7625000000000002</v>
      </c>
      <c r="O22" s="111">
        <f>Table11234579[[#This Row],[M (KN.mm)]]/(Table11234579[[#This Row],[b (mm)]]*Table11234579[[#This Row],[h (mm)]]*Table11234579[[#This Row],[L(mm)]])</f>
        <v>9.2083333333333329E-4</v>
      </c>
      <c r="P22" s="111">
        <f>Table11234579[[#This Row],[M (KN.mm)]]/(Table11234579[[#This Row],[b (mm)]]*Table11234579[[#This Row],[d (mm)]]*Table11234579[[#This Row],[L(mm)]])</f>
        <v>9.9549549549549543E-4</v>
      </c>
      <c r="Q22" s="111">
        <f>Table11234579[[#This Row],[M (KN.mm)]]/(Table11234579[[#This Row],[b (mm)]]*Table11234579[[#This Row],[h (mm)]]*Table11234579[[#This Row],[L(mm)]]*Table11234579[[#This Row],[fc (Mpa)]])</f>
        <v>2.3611111111111111E-5</v>
      </c>
      <c r="R22" s="111">
        <f>Table11234579[[#This Row],[M (KN.mm)]]/(Table11234579[[#This Row],[b (mm)]]*Table11234579[[#This Row],[h (mm)]]*Table11234579[[#This Row],[L(mm)]]/2)</f>
        <v>1.8416666666666666E-3</v>
      </c>
      <c r="S22" s="111">
        <f>Table11234579[[#This Row],[M (KN.mm)]]/(Table11234579[[#This Row],[a (mm)]]*Table11234579[[#This Row],[b (mm)]]*Table11234579[[#This Row],[h (mm)]]*Table11234579[[#This Row],[L(mm)]]/2)</f>
        <v>1.2277777777777777E-6</v>
      </c>
      <c r="T22" s="111">
        <f>Table11234579[[#This Row],[M (KN.mm)]]/(Table11234579[[#This Row],[a (mm)]]^2*Table11234579[[#This Row],[b (mm)]]*Table11234579[[#This Row],[h (mm)]])</f>
        <v>1.2277777777777777E-6</v>
      </c>
      <c r="U22" s="111">
        <f>Table11234579[[#This Row],[M (KN.mm)]]/(Table11234579[[#This Row],[b (mm)]]*Table11234579[[#This Row],[d (mm)]]*Table11234579[[#This Row],[pho (%)]])</f>
        <v>3.0474351902923331</v>
      </c>
      <c r="V22" s="111">
        <f>E22*224.8/(2*SQRT(Table11234579[[#This Row],[fc (Mpa)]]*145.037)*Table11234579[[#This Row],[b (mm)]]*Table11234579[[#This Row],[d (mm)]]*(1/25.4)^2)</f>
        <v>1.9196910133177751</v>
      </c>
      <c r="W22" s="111">
        <f>Table11234579[[#This Row],[M (KN.mm)]]/$G$26</f>
        <v>0.49887133182844245</v>
      </c>
      <c r="X22" s="111">
        <f>Table11234579[[#This Row],[V/(2*sqrt(fc) bd)]]</f>
        <v>1.9196910133177751</v>
      </c>
      <c r="Y22" s="111">
        <f>2*SQRT(Table11234579[[#This Row],[fc (Mpa)]]*145.037)/Table11234579[[#This Row],[pho (%)]]*Table11234579[[#This Row],[L(mm)]]/4*1/(224.8*25.4^2)</f>
        <v>0.79373064965947149</v>
      </c>
      <c r="Z22" s="111">
        <v>1500</v>
      </c>
      <c r="AA22" s="111">
        <v>925</v>
      </c>
      <c r="AB22" s="111">
        <v>1000</v>
      </c>
      <c r="AC22" s="111">
        <v>300</v>
      </c>
      <c r="AD22" s="7">
        <v>39</v>
      </c>
      <c r="AE22" s="111">
        <f>Table11234579[[#This Row],[pho (%)]]*Table11234579[[#This Row],[b (mm)]]*Table11234579[[#This Row],[h (mm)]]/100</f>
        <v>2940</v>
      </c>
      <c r="AF22" s="160">
        <f t="shared" si="4"/>
        <v>0.98</v>
      </c>
      <c r="AG22" s="160">
        <v>525</v>
      </c>
      <c r="AH22" s="111">
        <f>(1/3-0.21*(MIN(Table11234579[[#This Row],[b (mm)]],AB22)/MAX(Table11234579[[#This Row],[b (mm)]],AB22))*(MIN(Table11234579[[#This Row],[b (mm)]],AB22)^4/(12*MAX(Table11234579[[#This Row],[b (mm)]],AB22)^4)))*MAX(Table11234579[[#This Row],[b (mm)]],AB22)*MIN(Table11234579[[#This Row],[b (mm)]],AB22)^3</f>
        <v>8998851825</v>
      </c>
      <c r="AI22" s="111">
        <f>Table11234579[[#This Row],[b (mm)]]*AB22^3/12</f>
        <v>25000000000</v>
      </c>
      <c r="AJ22" s="111">
        <v>3000</v>
      </c>
      <c r="AK22" s="138"/>
      <c r="AL22" s="138"/>
      <c r="AM22" s="138"/>
      <c r="AN22" s="1"/>
    </row>
    <row r="23" spans="1:40" s="129" customFormat="1" x14ac:dyDescent="0.3">
      <c r="A23" s="164" t="s">
        <v>189</v>
      </c>
      <c r="B23" s="281">
        <v>4</v>
      </c>
      <c r="C23" s="281">
        <v>22</v>
      </c>
      <c r="D23" s="275">
        <f>Table11234579[[#This Row],[a (mm)]]/Table11234579[[#This Row],[d (mm)]]</f>
        <v>1.6216216216216217</v>
      </c>
      <c r="E23" s="282">
        <f>1432/2</f>
        <v>716</v>
      </c>
      <c r="F23" s="137">
        <f>Table11234579[[#This Row],[d (mm)]]</f>
        <v>925</v>
      </c>
      <c r="G23" s="111">
        <f t="shared" si="5"/>
        <v>1074000</v>
      </c>
      <c r="H23" s="111">
        <f t="shared" si="0"/>
        <v>1.6311788838438728E-6</v>
      </c>
      <c r="I23" s="111">
        <f>G23/(Table11234579[[#This Row],[b (mm)]]*AA23^2)</f>
        <v>4.1840759678597513E-3</v>
      </c>
      <c r="J23" s="111">
        <f t="shared" si="1"/>
        <v>0.75223911958605838</v>
      </c>
      <c r="K23" s="111">
        <f t="shared" si="2"/>
        <v>2.53393968632222E-6</v>
      </c>
      <c r="L23" s="111">
        <f>E23/(Table11234579[[#This Row],[b (mm)]]*AA23)</f>
        <v>2.5801801801801803E-3</v>
      </c>
      <c r="M23" s="111">
        <f>Table11234579[[#This Row],[M (KN.mm)]]/(Table11234579[[#This Row],[b (mm)]]*Table11234579[[#This Row],[d (mm)]])</f>
        <v>3.8702702702702703</v>
      </c>
      <c r="N23" s="111">
        <f>Table11234579[[#This Row],[M (KN.mm)]]/(Table11234579[[#This Row],[b (mm)]]*Table11234579[[#This Row],[h (mm)]])</f>
        <v>3.58</v>
      </c>
      <c r="O23" s="111">
        <f>Table11234579[[#This Row],[M (KN.mm)]]/(Table11234579[[#This Row],[b (mm)]]*Table11234579[[#This Row],[h (mm)]]*Table11234579[[#This Row],[L(mm)]])</f>
        <v>1.1933333333333334E-3</v>
      </c>
      <c r="P23" s="111">
        <f>Table11234579[[#This Row],[M (KN.mm)]]/(Table11234579[[#This Row],[b (mm)]]*Table11234579[[#This Row],[d (mm)]]*Table11234579[[#This Row],[L(mm)]])</f>
        <v>1.2900900900900901E-3</v>
      </c>
      <c r="Q23" s="111">
        <f>Table11234579[[#This Row],[M (KN.mm)]]/(Table11234579[[#This Row],[b (mm)]]*Table11234579[[#This Row],[h (mm)]]*Table11234579[[#This Row],[L(mm)]]*Table11234579[[#This Row],[fc (Mpa)]])</f>
        <v>3.0598290598290596E-5</v>
      </c>
      <c r="R23" s="111">
        <f>Table11234579[[#This Row],[M (KN.mm)]]/(Table11234579[[#This Row],[b (mm)]]*Table11234579[[#This Row],[h (mm)]]*Table11234579[[#This Row],[L(mm)]]/2)</f>
        <v>2.3866666666666667E-3</v>
      </c>
      <c r="S23" s="111">
        <f>Table11234579[[#This Row],[M (KN.mm)]]/(Table11234579[[#This Row],[a (mm)]]*Table11234579[[#This Row],[b (mm)]]*Table11234579[[#This Row],[h (mm)]]*Table11234579[[#This Row],[L(mm)]]/2)</f>
        <v>1.5911111111111111E-6</v>
      </c>
      <c r="T23" s="111">
        <f>Table11234579[[#This Row],[M (KN.mm)]]/(Table11234579[[#This Row],[a (mm)]]^2*Table11234579[[#This Row],[b (mm)]]*Table11234579[[#This Row],[h (mm)]])</f>
        <v>1.5911111111111111E-6</v>
      </c>
      <c r="U23" s="111">
        <f>Table11234579[[#This Row],[M (KN.mm)]]/(Table11234579[[#This Row],[b (mm)]]*Table11234579[[#This Row],[d (mm)]]*Table11234579[[#This Row],[pho (%)]])</f>
        <v>3.9492553778268062</v>
      </c>
      <c r="V23" s="111">
        <f>E23*224.8/(2*SQRT(Table11234579[[#This Row],[fc (Mpa)]]*145.037)*Table11234579[[#This Row],[b (mm)]]*Table11234579[[#This Row],[d (mm)]]*(1/25.4)^2)</f>
        <v>2.4877805711050263</v>
      </c>
      <c r="W23" s="111">
        <f>Table11234579[[#This Row],[M (KN.mm)]]/$G$26</f>
        <v>0.64650112866817155</v>
      </c>
      <c r="X23" s="111">
        <f>Table11234579[[#This Row],[V/(2*sqrt(fc) bd)]]</f>
        <v>2.4877805711050263</v>
      </c>
      <c r="Y23" s="111">
        <f>2*SQRT(Table11234579[[#This Row],[fc (Mpa)]]*145.037)/Table11234579[[#This Row],[pho (%)]]*Table11234579[[#This Row],[L(mm)]]/4*1/(224.8*25.4^2)</f>
        <v>0.79373064965947149</v>
      </c>
      <c r="Z23" s="111">
        <v>1500</v>
      </c>
      <c r="AA23" s="111">
        <v>925</v>
      </c>
      <c r="AB23" s="111">
        <v>1000</v>
      </c>
      <c r="AC23" s="111">
        <v>300</v>
      </c>
      <c r="AD23" s="7">
        <v>39</v>
      </c>
      <c r="AE23" s="111">
        <f>Table11234579[[#This Row],[pho (%)]]*Table11234579[[#This Row],[b (mm)]]*Table11234579[[#This Row],[h (mm)]]/100</f>
        <v>2940</v>
      </c>
      <c r="AF23" s="160">
        <f t="shared" si="4"/>
        <v>0.98</v>
      </c>
      <c r="AG23" s="160">
        <v>525</v>
      </c>
      <c r="AH23" s="111">
        <f>(1/3-0.21*(MIN(Table11234579[[#This Row],[b (mm)]],AB23)/MAX(Table11234579[[#This Row],[b (mm)]],AB23))*(MIN(Table11234579[[#This Row],[b (mm)]],AB23)^4/(12*MAX(Table11234579[[#This Row],[b (mm)]],AB23)^4)))*MAX(Table11234579[[#This Row],[b (mm)]],AB23)*MIN(Table11234579[[#This Row],[b (mm)]],AB23)^3</f>
        <v>8998851825</v>
      </c>
      <c r="AI23" s="111">
        <f>Table11234579[[#This Row],[b (mm)]]*AB23^3/12</f>
        <v>25000000000</v>
      </c>
      <c r="AJ23" s="111">
        <v>3000</v>
      </c>
      <c r="AK23" s="138"/>
      <c r="AL23" s="138"/>
      <c r="AM23" s="138"/>
      <c r="AN23" s="1"/>
    </row>
    <row r="24" spans="1:40" s="129" customFormat="1" x14ac:dyDescent="0.3">
      <c r="A24" s="164" t="s">
        <v>189</v>
      </c>
      <c r="B24" s="281">
        <v>5</v>
      </c>
      <c r="C24" s="281">
        <v>23</v>
      </c>
      <c r="D24" s="275">
        <f>Table11234579[[#This Row],[a (mm)]]/Table11234579[[#This Row],[d (mm)]]</f>
        <v>1.6216216216216217</v>
      </c>
      <c r="E24" s="282">
        <f>1711/2</f>
        <v>855.5</v>
      </c>
      <c r="F24" s="137">
        <f>Table11234579[[#This Row],[d (mm)]]</f>
        <v>925</v>
      </c>
      <c r="G24" s="111">
        <f t="shared" si="5"/>
        <v>1283250</v>
      </c>
      <c r="H24" s="111">
        <f t="shared" si="0"/>
        <v>1.948985384257588E-6</v>
      </c>
      <c r="I24" s="111">
        <f>G24/(Table11234579[[#This Row],[b (mm)]]*AA24^2)</f>
        <v>4.9992695398100801E-3</v>
      </c>
      <c r="J24" s="111">
        <f t="shared" si="1"/>
        <v>0.89879967430987839</v>
      </c>
      <c r="K24" s="111">
        <f t="shared" si="2"/>
        <v>3.0276332425260601E-6</v>
      </c>
      <c r="L24" s="111">
        <f>E24/(Table11234579[[#This Row],[b (mm)]]*AA24)</f>
        <v>3.082882882882883E-3</v>
      </c>
      <c r="M24" s="111">
        <f>Table11234579[[#This Row],[M (KN.mm)]]/(Table11234579[[#This Row],[b (mm)]]*Table11234579[[#This Row],[d (mm)]])</f>
        <v>4.6243243243243244</v>
      </c>
      <c r="N24" s="111">
        <f>Table11234579[[#This Row],[M (KN.mm)]]/(Table11234579[[#This Row],[b (mm)]]*Table11234579[[#This Row],[h (mm)]])</f>
        <v>4.2774999999999999</v>
      </c>
      <c r="O24" s="111">
        <f>Table11234579[[#This Row],[M (KN.mm)]]/(Table11234579[[#This Row],[b (mm)]]*Table11234579[[#This Row],[h (mm)]]*Table11234579[[#This Row],[L(mm)]])</f>
        <v>1.4258333333333334E-3</v>
      </c>
      <c r="P24" s="111">
        <f>Table11234579[[#This Row],[M (KN.mm)]]/(Table11234579[[#This Row],[b (mm)]]*Table11234579[[#This Row],[d (mm)]]*Table11234579[[#This Row],[L(mm)]])</f>
        <v>1.5414414414414415E-3</v>
      </c>
      <c r="Q24" s="111">
        <f>Table11234579[[#This Row],[M (KN.mm)]]/(Table11234579[[#This Row],[b (mm)]]*Table11234579[[#This Row],[h (mm)]]*Table11234579[[#This Row],[L(mm)]]*Table11234579[[#This Row],[fc (Mpa)]])</f>
        <v>3.6559829059829062E-5</v>
      </c>
      <c r="R24" s="111">
        <f>Table11234579[[#This Row],[M (KN.mm)]]/(Table11234579[[#This Row],[b (mm)]]*Table11234579[[#This Row],[h (mm)]]*Table11234579[[#This Row],[L(mm)]]/2)</f>
        <v>2.8516666666666668E-3</v>
      </c>
      <c r="S24" s="111">
        <f>Table11234579[[#This Row],[M (KN.mm)]]/(Table11234579[[#This Row],[a (mm)]]*Table11234579[[#This Row],[b (mm)]]*Table11234579[[#This Row],[h (mm)]]*Table11234579[[#This Row],[L(mm)]]/2)</f>
        <v>1.9011111111111111E-6</v>
      </c>
      <c r="T24" s="111">
        <f>Table11234579[[#This Row],[M (KN.mm)]]/(Table11234579[[#This Row],[a (mm)]]^2*Table11234579[[#This Row],[b (mm)]]*Table11234579[[#This Row],[h (mm)]])</f>
        <v>1.9011111111111111E-6</v>
      </c>
      <c r="U24" s="111">
        <f>Table11234579[[#This Row],[M (KN.mm)]]/(Table11234579[[#This Row],[b (mm)]]*Table11234579[[#This Row],[d (mm)]]*Table11234579[[#This Row],[pho (%)]])</f>
        <v>4.7186982901268619</v>
      </c>
      <c r="V24" s="111">
        <f>E24*224.8/(2*SQRT(Table11234579[[#This Row],[fc (Mpa)]]*145.037)*Table11234579[[#This Row],[b (mm)]]*Table11234579[[#This Row],[d (mm)]]*(1/25.4)^2)</f>
        <v>2.9724808360060755</v>
      </c>
      <c r="W24" s="111">
        <f>Table11234579[[#This Row],[M (KN.mm)]]/$G$26</f>
        <v>0.77246049661399552</v>
      </c>
      <c r="X24" s="111">
        <f>Table11234579[[#This Row],[V/(2*sqrt(fc) bd)]]</f>
        <v>2.9724808360060755</v>
      </c>
      <c r="Y24" s="111">
        <f>2*SQRT(Table11234579[[#This Row],[fc (Mpa)]]*145.037)/Table11234579[[#This Row],[pho (%)]]*Table11234579[[#This Row],[L(mm)]]/4*1/(224.8*25.4^2)</f>
        <v>0.79373064965947149</v>
      </c>
      <c r="Z24" s="111">
        <v>1500</v>
      </c>
      <c r="AA24" s="111">
        <v>925</v>
      </c>
      <c r="AB24" s="111">
        <v>1000</v>
      </c>
      <c r="AC24" s="111">
        <v>300</v>
      </c>
      <c r="AD24" s="7">
        <v>39</v>
      </c>
      <c r="AE24" s="111">
        <f>Table11234579[[#This Row],[pho (%)]]*Table11234579[[#This Row],[b (mm)]]*Table11234579[[#This Row],[h (mm)]]/100</f>
        <v>2940</v>
      </c>
      <c r="AF24" s="160">
        <f t="shared" si="4"/>
        <v>0.98</v>
      </c>
      <c r="AG24" s="160">
        <v>525</v>
      </c>
      <c r="AH24" s="111">
        <f>(1/3-0.21*(MIN(Table11234579[[#This Row],[b (mm)]],AB24)/MAX(Table11234579[[#This Row],[b (mm)]],AB24))*(MIN(Table11234579[[#This Row],[b (mm)]],AB24)^4/(12*MAX(Table11234579[[#This Row],[b (mm)]],AB24)^4)))*MAX(Table11234579[[#This Row],[b (mm)]],AB24)*MIN(Table11234579[[#This Row],[b (mm)]],AB24)^3</f>
        <v>8998851825</v>
      </c>
      <c r="AI24" s="111">
        <f>Table11234579[[#This Row],[b (mm)]]*AB24^3/12</f>
        <v>25000000000</v>
      </c>
      <c r="AJ24" s="111">
        <v>3000</v>
      </c>
      <c r="AK24" s="138"/>
      <c r="AL24" s="138"/>
      <c r="AM24" s="138"/>
      <c r="AN24" s="1"/>
    </row>
    <row r="25" spans="1:40" s="129" customFormat="1" x14ac:dyDescent="0.3">
      <c r="A25" s="164" t="s">
        <v>189</v>
      </c>
      <c r="B25" s="281">
        <v>6</v>
      </c>
      <c r="C25" s="281">
        <v>24</v>
      </c>
      <c r="D25" s="275">
        <f>Table11234579[[#This Row],[a (mm)]]/Table11234579[[#This Row],[d (mm)]]</f>
        <v>1.6216216216216217</v>
      </c>
      <c r="E25" s="282">
        <f>2009/2</f>
        <v>1004.5</v>
      </c>
      <c r="F25" s="137">
        <f>Table11234579[[#This Row],[d (mm)]]</f>
        <v>925</v>
      </c>
      <c r="G25" s="111">
        <f t="shared" si="5"/>
        <v>1506750</v>
      </c>
      <c r="H25" s="111">
        <f t="shared" si="0"/>
        <v>2.2884346212586175E-6</v>
      </c>
      <c r="I25" s="111">
        <f>G25/(Table11234579[[#This Row],[b (mm)]]*AA25^2)</f>
        <v>5.8699780861943022E-3</v>
      </c>
      <c r="J25" s="111">
        <f t="shared" si="1"/>
        <v>1.0553410553410554</v>
      </c>
      <c r="K25" s="111">
        <f t="shared" si="2"/>
        <v>3.5549475068584774E-6</v>
      </c>
      <c r="L25" s="111">
        <f>E25/(Table11234579[[#This Row],[b (mm)]]*AA25)</f>
        <v>3.6198198198198199E-3</v>
      </c>
      <c r="M25" s="111">
        <f>Table11234579[[#This Row],[M (KN.mm)]]/(Table11234579[[#This Row],[b (mm)]]*Table11234579[[#This Row],[d (mm)]])</f>
        <v>5.42972972972973</v>
      </c>
      <c r="N25" s="111">
        <f>Table11234579[[#This Row],[M (KN.mm)]]/(Table11234579[[#This Row],[b (mm)]]*Table11234579[[#This Row],[h (mm)]])</f>
        <v>5.0225</v>
      </c>
      <c r="O25" s="111">
        <f>Table11234579[[#This Row],[M (KN.mm)]]/(Table11234579[[#This Row],[b (mm)]]*Table11234579[[#This Row],[h (mm)]]*Table11234579[[#This Row],[L(mm)]])</f>
        <v>1.6741666666666667E-3</v>
      </c>
      <c r="P25" s="111">
        <f>Table11234579[[#This Row],[M (KN.mm)]]/(Table11234579[[#This Row],[b (mm)]]*Table11234579[[#This Row],[d (mm)]]*Table11234579[[#This Row],[L(mm)]])</f>
        <v>1.80990990990991E-3</v>
      </c>
      <c r="Q25" s="111">
        <f>Table11234579[[#This Row],[M (KN.mm)]]/(Table11234579[[#This Row],[b (mm)]]*Table11234579[[#This Row],[h (mm)]]*Table11234579[[#This Row],[L(mm)]]*Table11234579[[#This Row],[fc (Mpa)]])</f>
        <v>4.2927350427350424E-5</v>
      </c>
      <c r="R25" s="111">
        <f>Table11234579[[#This Row],[M (KN.mm)]]/(Table11234579[[#This Row],[b (mm)]]*Table11234579[[#This Row],[h (mm)]]*Table11234579[[#This Row],[L(mm)]]/2)</f>
        <v>3.3483333333333334E-3</v>
      </c>
      <c r="S25" s="111">
        <f>Table11234579[[#This Row],[M (KN.mm)]]/(Table11234579[[#This Row],[a (mm)]]*Table11234579[[#This Row],[b (mm)]]*Table11234579[[#This Row],[h (mm)]]*Table11234579[[#This Row],[L(mm)]]/2)</f>
        <v>2.2322222222222224E-6</v>
      </c>
      <c r="T25" s="111">
        <f>Table11234579[[#This Row],[M (KN.mm)]]/(Table11234579[[#This Row],[a (mm)]]^2*Table11234579[[#This Row],[b (mm)]]*Table11234579[[#This Row],[h (mm)]])</f>
        <v>2.2322222222222224E-6</v>
      </c>
      <c r="U25" s="111">
        <f>Table11234579[[#This Row],[M (KN.mm)]]/(Table11234579[[#This Row],[b (mm)]]*Table11234579[[#This Row],[d (mm)]]*Table11234579[[#This Row],[pho (%)]])</f>
        <v>5.5405405405405403</v>
      </c>
      <c r="V25" s="111">
        <f>E25*224.8/(2*SQRT(Table11234579[[#This Row],[fc (Mpa)]]*145.037)*Table11234579[[#This Row],[b (mm)]]*Table11234579[[#This Row],[d (mm)]]*(1/25.4)^2)</f>
        <v>3.4901893626745792</v>
      </c>
      <c r="W25" s="111">
        <f>Table11234579[[#This Row],[M (KN.mm)]]/$G$26</f>
        <v>0.90699774266365685</v>
      </c>
      <c r="X25" s="111">
        <f>Table11234579[[#This Row],[V/(2*sqrt(fc) bd)]]</f>
        <v>3.4901893626745792</v>
      </c>
      <c r="Y25" s="111">
        <f>2*SQRT(Table11234579[[#This Row],[fc (Mpa)]]*145.037)/Table11234579[[#This Row],[pho (%)]]*Table11234579[[#This Row],[L(mm)]]/4*1/(224.8*25.4^2)</f>
        <v>0.79373064965947149</v>
      </c>
      <c r="Z25" s="111">
        <v>1500</v>
      </c>
      <c r="AA25" s="111">
        <v>925</v>
      </c>
      <c r="AB25" s="111">
        <v>1000</v>
      </c>
      <c r="AC25" s="111">
        <v>300</v>
      </c>
      <c r="AD25" s="7">
        <v>39</v>
      </c>
      <c r="AE25" s="111">
        <f>Table11234579[[#This Row],[pho (%)]]*Table11234579[[#This Row],[b (mm)]]*Table11234579[[#This Row],[h (mm)]]/100</f>
        <v>2940</v>
      </c>
      <c r="AF25" s="160">
        <f t="shared" si="4"/>
        <v>0.98</v>
      </c>
      <c r="AG25" s="160">
        <v>525</v>
      </c>
      <c r="AH25" s="111">
        <f>(1/3-0.21*(MIN(Table11234579[[#This Row],[b (mm)]],AB25)/MAX(Table11234579[[#This Row],[b (mm)]],AB25))*(MIN(Table11234579[[#This Row],[b (mm)]],AB25)^4/(12*MAX(Table11234579[[#This Row],[b (mm)]],AB25)^4)))*MAX(Table11234579[[#This Row],[b (mm)]],AB25)*MIN(Table11234579[[#This Row],[b (mm)]],AB25)^3</f>
        <v>8998851825</v>
      </c>
      <c r="AI25" s="111">
        <f>Table11234579[[#This Row],[b (mm)]]*AB25^3/12</f>
        <v>25000000000</v>
      </c>
      <c r="AJ25" s="111">
        <v>3000</v>
      </c>
      <c r="AK25" s="138"/>
      <c r="AL25" s="138"/>
      <c r="AM25" s="138"/>
      <c r="AN25" s="1"/>
    </row>
    <row r="26" spans="1:40" s="129" customFormat="1" x14ac:dyDescent="0.3">
      <c r="A26" s="164" t="s">
        <v>189</v>
      </c>
      <c r="B26" s="281" t="s">
        <v>142</v>
      </c>
      <c r="C26" s="281">
        <v>25</v>
      </c>
      <c r="D26" s="275">
        <f>Table11234579[[#This Row],[a (mm)]]/Table11234579[[#This Row],[d (mm)]]</f>
        <v>1.6216216216216217</v>
      </c>
      <c r="E26" s="282">
        <f>2215/2</f>
        <v>1107.5</v>
      </c>
      <c r="F26" s="137">
        <f>Table11234579[[#This Row],[d (mm)]]</f>
        <v>925</v>
      </c>
      <c r="G26" s="111">
        <f t="shared" si="5"/>
        <v>1661250</v>
      </c>
      <c r="H26" s="111">
        <f t="shared" si="0"/>
        <v>2.5230874495210741E-6</v>
      </c>
      <c r="I26" s="111">
        <f>G26/(Table11234579[[#This Row],[b (mm)]]*AA26^2)</f>
        <v>6.4718772826880934E-3</v>
      </c>
      <c r="J26" s="111">
        <f t="shared" si="1"/>
        <v>1.1635542247787145</v>
      </c>
      <c r="K26" s="111">
        <f t="shared" si="2"/>
        <v>3.9194667634104173E-6</v>
      </c>
      <c r="L26" s="111">
        <f>E26/(Table11234579[[#This Row],[b (mm)]]*AA26)</f>
        <v>3.9909909909909913E-3</v>
      </c>
      <c r="M26" s="111">
        <f>Table11234579[[#This Row],[M (KN.mm)]]/(Table11234579[[#This Row],[b (mm)]]*Table11234579[[#This Row],[d (mm)]])</f>
        <v>5.9864864864864868</v>
      </c>
      <c r="N26" s="111">
        <f>Table11234579[[#This Row],[M (KN.mm)]]/(Table11234579[[#This Row],[b (mm)]]*Table11234579[[#This Row],[h (mm)]])</f>
        <v>5.5374999999999996</v>
      </c>
      <c r="O26" s="111">
        <f>Table11234579[[#This Row],[M (KN.mm)]]/(Table11234579[[#This Row],[b (mm)]]*Table11234579[[#This Row],[h (mm)]]*Table11234579[[#This Row],[L(mm)]])</f>
        <v>1.8458333333333334E-3</v>
      </c>
      <c r="P26" s="111">
        <f>Table11234579[[#This Row],[M (KN.mm)]]/(Table11234579[[#This Row],[b (mm)]]*Table11234579[[#This Row],[d (mm)]]*Table11234579[[#This Row],[L(mm)]])</f>
        <v>1.9954954954954957E-3</v>
      </c>
      <c r="Q26" s="111">
        <f>Table11234579[[#This Row],[M (KN.mm)]]/(Table11234579[[#This Row],[b (mm)]]*Table11234579[[#This Row],[h (mm)]]*Table11234579[[#This Row],[L(mm)]]*Table11234579[[#This Row],[fc (Mpa)]])</f>
        <v>4.7329059829059831E-5</v>
      </c>
      <c r="R26" s="111">
        <f>Table11234579[[#This Row],[M (KN.mm)]]/(Table11234579[[#This Row],[b (mm)]]*Table11234579[[#This Row],[h (mm)]]*Table11234579[[#This Row],[L(mm)]]/2)</f>
        <v>3.6916666666666669E-3</v>
      </c>
      <c r="S26" s="111">
        <f>Table11234579[[#This Row],[M (KN.mm)]]/(Table11234579[[#This Row],[a (mm)]]*Table11234579[[#This Row],[b (mm)]]*Table11234579[[#This Row],[h (mm)]]*Table11234579[[#This Row],[L(mm)]]/2)</f>
        <v>2.461111111111111E-6</v>
      </c>
      <c r="T26" s="111">
        <f>Table11234579[[#This Row],[M (KN.mm)]]/(Table11234579[[#This Row],[a (mm)]]^2*Table11234579[[#This Row],[b (mm)]]*Table11234579[[#This Row],[h (mm)]])</f>
        <v>2.461111111111111E-6</v>
      </c>
      <c r="U26" s="111">
        <f>Table11234579[[#This Row],[M (KN.mm)]]/(Table11234579[[#This Row],[b (mm)]]*Table11234579[[#This Row],[d (mm)]]*Table11234579[[#This Row],[pho (%)]])</f>
        <v>6.1086596800882518</v>
      </c>
      <c r="V26" s="111">
        <f>E26*224.8/(2*SQRT(Table11234579[[#This Row],[fc (Mpa)]]*145.037)*Table11234579[[#This Row],[b (mm)]]*Table11234579[[#This Row],[d (mm)]]*(1/25.4)^2)</f>
        <v>3.8480684113111963</v>
      </c>
      <c r="W26" s="111">
        <f>Table11234579[[#This Row],[M (KN.mm)]]/$G$26</f>
        <v>1</v>
      </c>
      <c r="X26" s="111">
        <f>Table11234579[[#This Row],[V/(2*sqrt(fc) bd)]]</f>
        <v>3.8480684113111963</v>
      </c>
      <c r="Y26" s="111">
        <f>2*SQRT(Table11234579[[#This Row],[fc (Mpa)]]*145.037)/Table11234579[[#This Row],[pho (%)]]*Table11234579[[#This Row],[L(mm)]]/4*1/(224.8*25.4^2)</f>
        <v>0.79373064965947149</v>
      </c>
      <c r="Z26" s="111">
        <v>1500</v>
      </c>
      <c r="AA26" s="111">
        <v>925</v>
      </c>
      <c r="AB26" s="111">
        <v>1000</v>
      </c>
      <c r="AC26" s="111">
        <v>300</v>
      </c>
      <c r="AD26" s="7">
        <v>39</v>
      </c>
      <c r="AE26" s="111">
        <f>Table11234579[[#This Row],[pho (%)]]*Table11234579[[#This Row],[b (mm)]]*Table11234579[[#This Row],[h (mm)]]/100</f>
        <v>2940</v>
      </c>
      <c r="AF26" s="160">
        <f t="shared" si="4"/>
        <v>0.98</v>
      </c>
      <c r="AG26" s="160">
        <v>525</v>
      </c>
      <c r="AH26" s="111">
        <f>(1/3-0.21*(MIN(Table11234579[[#This Row],[b (mm)]],AB26)/MAX(Table11234579[[#This Row],[b (mm)]],AB26))*(MIN(Table11234579[[#This Row],[b (mm)]],AB26)^4/(12*MAX(Table11234579[[#This Row],[b (mm)]],AB26)^4)))*MAX(Table11234579[[#This Row],[b (mm)]],AB26)*MIN(Table11234579[[#This Row],[b (mm)]],AB26)^3</f>
        <v>8998851825</v>
      </c>
      <c r="AI26" s="111">
        <f>Table11234579[[#This Row],[b (mm)]]*AB26^3/12</f>
        <v>25000000000</v>
      </c>
      <c r="AJ26" s="111">
        <v>3000</v>
      </c>
      <c r="AK26" s="138"/>
      <c r="AL26" s="138"/>
      <c r="AM26" s="138"/>
      <c r="AN26" s="1"/>
    </row>
    <row r="27" spans="1:40" s="129" customFormat="1" x14ac:dyDescent="0.3">
      <c r="A27" s="150" t="s">
        <v>190</v>
      </c>
      <c r="B27" s="283">
        <v>1</v>
      </c>
      <c r="C27" s="283">
        <v>26</v>
      </c>
      <c r="D27" s="275">
        <f>Table11234579[[#This Row],[a (mm)]]/Table11234579[[#This Row],[d (mm)]]</f>
        <v>2.5945945945945947</v>
      </c>
      <c r="E27" s="284">
        <f>450.9/2</f>
        <v>225.45</v>
      </c>
      <c r="F27" s="137">
        <f>Table11234579[[#This Row],[d (mm)]]</f>
        <v>925</v>
      </c>
      <c r="G27" s="111">
        <f t="shared" si="5"/>
        <v>541080</v>
      </c>
      <c r="H27" s="111">
        <f t="shared" si="0"/>
        <v>8.2178609913430415E-7</v>
      </c>
      <c r="I27" s="111">
        <f>G27/(Table11234579[[#This Row],[b (mm)]]*AA27^2)</f>
        <v>2.1079327976625275E-3</v>
      </c>
      <c r="J27" s="111">
        <f t="shared" si="1"/>
        <v>0.37897722795681982</v>
      </c>
      <c r="K27" s="111">
        <f t="shared" si="2"/>
        <v>7.9787248921975482E-7</v>
      </c>
      <c r="L27" s="111">
        <f>E27/(Table11234579[[#This Row],[b (mm)]]*AA27)</f>
        <v>8.1243243243243239E-4</v>
      </c>
      <c r="M27" s="111">
        <f>Table11234579[[#This Row],[M (KN.mm)]]/(Table11234579[[#This Row],[b (mm)]]*Table11234579[[#This Row],[d (mm)]])</f>
        <v>1.9498378378378378</v>
      </c>
      <c r="N27" s="111">
        <f>Table11234579[[#This Row],[M (KN.mm)]]/(Table11234579[[#This Row],[b (mm)]]*Table11234579[[#This Row],[h (mm)]])</f>
        <v>1.8036000000000001</v>
      </c>
      <c r="O27" s="111">
        <f>Table11234579[[#This Row],[M (KN.mm)]]/(Table11234579[[#This Row],[b (mm)]]*Table11234579[[#This Row],[h (mm)]]*Table11234579[[#This Row],[L(mm)]])</f>
        <v>3.7575E-4</v>
      </c>
      <c r="P27" s="111">
        <f>Table11234579[[#This Row],[M (KN.mm)]]/(Table11234579[[#This Row],[b (mm)]]*Table11234579[[#This Row],[d (mm)]]*Table11234579[[#This Row],[L(mm)]])</f>
        <v>4.062162162162162E-4</v>
      </c>
      <c r="Q27" s="111">
        <f>Table11234579[[#This Row],[M (KN.mm)]]/(Table11234579[[#This Row],[b (mm)]]*Table11234579[[#This Row],[h (mm)]]*Table11234579[[#This Row],[L(mm)]]*Table11234579[[#This Row],[fc (Mpa)]])</f>
        <v>8.3499999999999997E-6</v>
      </c>
      <c r="R27" s="111">
        <f>Table11234579[[#This Row],[M (KN.mm)]]/(Table11234579[[#This Row],[b (mm)]]*Table11234579[[#This Row],[h (mm)]]*Table11234579[[#This Row],[L(mm)]]/2)</f>
        <v>7.515E-4</v>
      </c>
      <c r="S27" s="111">
        <f>Table11234579[[#This Row],[M (KN.mm)]]/(Table11234579[[#This Row],[a (mm)]]*Table11234579[[#This Row],[b (mm)]]*Table11234579[[#This Row],[h (mm)]]*Table11234579[[#This Row],[L(mm)]]/2)</f>
        <v>3.1312500000000002E-7</v>
      </c>
      <c r="T27" s="111">
        <f>Table11234579[[#This Row],[M (KN.mm)]]/(Table11234579[[#This Row],[a (mm)]]^2*Table11234579[[#This Row],[b (mm)]]*Table11234579[[#This Row],[h (mm)]])</f>
        <v>3.1312500000000002E-7</v>
      </c>
      <c r="U27" s="111">
        <f>Table11234579[[#This Row],[M (KN.mm)]]/(Table11234579[[#This Row],[b (mm)]]*Table11234579[[#This Row],[d (mm)]]*Table11234579[[#This Row],[pho (%)]])</f>
        <v>1.9896304467733039</v>
      </c>
      <c r="V27" s="111">
        <f>E27*224.8/(2*SQRT(Table11234579[[#This Row],[fc (Mpa)]]*145.037)*Table11234579[[#This Row],[b (mm)]]*Table11234579[[#This Row],[d (mm)]]*(1/25.4)^2)</f>
        <v>0.7292481494681029</v>
      </c>
      <c r="W27" s="111">
        <f>Table11234579[[#This Row],[M (KN.mm)]]/$G$34</f>
        <v>0.27277676950998186</v>
      </c>
      <c r="X27" s="111">
        <f>Table11234579[[#This Row],[V/(2*sqrt(fc) bd)]]</f>
        <v>0.7292481494681029</v>
      </c>
      <c r="Y27" s="111">
        <f>2*SQRT(Table11234579[[#This Row],[fc (Mpa)]]*145.037)/Table11234579[[#This Row],[pho (%)]]*Table11234579[[#This Row],[L(mm)]]/4*1/(224.8*25.4^2)</f>
        <v>1.3641655780851112</v>
      </c>
      <c r="Z27" s="111">
        <v>2400</v>
      </c>
      <c r="AA27" s="111">
        <v>925</v>
      </c>
      <c r="AB27" s="111">
        <v>1000</v>
      </c>
      <c r="AC27" s="111">
        <v>300</v>
      </c>
      <c r="AD27" s="7">
        <v>45</v>
      </c>
      <c r="AE27" s="111">
        <f>Table11234579[[#This Row],[pho (%)]]*Table11234579[[#This Row],[b (mm)]]*Table11234579[[#This Row],[h (mm)]]/100</f>
        <v>2940</v>
      </c>
      <c r="AF27" s="160">
        <f t="shared" si="4"/>
        <v>0.98</v>
      </c>
      <c r="AG27" s="160">
        <v>525</v>
      </c>
      <c r="AH27" s="111">
        <f>(1/3-0.21*(MIN(Table11234579[[#This Row],[b (mm)]],AB27)/MAX(Table11234579[[#This Row],[b (mm)]],AB27))*(MIN(Table11234579[[#This Row],[b (mm)]],AB27)^4/(12*MAX(Table11234579[[#This Row],[b (mm)]],AB27)^4)))*MAX(Table11234579[[#This Row],[b (mm)]],AB27)*MIN(Table11234579[[#This Row],[b (mm)]],AB27)^3</f>
        <v>8998851825</v>
      </c>
      <c r="AI27" s="111">
        <f>Table11234579[[#This Row],[b (mm)]]*AB27^3/12</f>
        <v>25000000000</v>
      </c>
      <c r="AJ27" s="111">
        <v>4800</v>
      </c>
      <c r="AK27" s="138"/>
      <c r="AL27" s="138"/>
      <c r="AM27" s="138"/>
      <c r="AN27" s="1"/>
    </row>
    <row r="28" spans="1:40" s="129" customFormat="1" x14ac:dyDescent="0.3">
      <c r="A28" s="150" t="s">
        <v>190</v>
      </c>
      <c r="B28" s="283">
        <v>2</v>
      </c>
      <c r="C28" s="283">
        <v>27</v>
      </c>
      <c r="D28" s="275">
        <f>Table11234579[[#This Row],[a (mm)]]/Table11234579[[#This Row],[d (mm)]]</f>
        <v>2.5945945945945947</v>
      </c>
      <c r="E28" s="284">
        <f>534.1/2</f>
        <v>267.05</v>
      </c>
      <c r="F28" s="137">
        <f>Table11234579[[#This Row],[d (mm)]]</f>
        <v>925</v>
      </c>
      <c r="G28" s="111">
        <f t="shared" si="5"/>
        <v>640920</v>
      </c>
      <c r="H28" s="111">
        <f t="shared" si="0"/>
        <v>9.7342194621342166E-7</v>
      </c>
      <c r="I28" s="111">
        <f>G28/(Table11234579[[#This Row],[b (mm)]]*AA28^2)</f>
        <v>2.4968882395909422E-3</v>
      </c>
      <c r="J28" s="111">
        <f t="shared" si="1"/>
        <v>0.4489060489060489</v>
      </c>
      <c r="K28" s="111">
        <f t="shared" si="2"/>
        <v>9.4509580060383917E-7</v>
      </c>
      <c r="L28" s="111">
        <f>E28/(Table11234579[[#This Row],[b (mm)]]*AA28)</f>
        <v>9.6234234234234234E-4</v>
      </c>
      <c r="M28" s="111">
        <f>Table11234579[[#This Row],[M (KN.mm)]]/(Table11234579[[#This Row],[b (mm)]]*Table11234579[[#This Row],[d (mm)]])</f>
        <v>2.3096216216216217</v>
      </c>
      <c r="N28" s="111">
        <f>Table11234579[[#This Row],[M (KN.mm)]]/(Table11234579[[#This Row],[b (mm)]]*Table11234579[[#This Row],[h (mm)]])</f>
        <v>2.1364000000000001</v>
      </c>
      <c r="O28" s="111">
        <f>Table11234579[[#This Row],[M (KN.mm)]]/(Table11234579[[#This Row],[b (mm)]]*Table11234579[[#This Row],[h (mm)]]*Table11234579[[#This Row],[L(mm)]])</f>
        <v>4.4508333333333336E-4</v>
      </c>
      <c r="P28" s="111">
        <f>Table11234579[[#This Row],[M (KN.mm)]]/(Table11234579[[#This Row],[b (mm)]]*Table11234579[[#This Row],[d (mm)]]*Table11234579[[#This Row],[L(mm)]])</f>
        <v>4.8117117117117117E-4</v>
      </c>
      <c r="Q28" s="111">
        <f>Table11234579[[#This Row],[M (KN.mm)]]/(Table11234579[[#This Row],[b (mm)]]*Table11234579[[#This Row],[h (mm)]]*Table11234579[[#This Row],[L(mm)]]*Table11234579[[#This Row],[fc (Mpa)]])</f>
        <v>9.8907407407407405E-6</v>
      </c>
      <c r="R28" s="111">
        <f>Table11234579[[#This Row],[M (KN.mm)]]/(Table11234579[[#This Row],[b (mm)]]*Table11234579[[#This Row],[h (mm)]]*Table11234579[[#This Row],[L(mm)]]/2)</f>
        <v>8.9016666666666671E-4</v>
      </c>
      <c r="S28" s="111">
        <f>Table11234579[[#This Row],[M (KN.mm)]]/(Table11234579[[#This Row],[a (mm)]]*Table11234579[[#This Row],[b (mm)]]*Table11234579[[#This Row],[h (mm)]]*Table11234579[[#This Row],[L(mm)]]/2)</f>
        <v>3.7090277777777777E-7</v>
      </c>
      <c r="T28" s="111">
        <f>Table11234579[[#This Row],[M (KN.mm)]]/(Table11234579[[#This Row],[a (mm)]]^2*Table11234579[[#This Row],[b (mm)]]*Table11234579[[#This Row],[h (mm)]])</f>
        <v>3.7090277777777777E-7</v>
      </c>
      <c r="U28" s="111">
        <f>Table11234579[[#This Row],[M (KN.mm)]]/(Table11234579[[#This Row],[b (mm)]]*Table11234579[[#This Row],[d (mm)]]*Table11234579[[#This Row],[pho (%)]])</f>
        <v>2.3567567567567567</v>
      </c>
      <c r="V28" s="111">
        <f>E28*224.8/(2*SQRT(Table11234579[[#This Row],[fc (Mpa)]]*145.037)*Table11234579[[#This Row],[b (mm)]]*Table11234579[[#This Row],[d (mm)]]*(1/25.4)^2)</f>
        <v>0.86380890803041421</v>
      </c>
      <c r="W28" s="111">
        <f>Table11234579[[#This Row],[M (KN.mm)]]/$G$34</f>
        <v>0.32310949788263765</v>
      </c>
      <c r="X28" s="111">
        <f>Table11234579[[#This Row],[V/(2*sqrt(fc) bd)]]</f>
        <v>0.86380890803041421</v>
      </c>
      <c r="Y28" s="111">
        <f>2*SQRT(Table11234579[[#This Row],[fc (Mpa)]]*145.037)/Table11234579[[#This Row],[pho (%)]]*Table11234579[[#This Row],[L(mm)]]/4*1/(224.8*25.4^2)</f>
        <v>1.3641655780851112</v>
      </c>
      <c r="Z28" s="111">
        <v>2400</v>
      </c>
      <c r="AA28" s="111">
        <v>925</v>
      </c>
      <c r="AB28" s="111">
        <v>1000</v>
      </c>
      <c r="AC28" s="111">
        <v>300</v>
      </c>
      <c r="AD28" s="7">
        <v>45</v>
      </c>
      <c r="AE28" s="111">
        <f>Table11234579[[#This Row],[pho (%)]]*Table11234579[[#This Row],[b (mm)]]*Table11234579[[#This Row],[h (mm)]]/100</f>
        <v>2940</v>
      </c>
      <c r="AF28" s="160">
        <f t="shared" si="4"/>
        <v>0.98</v>
      </c>
      <c r="AG28" s="160">
        <v>525</v>
      </c>
      <c r="AH28" s="111">
        <f>(1/3-0.21*(MIN(Table11234579[[#This Row],[b (mm)]],AB28)/MAX(Table11234579[[#This Row],[b (mm)]],AB28))*(MIN(Table11234579[[#This Row],[b (mm)]],AB28)^4/(12*MAX(Table11234579[[#This Row],[b (mm)]],AB28)^4)))*MAX(Table11234579[[#This Row],[b (mm)]],AB28)*MIN(Table11234579[[#This Row],[b (mm)]],AB28)^3</f>
        <v>8998851825</v>
      </c>
      <c r="AI28" s="111">
        <f>Table11234579[[#This Row],[b (mm)]]*AB28^3/12</f>
        <v>25000000000</v>
      </c>
      <c r="AJ28" s="111">
        <v>4800</v>
      </c>
      <c r="AK28" s="138"/>
      <c r="AL28" s="138"/>
      <c r="AM28" s="138"/>
      <c r="AN28" s="1"/>
    </row>
    <row r="29" spans="1:40" s="129" customFormat="1" x14ac:dyDescent="0.3">
      <c r="A29" s="150" t="s">
        <v>190</v>
      </c>
      <c r="B29" s="283">
        <v>3</v>
      </c>
      <c r="C29" s="283">
        <v>28</v>
      </c>
      <c r="D29" s="275">
        <f>Table11234579[[#This Row],[a (mm)]]/Table11234579[[#This Row],[d (mm)]]</f>
        <v>2.5945945945945947</v>
      </c>
      <c r="E29" s="284">
        <f>586.2/2</f>
        <v>293.10000000000002</v>
      </c>
      <c r="F29" s="137">
        <f>Table11234579[[#This Row],[d (mm)]]</f>
        <v>925</v>
      </c>
      <c r="G29" s="111">
        <f t="shared" si="5"/>
        <v>703440</v>
      </c>
      <c r="H29" s="111">
        <f t="shared" si="0"/>
        <v>1.0683766052617634E-6</v>
      </c>
      <c r="I29" s="111">
        <f>G29/(Table11234579[[#This Row],[b (mm)]]*AA29^2)</f>
        <v>2.7404528853177501E-3</v>
      </c>
      <c r="J29" s="111">
        <f t="shared" si="1"/>
        <v>0.49269561106295801</v>
      </c>
      <c r="K29" s="111">
        <f t="shared" si="2"/>
        <v>1.0372873213143054E-6</v>
      </c>
      <c r="L29" s="111">
        <f>E29/(Table11234579[[#This Row],[b (mm)]]*AA29)</f>
        <v>1.0562162162162164E-3</v>
      </c>
      <c r="M29" s="111">
        <f>Table11234579[[#This Row],[M (KN.mm)]]/(Table11234579[[#This Row],[b (mm)]]*Table11234579[[#This Row],[d (mm)]])</f>
        <v>2.534918918918919</v>
      </c>
      <c r="N29" s="111">
        <f>Table11234579[[#This Row],[M (KN.mm)]]/(Table11234579[[#This Row],[b (mm)]]*Table11234579[[#This Row],[h (mm)]])</f>
        <v>2.3448000000000002</v>
      </c>
      <c r="O29" s="111">
        <f>Table11234579[[#This Row],[M (KN.mm)]]/(Table11234579[[#This Row],[b (mm)]]*Table11234579[[#This Row],[h (mm)]]*Table11234579[[#This Row],[L(mm)]])</f>
        <v>4.885E-4</v>
      </c>
      <c r="P29" s="111">
        <f>Table11234579[[#This Row],[M (KN.mm)]]/(Table11234579[[#This Row],[b (mm)]]*Table11234579[[#This Row],[d (mm)]]*Table11234579[[#This Row],[L(mm)]])</f>
        <v>5.2810810810810808E-4</v>
      </c>
      <c r="Q29" s="111">
        <f>Table11234579[[#This Row],[M (KN.mm)]]/(Table11234579[[#This Row],[b (mm)]]*Table11234579[[#This Row],[h (mm)]]*Table11234579[[#This Row],[L(mm)]]*Table11234579[[#This Row],[fc (Mpa)]])</f>
        <v>1.0855555555555556E-5</v>
      </c>
      <c r="R29" s="111">
        <f>Table11234579[[#This Row],[M (KN.mm)]]/(Table11234579[[#This Row],[b (mm)]]*Table11234579[[#This Row],[h (mm)]]*Table11234579[[#This Row],[L(mm)]]/2)</f>
        <v>9.77E-4</v>
      </c>
      <c r="S29" s="111">
        <f>Table11234579[[#This Row],[M (KN.mm)]]/(Table11234579[[#This Row],[a (mm)]]*Table11234579[[#This Row],[b (mm)]]*Table11234579[[#This Row],[h (mm)]]*Table11234579[[#This Row],[L(mm)]]/2)</f>
        <v>4.0708333333333334E-7</v>
      </c>
      <c r="T29" s="111">
        <f>Table11234579[[#This Row],[M (KN.mm)]]/(Table11234579[[#This Row],[a (mm)]]^2*Table11234579[[#This Row],[b (mm)]]*Table11234579[[#This Row],[h (mm)]])</f>
        <v>4.0708333333333334E-7</v>
      </c>
      <c r="U29" s="111">
        <f>Table11234579[[#This Row],[M (KN.mm)]]/(Table11234579[[#This Row],[b (mm)]]*Table11234579[[#This Row],[d (mm)]]*Table11234579[[#This Row],[pho (%)]])</f>
        <v>2.5866519580805294</v>
      </c>
      <c r="V29" s="111">
        <f>E29*224.8/(2*SQRT(Table11234579[[#This Row],[fc (Mpa)]]*145.037)*Table11234579[[#This Row],[b (mm)]]*Table11234579[[#This Row],[d (mm)]]*(1/25.4)^2)</f>
        <v>0.94807111381282305</v>
      </c>
      <c r="W29" s="111">
        <f>Table11234579[[#This Row],[M (KN.mm)]]/$G$34</f>
        <v>0.35462794918330309</v>
      </c>
      <c r="X29" s="111">
        <f>Table11234579[[#This Row],[V/(2*sqrt(fc) bd)]]</f>
        <v>0.94807111381282305</v>
      </c>
      <c r="Y29" s="111">
        <f>2*SQRT(Table11234579[[#This Row],[fc (Mpa)]]*145.037)/Table11234579[[#This Row],[pho (%)]]*Table11234579[[#This Row],[L(mm)]]/4*1/(224.8*25.4^2)</f>
        <v>1.3641655780851112</v>
      </c>
      <c r="Z29" s="111">
        <v>2400</v>
      </c>
      <c r="AA29" s="111">
        <v>925</v>
      </c>
      <c r="AB29" s="111">
        <v>1000</v>
      </c>
      <c r="AC29" s="111">
        <v>300</v>
      </c>
      <c r="AD29" s="7">
        <v>45</v>
      </c>
      <c r="AE29" s="111">
        <f>Table11234579[[#This Row],[pho (%)]]*Table11234579[[#This Row],[b (mm)]]*Table11234579[[#This Row],[h (mm)]]/100</f>
        <v>2940</v>
      </c>
      <c r="AF29" s="160">
        <f t="shared" si="4"/>
        <v>0.98</v>
      </c>
      <c r="AG29" s="160">
        <v>525</v>
      </c>
      <c r="AH29" s="111">
        <f>(1/3-0.21*(MIN(Table11234579[[#This Row],[b (mm)]],AB29)/MAX(Table11234579[[#This Row],[b (mm)]],AB29))*(MIN(Table11234579[[#This Row],[b (mm)]],AB29)^4/(12*MAX(Table11234579[[#This Row],[b (mm)]],AB29)^4)))*MAX(Table11234579[[#This Row],[b (mm)]],AB29)*MIN(Table11234579[[#This Row],[b (mm)]],AB29)^3</f>
        <v>8998851825</v>
      </c>
      <c r="AI29" s="111">
        <f>Table11234579[[#This Row],[b (mm)]]*AB29^3/12</f>
        <v>25000000000</v>
      </c>
      <c r="AJ29" s="111">
        <v>4800</v>
      </c>
      <c r="AK29" s="138"/>
      <c r="AL29" s="138"/>
      <c r="AM29" s="138"/>
      <c r="AN29" s="1"/>
    </row>
    <row r="30" spans="1:40" s="129" customFormat="1" x14ac:dyDescent="0.3">
      <c r="A30" s="150" t="s">
        <v>190</v>
      </c>
      <c r="B30" s="283">
        <v>4</v>
      </c>
      <c r="C30" s="283">
        <v>29</v>
      </c>
      <c r="D30" s="275">
        <f>Table11234579[[#This Row],[a (mm)]]/Table11234579[[#This Row],[d (mm)]]</f>
        <v>2.5945945945945947</v>
      </c>
      <c r="E30" s="284">
        <f>645.9/2</f>
        <v>322.95</v>
      </c>
      <c r="F30" s="137">
        <f>Table11234579[[#This Row],[d (mm)]]</f>
        <v>925</v>
      </c>
      <c r="G30" s="111">
        <f>E30*Z30</f>
        <v>775080</v>
      </c>
      <c r="H30" s="111">
        <f t="shared" si="0"/>
        <v>1.1771826157259859E-6</v>
      </c>
      <c r="I30" s="111">
        <f>G30/(Table11234579[[#This Row],[b (mm)]]*AA30^2)</f>
        <v>3.0195471146822498E-3</v>
      </c>
      <c r="J30" s="111">
        <f t="shared" si="1"/>
        <v>0.54287290205657557</v>
      </c>
      <c r="K30" s="111">
        <f>E30/($AM$4*AH30*0.001)</f>
        <v>1.1429271252762023E-6</v>
      </c>
      <c r="L30" s="111">
        <f>E30/(Table11234579[[#This Row],[b (mm)]]*AA30)</f>
        <v>1.1637837837837838E-3</v>
      </c>
      <c r="M30" s="111">
        <f>Table11234579[[#This Row],[M (KN.mm)]]/(Table11234579[[#This Row],[b (mm)]]*Table11234579[[#This Row],[d (mm)]])</f>
        <v>2.7930810810810809</v>
      </c>
      <c r="N30" s="111">
        <f>Table11234579[[#This Row],[M (KN.mm)]]/(Table11234579[[#This Row],[b (mm)]]*Table11234579[[#This Row],[h (mm)]])</f>
        <v>2.5836000000000001</v>
      </c>
      <c r="O30" s="111">
        <f>Table11234579[[#This Row],[M (KN.mm)]]/(Table11234579[[#This Row],[b (mm)]]*Table11234579[[#This Row],[h (mm)]]*Table11234579[[#This Row],[L(mm)]])</f>
        <v>5.3824999999999999E-4</v>
      </c>
      <c r="P30" s="111">
        <f>Table11234579[[#This Row],[M (KN.mm)]]/(Table11234579[[#This Row],[b (mm)]]*Table11234579[[#This Row],[d (mm)]]*Table11234579[[#This Row],[L(mm)]])</f>
        <v>5.818918918918919E-4</v>
      </c>
      <c r="Q30" s="111">
        <f>Table11234579[[#This Row],[M (KN.mm)]]/(Table11234579[[#This Row],[b (mm)]]*Table11234579[[#This Row],[h (mm)]]*Table11234579[[#This Row],[L(mm)]]*Table11234579[[#This Row],[fc (Mpa)]])</f>
        <v>1.196111111111111E-5</v>
      </c>
      <c r="R30" s="111">
        <f>Table11234579[[#This Row],[M (KN.mm)]]/(Table11234579[[#This Row],[b (mm)]]*Table11234579[[#This Row],[h (mm)]]*Table11234579[[#This Row],[L(mm)]]/2)</f>
        <v>1.0765E-3</v>
      </c>
      <c r="S30" s="111">
        <f>Table11234579[[#This Row],[M (KN.mm)]]/(Table11234579[[#This Row],[a (mm)]]*Table11234579[[#This Row],[b (mm)]]*Table11234579[[#This Row],[h (mm)]]*Table11234579[[#This Row],[L(mm)]]/2)</f>
        <v>4.4854166666666668E-7</v>
      </c>
      <c r="T30" s="111">
        <f>Table11234579[[#This Row],[M (KN.mm)]]/(Table11234579[[#This Row],[a (mm)]]^2*Table11234579[[#This Row],[b (mm)]]*Table11234579[[#This Row],[h (mm)]])</f>
        <v>4.4854166666666668E-7</v>
      </c>
      <c r="U30" s="111">
        <f>Table11234579[[#This Row],[M (KN.mm)]]/(Table11234579[[#This Row],[b (mm)]]*Table11234579[[#This Row],[d (mm)]]*Table11234579[[#This Row],[pho (%)]])</f>
        <v>2.8500827357970215</v>
      </c>
      <c r="V30" s="111">
        <f>E30*224.8/(2*SQRT(Table11234579[[#This Row],[fc (Mpa)]]*145.037)*Table11234579[[#This Row],[b (mm)]]*Table11234579[[#This Row],[d (mm)]]*(1/25.4)^2)</f>
        <v>1.04462492734852</v>
      </c>
      <c r="W30" s="111">
        <f>Table11234579[[#This Row],[M (KN.mm)]]/$G$34</f>
        <v>0.39074410163339385</v>
      </c>
      <c r="X30" s="111">
        <f>Table11234579[[#This Row],[V/(2*sqrt(fc) bd)]]</f>
        <v>1.04462492734852</v>
      </c>
      <c r="Y30" s="111">
        <f>2*SQRT(Table11234579[[#This Row],[fc (Mpa)]]*145.037)/Table11234579[[#This Row],[pho (%)]]*Table11234579[[#This Row],[L(mm)]]/4*1/(224.8*25.4^2)</f>
        <v>1.3641655780851112</v>
      </c>
      <c r="Z30" s="111">
        <v>2400</v>
      </c>
      <c r="AA30" s="111">
        <v>925</v>
      </c>
      <c r="AB30" s="111">
        <v>1000</v>
      </c>
      <c r="AC30" s="111">
        <v>300</v>
      </c>
      <c r="AD30" s="7">
        <v>45</v>
      </c>
      <c r="AE30" s="111">
        <f>Table11234579[[#This Row],[pho (%)]]*Table11234579[[#This Row],[b (mm)]]*Table11234579[[#This Row],[h (mm)]]/100</f>
        <v>2940</v>
      </c>
      <c r="AF30" s="160">
        <f t="shared" si="4"/>
        <v>0.98</v>
      </c>
      <c r="AG30" s="160">
        <v>525</v>
      </c>
      <c r="AH30" s="111">
        <f>(1/3-0.21*(MIN(Table11234579[[#This Row],[b (mm)]],AB30)/MAX(Table11234579[[#This Row],[b (mm)]],AB30))*(MIN(Table11234579[[#This Row],[b (mm)]],AB30)^4/(12*MAX(Table11234579[[#This Row],[b (mm)]],AB30)^4)))*MAX(Table11234579[[#This Row],[b (mm)]],AB30)*MIN(Table11234579[[#This Row],[b (mm)]],AB30)^3</f>
        <v>8998851825</v>
      </c>
      <c r="AI30" s="111">
        <f>Table11234579[[#This Row],[b (mm)]]*AB30^3/12</f>
        <v>25000000000</v>
      </c>
      <c r="AJ30" s="111">
        <v>4800</v>
      </c>
      <c r="AK30" s="138"/>
      <c r="AL30" s="138"/>
      <c r="AM30" s="138"/>
      <c r="AN30" s="1"/>
    </row>
    <row r="31" spans="1:40" x14ac:dyDescent="0.3">
      <c r="A31" s="150" t="s">
        <v>190</v>
      </c>
      <c r="B31" s="283">
        <v>5</v>
      </c>
      <c r="C31" s="283">
        <v>30</v>
      </c>
      <c r="D31" s="275">
        <f>Table11234579[[#This Row],[a (mm)]]/Table11234579[[#This Row],[d (mm)]]</f>
        <v>2.5945945945945947</v>
      </c>
      <c r="E31" s="284">
        <f>683/2</f>
        <v>341.5</v>
      </c>
      <c r="F31" s="137">
        <f>Table11234579[[#This Row],[d (mm)]]</f>
        <v>925</v>
      </c>
      <c r="G31" s="111">
        <f>E31*Z31</f>
        <v>819600</v>
      </c>
      <c r="H31" s="111">
        <f t="shared" si="0"/>
        <v>1.2447990811903521E-6</v>
      </c>
      <c r="I31" s="111">
        <f>G31/(Table11234579[[#This Row],[b (mm)]]*AA31^2)</f>
        <v>3.1929875821767712E-3</v>
      </c>
      <c r="J31" s="111">
        <f t="shared" si="1"/>
        <v>0.57405510466734955</v>
      </c>
      <c r="K31" s="111">
        <f>E31/($AM$4*AH31*0.001)</f>
        <v>1.2085759816746342E-6</v>
      </c>
      <c r="L31" s="111">
        <f>E31/(Table11234579[[#This Row],[b (mm)]]*AA31)</f>
        <v>1.2306306306306305E-3</v>
      </c>
      <c r="M31" s="111">
        <f>Table11234579[[#This Row],[M (KN.mm)]]/(Table11234579[[#This Row],[b (mm)]]*Table11234579[[#This Row],[d (mm)]])</f>
        <v>2.9535135135135135</v>
      </c>
      <c r="N31" s="111">
        <f>Table11234579[[#This Row],[M (KN.mm)]]/(Table11234579[[#This Row],[b (mm)]]*Table11234579[[#This Row],[h (mm)]])</f>
        <v>2.7320000000000002</v>
      </c>
      <c r="O31" s="111">
        <f>Table11234579[[#This Row],[M (KN.mm)]]/(Table11234579[[#This Row],[b (mm)]]*Table11234579[[#This Row],[h (mm)]]*Table11234579[[#This Row],[L(mm)]])</f>
        <v>5.6916666666666671E-4</v>
      </c>
      <c r="P31" s="111">
        <f>Table11234579[[#This Row],[M (KN.mm)]]/(Table11234579[[#This Row],[b (mm)]]*Table11234579[[#This Row],[d (mm)]]*Table11234579[[#This Row],[L(mm)]])</f>
        <v>6.1531531531531527E-4</v>
      </c>
      <c r="Q31" s="111">
        <f>Table11234579[[#This Row],[M (KN.mm)]]/(Table11234579[[#This Row],[b (mm)]]*Table11234579[[#This Row],[h (mm)]]*Table11234579[[#This Row],[L(mm)]]*Table11234579[[#This Row],[fc (Mpa)]])</f>
        <v>1.2648148148148148E-5</v>
      </c>
      <c r="R31" s="111">
        <f>Table11234579[[#This Row],[M (KN.mm)]]/(Table11234579[[#This Row],[b (mm)]]*Table11234579[[#This Row],[h (mm)]]*Table11234579[[#This Row],[L(mm)]]/2)</f>
        <v>1.1383333333333334E-3</v>
      </c>
      <c r="S31" s="111">
        <f>Table11234579[[#This Row],[M (KN.mm)]]/(Table11234579[[#This Row],[a (mm)]]*Table11234579[[#This Row],[b (mm)]]*Table11234579[[#This Row],[h (mm)]]*Table11234579[[#This Row],[L(mm)]]/2)</f>
        <v>4.7430555555555556E-7</v>
      </c>
      <c r="T31" s="111">
        <f>Table11234579[[#This Row],[M (KN.mm)]]/(Table11234579[[#This Row],[a (mm)]]^2*Table11234579[[#This Row],[b (mm)]]*Table11234579[[#This Row],[h (mm)]])</f>
        <v>4.7430555555555556E-7</v>
      </c>
      <c r="U31" s="111">
        <f>Table11234579[[#This Row],[M (KN.mm)]]/(Table11234579[[#This Row],[b (mm)]]*Table11234579[[#This Row],[d (mm)]]*Table11234579[[#This Row],[pho (%)]])</f>
        <v>3.0137892995035851</v>
      </c>
      <c r="V31" s="111">
        <f>E31*224.8/(2*SQRT(Table11234579[[#This Row],[fc (Mpa)]]*145.037)*Table11234579[[#This Row],[b (mm)]]*Table11234579[[#This Row],[d (mm)]]*(1/25.4)^2)</f>
        <v>1.1046273809862812</v>
      </c>
      <c r="W31" s="111">
        <f>Table11234579[[#This Row],[M (KN.mm)]]/$G$34</f>
        <v>0.41318814277071991</v>
      </c>
      <c r="X31" s="111">
        <f>Table11234579[[#This Row],[V/(2*sqrt(fc) bd)]]</f>
        <v>1.1046273809862812</v>
      </c>
      <c r="Y31" s="111">
        <f>2*SQRT(Table11234579[[#This Row],[fc (Mpa)]]*145.037)/Table11234579[[#This Row],[pho (%)]]*Table11234579[[#This Row],[L(mm)]]/4*1/(224.8*25.4^2)</f>
        <v>1.3641655780851112</v>
      </c>
      <c r="Z31" s="111">
        <v>2400</v>
      </c>
      <c r="AA31" s="111">
        <v>925</v>
      </c>
      <c r="AB31" s="111">
        <v>1000</v>
      </c>
      <c r="AC31" s="111">
        <v>300</v>
      </c>
      <c r="AD31" s="7">
        <v>45</v>
      </c>
      <c r="AE31" s="111">
        <f>Table11234579[[#This Row],[pho (%)]]*Table11234579[[#This Row],[b (mm)]]*Table11234579[[#This Row],[h (mm)]]/100</f>
        <v>2940</v>
      </c>
      <c r="AF31" s="160">
        <f t="shared" si="4"/>
        <v>0.98</v>
      </c>
      <c r="AG31" s="160">
        <v>525</v>
      </c>
      <c r="AH31" s="111">
        <f>(1/3-0.21*(MIN(Table11234579[[#This Row],[b (mm)]],AB31)/MAX(Table11234579[[#This Row],[b (mm)]],AB31))*(MIN(Table11234579[[#This Row],[b (mm)]],AB31)^4/(12*MAX(Table11234579[[#This Row],[b (mm)]],AB31)^4)))*MAX(Table11234579[[#This Row],[b (mm)]],AB31)*MIN(Table11234579[[#This Row],[b (mm)]],AB31)^3</f>
        <v>8998851825</v>
      </c>
      <c r="AI31" s="111">
        <f>Table11234579[[#This Row],[b (mm)]]*AB31^3/12</f>
        <v>25000000000</v>
      </c>
      <c r="AJ31" s="111">
        <v>4800</v>
      </c>
      <c r="AK31" s="1"/>
      <c r="AL31" s="1"/>
    </row>
    <row r="32" spans="1:40" x14ac:dyDescent="0.3">
      <c r="A32" s="150" t="s">
        <v>190</v>
      </c>
      <c r="B32" s="283">
        <v>6</v>
      </c>
      <c r="C32" s="283">
        <v>31</v>
      </c>
      <c r="D32" s="275">
        <f>Table11234579[[#This Row],[a (mm)]]/Table11234579[[#This Row],[d (mm)]]</f>
        <v>2.5945945945945947</v>
      </c>
      <c r="E32" s="284">
        <f>794/2</f>
        <v>397</v>
      </c>
      <c r="F32" s="137">
        <f>Table11234579[[#This Row],[d (mm)]]</f>
        <v>925</v>
      </c>
      <c r="G32" s="111">
        <f t="shared" si="5"/>
        <v>952800</v>
      </c>
      <c r="H32" s="111">
        <f t="shared" si="0"/>
        <v>1.4471017137117709E-6</v>
      </c>
      <c r="I32" s="111">
        <f>G32/(Table11234579[[#This Row],[b (mm)]]*AA32^2)</f>
        <v>3.7119065010956902E-3</v>
      </c>
      <c r="J32" s="111">
        <f t="shared" si="1"/>
        <v>0.667349565308749</v>
      </c>
      <c r="K32" s="111">
        <f t="shared" si="2"/>
        <v>1.4049916975836891E-6</v>
      </c>
      <c r="L32" s="111">
        <f>E32/(Table11234579[[#This Row],[b (mm)]]*AA32)</f>
        <v>1.4306306306306306E-3</v>
      </c>
      <c r="M32" s="111">
        <f>Table11234579[[#This Row],[M (KN.mm)]]/(Table11234579[[#This Row],[b (mm)]]*Table11234579[[#This Row],[d (mm)]])</f>
        <v>3.4335135135135135</v>
      </c>
      <c r="N32" s="111">
        <f>Table11234579[[#This Row],[M (KN.mm)]]/(Table11234579[[#This Row],[b (mm)]]*Table11234579[[#This Row],[h (mm)]])</f>
        <v>3.1760000000000002</v>
      </c>
      <c r="O32" s="111">
        <f>Table11234579[[#This Row],[M (KN.mm)]]/(Table11234579[[#This Row],[b (mm)]]*Table11234579[[#This Row],[h (mm)]]*Table11234579[[#This Row],[L(mm)]])</f>
        <v>6.6166666666666663E-4</v>
      </c>
      <c r="P32" s="111">
        <f>Table11234579[[#This Row],[M (KN.mm)]]/(Table11234579[[#This Row],[b (mm)]]*Table11234579[[#This Row],[d (mm)]]*Table11234579[[#This Row],[L(mm)]])</f>
        <v>7.1531531531531531E-4</v>
      </c>
      <c r="Q32" s="111">
        <f>Table11234579[[#This Row],[M (KN.mm)]]/(Table11234579[[#This Row],[b (mm)]]*Table11234579[[#This Row],[h (mm)]]*Table11234579[[#This Row],[L(mm)]]*Table11234579[[#This Row],[fc (Mpa)]])</f>
        <v>1.4703703703703703E-5</v>
      </c>
      <c r="R32" s="111">
        <f>Table11234579[[#This Row],[M (KN.mm)]]/(Table11234579[[#This Row],[b (mm)]]*Table11234579[[#This Row],[h (mm)]]*Table11234579[[#This Row],[L(mm)]]/2)</f>
        <v>1.3233333333333333E-3</v>
      </c>
      <c r="S32" s="111">
        <f>Table11234579[[#This Row],[M (KN.mm)]]/(Table11234579[[#This Row],[a (mm)]]*Table11234579[[#This Row],[b (mm)]]*Table11234579[[#This Row],[h (mm)]]*Table11234579[[#This Row],[L(mm)]]/2)</f>
        <v>5.5138888888888893E-7</v>
      </c>
      <c r="T32" s="111">
        <f>Table11234579[[#This Row],[M (KN.mm)]]/(Table11234579[[#This Row],[a (mm)]]^2*Table11234579[[#This Row],[b (mm)]]*Table11234579[[#This Row],[h (mm)]])</f>
        <v>5.5138888888888893E-7</v>
      </c>
      <c r="U32" s="111">
        <f>Table11234579[[#This Row],[M (KN.mm)]]/(Table11234579[[#This Row],[b (mm)]]*Table11234579[[#This Row],[d (mm)]]*Table11234579[[#This Row],[pho (%)]])</f>
        <v>3.5035852178709321</v>
      </c>
      <c r="V32" s="111">
        <f>E32*224.8/(2*SQRT(Table11234579[[#This Row],[fc (Mpa)]]*145.037)*Table11234579[[#This Row],[b (mm)]]*Table11234579[[#This Row],[d (mm)]]*(1/25.4)^2)</f>
        <v>1.2841495468566726</v>
      </c>
      <c r="W32" s="111">
        <f>Table11234579[[#This Row],[M (KN.mm)]]/$G$34</f>
        <v>0.48033877797943136</v>
      </c>
      <c r="X32" s="111">
        <f>Table11234579[[#This Row],[V/(2*sqrt(fc) bd)]]</f>
        <v>1.2841495468566726</v>
      </c>
      <c r="Y32" s="111">
        <f>2*SQRT(Table11234579[[#This Row],[fc (Mpa)]]*145.037)/Table11234579[[#This Row],[pho (%)]]*Table11234579[[#This Row],[L(mm)]]/4*1/(224.8*25.4^2)</f>
        <v>1.3641655780851112</v>
      </c>
      <c r="Z32" s="111">
        <v>2400</v>
      </c>
      <c r="AA32" s="111">
        <v>925</v>
      </c>
      <c r="AB32" s="111">
        <v>1000</v>
      </c>
      <c r="AC32" s="111">
        <v>300</v>
      </c>
      <c r="AD32" s="7">
        <v>45</v>
      </c>
      <c r="AE32" s="111">
        <f>Table11234579[[#This Row],[pho (%)]]*Table11234579[[#This Row],[b (mm)]]*Table11234579[[#This Row],[h (mm)]]/100</f>
        <v>2940</v>
      </c>
      <c r="AF32" s="160">
        <f t="shared" si="4"/>
        <v>0.98</v>
      </c>
      <c r="AG32" s="160">
        <v>525</v>
      </c>
      <c r="AH32" s="111">
        <f>(1/3-0.21*(MIN(Table11234579[[#This Row],[b (mm)]],AB32)/MAX(Table11234579[[#This Row],[b (mm)]],AB32))*(MIN(Table11234579[[#This Row],[b (mm)]],AB32)^4/(12*MAX(Table11234579[[#This Row],[b (mm)]],AB32)^4)))*MAX(Table11234579[[#This Row],[b (mm)]],AB32)*MIN(Table11234579[[#This Row],[b (mm)]],AB32)^3</f>
        <v>8998851825</v>
      </c>
      <c r="AI32" s="111">
        <f>Table11234579[[#This Row],[b (mm)]]*AB32^3/12</f>
        <v>25000000000</v>
      </c>
      <c r="AJ32" s="111">
        <v>4800</v>
      </c>
      <c r="AK32" s="1"/>
      <c r="AL32" s="1"/>
    </row>
    <row r="33" spans="1:45" x14ac:dyDescent="0.3">
      <c r="A33" s="150" t="s">
        <v>190</v>
      </c>
      <c r="B33" s="283">
        <v>7</v>
      </c>
      <c r="C33" s="283">
        <v>32</v>
      </c>
      <c r="D33" s="275">
        <f>Table11234579[[#This Row],[a (mm)]]/Table11234579[[#This Row],[d (mm)]]</f>
        <v>2.5945945945945947</v>
      </c>
      <c r="E33" s="284">
        <f>1088/2</f>
        <v>544</v>
      </c>
      <c r="F33" s="137">
        <f>Table11234579[[#This Row],[d (mm)]]</f>
        <v>925</v>
      </c>
      <c r="G33" s="111">
        <f t="shared" si="5"/>
        <v>1305600</v>
      </c>
      <c r="H33" s="111">
        <f t="shared" si="0"/>
        <v>1.9829303079576911E-6</v>
      </c>
      <c r="I33" s="111">
        <f>G33/(Table11234579[[#This Row],[b (mm)]]*AA33^2)</f>
        <v>5.0863403944485025E-3</v>
      </c>
      <c r="J33" s="111">
        <f t="shared" si="1"/>
        <v>0.91445381241299606</v>
      </c>
      <c r="K33" s="111">
        <f t="shared" si="2"/>
        <v>1.9252279180995637E-6</v>
      </c>
      <c r="L33" s="111">
        <f>E33/(Table11234579[[#This Row],[b (mm)]]*AA33)</f>
        <v>1.9603603603603604E-3</v>
      </c>
      <c r="M33" s="111">
        <f>Table11234579[[#This Row],[M (KN.mm)]]/(Table11234579[[#This Row],[b (mm)]]*Table11234579[[#This Row],[d (mm)]])</f>
        <v>4.7048648648648648</v>
      </c>
      <c r="N33" s="111">
        <f>Table11234579[[#This Row],[M (KN.mm)]]/(Table11234579[[#This Row],[b (mm)]]*Table11234579[[#This Row],[h (mm)]])</f>
        <v>4.3520000000000003</v>
      </c>
      <c r="O33" s="111">
        <f>Table11234579[[#This Row],[M (KN.mm)]]/(Table11234579[[#This Row],[b (mm)]]*Table11234579[[#This Row],[h (mm)]]*Table11234579[[#This Row],[L(mm)]])</f>
        <v>9.0666666666666662E-4</v>
      </c>
      <c r="P33" s="111">
        <f>Table11234579[[#This Row],[M (KN.mm)]]/(Table11234579[[#This Row],[b (mm)]]*Table11234579[[#This Row],[d (mm)]]*Table11234579[[#This Row],[L(mm)]])</f>
        <v>9.8018018018018022E-4</v>
      </c>
      <c r="Q33" s="111">
        <f>Table11234579[[#This Row],[M (KN.mm)]]/(Table11234579[[#This Row],[b (mm)]]*Table11234579[[#This Row],[h (mm)]]*Table11234579[[#This Row],[L(mm)]]*Table11234579[[#This Row],[fc (Mpa)]])</f>
        <v>2.0148148148148149E-5</v>
      </c>
      <c r="R33" s="111">
        <f>Table11234579[[#This Row],[M (KN.mm)]]/(Table11234579[[#This Row],[b (mm)]]*Table11234579[[#This Row],[h (mm)]]*Table11234579[[#This Row],[L(mm)]]/2)</f>
        <v>1.8133333333333332E-3</v>
      </c>
      <c r="S33" s="111">
        <f>Table11234579[[#This Row],[M (KN.mm)]]/(Table11234579[[#This Row],[a (mm)]]*Table11234579[[#This Row],[b (mm)]]*Table11234579[[#This Row],[h (mm)]]*Table11234579[[#This Row],[L(mm)]]/2)</f>
        <v>7.5555555555555551E-7</v>
      </c>
      <c r="T33" s="111">
        <f>Table11234579[[#This Row],[M (KN.mm)]]/(Table11234579[[#This Row],[a (mm)]]^2*Table11234579[[#This Row],[b (mm)]]*Table11234579[[#This Row],[h (mm)]])</f>
        <v>7.5555555555555551E-7</v>
      </c>
      <c r="U33" s="111">
        <f>Table11234579[[#This Row],[M (KN.mm)]]/(Table11234579[[#This Row],[b (mm)]]*Table11234579[[#This Row],[d (mm)]]*Table11234579[[#This Row],[pho (%)]])</f>
        <v>4.8008825151682295</v>
      </c>
      <c r="V33" s="111">
        <f>E33*224.8/(2*SQRT(Table11234579[[#This Row],[fc (Mpa)]]*145.037)*Table11234579[[#This Row],[b (mm)]]*Table11234579[[#This Row],[d (mm)]]*(1/25.4)^2)</f>
        <v>1.7596406888917631</v>
      </c>
      <c r="W33" s="111">
        <f>Table11234579[[#This Row],[M (KN.mm)]]/$G$34</f>
        <v>0.6581972171808832</v>
      </c>
      <c r="X33" s="111">
        <f>Table11234579[[#This Row],[V/(2*sqrt(fc) bd)]]</f>
        <v>1.7596406888917631</v>
      </c>
      <c r="Y33" s="111">
        <f>2*SQRT(Table11234579[[#This Row],[fc (Mpa)]]*145.037)/Table11234579[[#This Row],[pho (%)]]*Table11234579[[#This Row],[L(mm)]]/4*1/(224.8*25.4^2)</f>
        <v>1.3641655780851112</v>
      </c>
      <c r="Z33" s="111">
        <v>2400</v>
      </c>
      <c r="AA33" s="111">
        <v>925</v>
      </c>
      <c r="AB33" s="111">
        <v>1000</v>
      </c>
      <c r="AC33" s="111">
        <v>300</v>
      </c>
      <c r="AD33" s="7">
        <v>45</v>
      </c>
      <c r="AE33" s="111">
        <f>Table11234579[[#This Row],[pho (%)]]*Table11234579[[#This Row],[b (mm)]]*Table11234579[[#This Row],[h (mm)]]/100</f>
        <v>2940</v>
      </c>
      <c r="AF33" s="160">
        <f t="shared" si="4"/>
        <v>0.98</v>
      </c>
      <c r="AG33" s="160">
        <v>525</v>
      </c>
      <c r="AH33" s="111">
        <f>(1/3-0.21*(MIN(Table11234579[[#This Row],[b (mm)]],AB33)/MAX(Table11234579[[#This Row],[b (mm)]],AB33))*(MIN(Table11234579[[#This Row],[b (mm)]],AB33)^4/(12*MAX(Table11234579[[#This Row],[b (mm)]],AB33)^4)))*MAX(Table11234579[[#This Row],[b (mm)]],AB33)*MIN(Table11234579[[#This Row],[b (mm)]],AB33)^3</f>
        <v>8998851825</v>
      </c>
      <c r="AI33" s="111">
        <f>Table11234579[[#This Row],[b (mm)]]*AB33^3/12</f>
        <v>25000000000</v>
      </c>
      <c r="AJ33" s="111">
        <v>4800</v>
      </c>
      <c r="AK33" s="1"/>
      <c r="AL33" s="1"/>
    </row>
    <row r="34" spans="1:45" x14ac:dyDescent="0.3">
      <c r="A34" s="150" t="s">
        <v>190</v>
      </c>
      <c r="B34" s="283" t="s">
        <v>142</v>
      </c>
      <c r="C34" s="283">
        <v>33</v>
      </c>
      <c r="D34" s="275">
        <f>Table11234579[[#This Row],[a (mm)]]/Table11234579[[#This Row],[d (mm)]]</f>
        <v>2.5945945945945947</v>
      </c>
      <c r="E34" s="284">
        <f>1653/2</f>
        <v>826.5</v>
      </c>
      <c r="F34" s="137">
        <f>Table11234579[[#This Row],[d (mm)]]</f>
        <v>925</v>
      </c>
      <c r="G34" s="111">
        <f t="shared" si="5"/>
        <v>1983600</v>
      </c>
      <c r="H34" s="111">
        <f t="shared" si="0"/>
        <v>3.0126689329541025E-6</v>
      </c>
      <c r="I34" s="111">
        <f>G34/(Table11234579[[#This Row],[b (mm)]]*AA34^2)</f>
        <v>7.7276844411979543E-3</v>
      </c>
      <c r="J34" s="111">
        <f t="shared" si="1"/>
        <v>1.3893310219840833</v>
      </c>
      <c r="K34" s="111">
        <f t="shared" si="2"/>
        <v>2.9250016071861939E-6</v>
      </c>
      <c r="L34" s="111">
        <f>E34/(Table11234579[[#This Row],[b (mm)]]*AA34)</f>
        <v>2.9783783783783784E-3</v>
      </c>
      <c r="M34" s="111">
        <f>Table11234579[[#This Row],[M (KN.mm)]]/(Table11234579[[#This Row],[b (mm)]]*Table11234579[[#This Row],[d (mm)]])</f>
        <v>7.1481081081081079</v>
      </c>
      <c r="N34" s="111">
        <f>Table11234579[[#This Row],[M (KN.mm)]]/(Table11234579[[#This Row],[b (mm)]]*Table11234579[[#This Row],[h (mm)]])</f>
        <v>6.6120000000000001</v>
      </c>
      <c r="O34" s="111">
        <f>Table11234579[[#This Row],[M (KN.mm)]]/(Table11234579[[#This Row],[b (mm)]]*Table11234579[[#This Row],[h (mm)]]*Table11234579[[#This Row],[L(mm)]])</f>
        <v>1.3775E-3</v>
      </c>
      <c r="P34" s="111">
        <f>Table11234579[[#This Row],[M (KN.mm)]]/(Table11234579[[#This Row],[b (mm)]]*Table11234579[[#This Row],[d (mm)]]*Table11234579[[#This Row],[L(mm)]])</f>
        <v>1.4891891891891892E-3</v>
      </c>
      <c r="Q34" s="111">
        <f>Table11234579[[#This Row],[M (KN.mm)]]/(Table11234579[[#This Row],[b (mm)]]*Table11234579[[#This Row],[h (mm)]]*Table11234579[[#This Row],[L(mm)]]*Table11234579[[#This Row],[fc (Mpa)]])</f>
        <v>3.0611111111111111E-5</v>
      </c>
      <c r="R34" s="111">
        <f>Table11234579[[#This Row],[M (KN.mm)]]/(Table11234579[[#This Row],[b (mm)]]*Table11234579[[#This Row],[h (mm)]]*Table11234579[[#This Row],[L(mm)]]/2)</f>
        <v>2.7550000000000001E-3</v>
      </c>
      <c r="S34" s="111">
        <f>Table11234579[[#This Row],[M (KN.mm)]]/(Table11234579[[#This Row],[a (mm)]]*Table11234579[[#This Row],[b (mm)]]*Table11234579[[#This Row],[h (mm)]]*Table11234579[[#This Row],[L(mm)]]/2)</f>
        <v>1.1479166666666668E-6</v>
      </c>
      <c r="T34" s="111">
        <f>Table11234579[[#This Row],[M (KN.mm)]]/(Table11234579[[#This Row],[a (mm)]]^2*Table11234579[[#This Row],[b (mm)]]*Table11234579[[#This Row],[h (mm)]])</f>
        <v>1.1479166666666668E-6</v>
      </c>
      <c r="U34" s="111">
        <f>Table11234579[[#This Row],[M (KN.mm)]]/(Table11234579[[#This Row],[b (mm)]]*Table11234579[[#This Row],[d (mm)]]*Table11234579[[#This Row],[pho (%)]])</f>
        <v>7.2939878654164367</v>
      </c>
      <c r="V34" s="111">
        <f>E34*224.8/(2*SQRT(Table11234579[[#This Row],[fc (Mpa)]]*145.037)*Table11234579[[#This Row],[b (mm)]]*Table11234579[[#This Row],[d (mm)]]*(1/25.4)^2)</f>
        <v>2.6734246863401507</v>
      </c>
      <c r="W34" s="111">
        <f>Table11234579[[#This Row],[M (KN.mm)]]/$G$34</f>
        <v>1</v>
      </c>
      <c r="X34" s="111">
        <f>Table11234579[[#This Row],[V/(2*sqrt(fc) bd)]]</f>
        <v>2.6734246863401507</v>
      </c>
      <c r="Y34" s="111">
        <f>2*SQRT(Table11234579[[#This Row],[fc (Mpa)]]*145.037)/Table11234579[[#This Row],[pho (%)]]*Table11234579[[#This Row],[L(mm)]]/4*1/(224.8*25.4^2)</f>
        <v>1.3641655780851112</v>
      </c>
      <c r="Z34" s="111">
        <v>2400</v>
      </c>
      <c r="AA34" s="111">
        <v>925</v>
      </c>
      <c r="AB34" s="111">
        <v>1000</v>
      </c>
      <c r="AC34" s="111">
        <v>300</v>
      </c>
      <c r="AD34" s="7">
        <v>45</v>
      </c>
      <c r="AE34" s="111">
        <f>Table11234579[[#This Row],[pho (%)]]*Table11234579[[#This Row],[b (mm)]]*Table11234579[[#This Row],[h (mm)]]/100</f>
        <v>2940</v>
      </c>
      <c r="AF34" s="160">
        <f t="shared" si="4"/>
        <v>0.98</v>
      </c>
      <c r="AG34" s="160">
        <v>525</v>
      </c>
      <c r="AH34" s="111">
        <f>(1/3-0.21*(MIN(Table11234579[[#This Row],[b (mm)]],AB34)/MAX(Table11234579[[#This Row],[b (mm)]],AB34))*(MIN(Table11234579[[#This Row],[b (mm)]],AB34)^4/(12*MAX(Table11234579[[#This Row],[b (mm)]],AB34)^4)))*MAX(Table11234579[[#This Row],[b (mm)]],AB34)*MIN(Table11234579[[#This Row],[b (mm)]],AB34)^3</f>
        <v>8998851825</v>
      </c>
      <c r="AI34" s="111">
        <f>Table11234579[[#This Row],[b (mm)]]*AB34^3/12</f>
        <v>25000000000</v>
      </c>
      <c r="AJ34" s="111">
        <v>4800</v>
      </c>
      <c r="AK34" s="1"/>
      <c r="AL34" s="1"/>
    </row>
    <row r="35" spans="1:45" x14ac:dyDescent="0.3">
      <c r="A35" s="163" t="s">
        <v>191</v>
      </c>
      <c r="B35" s="285">
        <v>1</v>
      </c>
      <c r="C35" s="285">
        <v>34</v>
      </c>
      <c r="D35" s="275">
        <f>Table11234579[[#This Row],[a (mm)]]/Table11234579[[#This Row],[d (mm)]]</f>
        <v>3.2432432432432434</v>
      </c>
      <c r="E35" s="286">
        <f>269.4/2</f>
        <v>134.69999999999999</v>
      </c>
      <c r="F35" s="137">
        <f>Table11234579[[#This Row],[d (mm)]]</f>
        <v>925</v>
      </c>
      <c r="G35" s="111">
        <f t="shared" si="5"/>
        <v>404099.99999999994</v>
      </c>
      <c r="H35" s="111">
        <f t="shared" si="0"/>
        <v>6.1374244596025041E-7</v>
      </c>
      <c r="I35" s="111">
        <f>G35/(Table11234579[[#This Row],[b (mm)]]*AA35^2)</f>
        <v>1.574287801314828E-3</v>
      </c>
      <c r="J35" s="111">
        <f t="shared" si="1"/>
        <v>0.28303522181073199</v>
      </c>
      <c r="K35" s="111">
        <f t="shared" si="2"/>
        <v>4.7670625104413824E-7</v>
      </c>
      <c r="L35" s="111">
        <f>E35/(Table11234579[[#This Row],[b (mm)]]*AA35)</f>
        <v>4.8540540540540538E-4</v>
      </c>
      <c r="M35" s="111">
        <f>Table11234579[[#This Row],[M (KN.mm)]]/(Table11234579[[#This Row],[b (mm)]]*Table11234579[[#This Row],[d (mm)]])</f>
        <v>1.456216216216216</v>
      </c>
      <c r="N35" s="111">
        <f>Table11234579[[#This Row],[M (KN.mm)]]/(Table11234579[[#This Row],[b (mm)]]*Table11234579[[#This Row],[h (mm)]])</f>
        <v>1.3469999999999998</v>
      </c>
      <c r="O35" s="111">
        <f>Table11234579[[#This Row],[M (KN.mm)]]/(Table11234579[[#This Row],[b (mm)]]*Table11234579[[#This Row],[h (mm)]]*Table11234579[[#This Row],[L(mm)]])</f>
        <v>2.2449999999999995E-4</v>
      </c>
      <c r="P35" s="111">
        <f>Table11234579[[#This Row],[M (KN.mm)]]/(Table11234579[[#This Row],[b (mm)]]*Table11234579[[#This Row],[d (mm)]]*Table11234579[[#This Row],[L(mm)]])</f>
        <v>2.4270270270270266E-4</v>
      </c>
      <c r="Q35" s="111">
        <f>Table11234579[[#This Row],[M (KN.mm)]]/(Table11234579[[#This Row],[b (mm)]]*Table11234579[[#This Row],[h (mm)]]*Table11234579[[#This Row],[L(mm)]]*Table11234579[[#This Row],[fc (Mpa)]])</f>
        <v>3.870689655172413E-6</v>
      </c>
      <c r="R35" s="111">
        <f>Table11234579[[#This Row],[M (KN.mm)]]/(Table11234579[[#This Row],[b (mm)]]*Table11234579[[#This Row],[h (mm)]]*Table11234579[[#This Row],[L(mm)]]/2)</f>
        <v>4.4899999999999991E-4</v>
      </c>
      <c r="S35" s="111">
        <f>Table11234579[[#This Row],[M (KN.mm)]]/(Table11234579[[#This Row],[a (mm)]]*Table11234579[[#This Row],[b (mm)]]*Table11234579[[#This Row],[h (mm)]]*Table11234579[[#This Row],[L(mm)]]/2)</f>
        <v>1.4966666666666664E-7</v>
      </c>
      <c r="T35" s="111">
        <f>Table11234579[[#This Row],[M (KN.mm)]]/(Table11234579[[#This Row],[a (mm)]]^2*Table11234579[[#This Row],[b (mm)]]*Table11234579[[#This Row],[h (mm)]])</f>
        <v>1.4966666666666664E-7</v>
      </c>
      <c r="U35" s="111">
        <f>Table11234579[[#This Row],[M (KN.mm)]]/(Table11234579[[#This Row],[b (mm)]]*Table11234579[[#This Row],[d (mm)]]*Table11234579[[#This Row],[pho (%)]])</f>
        <v>1.485934914506343</v>
      </c>
      <c r="V35" s="111">
        <f>E35*224.8/(2*SQRT(Table11234579[[#This Row],[fc (Mpa)]]*145.037)*Table11234579[[#This Row],[b (mm)]]*Table11234579[[#This Row],[d (mm)]]*(1/25.4)^2)</f>
        <v>0.38378230943452379</v>
      </c>
      <c r="W35" s="111">
        <f>Table11234579[[#This Row],[M (KN.mm)]]/$G$43</f>
        <v>0.19940784603997036</v>
      </c>
      <c r="X35" s="111">
        <f>Table11234579[[#This Row],[V/(2*sqrt(fc) bd)]]</f>
        <v>0.38378230943452379</v>
      </c>
      <c r="Y35" s="111">
        <f>2*SQRT(Table11234579[[#This Row],[fc (Mpa)]]*145.037)/Table11234579[[#This Row],[pho (%)]]*Table11234579[[#This Row],[L(mm)]]/4*1/(224.8*25.4^2)</f>
        <v>1.9359085580257249</v>
      </c>
      <c r="Z35" s="111">
        <v>3000</v>
      </c>
      <c r="AA35" s="111">
        <v>925</v>
      </c>
      <c r="AB35" s="111">
        <v>1000</v>
      </c>
      <c r="AC35" s="111">
        <v>300</v>
      </c>
      <c r="AD35" s="7">
        <v>58</v>
      </c>
      <c r="AE35" s="111">
        <f>Table11234579[[#This Row],[pho (%)]]*Table11234579[[#This Row],[b (mm)]]*Table11234579[[#This Row],[h (mm)]]/100</f>
        <v>2940</v>
      </c>
      <c r="AF35" s="160">
        <f t="shared" si="4"/>
        <v>0.98</v>
      </c>
      <c r="AG35" s="160">
        <v>525</v>
      </c>
      <c r="AH35" s="111">
        <f>(1/3-0.21*(MIN(Table11234579[[#This Row],[b (mm)]],AB35)/MAX(Table11234579[[#This Row],[b (mm)]],AB35))*(MIN(Table11234579[[#This Row],[b (mm)]],AB35)^4/(12*MAX(Table11234579[[#This Row],[b (mm)]],AB35)^4)))*MAX(Table11234579[[#This Row],[b (mm)]],AB35)*MIN(Table11234579[[#This Row],[b (mm)]],AB35)^3</f>
        <v>8998851825</v>
      </c>
      <c r="AI35" s="111">
        <f>Table11234579[[#This Row],[b (mm)]]*AB35^3/12</f>
        <v>25000000000</v>
      </c>
      <c r="AJ35" s="111">
        <v>6000</v>
      </c>
      <c r="AK35" s="1"/>
      <c r="AL35" s="1"/>
    </row>
    <row r="36" spans="1:45" x14ac:dyDescent="0.3">
      <c r="A36" s="163" t="s">
        <v>191</v>
      </c>
      <c r="B36" s="285">
        <v>2</v>
      </c>
      <c r="C36" s="285">
        <v>35</v>
      </c>
      <c r="D36" s="275">
        <f>Table11234579[[#This Row],[a (mm)]]/Table11234579[[#This Row],[d (mm)]]</f>
        <v>3.2432432432432434</v>
      </c>
      <c r="E36" s="286">
        <f>402.3/2</f>
        <v>201.15</v>
      </c>
      <c r="F36" s="137">
        <f>Table11234579[[#This Row],[d (mm)]]</f>
        <v>925</v>
      </c>
      <c r="G36" s="111">
        <f t="shared" si="5"/>
        <v>603450</v>
      </c>
      <c r="H36" s="111">
        <f t="shared" si="0"/>
        <v>9.1651293990277932E-7</v>
      </c>
      <c r="I36" s="111">
        <f>G36/(Table11234579[[#This Row],[b (mm)]]*AA36^2)</f>
        <v>2.3509130752373997E-3</v>
      </c>
      <c r="J36" s="111">
        <f t="shared" si="1"/>
        <v>0.42266172878417774</v>
      </c>
      <c r="K36" s="111">
        <f t="shared" si="2"/>
        <v>7.1187425684876334E-7</v>
      </c>
      <c r="L36" s="111">
        <f>E36/(Table11234579[[#This Row],[b (mm)]]*AA36)</f>
        <v>7.2486486486486492E-4</v>
      </c>
      <c r="M36" s="111">
        <f>Table11234579[[#This Row],[M (KN.mm)]]/(Table11234579[[#This Row],[b (mm)]]*Table11234579[[#This Row],[d (mm)]])</f>
        <v>2.1745945945945948</v>
      </c>
      <c r="N36" s="111">
        <f>Table11234579[[#This Row],[M (KN.mm)]]/(Table11234579[[#This Row],[b (mm)]]*Table11234579[[#This Row],[h (mm)]])</f>
        <v>2.0114999999999998</v>
      </c>
      <c r="O36" s="111">
        <f>Table11234579[[#This Row],[M (KN.mm)]]/(Table11234579[[#This Row],[b (mm)]]*Table11234579[[#This Row],[h (mm)]]*Table11234579[[#This Row],[L(mm)]])</f>
        <v>3.3524999999999999E-4</v>
      </c>
      <c r="P36" s="111">
        <f>Table11234579[[#This Row],[M (KN.mm)]]/(Table11234579[[#This Row],[b (mm)]]*Table11234579[[#This Row],[d (mm)]]*Table11234579[[#This Row],[L(mm)]])</f>
        <v>3.6243243243243241E-4</v>
      </c>
      <c r="Q36" s="111">
        <f>Table11234579[[#This Row],[M (KN.mm)]]/(Table11234579[[#This Row],[b (mm)]]*Table11234579[[#This Row],[h (mm)]]*Table11234579[[#This Row],[L(mm)]]*Table11234579[[#This Row],[fc (Mpa)]])</f>
        <v>5.7801724137931031E-6</v>
      </c>
      <c r="R36" s="111">
        <f>Table11234579[[#This Row],[M (KN.mm)]]/(Table11234579[[#This Row],[b (mm)]]*Table11234579[[#This Row],[h (mm)]]*Table11234579[[#This Row],[L(mm)]]/2)</f>
        <v>6.7049999999999998E-4</v>
      </c>
      <c r="S36" s="111">
        <f>Table11234579[[#This Row],[M (KN.mm)]]/(Table11234579[[#This Row],[a (mm)]]*Table11234579[[#This Row],[b (mm)]]*Table11234579[[#This Row],[h (mm)]]*Table11234579[[#This Row],[L(mm)]]/2)</f>
        <v>2.2350000000000001E-7</v>
      </c>
      <c r="T36" s="111">
        <f>Table11234579[[#This Row],[M (KN.mm)]]/(Table11234579[[#This Row],[a (mm)]]^2*Table11234579[[#This Row],[b (mm)]]*Table11234579[[#This Row],[h (mm)]])</f>
        <v>2.2350000000000001E-7</v>
      </c>
      <c r="U36" s="111">
        <f>Table11234579[[#This Row],[M (KN.mm)]]/(Table11234579[[#This Row],[b (mm)]]*Table11234579[[#This Row],[d (mm)]]*Table11234579[[#This Row],[pho (%)]])</f>
        <v>2.2189740761169334</v>
      </c>
      <c r="V36" s="111">
        <f>E36*224.8/(2*SQRT(Table11234579[[#This Row],[fc (Mpa)]]*145.037)*Table11234579[[#This Row],[b (mm)]]*Table11234579[[#This Row],[d (mm)]]*(1/25.4)^2)</f>
        <v>0.57310921709543039</v>
      </c>
      <c r="W36" s="111">
        <f>Table11234579[[#This Row],[M (KN.mm)]]/$G$43</f>
        <v>0.29777942264988899</v>
      </c>
      <c r="X36" s="111">
        <f>Table11234579[[#This Row],[V/(2*sqrt(fc) bd)]]</f>
        <v>0.57310921709543039</v>
      </c>
      <c r="Y36" s="111">
        <f>2*SQRT(Table11234579[[#This Row],[fc (Mpa)]]*145.037)/Table11234579[[#This Row],[pho (%)]]*Table11234579[[#This Row],[L(mm)]]/4*1/(224.8*25.4^2)</f>
        <v>1.9359085580257249</v>
      </c>
      <c r="Z36" s="111">
        <v>3000</v>
      </c>
      <c r="AA36" s="111">
        <v>925</v>
      </c>
      <c r="AB36" s="111">
        <v>1000</v>
      </c>
      <c r="AC36" s="111">
        <v>300</v>
      </c>
      <c r="AD36" s="7">
        <v>58</v>
      </c>
      <c r="AE36" s="111">
        <f>Table11234579[[#This Row],[pho (%)]]*Table11234579[[#This Row],[b (mm)]]*Table11234579[[#This Row],[h (mm)]]/100</f>
        <v>2940</v>
      </c>
      <c r="AF36" s="160">
        <f t="shared" si="4"/>
        <v>0.98</v>
      </c>
      <c r="AG36" s="160">
        <v>525</v>
      </c>
      <c r="AH36" s="111">
        <f>(1/3-0.21*(MIN(Table11234579[[#This Row],[b (mm)]],AB36)/MAX(Table11234579[[#This Row],[b (mm)]],AB36))*(MIN(Table11234579[[#This Row],[b (mm)]],AB36)^4/(12*MAX(Table11234579[[#This Row],[b (mm)]],AB36)^4)))*MAX(Table11234579[[#This Row],[b (mm)]],AB36)*MIN(Table11234579[[#This Row],[b (mm)]],AB36)^3</f>
        <v>8998851825</v>
      </c>
      <c r="AI36" s="111">
        <f>Table11234579[[#This Row],[b (mm)]]*AB36^3/12</f>
        <v>25000000000</v>
      </c>
      <c r="AJ36" s="111">
        <v>6000</v>
      </c>
      <c r="AK36" s="1"/>
      <c r="AL36" s="1"/>
    </row>
    <row r="37" spans="1:45" x14ac:dyDescent="0.3">
      <c r="A37" s="163" t="s">
        <v>191</v>
      </c>
      <c r="B37" s="285">
        <v>3</v>
      </c>
      <c r="C37" s="285">
        <v>36</v>
      </c>
      <c r="D37" s="275">
        <f>Table11234579[[#This Row],[a (mm)]]/Table11234579[[#This Row],[d (mm)]]</f>
        <v>3.2432432432432434</v>
      </c>
      <c r="E37" s="286">
        <f>552/2</f>
        <v>276</v>
      </c>
      <c r="F37" s="137">
        <f>Table11234579[[#This Row],[d (mm)]]</f>
        <v>925</v>
      </c>
      <c r="G37" s="111">
        <f t="shared" si="5"/>
        <v>828000</v>
      </c>
      <c r="H37" s="111">
        <f t="shared" si="0"/>
        <v>1.2575569048628739E-6</v>
      </c>
      <c r="I37" s="111">
        <f>G37/(Table11234579[[#This Row],[b (mm)]]*AA37^2)</f>
        <v>3.2257121986851716E-3</v>
      </c>
      <c r="J37" s="111">
        <f t="shared" si="1"/>
        <v>0.5799385391222126</v>
      </c>
      <c r="K37" s="111">
        <f t="shared" si="2"/>
        <v>9.7677004668286683E-7</v>
      </c>
      <c r="L37" s="111">
        <f>E37/(Table11234579[[#This Row],[b (mm)]]*AA37)</f>
        <v>9.945945945945946E-4</v>
      </c>
      <c r="M37" s="111">
        <f>Table11234579[[#This Row],[M (KN.mm)]]/(Table11234579[[#This Row],[b (mm)]]*Table11234579[[#This Row],[d (mm)]])</f>
        <v>2.9837837837837839</v>
      </c>
      <c r="N37" s="111">
        <f>Table11234579[[#This Row],[M (KN.mm)]]/(Table11234579[[#This Row],[b (mm)]]*Table11234579[[#This Row],[h (mm)]])</f>
        <v>2.76</v>
      </c>
      <c r="O37" s="111">
        <f>Table11234579[[#This Row],[M (KN.mm)]]/(Table11234579[[#This Row],[b (mm)]]*Table11234579[[#This Row],[h (mm)]]*Table11234579[[#This Row],[L(mm)]])</f>
        <v>4.6000000000000001E-4</v>
      </c>
      <c r="P37" s="111">
        <f>Table11234579[[#This Row],[M (KN.mm)]]/(Table11234579[[#This Row],[b (mm)]]*Table11234579[[#This Row],[d (mm)]]*Table11234579[[#This Row],[L(mm)]])</f>
        <v>4.972972972972973E-4</v>
      </c>
      <c r="Q37" s="111">
        <f>Table11234579[[#This Row],[M (KN.mm)]]/(Table11234579[[#This Row],[b (mm)]]*Table11234579[[#This Row],[h (mm)]]*Table11234579[[#This Row],[L(mm)]]*Table11234579[[#This Row],[fc (Mpa)]])</f>
        <v>7.9310344827586208E-6</v>
      </c>
      <c r="R37" s="111">
        <f>Table11234579[[#This Row],[M (KN.mm)]]/(Table11234579[[#This Row],[b (mm)]]*Table11234579[[#This Row],[h (mm)]]*Table11234579[[#This Row],[L(mm)]]/2)</f>
        <v>9.2000000000000003E-4</v>
      </c>
      <c r="S37" s="111">
        <f>Table11234579[[#This Row],[M (KN.mm)]]/(Table11234579[[#This Row],[a (mm)]]*Table11234579[[#This Row],[b (mm)]]*Table11234579[[#This Row],[h (mm)]]*Table11234579[[#This Row],[L(mm)]]/2)</f>
        <v>3.0666666666666666E-7</v>
      </c>
      <c r="T37" s="111">
        <f>Table11234579[[#This Row],[M (KN.mm)]]/(Table11234579[[#This Row],[a (mm)]]^2*Table11234579[[#This Row],[b (mm)]]*Table11234579[[#This Row],[h (mm)]])</f>
        <v>3.0666666666666666E-7</v>
      </c>
      <c r="U37" s="111">
        <f>Table11234579[[#This Row],[M (KN.mm)]]/(Table11234579[[#This Row],[b (mm)]]*Table11234579[[#This Row],[d (mm)]]*Table11234579[[#This Row],[pho (%)]])</f>
        <v>3.0446773303916159</v>
      </c>
      <c r="V37" s="111">
        <f>E37*224.8/(2*SQRT(Table11234579[[#This Row],[fc (Mpa)]]*145.037)*Table11234579[[#This Row],[b (mm)]]*Table11234579[[#This Row],[d (mm)]]*(1/25.4)^2)</f>
        <v>0.78636909728232052</v>
      </c>
      <c r="W37" s="111">
        <f>Table11234579[[#This Row],[M (KN.mm)]]/$G$43</f>
        <v>0.4085862324204293</v>
      </c>
      <c r="X37" s="111">
        <f>Table11234579[[#This Row],[V/(2*sqrt(fc) bd)]]</f>
        <v>0.78636909728232052</v>
      </c>
      <c r="Y37" s="111">
        <f>2*SQRT(Table11234579[[#This Row],[fc (Mpa)]]*145.037)/Table11234579[[#This Row],[pho (%)]]*Table11234579[[#This Row],[L(mm)]]/4*1/(224.8*25.4^2)</f>
        <v>1.9359085580257249</v>
      </c>
      <c r="Z37" s="111">
        <v>3000</v>
      </c>
      <c r="AA37" s="111">
        <v>925</v>
      </c>
      <c r="AB37" s="111">
        <v>1000</v>
      </c>
      <c r="AC37" s="111">
        <v>300</v>
      </c>
      <c r="AD37" s="7">
        <v>58</v>
      </c>
      <c r="AE37" s="111">
        <f>Table11234579[[#This Row],[pho (%)]]*Table11234579[[#This Row],[b (mm)]]*Table11234579[[#This Row],[h (mm)]]/100</f>
        <v>2940</v>
      </c>
      <c r="AF37" s="160">
        <f t="shared" si="4"/>
        <v>0.98</v>
      </c>
      <c r="AG37" s="160">
        <v>525</v>
      </c>
      <c r="AH37" s="111">
        <f>(1/3-0.21*(MIN(Table11234579[[#This Row],[b (mm)]],AB37)/MAX(Table11234579[[#This Row],[b (mm)]],AB37))*(MIN(Table11234579[[#This Row],[b (mm)]],AB37)^4/(12*MAX(Table11234579[[#This Row],[b (mm)]],AB37)^4)))*MAX(Table11234579[[#This Row],[b (mm)]],AB37)*MIN(Table11234579[[#This Row],[b (mm)]],AB37)^3</f>
        <v>8998851825</v>
      </c>
      <c r="AI37" s="111">
        <f>Table11234579[[#This Row],[b (mm)]]*AB37^3/12</f>
        <v>25000000000</v>
      </c>
      <c r="AJ37" s="111">
        <v>6000</v>
      </c>
      <c r="AK37" s="1"/>
      <c r="AL37" s="1"/>
    </row>
    <row r="38" spans="1:45" x14ac:dyDescent="0.3">
      <c r="A38" s="163" t="s">
        <v>191</v>
      </c>
      <c r="B38" s="285">
        <v>4</v>
      </c>
      <c r="C38" s="285">
        <v>37</v>
      </c>
      <c r="D38" s="275">
        <f>Table11234579[[#This Row],[a (mm)]]/Table11234579[[#This Row],[d (mm)]]</f>
        <v>3.2432432432432434</v>
      </c>
      <c r="E38" s="286">
        <f>699.5/2</f>
        <v>349.75</v>
      </c>
      <c r="F38" s="137">
        <f>Table11234579[[#This Row],[d (mm)]]</f>
        <v>925</v>
      </c>
      <c r="G38" s="111">
        <f t="shared" si="5"/>
        <v>1049250</v>
      </c>
      <c r="H38" s="111">
        <f t="shared" si="0"/>
        <v>1.5935888676659064E-6</v>
      </c>
      <c r="I38" s="111">
        <f>G38/(Table11234579[[#This Row],[b (mm)]]*AA38^2)</f>
        <v>4.0876552227903581E-3</v>
      </c>
      <c r="J38" s="111">
        <f t="shared" si="1"/>
        <v>0.7349040002101227</v>
      </c>
      <c r="K38" s="111">
        <f t="shared" si="2"/>
        <v>1.2377729124178721E-6</v>
      </c>
      <c r="L38" s="111">
        <f>E38/(Table11234579[[#This Row],[b (mm)]]*AA38)</f>
        <v>1.2603603603603603E-3</v>
      </c>
      <c r="M38" s="111">
        <f>Table11234579[[#This Row],[M (KN.mm)]]/(Table11234579[[#This Row],[b (mm)]]*Table11234579[[#This Row],[d (mm)]])</f>
        <v>3.7810810810810809</v>
      </c>
      <c r="N38" s="111">
        <f>Table11234579[[#This Row],[M (KN.mm)]]/(Table11234579[[#This Row],[b (mm)]]*Table11234579[[#This Row],[h (mm)]])</f>
        <v>3.4975000000000001</v>
      </c>
      <c r="O38" s="111">
        <f>Table11234579[[#This Row],[M (KN.mm)]]/(Table11234579[[#This Row],[b (mm)]]*Table11234579[[#This Row],[h (mm)]]*Table11234579[[#This Row],[L(mm)]])</f>
        <v>5.829166666666667E-4</v>
      </c>
      <c r="P38" s="111">
        <f>Table11234579[[#This Row],[M (KN.mm)]]/(Table11234579[[#This Row],[b (mm)]]*Table11234579[[#This Row],[d (mm)]]*Table11234579[[#This Row],[L(mm)]])</f>
        <v>6.3018018018018017E-4</v>
      </c>
      <c r="Q38" s="111">
        <f>Table11234579[[#This Row],[M (KN.mm)]]/(Table11234579[[#This Row],[b (mm)]]*Table11234579[[#This Row],[h (mm)]]*Table11234579[[#This Row],[L(mm)]]*Table11234579[[#This Row],[fc (Mpa)]])</f>
        <v>1.0050287356321838E-5</v>
      </c>
      <c r="R38" s="111">
        <f>Table11234579[[#This Row],[M (KN.mm)]]/(Table11234579[[#This Row],[b (mm)]]*Table11234579[[#This Row],[h (mm)]]*Table11234579[[#This Row],[L(mm)]]/2)</f>
        <v>1.1658333333333334E-3</v>
      </c>
      <c r="S38" s="111">
        <f>Table11234579[[#This Row],[M (KN.mm)]]/(Table11234579[[#This Row],[a (mm)]]*Table11234579[[#This Row],[b (mm)]]*Table11234579[[#This Row],[h (mm)]]*Table11234579[[#This Row],[L(mm)]]/2)</f>
        <v>3.8861111111111113E-7</v>
      </c>
      <c r="T38" s="111">
        <f>Table11234579[[#This Row],[M (KN.mm)]]/(Table11234579[[#This Row],[a (mm)]]^2*Table11234579[[#This Row],[b (mm)]]*Table11234579[[#This Row],[h (mm)]])</f>
        <v>3.8861111111111113E-7</v>
      </c>
      <c r="U38" s="111">
        <f>Table11234579[[#This Row],[M (KN.mm)]]/(Table11234579[[#This Row],[b (mm)]]*Table11234579[[#This Row],[d (mm)]]*Table11234579[[#This Row],[pho (%)]])</f>
        <v>3.8582460011031441</v>
      </c>
      <c r="V38" s="111">
        <f>E38*224.8/(2*SQRT(Table11234579[[#This Row],[fc (Mpa)]]*145.037)*Table11234579[[#This Row],[b (mm)]]*Table11234579[[#This Row],[d (mm)]]*(1/25.4)^2)</f>
        <v>0.99649489773366517</v>
      </c>
      <c r="W38" s="111">
        <f>Table11234579[[#This Row],[M (KN.mm)]]/$G$43</f>
        <v>0.5177646188008882</v>
      </c>
      <c r="X38" s="111">
        <f>Table11234579[[#This Row],[V/(2*sqrt(fc) bd)]]</f>
        <v>0.99649489773366517</v>
      </c>
      <c r="Y38" s="111">
        <f>2*SQRT(Table11234579[[#This Row],[fc (Mpa)]]*145.037)/Table11234579[[#This Row],[pho (%)]]*Table11234579[[#This Row],[L(mm)]]/4*1/(224.8*25.4^2)</f>
        <v>1.9359085580257249</v>
      </c>
      <c r="Z38" s="111">
        <v>3000</v>
      </c>
      <c r="AA38" s="111">
        <v>925</v>
      </c>
      <c r="AB38" s="111">
        <v>1000</v>
      </c>
      <c r="AC38" s="111">
        <v>300</v>
      </c>
      <c r="AD38" s="7">
        <v>58</v>
      </c>
      <c r="AE38" s="111">
        <f>Table11234579[[#This Row],[pho (%)]]*Table11234579[[#This Row],[b (mm)]]*Table11234579[[#This Row],[h (mm)]]/100</f>
        <v>2940</v>
      </c>
      <c r="AF38" s="160">
        <f t="shared" si="4"/>
        <v>0.98</v>
      </c>
      <c r="AG38" s="160">
        <v>525</v>
      </c>
      <c r="AH38" s="111">
        <f>(1/3-0.21*(MIN(Table11234579[[#This Row],[b (mm)]],AB38)/MAX(Table11234579[[#This Row],[b (mm)]],AB38))*(MIN(Table11234579[[#This Row],[b (mm)]],AB38)^4/(12*MAX(Table11234579[[#This Row],[b (mm)]],AB38)^4)))*MAX(Table11234579[[#This Row],[b (mm)]],AB38)*MIN(Table11234579[[#This Row],[b (mm)]],AB38)^3</f>
        <v>8998851825</v>
      </c>
      <c r="AI38" s="111">
        <f>Table11234579[[#This Row],[b (mm)]]*AB38^3/12</f>
        <v>25000000000</v>
      </c>
      <c r="AJ38" s="111">
        <v>6000</v>
      </c>
      <c r="AK38" s="139"/>
      <c r="AL38" s="139"/>
      <c r="AM38" s="139"/>
      <c r="AN38" s="139"/>
      <c r="AO38" s="139"/>
      <c r="AP38" s="139"/>
      <c r="AQ38" s="139"/>
      <c r="AR38" s="1"/>
      <c r="AS38" s="1"/>
    </row>
    <row r="39" spans="1:45" x14ac:dyDescent="0.3">
      <c r="A39" s="163" t="s">
        <v>191</v>
      </c>
      <c r="B39" s="285">
        <v>5</v>
      </c>
      <c r="C39" s="285">
        <v>38</v>
      </c>
      <c r="D39" s="275">
        <f>Table11234579[[#This Row],[a (mm)]]/Table11234579[[#This Row],[d (mm)]]</f>
        <v>3.2432432432432434</v>
      </c>
      <c r="E39" s="286">
        <f>850/2</f>
        <v>425</v>
      </c>
      <c r="F39" s="137">
        <f>Table11234579[[#This Row],[d (mm)]]</f>
        <v>925</v>
      </c>
      <c r="G39" s="111">
        <f t="shared" si="5"/>
        <v>1275000</v>
      </c>
      <c r="H39" s="111">
        <f t="shared" si="0"/>
        <v>1.9364553788649326E-6</v>
      </c>
      <c r="I39" s="111">
        <f>G39/(Table11234579[[#This Row],[b (mm)]]*AA39^2)</f>
        <v>4.9671292914536154E-3</v>
      </c>
      <c r="J39" s="111">
        <f t="shared" si="1"/>
        <v>0.89302130118456646</v>
      </c>
      <c r="K39" s="111">
        <f t="shared" si="2"/>
        <v>1.5040843110152842E-6</v>
      </c>
      <c r="L39" s="111">
        <f>E39/(Table11234579[[#This Row],[b (mm)]]*AA39)</f>
        <v>1.5315315315315315E-3</v>
      </c>
      <c r="M39" s="111">
        <f>Table11234579[[#This Row],[M (KN.mm)]]/(Table11234579[[#This Row],[b (mm)]]*Table11234579[[#This Row],[d (mm)]])</f>
        <v>4.5945945945945947</v>
      </c>
      <c r="N39" s="111">
        <f>Table11234579[[#This Row],[M (KN.mm)]]/(Table11234579[[#This Row],[b (mm)]]*Table11234579[[#This Row],[h (mm)]])</f>
        <v>4.25</v>
      </c>
      <c r="O39" s="111">
        <f>Table11234579[[#This Row],[M (KN.mm)]]/(Table11234579[[#This Row],[b (mm)]]*Table11234579[[#This Row],[h (mm)]]*Table11234579[[#This Row],[L(mm)]])</f>
        <v>7.0833333333333338E-4</v>
      </c>
      <c r="P39" s="111">
        <f>Table11234579[[#This Row],[M (KN.mm)]]/(Table11234579[[#This Row],[b (mm)]]*Table11234579[[#This Row],[d (mm)]]*Table11234579[[#This Row],[L(mm)]])</f>
        <v>7.6576576576576575E-4</v>
      </c>
      <c r="Q39" s="111">
        <f>Table11234579[[#This Row],[M (KN.mm)]]/(Table11234579[[#This Row],[b (mm)]]*Table11234579[[#This Row],[h (mm)]]*Table11234579[[#This Row],[L(mm)]]*Table11234579[[#This Row],[fc (Mpa)]])</f>
        <v>1.221264367816092E-5</v>
      </c>
      <c r="R39" s="111">
        <f>Table11234579[[#This Row],[M (KN.mm)]]/(Table11234579[[#This Row],[b (mm)]]*Table11234579[[#This Row],[h (mm)]]*Table11234579[[#This Row],[L(mm)]]/2)</f>
        <v>1.4166666666666668E-3</v>
      </c>
      <c r="S39" s="111">
        <f>Table11234579[[#This Row],[M (KN.mm)]]/(Table11234579[[#This Row],[a (mm)]]*Table11234579[[#This Row],[b (mm)]]*Table11234579[[#This Row],[h (mm)]]*Table11234579[[#This Row],[L(mm)]]/2)</f>
        <v>4.7222222222222221E-7</v>
      </c>
      <c r="T39" s="111">
        <f>Table11234579[[#This Row],[M (KN.mm)]]/(Table11234579[[#This Row],[a (mm)]]^2*Table11234579[[#This Row],[b (mm)]]*Table11234579[[#This Row],[h (mm)]])</f>
        <v>4.7222222222222221E-7</v>
      </c>
      <c r="U39" s="111">
        <f>Table11234579[[#This Row],[M (KN.mm)]]/(Table11234579[[#This Row],[b (mm)]]*Table11234579[[#This Row],[d (mm)]]*Table11234579[[#This Row],[pho (%)]])</f>
        <v>4.6883618312189741</v>
      </c>
      <c r="V39" s="111">
        <f>E39*224.8/(2*SQRT(Table11234579[[#This Row],[fc (Mpa)]]*145.037)*Table11234579[[#This Row],[b (mm)]]*Table11234579[[#This Row],[d (mm)]]*(1/25.4)^2)</f>
        <v>1.2108944432789355</v>
      </c>
      <c r="W39" s="111">
        <f>Table11234579[[#This Row],[M (KN.mm)]]/$G$43</f>
        <v>0.62916358253145821</v>
      </c>
      <c r="X39" s="111">
        <f>Table11234579[[#This Row],[V/(2*sqrt(fc) bd)]]</f>
        <v>1.2108944432789355</v>
      </c>
      <c r="Y39" s="111">
        <f>2*SQRT(Table11234579[[#This Row],[fc (Mpa)]]*145.037)/Table11234579[[#This Row],[pho (%)]]*Table11234579[[#This Row],[L(mm)]]/4*1/(224.8*25.4^2)</f>
        <v>1.9359085580257249</v>
      </c>
      <c r="Z39" s="111">
        <v>3000</v>
      </c>
      <c r="AA39" s="111">
        <v>925</v>
      </c>
      <c r="AB39" s="111">
        <v>1000</v>
      </c>
      <c r="AC39" s="111">
        <v>300</v>
      </c>
      <c r="AD39" s="7">
        <v>58</v>
      </c>
      <c r="AE39" s="111">
        <f>Table11234579[[#This Row],[pho (%)]]*Table11234579[[#This Row],[b (mm)]]*Table11234579[[#This Row],[h (mm)]]/100</f>
        <v>2940</v>
      </c>
      <c r="AF39" s="160">
        <f t="shared" si="4"/>
        <v>0.98</v>
      </c>
      <c r="AG39" s="160">
        <v>525</v>
      </c>
      <c r="AH39" s="111">
        <f>(1/3-0.21*(MIN(Table11234579[[#This Row],[b (mm)]],AB39)/MAX(Table11234579[[#This Row],[b (mm)]],AB39))*(MIN(Table11234579[[#This Row],[b (mm)]],AB39)^4/(12*MAX(Table11234579[[#This Row],[b (mm)]],AB39)^4)))*MAX(Table11234579[[#This Row],[b (mm)]],AB39)*MIN(Table11234579[[#This Row],[b (mm)]],AB39)^3</f>
        <v>8998851825</v>
      </c>
      <c r="AI39" s="111">
        <f>Table11234579[[#This Row],[b (mm)]]*AB39^3/12</f>
        <v>25000000000</v>
      </c>
      <c r="AJ39" s="111">
        <v>6000</v>
      </c>
      <c r="AK39" s="139"/>
      <c r="AL39" s="139"/>
      <c r="AM39" s="139"/>
      <c r="AN39" s="139"/>
      <c r="AO39" s="139"/>
      <c r="AP39" s="139"/>
      <c r="AQ39" s="139"/>
      <c r="AR39" s="1"/>
      <c r="AS39" s="1"/>
    </row>
    <row r="40" spans="1:45" x14ac:dyDescent="0.3">
      <c r="A40" s="163" t="s">
        <v>191</v>
      </c>
      <c r="B40" s="285">
        <v>6</v>
      </c>
      <c r="C40" s="285">
        <v>39</v>
      </c>
      <c r="D40" s="275">
        <f>Table11234579[[#This Row],[a (mm)]]/Table11234579[[#This Row],[d (mm)]]</f>
        <v>3.2432432432432434</v>
      </c>
      <c r="E40" s="286">
        <f>1003/2</f>
        <v>501.5</v>
      </c>
      <c r="F40" s="137">
        <f>Table11234579[[#This Row],[d (mm)]]</f>
        <v>925</v>
      </c>
      <c r="G40" s="111">
        <f t="shared" si="5"/>
        <v>1504500</v>
      </c>
      <c r="H40" s="111">
        <f t="shared" si="0"/>
        <v>2.2850173470606205E-6</v>
      </c>
      <c r="I40" s="111">
        <f>G40/(Table11234579[[#This Row],[b (mm)]]*AA40^2)</f>
        <v>5.8612125639152662E-3</v>
      </c>
      <c r="J40" s="111">
        <f t="shared" si="1"/>
        <v>1.0537651353977884</v>
      </c>
      <c r="K40" s="111">
        <f t="shared" si="2"/>
        <v>1.7748194869980353E-6</v>
      </c>
      <c r="L40" s="111">
        <f>E40/(Table11234579[[#This Row],[b (mm)]]*AA40)</f>
        <v>1.8072072072072072E-3</v>
      </c>
      <c r="M40" s="111">
        <f>Table11234579[[#This Row],[M (KN.mm)]]/(Table11234579[[#This Row],[b (mm)]]*Table11234579[[#This Row],[d (mm)]])</f>
        <v>5.4216216216216218</v>
      </c>
      <c r="N40" s="111">
        <f>Table11234579[[#This Row],[M (KN.mm)]]/(Table11234579[[#This Row],[b (mm)]]*Table11234579[[#This Row],[h (mm)]])</f>
        <v>5.0149999999999997</v>
      </c>
      <c r="O40" s="111">
        <f>Table11234579[[#This Row],[M (KN.mm)]]/(Table11234579[[#This Row],[b (mm)]]*Table11234579[[#This Row],[h (mm)]]*Table11234579[[#This Row],[L(mm)]])</f>
        <v>8.3583333333333328E-4</v>
      </c>
      <c r="P40" s="111">
        <f>Table11234579[[#This Row],[M (KN.mm)]]/(Table11234579[[#This Row],[b (mm)]]*Table11234579[[#This Row],[d (mm)]]*Table11234579[[#This Row],[L(mm)]])</f>
        <v>9.0360360360360362E-4</v>
      </c>
      <c r="Q40" s="111">
        <f>Table11234579[[#This Row],[M (KN.mm)]]/(Table11234579[[#This Row],[b (mm)]]*Table11234579[[#This Row],[h (mm)]]*Table11234579[[#This Row],[L(mm)]]*Table11234579[[#This Row],[fc (Mpa)]])</f>
        <v>1.4410919540229885E-5</v>
      </c>
      <c r="R40" s="111">
        <f>Table11234579[[#This Row],[M (KN.mm)]]/(Table11234579[[#This Row],[b (mm)]]*Table11234579[[#This Row],[h (mm)]]*Table11234579[[#This Row],[L(mm)]]/2)</f>
        <v>1.6716666666666666E-3</v>
      </c>
      <c r="S40" s="111">
        <f>Table11234579[[#This Row],[M (KN.mm)]]/(Table11234579[[#This Row],[a (mm)]]*Table11234579[[#This Row],[b (mm)]]*Table11234579[[#This Row],[h (mm)]]*Table11234579[[#This Row],[L(mm)]]/2)</f>
        <v>5.5722222222222224E-7</v>
      </c>
      <c r="T40" s="111">
        <f>Table11234579[[#This Row],[M (KN.mm)]]/(Table11234579[[#This Row],[a (mm)]]^2*Table11234579[[#This Row],[b (mm)]]*Table11234579[[#This Row],[h (mm)]])</f>
        <v>5.5722222222222224E-7</v>
      </c>
      <c r="U40" s="111">
        <f>Table11234579[[#This Row],[M (KN.mm)]]/(Table11234579[[#This Row],[b (mm)]]*Table11234579[[#This Row],[d (mm)]]*Table11234579[[#This Row],[pho (%)]])</f>
        <v>5.5322669608383892</v>
      </c>
      <c r="V40" s="111">
        <f>E40*224.8/(2*SQRT(Table11234579[[#This Row],[fc (Mpa)]]*145.037)*Table11234579[[#This Row],[b (mm)]]*Table11234579[[#This Row],[d (mm)]]*(1/25.4)^2)</f>
        <v>1.428855443069144</v>
      </c>
      <c r="W40" s="111">
        <f>Table11234579[[#This Row],[M (KN.mm)]]/$G$43</f>
        <v>0.74241302738712067</v>
      </c>
      <c r="X40" s="111">
        <f>Table11234579[[#This Row],[V/(2*sqrt(fc) bd)]]</f>
        <v>1.428855443069144</v>
      </c>
      <c r="Y40" s="111">
        <f>2*SQRT(Table11234579[[#This Row],[fc (Mpa)]]*145.037)/Table11234579[[#This Row],[pho (%)]]*Table11234579[[#This Row],[L(mm)]]/4*1/(224.8*25.4^2)</f>
        <v>1.9359085580257249</v>
      </c>
      <c r="Z40" s="111">
        <v>3000</v>
      </c>
      <c r="AA40" s="111">
        <v>925</v>
      </c>
      <c r="AB40" s="111">
        <v>1000</v>
      </c>
      <c r="AC40" s="111">
        <v>300</v>
      </c>
      <c r="AD40" s="7">
        <v>58</v>
      </c>
      <c r="AE40" s="111">
        <f>Table11234579[[#This Row],[pho (%)]]*Table11234579[[#This Row],[b (mm)]]*Table11234579[[#This Row],[h (mm)]]/100</f>
        <v>2940</v>
      </c>
      <c r="AF40" s="160">
        <f t="shared" si="4"/>
        <v>0.98</v>
      </c>
      <c r="AG40" s="160">
        <v>525</v>
      </c>
      <c r="AH40" s="111">
        <f>(1/3-0.21*(MIN(Table11234579[[#This Row],[b (mm)]],AB40)/MAX(Table11234579[[#This Row],[b (mm)]],AB40))*(MIN(Table11234579[[#This Row],[b (mm)]],AB40)^4/(12*MAX(Table11234579[[#This Row],[b (mm)]],AB40)^4)))*MAX(Table11234579[[#This Row],[b (mm)]],AB40)*MIN(Table11234579[[#This Row],[b (mm)]],AB40)^3</f>
        <v>8998851825</v>
      </c>
      <c r="AI40" s="111">
        <f>Table11234579[[#This Row],[b (mm)]]*AB40^3/12</f>
        <v>25000000000</v>
      </c>
      <c r="AJ40" s="111">
        <v>6000</v>
      </c>
      <c r="AK40" s="139"/>
      <c r="AL40" s="139"/>
      <c r="AM40" s="139"/>
      <c r="AN40" s="139"/>
      <c r="AO40" s="139"/>
      <c r="AP40" s="139"/>
      <c r="AQ40" s="139"/>
      <c r="AR40" s="1"/>
      <c r="AS40" s="1"/>
    </row>
    <row r="41" spans="1:45" x14ac:dyDescent="0.3">
      <c r="A41" s="163" t="s">
        <v>191</v>
      </c>
      <c r="B41" s="285">
        <v>7</v>
      </c>
      <c r="C41" s="285">
        <v>40</v>
      </c>
      <c r="D41" s="275">
        <f>Table11234579[[#This Row],[a (mm)]]/Table11234579[[#This Row],[d (mm)]]</f>
        <v>3.2432432432432434</v>
      </c>
      <c r="E41" s="286">
        <f>1154/2</f>
        <v>577</v>
      </c>
      <c r="F41" s="137">
        <f>Table11234579[[#This Row],[d (mm)]]</f>
        <v>925</v>
      </c>
      <c r="G41" s="111">
        <f t="shared" si="5"/>
        <v>1731000</v>
      </c>
      <c r="H41" s="111">
        <f t="shared" si="0"/>
        <v>2.6290229496589792E-6</v>
      </c>
      <c r="I41" s="111">
        <f>G41/(Table11234579[[#This Row],[b (mm)]]*AA41^2)</f>
        <v>6.7436084733382027E-3</v>
      </c>
      <c r="J41" s="111">
        <f t="shared" si="1"/>
        <v>1.212407743019988</v>
      </c>
      <c r="K41" s="111">
        <f t="shared" si="2"/>
        <v>2.0420156410725153E-6</v>
      </c>
      <c r="L41" s="111">
        <f>E41/(Table11234579[[#This Row],[b (mm)]]*AA41)</f>
        <v>2.0792792792792792E-3</v>
      </c>
      <c r="M41" s="111">
        <f>Table11234579[[#This Row],[M (KN.mm)]]/(Table11234579[[#This Row],[b (mm)]]*Table11234579[[#This Row],[d (mm)]])</f>
        <v>6.2378378378378381</v>
      </c>
      <c r="N41" s="111">
        <f>Table11234579[[#This Row],[M (KN.mm)]]/(Table11234579[[#This Row],[b (mm)]]*Table11234579[[#This Row],[h (mm)]])</f>
        <v>5.77</v>
      </c>
      <c r="O41" s="111">
        <f>Table11234579[[#This Row],[M (KN.mm)]]/(Table11234579[[#This Row],[b (mm)]]*Table11234579[[#This Row],[h (mm)]]*Table11234579[[#This Row],[L(mm)]])</f>
        <v>9.6166666666666666E-4</v>
      </c>
      <c r="P41" s="111">
        <f>Table11234579[[#This Row],[M (KN.mm)]]/(Table11234579[[#This Row],[b (mm)]]*Table11234579[[#This Row],[d (mm)]]*Table11234579[[#This Row],[L(mm)]])</f>
        <v>1.0396396396396396E-3</v>
      </c>
      <c r="Q41" s="111">
        <f>Table11234579[[#This Row],[M (KN.mm)]]/(Table11234579[[#This Row],[b (mm)]]*Table11234579[[#This Row],[h (mm)]]*Table11234579[[#This Row],[L(mm)]]*Table11234579[[#This Row],[fc (Mpa)]])</f>
        <v>1.6580459770114942E-5</v>
      </c>
      <c r="R41" s="111">
        <f>Table11234579[[#This Row],[M (KN.mm)]]/(Table11234579[[#This Row],[b (mm)]]*Table11234579[[#This Row],[h (mm)]]*Table11234579[[#This Row],[L(mm)]]/2)</f>
        <v>1.9233333333333333E-3</v>
      </c>
      <c r="S41" s="111">
        <f>Table11234579[[#This Row],[M (KN.mm)]]/(Table11234579[[#This Row],[a (mm)]]*Table11234579[[#This Row],[b (mm)]]*Table11234579[[#This Row],[h (mm)]]*Table11234579[[#This Row],[L(mm)]]/2)</f>
        <v>6.4111111111111109E-7</v>
      </c>
      <c r="T41" s="111">
        <f>Table11234579[[#This Row],[M (KN.mm)]]/(Table11234579[[#This Row],[a (mm)]]^2*Table11234579[[#This Row],[b (mm)]]*Table11234579[[#This Row],[h (mm)]])</f>
        <v>6.4111111111111109E-7</v>
      </c>
      <c r="U41" s="111">
        <f>Table11234579[[#This Row],[M (KN.mm)]]/(Table11234579[[#This Row],[b (mm)]]*Table11234579[[#This Row],[d (mm)]]*Table11234579[[#This Row],[pho (%)]])</f>
        <v>6.3651406508549364</v>
      </c>
      <c r="V41" s="111">
        <f>E41*224.8/(2*SQRT(Table11234579[[#This Row],[fc (Mpa)]]*145.037)*Table11234579[[#This Row],[b (mm)]]*Table11234579[[#This Row],[d (mm)]]*(1/25.4)^2)</f>
        <v>1.6439672794634019</v>
      </c>
      <c r="W41" s="111">
        <f>Table11234579[[#This Row],[M (KN.mm)]]/$G$43</f>
        <v>0.85418208734270906</v>
      </c>
      <c r="X41" s="111">
        <f>Table11234579[[#This Row],[V/(2*sqrt(fc) bd)]]</f>
        <v>1.6439672794634019</v>
      </c>
      <c r="Y41" s="111">
        <f>2*SQRT(Table11234579[[#This Row],[fc (Mpa)]]*145.037)/Table11234579[[#This Row],[pho (%)]]*Table11234579[[#This Row],[L(mm)]]/4*1/(224.8*25.4^2)</f>
        <v>1.9359085580257249</v>
      </c>
      <c r="Z41" s="111">
        <v>3000</v>
      </c>
      <c r="AA41" s="111">
        <v>925</v>
      </c>
      <c r="AB41" s="111">
        <v>1000</v>
      </c>
      <c r="AC41" s="111">
        <v>300</v>
      </c>
      <c r="AD41" s="7">
        <v>58</v>
      </c>
      <c r="AE41" s="111">
        <f>Table11234579[[#This Row],[pho (%)]]*Table11234579[[#This Row],[b (mm)]]*Table11234579[[#This Row],[h (mm)]]/100</f>
        <v>2940</v>
      </c>
      <c r="AF41" s="160">
        <f t="shared" si="4"/>
        <v>0.98</v>
      </c>
      <c r="AG41" s="160">
        <v>525</v>
      </c>
      <c r="AH41" s="111">
        <f>(1/3-0.21*(MIN(Table11234579[[#This Row],[b (mm)]],AB41)/MAX(Table11234579[[#This Row],[b (mm)]],AB41))*(MIN(Table11234579[[#This Row],[b (mm)]],AB41)^4/(12*MAX(Table11234579[[#This Row],[b (mm)]],AB41)^4)))*MAX(Table11234579[[#This Row],[b (mm)]],AB41)*MIN(Table11234579[[#This Row],[b (mm)]],AB41)^3</f>
        <v>8998851825</v>
      </c>
      <c r="AI41" s="111">
        <f>Table11234579[[#This Row],[b (mm)]]*AB41^3/12</f>
        <v>25000000000</v>
      </c>
      <c r="AJ41" s="111">
        <v>6000</v>
      </c>
      <c r="AK41" s="139"/>
      <c r="AL41" s="139"/>
      <c r="AM41" s="139"/>
      <c r="AN41" s="139"/>
      <c r="AO41" s="139"/>
      <c r="AP41" s="139"/>
      <c r="AQ41" s="139"/>
      <c r="AR41" s="1"/>
      <c r="AS41" s="1"/>
    </row>
    <row r="42" spans="1:45" x14ac:dyDescent="0.3">
      <c r="A42" s="163" t="s">
        <v>191</v>
      </c>
      <c r="B42" s="285">
        <v>8</v>
      </c>
      <c r="C42" s="285">
        <v>41</v>
      </c>
      <c r="D42" s="275">
        <f>Table11234579[[#This Row],[a (mm)]]/Table11234579[[#This Row],[d (mm)]]</f>
        <v>3.2432432432432434</v>
      </c>
      <c r="E42" s="286">
        <f>1299/2</f>
        <v>649.5</v>
      </c>
      <c r="F42" s="137">
        <f>Table11234579[[#This Row],[d (mm)]]</f>
        <v>925</v>
      </c>
      <c r="G42" s="111">
        <f t="shared" si="5"/>
        <v>1948500</v>
      </c>
      <c r="H42" s="111">
        <f t="shared" si="0"/>
        <v>2.9593594554653501E-6</v>
      </c>
      <c r="I42" s="111">
        <f>G42/(Table11234579[[#This Row],[b (mm)]]*AA42^2)</f>
        <v>7.5909422936449962E-3</v>
      </c>
      <c r="J42" s="111">
        <f t="shared" si="1"/>
        <v>1.3647466708691198</v>
      </c>
      <c r="K42" s="111">
        <f t="shared" si="2"/>
        <v>2.2985947294221813E-6</v>
      </c>
      <c r="L42" s="111">
        <f>E42/(Table11234579[[#This Row],[b (mm)]]*AA42)</f>
        <v>2.3405405405405406E-3</v>
      </c>
      <c r="M42" s="111">
        <f>Table11234579[[#This Row],[M (KN.mm)]]/(Table11234579[[#This Row],[b (mm)]]*Table11234579[[#This Row],[d (mm)]])</f>
        <v>7.0216216216216214</v>
      </c>
      <c r="N42" s="111">
        <f>Table11234579[[#This Row],[M (KN.mm)]]/(Table11234579[[#This Row],[b (mm)]]*Table11234579[[#This Row],[h (mm)]])</f>
        <v>6.4950000000000001</v>
      </c>
      <c r="O42" s="111">
        <f>Table11234579[[#This Row],[M (KN.mm)]]/(Table11234579[[#This Row],[b (mm)]]*Table11234579[[#This Row],[h (mm)]]*Table11234579[[#This Row],[L(mm)]])</f>
        <v>1.0824999999999999E-3</v>
      </c>
      <c r="P42" s="111">
        <f>Table11234579[[#This Row],[M (KN.mm)]]/(Table11234579[[#This Row],[b (mm)]]*Table11234579[[#This Row],[d (mm)]]*Table11234579[[#This Row],[L(mm)]])</f>
        <v>1.1702702702702703E-3</v>
      </c>
      <c r="Q42" s="111">
        <f>Table11234579[[#This Row],[M (KN.mm)]]/(Table11234579[[#This Row],[b (mm)]]*Table11234579[[#This Row],[h (mm)]]*Table11234579[[#This Row],[L(mm)]]*Table11234579[[#This Row],[fc (Mpa)]])</f>
        <v>1.8663793103448276E-5</v>
      </c>
      <c r="R42" s="111">
        <f>Table11234579[[#This Row],[M (KN.mm)]]/(Table11234579[[#This Row],[b (mm)]]*Table11234579[[#This Row],[h (mm)]]*Table11234579[[#This Row],[L(mm)]]/2)</f>
        <v>2.1649999999999998E-3</v>
      </c>
      <c r="S42" s="111">
        <f>Table11234579[[#This Row],[M (KN.mm)]]/(Table11234579[[#This Row],[a (mm)]]*Table11234579[[#This Row],[b (mm)]]*Table11234579[[#This Row],[h (mm)]]*Table11234579[[#This Row],[L(mm)]]/2)</f>
        <v>7.2166666666666671E-7</v>
      </c>
      <c r="T42" s="111">
        <f>Table11234579[[#This Row],[M (KN.mm)]]/(Table11234579[[#This Row],[a (mm)]]^2*Table11234579[[#This Row],[b (mm)]]*Table11234579[[#This Row],[h (mm)]])</f>
        <v>7.2166666666666671E-7</v>
      </c>
      <c r="U42" s="111">
        <f>Table11234579[[#This Row],[M (KN.mm)]]/(Table11234579[[#This Row],[b (mm)]]*Table11234579[[#This Row],[d (mm)]]*Table11234579[[#This Row],[pho (%)]])</f>
        <v>7.164920022062879</v>
      </c>
      <c r="V42" s="111">
        <f>E42*224.8/(2*SQRT(Table11234579[[#This Row],[fc (Mpa)]]*145.037)*Table11234579[[#This Row],[b (mm)]]*Table11234579[[#This Row],[d (mm)]]*(1/25.4)^2)</f>
        <v>1.8505316256698086</v>
      </c>
      <c r="W42" s="111">
        <f>Table11234579[[#This Row],[M (KN.mm)]]/$G$43</f>
        <v>0.96150999259807546</v>
      </c>
      <c r="X42" s="111">
        <f>Table11234579[[#This Row],[V/(2*sqrt(fc) bd)]]</f>
        <v>1.8505316256698086</v>
      </c>
      <c r="Y42" s="111">
        <f>2*SQRT(Table11234579[[#This Row],[fc (Mpa)]]*145.037)/Table11234579[[#This Row],[pho (%)]]*Table11234579[[#This Row],[L(mm)]]/4*1/(224.8*25.4^2)</f>
        <v>1.9359085580257249</v>
      </c>
      <c r="Z42" s="111">
        <v>3000</v>
      </c>
      <c r="AA42" s="111">
        <v>925</v>
      </c>
      <c r="AB42" s="111">
        <v>1000</v>
      </c>
      <c r="AC42" s="111">
        <v>300</v>
      </c>
      <c r="AD42" s="7">
        <v>58</v>
      </c>
      <c r="AE42" s="111">
        <f>Table11234579[[#This Row],[pho (%)]]*Table11234579[[#This Row],[b (mm)]]*Table11234579[[#This Row],[h (mm)]]/100</f>
        <v>2940</v>
      </c>
      <c r="AF42" s="160">
        <f t="shared" si="4"/>
        <v>0.98</v>
      </c>
      <c r="AG42" s="160">
        <v>525</v>
      </c>
      <c r="AH42" s="111">
        <f>(1/3-0.21*(MIN(Table11234579[[#This Row],[b (mm)]],AB42)/MAX(Table11234579[[#This Row],[b (mm)]],AB42))*(MIN(Table11234579[[#This Row],[b (mm)]],AB42)^4/(12*MAX(Table11234579[[#This Row],[b (mm)]],AB42)^4)))*MAX(Table11234579[[#This Row],[b (mm)]],AB42)*MIN(Table11234579[[#This Row],[b (mm)]],AB42)^3</f>
        <v>8998851825</v>
      </c>
      <c r="AI42" s="111">
        <f>Table11234579[[#This Row],[b (mm)]]*AB42^3/12</f>
        <v>25000000000</v>
      </c>
      <c r="AJ42" s="111">
        <v>6000</v>
      </c>
      <c r="AK42" s="139"/>
      <c r="AL42" s="139"/>
      <c r="AM42" s="139"/>
      <c r="AN42" s="139"/>
      <c r="AO42" s="139"/>
      <c r="AP42" s="139"/>
      <c r="AQ42" s="139"/>
      <c r="AR42" s="1"/>
      <c r="AS42" s="1"/>
    </row>
    <row r="43" spans="1:45" x14ac:dyDescent="0.3">
      <c r="A43" s="163" t="s">
        <v>191</v>
      </c>
      <c r="B43" s="285" t="s">
        <v>192</v>
      </c>
      <c r="C43" s="285">
        <v>42</v>
      </c>
      <c r="D43" s="275">
        <f>Table11234579[[#This Row],[a (mm)]]/Table11234579[[#This Row],[d (mm)]]</f>
        <v>3.2432432432432434</v>
      </c>
      <c r="E43" s="286">
        <f>1351/2</f>
        <v>675.5</v>
      </c>
      <c r="F43" s="137">
        <f>Table11234579[[#This Row],[d (mm)]]</f>
        <v>925</v>
      </c>
      <c r="G43" s="111">
        <f>E43*Z43</f>
        <v>2026500</v>
      </c>
      <c r="H43" s="111">
        <f t="shared" si="0"/>
        <v>3.0778249609959107E-6</v>
      </c>
      <c r="I43" s="111">
        <f>G43/(Table11234579[[#This Row],[b (mm)]]*AA43^2)</f>
        <v>7.8948137326515701E-3</v>
      </c>
      <c r="J43" s="111">
        <f t="shared" si="1"/>
        <v>1.4193785622357051</v>
      </c>
      <c r="K43" s="111">
        <f>E43/($AM$4*AH43*0.001)</f>
        <v>2.3906092990372339E-6</v>
      </c>
      <c r="L43" s="111">
        <f>E43/(Table11234579[[#This Row],[b (mm)]]*AA43)</f>
        <v>2.4342342342342344E-3</v>
      </c>
      <c r="M43" s="111">
        <f>Table11234579[[#This Row],[M (KN.mm)]]/(Table11234579[[#This Row],[b (mm)]]*Table11234579[[#This Row],[d (mm)]])</f>
        <v>7.3027027027027023</v>
      </c>
      <c r="N43" s="111">
        <f>Table11234579[[#This Row],[M (KN.mm)]]/(Table11234579[[#This Row],[b (mm)]]*Table11234579[[#This Row],[h (mm)]])</f>
        <v>6.7549999999999999</v>
      </c>
      <c r="O43" s="111">
        <f>Table11234579[[#This Row],[M (KN.mm)]]/(Table11234579[[#This Row],[b (mm)]]*Table11234579[[#This Row],[h (mm)]]*Table11234579[[#This Row],[L(mm)]])</f>
        <v>1.1258333333333333E-3</v>
      </c>
      <c r="P43" s="111">
        <f>Table11234579[[#This Row],[M (KN.mm)]]/(Table11234579[[#This Row],[b (mm)]]*Table11234579[[#This Row],[d (mm)]]*Table11234579[[#This Row],[L(mm)]])</f>
        <v>1.2171171171171172E-3</v>
      </c>
      <c r="Q43" s="111">
        <f>Table11234579[[#This Row],[M (KN.mm)]]/(Table11234579[[#This Row],[b (mm)]]*Table11234579[[#This Row],[h (mm)]]*Table11234579[[#This Row],[L(mm)]]*Table11234579[[#This Row],[fc (Mpa)]])</f>
        <v>1.9410919540229885E-5</v>
      </c>
      <c r="R43" s="111">
        <f>Table11234579[[#This Row],[M (KN.mm)]]/(Table11234579[[#This Row],[b (mm)]]*Table11234579[[#This Row],[h (mm)]]*Table11234579[[#This Row],[L(mm)]]/2)</f>
        <v>2.2516666666666666E-3</v>
      </c>
      <c r="S43" s="111">
        <f>Table11234579[[#This Row],[M (KN.mm)]]/(Table11234579[[#This Row],[a (mm)]]*Table11234579[[#This Row],[b (mm)]]*Table11234579[[#This Row],[h (mm)]]*Table11234579[[#This Row],[L(mm)]]/2)</f>
        <v>7.5055555555555556E-7</v>
      </c>
      <c r="T43" s="111">
        <f>Table11234579[[#This Row],[M (KN.mm)]]/(Table11234579[[#This Row],[a (mm)]]^2*Table11234579[[#This Row],[b (mm)]]*Table11234579[[#This Row],[h (mm)]])</f>
        <v>7.5055555555555556E-7</v>
      </c>
      <c r="U43" s="111">
        <f>Table11234579[[#This Row],[M (KN.mm)]]/(Table11234579[[#This Row],[b (mm)]]*Table11234579[[#This Row],[d (mm)]]*Table11234579[[#This Row],[pho (%)]])</f>
        <v>7.4517374517374515</v>
      </c>
      <c r="V43" s="111">
        <f>E43*224.8/(2*SQRT(Table11234579[[#This Row],[fc (Mpa)]]*145.037)*Table11234579[[#This Row],[b (mm)]]*Table11234579[[#This Row],[d (mm)]]*(1/25.4)^2)</f>
        <v>1.9246098739645199</v>
      </c>
      <c r="W43" s="111">
        <f>Table11234579[[#This Row],[M (KN.mm)]]/$G$43</f>
        <v>1</v>
      </c>
      <c r="X43" s="111">
        <f>Table11234579[[#This Row],[V/(2*sqrt(fc) bd)]]</f>
        <v>1.9246098739645199</v>
      </c>
      <c r="Y43" s="111">
        <f>2*SQRT(Table11234579[[#This Row],[fc (Mpa)]]*145.037)/Table11234579[[#This Row],[pho (%)]]*Table11234579[[#This Row],[L(mm)]]/4*1/(224.8*25.4^2)</f>
        <v>1.9359085580257249</v>
      </c>
      <c r="Z43" s="111">
        <v>3000</v>
      </c>
      <c r="AA43" s="111">
        <v>925</v>
      </c>
      <c r="AB43" s="111">
        <v>1000</v>
      </c>
      <c r="AC43" s="111">
        <v>300</v>
      </c>
      <c r="AD43" s="7">
        <v>58</v>
      </c>
      <c r="AE43" s="111">
        <f>Table11234579[[#This Row],[pho (%)]]*Table11234579[[#This Row],[b (mm)]]*Table11234579[[#This Row],[h (mm)]]/100</f>
        <v>2940</v>
      </c>
      <c r="AF43" s="160">
        <f t="shared" si="4"/>
        <v>0.98</v>
      </c>
      <c r="AG43" s="160">
        <v>525</v>
      </c>
      <c r="AH43" s="111">
        <f>(1/3-0.21*(MIN(Table11234579[[#This Row],[b (mm)]],AB43)/MAX(Table11234579[[#This Row],[b (mm)]],AB43))*(MIN(Table11234579[[#This Row],[b (mm)]],AB43)^4/(12*MAX(Table11234579[[#This Row],[b (mm)]],AB43)^4)))*MAX(Table11234579[[#This Row],[b (mm)]],AB43)*MIN(Table11234579[[#This Row],[b (mm)]],AB43)^3</f>
        <v>8998851825</v>
      </c>
      <c r="AI43" s="111">
        <f>Table11234579[[#This Row],[b (mm)]]*AB43^3/12</f>
        <v>25000000000</v>
      </c>
      <c r="AJ43" s="111">
        <v>6000</v>
      </c>
      <c r="AK43" s="139"/>
      <c r="AL43" s="139"/>
      <c r="AM43" s="139"/>
      <c r="AN43" s="139"/>
      <c r="AO43" s="139"/>
      <c r="AP43" s="139"/>
      <c r="AQ43" s="139"/>
      <c r="AR43" s="1"/>
      <c r="AS43" s="1"/>
    </row>
    <row r="44" spans="1:45" customFormat="1" x14ac:dyDescent="0.3">
      <c r="B44" s="1"/>
      <c r="C44" s="1"/>
      <c r="D44" s="177"/>
      <c r="E44" s="177"/>
    </row>
    <row r="45" spans="1:45" x14ac:dyDescent="0.3">
      <c r="A45"/>
      <c r="B45" s="1"/>
      <c r="C45" s="1"/>
      <c r="D45" s="177"/>
      <c r="E45" s="177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 s="139"/>
      <c r="AP45" s="139"/>
      <c r="AQ45" s="139"/>
      <c r="AR45" s="1"/>
      <c r="AS45" s="1"/>
    </row>
    <row r="46" spans="1:45" x14ac:dyDescent="0.3">
      <c r="A46"/>
      <c r="B46" s="1"/>
      <c r="C46" s="1"/>
      <c r="D46" s="177"/>
      <c r="E46" s="177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 s="139"/>
      <c r="AP46" s="139"/>
      <c r="AQ46" s="139"/>
      <c r="AR46" s="1"/>
      <c r="AS46" s="1"/>
    </row>
    <row r="47" spans="1:45" x14ac:dyDescent="0.3">
      <c r="A47"/>
      <c r="B47" s="1"/>
      <c r="C47" s="1"/>
      <c r="D47" s="177"/>
      <c r="E47" s="17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 s="139"/>
      <c r="AP47" s="139"/>
      <c r="AQ47" s="139"/>
      <c r="AR47" s="1"/>
      <c r="AS47" s="1"/>
    </row>
    <row r="48" spans="1:45" x14ac:dyDescent="0.3">
      <c r="A48"/>
      <c r="B48" s="1"/>
      <c r="C48" s="1"/>
      <c r="D48" s="177"/>
      <c r="E48" s="177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 s="139"/>
      <c r="AP48" s="139"/>
      <c r="AQ48" s="139"/>
      <c r="AR48" s="1"/>
      <c r="AS48" s="1"/>
    </row>
    <row r="49" spans="1:45" x14ac:dyDescent="0.3">
      <c r="A49"/>
      <c r="B49" s="1"/>
      <c r="C49" s="1"/>
      <c r="D49" s="177"/>
      <c r="E49" s="177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 s="139"/>
      <c r="AP49" s="139"/>
      <c r="AQ49" s="139"/>
      <c r="AR49" s="1"/>
      <c r="AS49" s="1"/>
    </row>
    <row r="50" spans="1:45" x14ac:dyDescent="0.3">
      <c r="A50"/>
      <c r="B50" s="1"/>
      <c r="C50" s="1"/>
      <c r="D50" s="177"/>
      <c r="E50" s="177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 s="139"/>
      <c r="AP50" s="139"/>
      <c r="AQ50" s="139"/>
      <c r="AR50" s="1"/>
      <c r="AS50" s="1"/>
    </row>
    <row r="51" spans="1:45" x14ac:dyDescent="0.3">
      <c r="A51"/>
      <c r="B51" s="1"/>
      <c r="C51" s="1"/>
      <c r="D51" s="177"/>
      <c r="E51" s="177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 s="139"/>
      <c r="AP51" s="139"/>
      <c r="AQ51" s="139"/>
      <c r="AR51" s="1"/>
      <c r="AS51" s="1"/>
    </row>
    <row r="52" spans="1:45" x14ac:dyDescent="0.3">
      <c r="A52"/>
      <c r="B52" s="1"/>
      <c r="C52" s="1"/>
      <c r="D52" s="177"/>
      <c r="E52" s="177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s="139"/>
      <c r="AP52" s="139"/>
      <c r="AQ52" s="139"/>
      <c r="AR52" s="1"/>
      <c r="AS52" s="1"/>
    </row>
    <row r="53" spans="1:45" x14ac:dyDescent="0.3">
      <c r="A53"/>
      <c r="B53" s="1"/>
      <c r="C53" s="1"/>
      <c r="D53" s="177"/>
      <c r="E53" s="177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 s="139"/>
      <c r="AP53" s="139"/>
      <c r="AQ53" s="139"/>
      <c r="AR53" s="1"/>
      <c r="AS53" s="1"/>
    </row>
    <row r="54" spans="1:45" x14ac:dyDescent="0.3">
      <c r="A54"/>
      <c r="B54" s="1"/>
      <c r="C54" s="1"/>
      <c r="D54" s="177"/>
      <c r="E54" s="177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105"/>
      <c r="AP54" s="105"/>
      <c r="AQ54" s="105"/>
    </row>
    <row r="55" spans="1:45" x14ac:dyDescent="0.3">
      <c r="A55"/>
      <c r="B55" s="1"/>
      <c r="C55" s="1"/>
      <c r="D55" s="177"/>
      <c r="E55" s="177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105"/>
      <c r="AP55" s="105"/>
      <c r="AQ55" s="105"/>
    </row>
    <row r="56" spans="1:45" x14ac:dyDescent="0.3">
      <c r="A56"/>
      <c r="B56" s="1"/>
      <c r="C56" s="1"/>
      <c r="D56" s="177"/>
      <c r="E56" s="177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105"/>
      <c r="AP56" s="105"/>
      <c r="AQ56" s="105"/>
    </row>
    <row r="57" spans="1:45" x14ac:dyDescent="0.3">
      <c r="A57"/>
      <c r="B57" s="1"/>
      <c r="C57" s="1"/>
      <c r="D57" s="177"/>
      <c r="E57" s="17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</row>
    <row r="58" spans="1:45" x14ac:dyDescent="0.3">
      <c r="A58"/>
      <c r="B58" s="1"/>
      <c r="C58" s="1"/>
      <c r="D58" s="177"/>
      <c r="E58" s="177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</row>
    <row r="59" spans="1:45" x14ac:dyDescent="0.3">
      <c r="A59"/>
      <c r="B59" s="1"/>
      <c r="C59" s="1"/>
      <c r="D59" s="177"/>
      <c r="E59" s="177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</row>
    <row r="60" spans="1:45" x14ac:dyDescent="0.3">
      <c r="A60"/>
      <c r="B60" s="1"/>
      <c r="C60" s="1"/>
      <c r="D60" s="177"/>
      <c r="E60" s="177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</row>
    <row r="61" spans="1:45" x14ac:dyDescent="0.3">
      <c r="A61"/>
      <c r="B61" s="1"/>
      <c r="C61" s="1"/>
      <c r="D61" s="177"/>
      <c r="E61" s="177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</row>
    <row r="62" spans="1:45" x14ac:dyDescent="0.3">
      <c r="A62"/>
      <c r="B62" s="1"/>
      <c r="C62" s="1"/>
      <c r="D62" s="177"/>
      <c r="E62" s="177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</row>
    <row r="63" spans="1:45" x14ac:dyDescent="0.3">
      <c r="A63"/>
      <c r="B63" s="1"/>
      <c r="C63" s="1"/>
      <c r="D63" s="177"/>
      <c r="E63" s="177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</row>
    <row r="64" spans="1:45" s="1" customFormat="1" x14ac:dyDescent="0.3">
      <c r="A64"/>
      <c r="D64" s="177"/>
      <c r="E64" s="177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</row>
    <row r="65" spans="1:40" s="1" customFormat="1" x14ac:dyDescent="0.3">
      <c r="A65"/>
      <c r="D65" s="177"/>
      <c r="E65" s="177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</row>
    <row r="66" spans="1:40" s="1" customFormat="1" x14ac:dyDescent="0.3">
      <c r="A66"/>
      <c r="D66" s="177"/>
      <c r="E66" s="177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</row>
    <row r="67" spans="1:40" x14ac:dyDescent="0.3">
      <c r="A67"/>
      <c r="B67" s="1"/>
      <c r="C67" s="1"/>
      <c r="D67" s="177"/>
      <c r="E67" s="17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</row>
    <row r="68" spans="1:40" x14ac:dyDescent="0.3">
      <c r="A68"/>
      <c r="B68" s="1"/>
      <c r="C68" s="1"/>
      <c r="D68" s="177"/>
      <c r="E68" s="177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</row>
    <row r="69" spans="1:40" x14ac:dyDescent="0.3">
      <c r="A69"/>
      <c r="B69" s="1"/>
      <c r="C69" s="1"/>
      <c r="D69" s="177"/>
      <c r="E69" s="177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</row>
    <row r="70" spans="1:40" x14ac:dyDescent="0.3">
      <c r="A70"/>
      <c r="B70" s="1"/>
      <c r="C70" s="1"/>
      <c r="D70" s="177"/>
      <c r="E70" s="177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</row>
    <row r="71" spans="1:40" x14ac:dyDescent="0.3">
      <c r="A71"/>
      <c r="B71" s="1"/>
      <c r="C71" s="1"/>
      <c r="D71" s="177"/>
      <c r="E71" s="177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</row>
    <row r="72" spans="1:40" x14ac:dyDescent="0.3">
      <c r="A72"/>
      <c r="B72" s="1"/>
      <c r="C72" s="1"/>
      <c r="D72" s="177"/>
      <c r="E72" s="177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</row>
    <row r="73" spans="1:40" x14ac:dyDescent="0.3">
      <c r="A73"/>
      <c r="B73" s="1"/>
      <c r="C73" s="1"/>
      <c r="D73" s="177"/>
      <c r="E73" s="177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</row>
    <row r="74" spans="1:40" x14ac:dyDescent="0.3">
      <c r="A74"/>
      <c r="B74" s="1"/>
      <c r="C74" s="1"/>
      <c r="D74" s="177"/>
      <c r="E74" s="177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</row>
    <row r="75" spans="1:40" x14ac:dyDescent="0.3">
      <c r="A75"/>
      <c r="B75" s="1"/>
      <c r="C75" s="1"/>
      <c r="D75" s="177"/>
      <c r="E75" s="177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</row>
    <row r="76" spans="1:40" x14ac:dyDescent="0.3">
      <c r="A76"/>
      <c r="B76" s="1"/>
      <c r="C76" s="1"/>
      <c r="D76" s="177"/>
      <c r="E76" s="177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</row>
    <row r="77" spans="1:40" x14ac:dyDescent="0.3">
      <c r="A77"/>
      <c r="B77" s="1"/>
      <c r="C77" s="1"/>
      <c r="D77" s="177"/>
      <c r="E77" s="1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</row>
    <row r="78" spans="1:40" x14ac:dyDescent="0.3">
      <c r="A78"/>
      <c r="B78" s="1"/>
      <c r="C78" s="1"/>
      <c r="D78" s="177"/>
      <c r="E78" s="177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</row>
    <row r="79" spans="1:40" x14ac:dyDescent="0.3">
      <c r="A79"/>
      <c r="B79" s="1"/>
      <c r="C79" s="1"/>
      <c r="D79" s="177"/>
      <c r="E79" s="177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</row>
    <row r="80" spans="1:40" x14ac:dyDescent="0.3">
      <c r="A80"/>
      <c r="B80" s="1"/>
      <c r="C80" s="1"/>
      <c r="D80" s="177"/>
      <c r="E80" s="177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</row>
    <row r="81" spans="1:40" x14ac:dyDescent="0.3">
      <c r="A81"/>
      <c r="B81" s="1"/>
      <c r="C81" s="1"/>
      <c r="D81" s="177"/>
      <c r="E81" s="177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</row>
    <row r="82" spans="1:40" x14ac:dyDescent="0.3">
      <c r="A82"/>
      <c r="B82" s="1"/>
      <c r="C82" s="1"/>
      <c r="D82" s="177"/>
      <c r="E82" s="177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</row>
    <row r="83" spans="1:40" x14ac:dyDescent="0.3">
      <c r="A83"/>
      <c r="B83" s="1"/>
      <c r="C83" s="1"/>
      <c r="D83" s="177"/>
      <c r="E83" s="177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1:40" x14ac:dyDescent="0.3">
      <c r="A84"/>
      <c r="B84" s="1"/>
      <c r="C84" s="1"/>
      <c r="D84" s="177"/>
      <c r="E84" s="177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1:40" x14ac:dyDescent="0.3">
      <c r="A85"/>
      <c r="B85" s="1"/>
      <c r="C85" s="1"/>
      <c r="D85" s="177"/>
      <c r="E85" s="177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1:40" x14ac:dyDescent="0.3">
      <c r="A86"/>
      <c r="B86" s="1"/>
      <c r="C86" s="1"/>
      <c r="D86" s="177"/>
      <c r="E86" s="177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1:40" x14ac:dyDescent="0.3">
      <c r="A87"/>
      <c r="B87" s="1"/>
      <c r="C87" s="1"/>
      <c r="D87" s="177"/>
      <c r="E87" s="17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1:40" x14ac:dyDescent="0.3">
      <c r="A88"/>
      <c r="B88" s="1"/>
      <c r="C88" s="1"/>
      <c r="D88" s="177"/>
      <c r="E88" s="177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1:40" x14ac:dyDescent="0.3">
      <c r="A89"/>
      <c r="B89" s="1"/>
      <c r="C89" s="1"/>
      <c r="D89" s="177"/>
      <c r="E89" s="177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1:40" x14ac:dyDescent="0.3">
      <c r="A90"/>
      <c r="B90" s="1"/>
      <c r="C90" s="1"/>
      <c r="D90" s="177"/>
      <c r="E90" s="177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1:40" x14ac:dyDescent="0.3">
      <c r="A91"/>
      <c r="B91" s="1"/>
      <c r="C91" s="1"/>
      <c r="D91" s="177"/>
      <c r="E91" s="177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1:40" x14ac:dyDescent="0.3">
      <c r="A92"/>
      <c r="B92" s="1"/>
      <c r="C92" s="1"/>
      <c r="D92" s="177"/>
      <c r="E92" s="177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1:40" x14ac:dyDescent="0.3">
      <c r="A93"/>
      <c r="B93" s="1"/>
      <c r="C93" s="1"/>
      <c r="D93" s="177"/>
      <c r="E93" s="177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</row>
    <row r="94" spans="1:40" x14ac:dyDescent="0.3">
      <c r="A94"/>
      <c r="B94" s="1"/>
      <c r="C94" s="1"/>
      <c r="D94" s="177"/>
      <c r="E94" s="177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</row>
    <row r="95" spans="1:40" x14ac:dyDescent="0.3">
      <c r="A95"/>
      <c r="B95" s="1"/>
      <c r="C95" s="1"/>
      <c r="D95" s="177"/>
      <c r="E95" s="177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</row>
    <row r="96" spans="1:40" x14ac:dyDescent="0.3">
      <c r="A96"/>
      <c r="B96" s="1"/>
      <c r="C96" s="1"/>
      <c r="D96" s="177"/>
      <c r="E96" s="177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 x14ac:dyDescent="0.3">
      <c r="A97"/>
      <c r="B97" s="1"/>
      <c r="C97" s="1"/>
      <c r="D97" s="177"/>
      <c r="E97" s="17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 x14ac:dyDescent="0.3">
      <c r="A98"/>
      <c r="B98" s="1"/>
      <c r="C98" s="1"/>
      <c r="D98" s="177"/>
      <c r="E98" s="177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 x14ac:dyDescent="0.3">
      <c r="A99"/>
      <c r="B99" s="1"/>
      <c r="C99" s="1"/>
      <c r="D99" s="177"/>
      <c r="E99" s="177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 x14ac:dyDescent="0.3">
      <c r="A100"/>
      <c r="B100" s="1"/>
      <c r="C100" s="1"/>
      <c r="D100" s="177"/>
      <c r="E100" s="177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 x14ac:dyDescent="0.3">
      <c r="A101"/>
      <c r="B101" s="1"/>
      <c r="C101" s="1"/>
      <c r="D101" s="177"/>
      <c r="E101" s="177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 x14ac:dyDescent="0.3">
      <c r="A102"/>
      <c r="B102" s="1"/>
      <c r="C102" s="1"/>
      <c r="D102" s="177"/>
      <c r="E102" s="177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 x14ac:dyDescent="0.3">
      <c r="A103"/>
      <c r="B103" s="1"/>
      <c r="C103" s="1"/>
      <c r="D103" s="177"/>
      <c r="E103" s="177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 x14ac:dyDescent="0.3">
      <c r="A104"/>
      <c r="B104" s="1"/>
      <c r="C104" s="1"/>
      <c r="D104" s="177"/>
      <c r="E104" s="177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 x14ac:dyDescent="0.3">
      <c r="A105"/>
      <c r="B105" s="1"/>
      <c r="C105" s="1"/>
      <c r="D105" s="177"/>
      <c r="E105" s="177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 x14ac:dyDescent="0.3">
      <c r="A106"/>
      <c r="B106" s="1"/>
      <c r="C106" s="1"/>
      <c r="D106" s="177"/>
      <c r="E106" s="177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 x14ac:dyDescent="0.3">
      <c r="A107"/>
      <c r="B107" s="1"/>
      <c r="C107" s="1"/>
      <c r="D107" s="177"/>
      <c r="E107" s="17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 x14ac:dyDescent="0.3">
      <c r="A108"/>
      <c r="B108" s="1"/>
      <c r="C108" s="1"/>
      <c r="D108" s="177"/>
      <c r="E108" s="177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 x14ac:dyDescent="0.3">
      <c r="A109"/>
      <c r="B109" s="1"/>
      <c r="C109" s="1"/>
      <c r="D109" s="177"/>
      <c r="E109" s="177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 x14ac:dyDescent="0.3">
      <c r="A110"/>
      <c r="B110" s="1"/>
      <c r="C110" s="1"/>
      <c r="D110" s="177"/>
      <c r="E110" s="177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 x14ac:dyDescent="0.3">
      <c r="A111"/>
      <c r="B111" s="1"/>
      <c r="C111" s="1"/>
      <c r="D111" s="177"/>
      <c r="E111" s="177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 x14ac:dyDescent="0.3">
      <c r="A112"/>
      <c r="B112" s="1"/>
      <c r="C112" s="1"/>
      <c r="D112" s="177"/>
      <c r="E112" s="177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1:40" x14ac:dyDescent="0.3">
      <c r="A113"/>
      <c r="B113" s="1"/>
      <c r="C113" s="1"/>
      <c r="D113" s="177"/>
      <c r="E113" s="177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</row>
    <row r="114" spans="1:40" x14ac:dyDescent="0.3">
      <c r="A114"/>
      <c r="B114" s="1"/>
      <c r="C114" s="1"/>
      <c r="D114" s="177"/>
      <c r="E114" s="177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</row>
    <row r="115" spans="1:40" x14ac:dyDescent="0.3">
      <c r="A115"/>
      <c r="B115" s="1"/>
      <c r="C115" s="1"/>
      <c r="D115" s="177"/>
      <c r="E115" s="177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</row>
    <row r="116" spans="1:40" x14ac:dyDescent="0.3">
      <c r="A116"/>
      <c r="B116" s="1"/>
      <c r="C116" s="1"/>
      <c r="D116" s="177"/>
      <c r="E116" s="177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</row>
    <row r="117" spans="1:40" x14ac:dyDescent="0.3">
      <c r="A117"/>
      <c r="B117" s="1"/>
      <c r="C117" s="1"/>
      <c r="D117" s="177"/>
      <c r="E117" s="17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</row>
    <row r="118" spans="1:40" x14ac:dyDescent="0.3">
      <c r="A118"/>
      <c r="B118" s="1"/>
      <c r="C118" s="1"/>
      <c r="D118" s="177"/>
      <c r="E118" s="177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</row>
    <row r="119" spans="1:40" x14ac:dyDescent="0.3">
      <c r="A119"/>
      <c r="B119" s="1"/>
      <c r="C119" s="1"/>
      <c r="D119" s="177"/>
      <c r="E119" s="177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</row>
    <row r="120" spans="1:40" x14ac:dyDescent="0.3">
      <c r="A120"/>
      <c r="B120" s="1"/>
      <c r="C120" s="1"/>
      <c r="D120" s="177"/>
      <c r="E120" s="177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</row>
    <row r="121" spans="1:40" x14ac:dyDescent="0.3">
      <c r="A121"/>
      <c r="B121" s="1"/>
      <c r="C121" s="1"/>
      <c r="D121" s="177"/>
      <c r="E121" s="177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</row>
    <row r="122" spans="1:40" x14ac:dyDescent="0.3">
      <c r="A122"/>
      <c r="B122" s="1"/>
      <c r="C122" s="1"/>
      <c r="D122" s="177"/>
      <c r="E122" s="177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</row>
    <row r="123" spans="1:40" x14ac:dyDescent="0.3">
      <c r="A123"/>
      <c r="B123" s="1"/>
      <c r="C123" s="1"/>
      <c r="D123" s="177"/>
      <c r="E123" s="177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</row>
    <row r="124" spans="1:40" x14ac:dyDescent="0.3">
      <c r="A124"/>
      <c r="B124" s="1"/>
      <c r="C124" s="1"/>
      <c r="D124" s="177"/>
      <c r="E124" s="177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</row>
    <row r="125" spans="1:40" x14ac:dyDescent="0.3">
      <c r="A125"/>
      <c r="B125" s="1"/>
      <c r="C125" s="1"/>
      <c r="D125" s="177"/>
      <c r="E125" s="177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</row>
    <row r="126" spans="1:40" x14ac:dyDescent="0.3">
      <c r="A126"/>
      <c r="B126" s="1"/>
      <c r="C126" s="1"/>
      <c r="D126" s="177"/>
      <c r="E126" s="177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</row>
    <row r="127" spans="1:40" x14ac:dyDescent="0.3">
      <c r="A127"/>
      <c r="B127" s="1"/>
      <c r="C127" s="1"/>
      <c r="D127" s="177"/>
      <c r="E127" s="17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</row>
    <row r="128" spans="1:40" x14ac:dyDescent="0.3">
      <c r="A128"/>
      <c r="B128" s="1"/>
      <c r="C128" s="1"/>
      <c r="D128" s="177"/>
      <c r="E128" s="177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</row>
    <row r="129" spans="1:40" x14ac:dyDescent="0.3">
      <c r="A129"/>
      <c r="B129" s="1"/>
      <c r="C129" s="1"/>
      <c r="D129" s="177"/>
      <c r="E129" s="177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 x14ac:dyDescent="0.3">
      <c r="A130"/>
      <c r="B130" s="1"/>
      <c r="C130" s="1"/>
      <c r="D130" s="177"/>
      <c r="E130" s="177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 x14ac:dyDescent="0.3">
      <c r="A131"/>
      <c r="B131" s="1"/>
      <c r="C131" s="1"/>
      <c r="D131" s="177"/>
      <c r="E131" s="177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 x14ac:dyDescent="0.3">
      <c r="A132"/>
      <c r="B132" s="1"/>
      <c r="C132" s="1"/>
      <c r="D132" s="177"/>
      <c r="E132" s="177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 x14ac:dyDescent="0.3">
      <c r="A133"/>
      <c r="B133" s="1"/>
      <c r="C133" s="1"/>
      <c r="D133" s="177"/>
      <c r="E133" s="177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 x14ac:dyDescent="0.3">
      <c r="A134"/>
      <c r="B134" s="1"/>
      <c r="C134" s="1"/>
      <c r="D134" s="177"/>
      <c r="E134" s="177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 x14ac:dyDescent="0.3">
      <c r="A135"/>
      <c r="B135" s="1"/>
      <c r="C135" s="1"/>
      <c r="D135" s="177"/>
      <c r="E135" s="177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 x14ac:dyDescent="0.3">
      <c r="A136"/>
      <c r="B136" s="1"/>
      <c r="C136" s="1"/>
      <c r="D136" s="177"/>
      <c r="E136" s="177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 x14ac:dyDescent="0.3">
      <c r="A137"/>
      <c r="B137" s="1"/>
      <c r="C137" s="1"/>
      <c r="D137" s="177"/>
      <c r="E137" s="17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 x14ac:dyDescent="0.3">
      <c r="A138"/>
      <c r="B138" s="1"/>
      <c r="C138" s="1"/>
      <c r="D138" s="177"/>
      <c r="E138" s="177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 x14ac:dyDescent="0.3">
      <c r="A139"/>
      <c r="B139" s="1"/>
      <c r="C139" s="1"/>
      <c r="D139" s="177"/>
      <c r="E139" s="177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 x14ac:dyDescent="0.3">
      <c r="A140"/>
      <c r="B140" s="1"/>
      <c r="C140" s="1"/>
      <c r="D140" s="177"/>
      <c r="E140" s="177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 x14ac:dyDescent="0.3">
      <c r="A141"/>
      <c r="B141" s="1"/>
      <c r="C141" s="1"/>
      <c r="D141" s="177"/>
      <c r="E141" s="177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 x14ac:dyDescent="0.3">
      <c r="A142"/>
      <c r="B142" s="1"/>
      <c r="C142" s="1"/>
      <c r="D142" s="177"/>
      <c r="E142" s="177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 x14ac:dyDescent="0.3">
      <c r="A143"/>
      <c r="B143" s="1"/>
      <c r="C143" s="1"/>
      <c r="D143" s="177"/>
      <c r="E143" s="177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 x14ac:dyDescent="0.3">
      <c r="A144"/>
      <c r="B144" s="1"/>
      <c r="C144" s="1"/>
      <c r="D144" s="177"/>
      <c r="E144" s="177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 x14ac:dyDescent="0.3">
      <c r="A145"/>
      <c r="B145" s="1"/>
      <c r="C145" s="1"/>
      <c r="D145" s="177"/>
      <c r="E145" s="177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 x14ac:dyDescent="0.3">
      <c r="A146"/>
      <c r="B146" s="1"/>
      <c r="C146" s="1"/>
      <c r="D146" s="177"/>
      <c r="E146" s="177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 x14ac:dyDescent="0.3">
      <c r="A147"/>
      <c r="B147" s="1"/>
      <c r="C147" s="1"/>
      <c r="D147" s="177"/>
      <c r="E147" s="17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 x14ac:dyDescent="0.3">
      <c r="A148"/>
      <c r="B148" s="1"/>
      <c r="C148" s="1"/>
      <c r="D148" s="177"/>
      <c r="E148" s="177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 x14ac:dyDescent="0.3">
      <c r="A149"/>
      <c r="B149" s="1"/>
      <c r="C149" s="1"/>
      <c r="D149" s="177"/>
      <c r="E149" s="177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 x14ac:dyDescent="0.3">
      <c r="A150"/>
      <c r="B150" s="1"/>
      <c r="C150" s="1"/>
      <c r="D150" s="177"/>
      <c r="E150" s="177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 x14ac:dyDescent="0.3">
      <c r="A151"/>
      <c r="B151" s="1"/>
      <c r="C151" s="1"/>
      <c r="D151" s="177"/>
      <c r="E151" s="177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 x14ac:dyDescent="0.3">
      <c r="A152"/>
      <c r="B152" s="1"/>
      <c r="C152" s="1"/>
      <c r="D152" s="177"/>
      <c r="E152" s="177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 x14ac:dyDescent="0.3">
      <c r="A153"/>
      <c r="B153" s="1"/>
      <c r="C153" s="1"/>
      <c r="D153" s="177"/>
      <c r="E153" s="177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 x14ac:dyDescent="0.3">
      <c r="A154"/>
      <c r="B154" s="1"/>
      <c r="C154" s="1"/>
      <c r="D154" s="177"/>
      <c r="E154" s="177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 x14ac:dyDescent="0.3">
      <c r="A155"/>
      <c r="B155" s="1"/>
      <c r="C155" s="1"/>
      <c r="D155" s="177"/>
      <c r="E155" s="177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 x14ac:dyDescent="0.3">
      <c r="A156"/>
      <c r="B156" s="1"/>
      <c r="C156" s="1"/>
      <c r="D156" s="177"/>
      <c r="E156" s="177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 x14ac:dyDescent="0.3">
      <c r="A157"/>
      <c r="B157" s="1"/>
      <c r="C157" s="1"/>
      <c r="D157" s="177"/>
      <c r="E157" s="17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 x14ac:dyDescent="0.3">
      <c r="A158"/>
      <c r="B158" s="1"/>
      <c r="C158" s="1"/>
      <c r="D158" s="177"/>
      <c r="E158" s="177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 x14ac:dyDescent="0.3">
      <c r="A159"/>
      <c r="B159" s="1"/>
      <c r="C159" s="1"/>
      <c r="D159" s="177"/>
      <c r="E159" s="177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 x14ac:dyDescent="0.3">
      <c r="A160"/>
      <c r="B160" s="1"/>
      <c r="C160" s="1"/>
      <c r="D160" s="177"/>
      <c r="E160" s="177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:40" x14ac:dyDescent="0.3">
      <c r="A161"/>
      <c r="B161" s="1"/>
      <c r="C161" s="1"/>
      <c r="D161" s="177"/>
      <c r="E161" s="177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:40" x14ac:dyDescent="0.3">
      <c r="A162"/>
      <c r="B162" s="1"/>
      <c r="C162" s="1"/>
      <c r="D162" s="177"/>
      <c r="E162" s="177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:40" x14ac:dyDescent="0.3">
      <c r="A163"/>
      <c r="B163" s="1"/>
      <c r="C163" s="1"/>
      <c r="D163" s="177"/>
      <c r="E163" s="177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:40" x14ac:dyDescent="0.3">
      <c r="A164"/>
      <c r="B164" s="1"/>
      <c r="C164" s="1"/>
      <c r="D164" s="177"/>
      <c r="E164" s="177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:40" x14ac:dyDescent="0.3">
      <c r="A165"/>
      <c r="B165" s="1"/>
      <c r="C165" s="1"/>
      <c r="D165" s="177"/>
      <c r="E165" s="177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:40" x14ac:dyDescent="0.3">
      <c r="A166"/>
      <c r="B166" s="1"/>
      <c r="C166" s="1"/>
      <c r="D166" s="177"/>
      <c r="E166" s="177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:40" x14ac:dyDescent="0.3">
      <c r="A167"/>
      <c r="B167" s="1"/>
      <c r="C167" s="1"/>
      <c r="D167" s="177"/>
      <c r="E167" s="17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:40" x14ac:dyDescent="0.3">
      <c r="A168"/>
      <c r="B168" s="1"/>
      <c r="C168" s="1"/>
      <c r="D168" s="177"/>
      <c r="E168" s="177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:40" x14ac:dyDescent="0.3">
      <c r="A169"/>
      <c r="B169" s="1"/>
      <c r="C169" s="1"/>
      <c r="D169" s="177"/>
      <c r="E169" s="177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</row>
    <row r="170" spans="1:40" x14ac:dyDescent="0.3">
      <c r="A170"/>
      <c r="B170" s="1"/>
      <c r="C170" s="1"/>
      <c r="D170" s="177"/>
      <c r="E170" s="177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</row>
    <row r="171" spans="1:40" x14ac:dyDescent="0.3">
      <c r="A171"/>
      <c r="B171" s="1"/>
      <c r="C171" s="1"/>
      <c r="D171" s="177"/>
      <c r="E171" s="177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</row>
    <row r="172" spans="1:40" x14ac:dyDescent="0.3">
      <c r="A172"/>
      <c r="B172" s="1"/>
      <c r="C172" s="1"/>
      <c r="D172" s="177"/>
      <c r="E172" s="177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</row>
    <row r="173" spans="1:40" x14ac:dyDescent="0.3">
      <c r="A173"/>
      <c r="B173" s="1"/>
      <c r="C173" s="1"/>
      <c r="D173" s="177"/>
      <c r="E173" s="177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</row>
    <row r="174" spans="1:40" x14ac:dyDescent="0.3">
      <c r="A174"/>
      <c r="B174" s="1"/>
      <c r="C174" s="1"/>
      <c r="D174" s="177"/>
      <c r="E174" s="177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</row>
    <row r="175" spans="1:40" x14ac:dyDescent="0.3">
      <c r="A175"/>
      <c r="B175" s="1"/>
      <c r="C175" s="1"/>
      <c r="D175" s="177"/>
      <c r="E175" s="177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</row>
    <row r="176" spans="1:40" x14ac:dyDescent="0.3">
      <c r="A176"/>
      <c r="B176" s="1"/>
      <c r="C176" s="1"/>
      <c r="D176" s="177"/>
      <c r="E176" s="177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</row>
    <row r="177" spans="1:40" x14ac:dyDescent="0.3">
      <c r="A177"/>
      <c r="B177" s="1"/>
      <c r="C177" s="1"/>
      <c r="D177" s="177"/>
      <c r="E177" s="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</row>
    <row r="178" spans="1:40" x14ac:dyDescent="0.3">
      <c r="A178"/>
      <c r="B178" s="1"/>
      <c r="C178" s="1"/>
      <c r="D178" s="177"/>
      <c r="E178" s="177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</row>
    <row r="179" spans="1:40" x14ac:dyDescent="0.3">
      <c r="A179"/>
      <c r="B179" s="1"/>
      <c r="C179" s="1"/>
      <c r="D179" s="177"/>
      <c r="E179" s="177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</row>
    <row r="180" spans="1:40" x14ac:dyDescent="0.3">
      <c r="A180"/>
      <c r="B180" s="1"/>
      <c r="C180" s="1"/>
      <c r="D180" s="177"/>
      <c r="E180" s="177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</row>
    <row r="181" spans="1:40" x14ac:dyDescent="0.3">
      <c r="A181"/>
      <c r="B181" s="1"/>
      <c r="C181" s="1"/>
      <c r="D181" s="177"/>
      <c r="E181" s="177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</row>
    <row r="182" spans="1:40" x14ac:dyDescent="0.3">
      <c r="A182"/>
      <c r="B182" s="1"/>
      <c r="C182" s="1"/>
      <c r="D182" s="177"/>
      <c r="E182" s="177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</row>
    <row r="183" spans="1:40" x14ac:dyDescent="0.3">
      <c r="A183"/>
      <c r="B183" s="1"/>
      <c r="C183" s="1"/>
      <c r="D183" s="177"/>
      <c r="E183" s="177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</row>
    <row r="184" spans="1:40" x14ac:dyDescent="0.3">
      <c r="A184"/>
      <c r="B184" s="1"/>
      <c r="C184" s="1"/>
      <c r="D184" s="177"/>
      <c r="E184" s="177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</row>
    <row r="185" spans="1:40" x14ac:dyDescent="0.3">
      <c r="A185"/>
      <c r="B185" s="1"/>
      <c r="C185" s="1"/>
      <c r="D185" s="177"/>
      <c r="E185" s="177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</row>
    <row r="186" spans="1:40" x14ac:dyDescent="0.3">
      <c r="A186"/>
      <c r="B186" s="1"/>
      <c r="C186" s="1"/>
      <c r="D186" s="177"/>
      <c r="E186" s="177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</row>
    <row r="187" spans="1:40" x14ac:dyDescent="0.3">
      <c r="A187"/>
      <c r="B187" s="1"/>
      <c r="C187" s="1"/>
      <c r="D187" s="177"/>
      <c r="E187" s="17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</row>
    <row r="188" spans="1:40" x14ac:dyDescent="0.3">
      <c r="A188"/>
      <c r="B188" s="1"/>
      <c r="C188" s="1"/>
      <c r="D188" s="177"/>
      <c r="E188" s="177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</row>
    <row r="189" spans="1:40" x14ac:dyDescent="0.3">
      <c r="A189"/>
      <c r="B189" s="1"/>
      <c r="C189" s="1"/>
      <c r="D189" s="177"/>
      <c r="E189" s="177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</row>
    <row r="190" spans="1:40" x14ac:dyDescent="0.3">
      <c r="A190"/>
      <c r="B190" s="1"/>
      <c r="C190" s="1"/>
      <c r="D190" s="177"/>
      <c r="E190" s="177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</row>
    <row r="191" spans="1:40" x14ac:dyDescent="0.3">
      <c r="A191"/>
      <c r="B191" s="1"/>
      <c r="C191" s="1"/>
      <c r="D191" s="177"/>
      <c r="E191" s="177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</row>
    <row r="192" spans="1:40" x14ac:dyDescent="0.3">
      <c r="A192"/>
      <c r="B192" s="1"/>
      <c r="C192" s="1"/>
      <c r="D192" s="177"/>
      <c r="E192" s="177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</row>
    <row r="193" spans="1:40" x14ac:dyDescent="0.3">
      <c r="A193"/>
      <c r="B193" s="1"/>
      <c r="C193" s="1"/>
      <c r="D193" s="177"/>
      <c r="E193" s="177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</row>
    <row r="194" spans="1:40" x14ac:dyDescent="0.3">
      <c r="A194"/>
      <c r="B194" s="1"/>
      <c r="C194" s="1"/>
      <c r="D194" s="177"/>
      <c r="E194" s="177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</row>
    <row r="195" spans="1:40" x14ac:dyDescent="0.3">
      <c r="A195"/>
      <c r="B195" s="1"/>
      <c r="C195" s="1"/>
      <c r="D195" s="177"/>
      <c r="E195" s="177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</row>
    <row r="196" spans="1:40" x14ac:dyDescent="0.3">
      <c r="A196"/>
      <c r="B196" s="1"/>
      <c r="C196" s="1"/>
      <c r="D196" s="177"/>
      <c r="E196" s="177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</row>
    <row r="197" spans="1:40" x14ac:dyDescent="0.3">
      <c r="A197"/>
      <c r="B197" s="1"/>
      <c r="C197" s="1"/>
      <c r="D197" s="177"/>
      <c r="E197" s="17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</row>
    <row r="198" spans="1:40" x14ac:dyDescent="0.3">
      <c r="A198"/>
      <c r="B198" s="1"/>
      <c r="C198" s="1"/>
      <c r="D198" s="177"/>
      <c r="E198" s="177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</row>
    <row r="199" spans="1:40" x14ac:dyDescent="0.3">
      <c r="A199"/>
      <c r="B199" s="1"/>
      <c r="C199" s="1"/>
      <c r="D199" s="177"/>
      <c r="E199" s="177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</row>
    <row r="200" spans="1:40" x14ac:dyDescent="0.3">
      <c r="A200"/>
      <c r="B200" s="1"/>
      <c r="C200" s="1"/>
      <c r="D200" s="177"/>
      <c r="E200" s="177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</row>
    <row r="201" spans="1:40" x14ac:dyDescent="0.3">
      <c r="A201"/>
      <c r="B201" s="1"/>
      <c r="C201" s="1"/>
      <c r="D201" s="177"/>
      <c r="E201" s="177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</row>
    <row r="202" spans="1:40" x14ac:dyDescent="0.3">
      <c r="A202"/>
      <c r="B202" s="1"/>
      <c r="C202" s="1"/>
      <c r="D202" s="177"/>
      <c r="E202" s="177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</row>
    <row r="203" spans="1:40" x14ac:dyDescent="0.3">
      <c r="A203"/>
      <c r="B203" s="1"/>
      <c r="C203" s="1"/>
      <c r="D203" s="177"/>
      <c r="E203" s="177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</row>
    <row r="204" spans="1:40" x14ac:dyDescent="0.3">
      <c r="A204"/>
      <c r="B204" s="1"/>
      <c r="C204" s="1"/>
      <c r="D204" s="177"/>
      <c r="E204" s="177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</row>
    <row r="205" spans="1:40" x14ac:dyDescent="0.3">
      <c r="A205"/>
      <c r="B205" s="1"/>
      <c r="C205" s="1"/>
      <c r="D205" s="177"/>
      <c r="E205" s="177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</row>
    <row r="206" spans="1:40" x14ac:dyDescent="0.3">
      <c r="A206"/>
      <c r="B206" s="1"/>
      <c r="C206" s="1"/>
      <c r="D206" s="177"/>
      <c r="E206" s="177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</row>
    <row r="207" spans="1:40" x14ac:dyDescent="0.3">
      <c r="A207"/>
      <c r="B207" s="1"/>
      <c r="C207" s="1"/>
      <c r="D207" s="177"/>
      <c r="E207" s="17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</row>
    <row r="208" spans="1:40" x14ac:dyDescent="0.3">
      <c r="A208"/>
      <c r="B208" s="1"/>
      <c r="C208" s="1"/>
      <c r="D208" s="177"/>
      <c r="E208" s="177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</row>
    <row r="209" spans="1:40" x14ac:dyDescent="0.3">
      <c r="A209"/>
      <c r="B209" s="1"/>
      <c r="C209" s="1"/>
      <c r="D209" s="177"/>
      <c r="E209" s="177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</row>
    <row r="210" spans="1:40" x14ac:dyDescent="0.3">
      <c r="A210"/>
      <c r="B210" s="1"/>
      <c r="C210" s="1"/>
      <c r="D210" s="177"/>
      <c r="E210" s="177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</row>
    <row r="211" spans="1:40" x14ac:dyDescent="0.3">
      <c r="A211"/>
      <c r="B211" s="1"/>
      <c r="C211" s="1"/>
      <c r="D211" s="177"/>
      <c r="E211" s="177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</row>
    <row r="212" spans="1:40" x14ac:dyDescent="0.3">
      <c r="A212"/>
      <c r="B212" s="1"/>
      <c r="C212" s="1"/>
      <c r="D212" s="177"/>
      <c r="E212" s="177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</row>
    <row r="213" spans="1:40" x14ac:dyDescent="0.3">
      <c r="A213"/>
      <c r="B213" s="1"/>
      <c r="C213" s="1"/>
      <c r="D213" s="177"/>
      <c r="E213" s="177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</row>
    <row r="214" spans="1:40" x14ac:dyDescent="0.3">
      <c r="A214"/>
      <c r="B214" s="1"/>
      <c r="C214" s="1"/>
      <c r="D214" s="177"/>
      <c r="E214" s="177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</row>
    <row r="215" spans="1:40" x14ac:dyDescent="0.3">
      <c r="A215"/>
      <c r="B215" s="1"/>
      <c r="C215" s="1"/>
      <c r="D215" s="177"/>
      <c r="E215" s="177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</row>
    <row r="216" spans="1:40" x14ac:dyDescent="0.3">
      <c r="A216"/>
      <c r="B216" s="1"/>
      <c r="C216" s="1"/>
      <c r="D216" s="177"/>
      <c r="E216" s="177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</row>
    <row r="217" spans="1:40" x14ac:dyDescent="0.3">
      <c r="A217"/>
      <c r="B217" s="1"/>
      <c r="C217" s="1"/>
      <c r="D217" s="177"/>
      <c r="E217" s="17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</row>
    <row r="218" spans="1:40" x14ac:dyDescent="0.3">
      <c r="A218"/>
      <c r="B218" s="1"/>
      <c r="C218" s="1"/>
      <c r="D218" s="177"/>
      <c r="E218" s="177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</row>
    <row r="219" spans="1:40" x14ac:dyDescent="0.3">
      <c r="A219"/>
      <c r="B219" s="1"/>
      <c r="C219" s="1"/>
      <c r="D219" s="177"/>
      <c r="E219" s="177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</row>
    <row r="220" spans="1:40" x14ac:dyDescent="0.3">
      <c r="A220"/>
      <c r="B220" s="1"/>
      <c r="C220" s="1"/>
      <c r="D220" s="177"/>
      <c r="E220" s="177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</row>
    <row r="221" spans="1:40" x14ac:dyDescent="0.3">
      <c r="A221"/>
      <c r="B221" s="1"/>
      <c r="C221" s="1"/>
      <c r="D221" s="177"/>
      <c r="E221" s="177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</row>
    <row r="222" spans="1:40" x14ac:dyDescent="0.3">
      <c r="A222"/>
      <c r="B222" s="1"/>
      <c r="C222" s="1"/>
      <c r="D222" s="177"/>
      <c r="E222" s="177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</row>
    <row r="223" spans="1:40" x14ac:dyDescent="0.3">
      <c r="A223"/>
      <c r="B223" s="1"/>
      <c r="C223" s="1"/>
      <c r="D223" s="177"/>
      <c r="E223" s="177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</row>
    <row r="224" spans="1:40" x14ac:dyDescent="0.3">
      <c r="A224"/>
      <c r="B224" s="1"/>
      <c r="C224" s="1"/>
      <c r="D224" s="177"/>
      <c r="E224" s="177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</row>
    <row r="225" spans="1:40" x14ac:dyDescent="0.3">
      <c r="A225"/>
      <c r="B225" s="1"/>
      <c r="C225" s="1"/>
      <c r="D225" s="177"/>
      <c r="E225" s="177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</row>
    <row r="226" spans="1:40" x14ac:dyDescent="0.3">
      <c r="A226"/>
      <c r="B226" s="1"/>
      <c r="C226" s="1"/>
      <c r="D226" s="177"/>
      <c r="E226" s="177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</row>
    <row r="227" spans="1:40" x14ac:dyDescent="0.3">
      <c r="A227"/>
      <c r="B227" s="1"/>
      <c r="C227" s="1"/>
      <c r="D227" s="177"/>
      <c r="E227" s="17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</row>
    <row r="228" spans="1:40" x14ac:dyDescent="0.3">
      <c r="A228"/>
      <c r="B228" s="1"/>
      <c r="C228" s="1"/>
      <c r="D228" s="177"/>
      <c r="E228" s="177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</row>
    <row r="229" spans="1:40" x14ac:dyDescent="0.3">
      <c r="A229"/>
      <c r="B229" s="1"/>
      <c r="C229" s="1"/>
      <c r="D229" s="177"/>
      <c r="E229" s="177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</row>
    <row r="230" spans="1:40" x14ac:dyDescent="0.3">
      <c r="A230"/>
      <c r="B230" s="1"/>
      <c r="C230" s="1"/>
      <c r="D230" s="177"/>
      <c r="E230" s="177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</row>
    <row r="231" spans="1:40" x14ac:dyDescent="0.3">
      <c r="A231"/>
      <c r="B231" s="1"/>
      <c r="C231" s="1"/>
      <c r="D231" s="177"/>
      <c r="E231" s="177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</row>
    <row r="232" spans="1:40" x14ac:dyDescent="0.3">
      <c r="A232"/>
      <c r="B232" s="1"/>
      <c r="C232" s="1"/>
      <c r="D232" s="177"/>
      <c r="E232" s="177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</row>
    <row r="233" spans="1:40" x14ac:dyDescent="0.3">
      <c r="A233"/>
      <c r="B233" s="1"/>
      <c r="C233" s="1"/>
      <c r="D233" s="177"/>
      <c r="E233" s="177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</row>
    <row r="234" spans="1:40" x14ac:dyDescent="0.3">
      <c r="A234"/>
      <c r="B234" s="1"/>
      <c r="C234" s="1"/>
      <c r="D234" s="177"/>
      <c r="E234" s="177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</row>
    <row r="235" spans="1:40" x14ac:dyDescent="0.3">
      <c r="A235"/>
      <c r="B235" s="1"/>
      <c r="C235" s="1"/>
      <c r="D235" s="177"/>
      <c r="E235" s="177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</row>
    <row r="236" spans="1:40" x14ac:dyDescent="0.3">
      <c r="A236"/>
      <c r="B236" s="1"/>
      <c r="C236" s="1"/>
      <c r="D236" s="177"/>
      <c r="E236" s="177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</row>
    <row r="237" spans="1:40" x14ac:dyDescent="0.3">
      <c r="A237"/>
      <c r="B237" s="1"/>
      <c r="C237" s="1"/>
      <c r="D237" s="177"/>
      <c r="E237" s="17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</row>
    <row r="238" spans="1:40" x14ac:dyDescent="0.3">
      <c r="A238"/>
      <c r="B238" s="1"/>
      <c r="C238" s="1"/>
      <c r="D238" s="177"/>
      <c r="E238" s="177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</row>
    <row r="239" spans="1:40" x14ac:dyDescent="0.3">
      <c r="A239"/>
      <c r="B239" s="1"/>
      <c r="C239" s="1"/>
      <c r="D239" s="177"/>
      <c r="E239" s="177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</row>
    <row r="240" spans="1:40" x14ac:dyDescent="0.3">
      <c r="A240"/>
      <c r="B240" s="1"/>
      <c r="C240" s="1"/>
      <c r="D240" s="177"/>
      <c r="E240" s="177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</row>
    <row r="241" spans="1:40" x14ac:dyDescent="0.3">
      <c r="A241"/>
      <c r="B241" s="1"/>
      <c r="C241" s="1"/>
      <c r="D241" s="177"/>
      <c r="E241" s="177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</row>
    <row r="242" spans="1:40" x14ac:dyDescent="0.3">
      <c r="A242"/>
      <c r="B242" s="1"/>
      <c r="C242" s="1"/>
      <c r="D242" s="177"/>
      <c r="E242" s="177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</row>
    <row r="243" spans="1:40" x14ac:dyDescent="0.3">
      <c r="A243"/>
      <c r="B243" s="1"/>
      <c r="C243" s="1"/>
      <c r="D243" s="177"/>
      <c r="E243" s="177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</row>
    <row r="244" spans="1:40" x14ac:dyDescent="0.3">
      <c r="A244"/>
      <c r="B244" s="1"/>
      <c r="C244" s="1"/>
      <c r="D244" s="177"/>
      <c r="E244" s="177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</row>
    <row r="245" spans="1:40" x14ac:dyDescent="0.3">
      <c r="A245"/>
      <c r="B245" s="1"/>
      <c r="C245" s="1"/>
      <c r="D245" s="177"/>
      <c r="E245" s="177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</row>
    <row r="246" spans="1:40" x14ac:dyDescent="0.3">
      <c r="A246"/>
      <c r="B246" s="1"/>
      <c r="C246" s="1"/>
      <c r="D246" s="177"/>
      <c r="E246" s="177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</row>
    <row r="247" spans="1:40" x14ac:dyDescent="0.3">
      <c r="A247"/>
      <c r="B247" s="1"/>
      <c r="C247" s="1"/>
      <c r="D247" s="177"/>
      <c r="E247" s="17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</row>
    <row r="248" spans="1:40" x14ac:dyDescent="0.3">
      <c r="A248"/>
      <c r="B248" s="1"/>
      <c r="C248" s="1"/>
      <c r="D248" s="177"/>
      <c r="E248" s="177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</row>
    <row r="249" spans="1:40" x14ac:dyDescent="0.3">
      <c r="A249"/>
      <c r="B249" s="1"/>
      <c r="C249" s="1"/>
      <c r="D249" s="177"/>
      <c r="E249" s="177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</row>
    <row r="250" spans="1:40" x14ac:dyDescent="0.3">
      <c r="A250"/>
      <c r="B250" s="1"/>
      <c r="C250" s="1"/>
      <c r="D250" s="177"/>
      <c r="E250" s="177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</row>
    <row r="251" spans="1:40" x14ac:dyDescent="0.3">
      <c r="A251"/>
      <c r="B251" s="1"/>
      <c r="C251" s="1"/>
      <c r="D251" s="177"/>
      <c r="E251" s="177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</row>
    <row r="252" spans="1:40" x14ac:dyDescent="0.3">
      <c r="A252"/>
      <c r="B252" s="1"/>
      <c r="C252" s="1"/>
      <c r="D252" s="177"/>
      <c r="E252" s="177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</row>
    <row r="253" spans="1:40" x14ac:dyDescent="0.3">
      <c r="A253"/>
      <c r="B253" s="1"/>
      <c r="C253" s="1"/>
      <c r="D253" s="177"/>
      <c r="E253" s="177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</row>
    <row r="254" spans="1:40" x14ac:dyDescent="0.3">
      <c r="A254"/>
      <c r="B254" s="1"/>
      <c r="C254" s="1"/>
      <c r="D254" s="177"/>
      <c r="E254" s="177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</row>
    <row r="255" spans="1:40" x14ac:dyDescent="0.3">
      <c r="A255"/>
      <c r="B255" s="1"/>
      <c r="C255" s="1"/>
      <c r="D255" s="177"/>
      <c r="E255" s="177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</row>
    <row r="256" spans="1:40" x14ac:dyDescent="0.3">
      <c r="A256"/>
      <c r="B256" s="1"/>
      <c r="C256" s="1"/>
      <c r="D256" s="177"/>
      <c r="E256" s="177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</row>
    <row r="257" spans="1:40" x14ac:dyDescent="0.3">
      <c r="A257"/>
      <c r="B257" s="1"/>
      <c r="C257" s="1"/>
      <c r="D257" s="177"/>
      <c r="E257" s="17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</row>
    <row r="258" spans="1:40" x14ac:dyDescent="0.3">
      <c r="A258"/>
      <c r="B258" s="1"/>
      <c r="C258" s="1"/>
      <c r="D258" s="177"/>
      <c r="E258" s="177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</row>
    <row r="259" spans="1:40" x14ac:dyDescent="0.3">
      <c r="A259"/>
      <c r="B259" s="1"/>
      <c r="C259" s="1"/>
      <c r="D259" s="177"/>
      <c r="E259" s="177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</row>
    <row r="260" spans="1:40" x14ac:dyDescent="0.3">
      <c r="A260"/>
      <c r="B260" s="1"/>
      <c r="C260" s="1"/>
      <c r="D260" s="177"/>
      <c r="E260" s="177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</row>
    <row r="261" spans="1:40" x14ac:dyDescent="0.3">
      <c r="A261"/>
      <c r="B261" s="1"/>
      <c r="C261" s="1"/>
      <c r="D261" s="177"/>
      <c r="E261" s="177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</row>
    <row r="262" spans="1:40" x14ac:dyDescent="0.3">
      <c r="A262"/>
      <c r="B262" s="1"/>
      <c r="C262" s="1"/>
      <c r="D262" s="177"/>
      <c r="E262" s="177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</row>
    <row r="263" spans="1:40" x14ac:dyDescent="0.3">
      <c r="A263"/>
      <c r="B263" s="1"/>
      <c r="C263" s="1"/>
      <c r="D263" s="177"/>
      <c r="E263" s="177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</row>
    <row r="264" spans="1:40" x14ac:dyDescent="0.3">
      <c r="A264"/>
      <c r="B264" s="1"/>
      <c r="C264" s="1"/>
      <c r="D264" s="177"/>
      <c r="E264" s="177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</row>
    <row r="265" spans="1:40" x14ac:dyDescent="0.3">
      <c r="A265"/>
      <c r="B265" s="1"/>
      <c r="C265" s="1"/>
      <c r="D265" s="177"/>
      <c r="E265" s="177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</row>
    <row r="266" spans="1:40" x14ac:dyDescent="0.3">
      <c r="A266"/>
      <c r="B266" s="1"/>
      <c r="C266" s="1"/>
      <c r="D266" s="177"/>
      <c r="E266" s="177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</row>
    <row r="267" spans="1:40" x14ac:dyDescent="0.3">
      <c r="A267"/>
      <c r="B267" s="1"/>
      <c r="C267" s="1"/>
      <c r="D267" s="177"/>
      <c r="E267" s="17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</row>
    <row r="268" spans="1:40" x14ac:dyDescent="0.3">
      <c r="A268"/>
      <c r="B268" s="1"/>
      <c r="C268" s="1"/>
      <c r="D268" s="177"/>
      <c r="E268" s="177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</row>
    <row r="269" spans="1:40" x14ac:dyDescent="0.3">
      <c r="A269"/>
      <c r="B269" s="1"/>
      <c r="C269" s="1"/>
      <c r="D269" s="177"/>
      <c r="E269" s="177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</row>
    <row r="270" spans="1:40" x14ac:dyDescent="0.3">
      <c r="A270"/>
      <c r="B270" s="1"/>
      <c r="C270" s="1"/>
      <c r="D270" s="177"/>
      <c r="E270" s="177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</row>
    <row r="271" spans="1:40" x14ac:dyDescent="0.3">
      <c r="A271"/>
      <c r="B271" s="1"/>
      <c r="C271" s="1"/>
      <c r="D271" s="177"/>
      <c r="E271" s="177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</row>
    <row r="272" spans="1:40" x14ac:dyDescent="0.3">
      <c r="A272"/>
      <c r="B272" s="1"/>
      <c r="C272" s="1"/>
      <c r="D272" s="177"/>
      <c r="E272" s="177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</row>
    <row r="273" spans="1:40" x14ac:dyDescent="0.3">
      <c r="A273"/>
      <c r="B273" s="1"/>
      <c r="C273" s="1"/>
      <c r="D273" s="177"/>
      <c r="E273" s="177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</row>
    <row r="274" spans="1:40" x14ac:dyDescent="0.3">
      <c r="A274"/>
      <c r="B274" s="1"/>
      <c r="C274" s="1"/>
      <c r="D274" s="177"/>
      <c r="E274" s="177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</row>
    <row r="275" spans="1:40" x14ac:dyDescent="0.3">
      <c r="A275"/>
      <c r="B275" s="1"/>
      <c r="C275" s="1"/>
      <c r="D275" s="177"/>
      <c r="E275" s="177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</row>
    <row r="276" spans="1:40" x14ac:dyDescent="0.3">
      <c r="A276"/>
      <c r="B276" s="1"/>
      <c r="C276" s="1"/>
      <c r="D276" s="177"/>
      <c r="E276" s="177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</row>
    <row r="277" spans="1:40" x14ac:dyDescent="0.3">
      <c r="A277"/>
      <c r="B277" s="1"/>
      <c r="C277" s="1"/>
      <c r="D277" s="177"/>
      <c r="E277" s="1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</row>
    <row r="278" spans="1:40" x14ac:dyDescent="0.3">
      <c r="A278"/>
      <c r="B278" s="1"/>
      <c r="C278" s="1"/>
      <c r="D278" s="177"/>
      <c r="E278" s="177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</row>
    <row r="279" spans="1:40" x14ac:dyDescent="0.3">
      <c r="A279"/>
      <c r="B279" s="1"/>
      <c r="C279" s="1"/>
      <c r="D279" s="177"/>
      <c r="E279" s="177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</row>
    <row r="280" spans="1:40" x14ac:dyDescent="0.3">
      <c r="A280"/>
      <c r="B280" s="1"/>
      <c r="C280" s="1"/>
      <c r="D280" s="177"/>
      <c r="E280" s="177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</row>
    <row r="281" spans="1:40" x14ac:dyDescent="0.3">
      <c r="A281"/>
      <c r="B281" s="1"/>
      <c r="C281" s="1"/>
      <c r="D281" s="177"/>
      <c r="E281" s="177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</row>
    <row r="282" spans="1:40" x14ac:dyDescent="0.3">
      <c r="A282"/>
      <c r="B282" s="1"/>
      <c r="C282" s="1"/>
      <c r="D282" s="177"/>
      <c r="E282" s="177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</row>
    <row r="283" spans="1:40" x14ac:dyDescent="0.3">
      <c r="A283"/>
      <c r="B283" s="1"/>
      <c r="C283" s="1"/>
      <c r="D283" s="177"/>
      <c r="E283" s="177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</row>
    <row r="284" spans="1:40" x14ac:dyDescent="0.3">
      <c r="A284"/>
      <c r="B284" s="1"/>
      <c r="C284" s="1"/>
      <c r="D284" s="177"/>
      <c r="E284" s="177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</row>
    <row r="285" spans="1:40" x14ac:dyDescent="0.3">
      <c r="A285"/>
      <c r="B285" s="1"/>
      <c r="C285" s="1"/>
      <c r="D285" s="177"/>
      <c r="E285" s="177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</row>
    <row r="286" spans="1:40" x14ac:dyDescent="0.3">
      <c r="A286"/>
      <c r="B286" s="1"/>
      <c r="C286" s="1"/>
      <c r="D286" s="177"/>
      <c r="E286" s="177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</row>
    <row r="287" spans="1:40" x14ac:dyDescent="0.3">
      <c r="A287"/>
      <c r="B287" s="1"/>
      <c r="C287" s="1"/>
      <c r="D287" s="177"/>
      <c r="E287" s="17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</row>
    <row r="288" spans="1:40" x14ac:dyDescent="0.3">
      <c r="A288"/>
      <c r="B288" s="1"/>
      <c r="C288" s="1"/>
      <c r="D288" s="177"/>
      <c r="E288" s="177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</row>
    <row r="289" spans="1:40" x14ac:dyDescent="0.3">
      <c r="A289"/>
      <c r="B289" s="1"/>
      <c r="C289" s="1"/>
      <c r="D289" s="177"/>
      <c r="E289" s="177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</row>
    <row r="290" spans="1:40" x14ac:dyDescent="0.3">
      <c r="A290"/>
      <c r="B290" s="1"/>
      <c r="C290" s="1"/>
      <c r="D290" s="177"/>
      <c r="E290" s="177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</row>
    <row r="291" spans="1:40" x14ac:dyDescent="0.3">
      <c r="A291"/>
      <c r="B291" s="1"/>
      <c r="C291" s="1"/>
      <c r="D291" s="177"/>
      <c r="E291" s="177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</row>
    <row r="292" spans="1:40" x14ac:dyDescent="0.3">
      <c r="A292"/>
      <c r="B292" s="1"/>
      <c r="C292" s="1"/>
      <c r="D292" s="177"/>
      <c r="E292" s="177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</row>
    <row r="293" spans="1:40" x14ac:dyDescent="0.3">
      <c r="A293"/>
      <c r="B293" s="1"/>
      <c r="C293" s="1"/>
      <c r="D293" s="177"/>
      <c r="E293" s="177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</row>
    <row r="294" spans="1:40" x14ac:dyDescent="0.3">
      <c r="A294"/>
      <c r="B294" s="1"/>
      <c r="C294" s="1"/>
      <c r="D294" s="177"/>
      <c r="E294" s="177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</row>
    <row r="295" spans="1:40" x14ac:dyDescent="0.3">
      <c r="A295"/>
      <c r="B295" s="1"/>
      <c r="C295" s="1"/>
      <c r="D295" s="177"/>
      <c r="E295" s="177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</row>
    <row r="296" spans="1:40" x14ac:dyDescent="0.3">
      <c r="A296"/>
      <c r="B296" s="1"/>
      <c r="C296" s="1"/>
      <c r="D296" s="177"/>
      <c r="E296" s="177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</row>
    <row r="297" spans="1:40" x14ac:dyDescent="0.3">
      <c r="A297"/>
      <c r="B297" s="1"/>
      <c r="C297" s="1"/>
      <c r="D297" s="177"/>
      <c r="E297" s="17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</row>
    <row r="298" spans="1:40" x14ac:dyDescent="0.3">
      <c r="A298"/>
      <c r="B298" s="1"/>
      <c r="C298" s="1"/>
      <c r="D298" s="177"/>
      <c r="E298" s="177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</row>
    <row r="299" spans="1:40" x14ac:dyDescent="0.3">
      <c r="A299"/>
      <c r="B299" s="1"/>
      <c r="C299" s="1"/>
      <c r="D299" s="177"/>
      <c r="E299" s="177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</row>
    <row r="300" spans="1:40" x14ac:dyDescent="0.3">
      <c r="A300"/>
      <c r="B300" s="1"/>
      <c r="C300" s="1"/>
      <c r="D300" s="177"/>
      <c r="E300" s="177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</row>
    <row r="301" spans="1:40" x14ac:dyDescent="0.3">
      <c r="A301"/>
      <c r="B301" s="1"/>
      <c r="C301" s="1"/>
      <c r="D301" s="177"/>
      <c r="E301" s="177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</row>
    <row r="302" spans="1:40" x14ac:dyDescent="0.3">
      <c r="A302"/>
      <c r="B302" s="1"/>
      <c r="C302" s="1"/>
      <c r="D302" s="177"/>
      <c r="E302" s="177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</row>
    <row r="303" spans="1:40" x14ac:dyDescent="0.3">
      <c r="A303"/>
      <c r="B303" s="1"/>
      <c r="C303" s="1"/>
      <c r="D303" s="177"/>
      <c r="E303" s="177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</row>
    <row r="304" spans="1:40" x14ac:dyDescent="0.3">
      <c r="A304"/>
      <c r="B304" s="1"/>
      <c r="C304" s="1"/>
      <c r="D304" s="177"/>
      <c r="E304" s="177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</row>
    <row r="305" spans="1:40" x14ac:dyDescent="0.3">
      <c r="A305"/>
      <c r="B305" s="1"/>
      <c r="C305" s="1"/>
      <c r="D305" s="177"/>
      <c r="E305" s="177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</row>
    <row r="306" spans="1:40" x14ac:dyDescent="0.3">
      <c r="A306"/>
      <c r="B306" s="1"/>
      <c r="C306" s="1"/>
      <c r="D306" s="177"/>
      <c r="E306" s="177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</row>
    <row r="307" spans="1:40" x14ac:dyDescent="0.3">
      <c r="A307"/>
      <c r="B307" s="1"/>
      <c r="C307" s="1"/>
      <c r="D307" s="177"/>
      <c r="E307" s="17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</row>
    <row r="308" spans="1:40" x14ac:dyDescent="0.3">
      <c r="A308"/>
      <c r="B308" s="1"/>
      <c r="C308" s="1"/>
      <c r="D308" s="177"/>
      <c r="E308" s="177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</row>
    <row r="309" spans="1:40" x14ac:dyDescent="0.3">
      <c r="A309"/>
      <c r="B309" s="1"/>
      <c r="C309" s="1"/>
      <c r="D309" s="177"/>
      <c r="E309" s="177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</row>
    <row r="310" spans="1:40" x14ac:dyDescent="0.3">
      <c r="A310"/>
      <c r="B310" s="1"/>
      <c r="C310" s="1"/>
      <c r="D310" s="177"/>
      <c r="E310" s="177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</row>
    <row r="311" spans="1:40" x14ac:dyDescent="0.3">
      <c r="A311"/>
      <c r="B311" s="1"/>
      <c r="C311" s="1"/>
      <c r="D311" s="177"/>
      <c r="E311" s="177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</row>
    <row r="312" spans="1:40" x14ac:dyDescent="0.3">
      <c r="A312"/>
      <c r="B312" s="1"/>
      <c r="C312" s="1"/>
      <c r="D312" s="177"/>
      <c r="E312" s="177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</row>
    <row r="313" spans="1:40" x14ac:dyDescent="0.3">
      <c r="A313"/>
      <c r="B313" s="1"/>
      <c r="C313" s="1"/>
      <c r="D313" s="177"/>
      <c r="E313" s="177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</row>
    <row r="314" spans="1:40" x14ac:dyDescent="0.3">
      <c r="A314"/>
      <c r="B314" s="1"/>
      <c r="C314" s="1"/>
      <c r="D314" s="177"/>
      <c r="E314" s="177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</row>
    <row r="315" spans="1:40" x14ac:dyDescent="0.3">
      <c r="A315"/>
      <c r="B315" s="1"/>
      <c r="C315" s="1"/>
      <c r="D315" s="177"/>
      <c r="E315" s="177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</row>
    <row r="316" spans="1:40" x14ac:dyDescent="0.3">
      <c r="A316"/>
      <c r="B316" s="1"/>
      <c r="C316" s="1"/>
      <c r="D316" s="177"/>
      <c r="E316" s="177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</row>
    <row r="317" spans="1:40" x14ac:dyDescent="0.3">
      <c r="A317"/>
      <c r="B317" s="1"/>
      <c r="C317" s="1"/>
      <c r="D317" s="177"/>
      <c r="E317" s="17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</row>
    <row r="318" spans="1:40" x14ac:dyDescent="0.3">
      <c r="A318"/>
      <c r="B318" s="1"/>
      <c r="C318" s="1"/>
      <c r="D318" s="177"/>
      <c r="E318" s="177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</row>
    <row r="319" spans="1:40" x14ac:dyDescent="0.3">
      <c r="A319"/>
      <c r="B319" s="1"/>
      <c r="C319" s="1"/>
      <c r="D319" s="177"/>
      <c r="E319" s="177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</row>
    <row r="320" spans="1:40" x14ac:dyDescent="0.3">
      <c r="A320"/>
      <c r="B320" s="1"/>
      <c r="C320" s="1"/>
      <c r="D320" s="177"/>
      <c r="E320" s="177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</row>
    <row r="321" spans="1:40" x14ac:dyDescent="0.3">
      <c r="A321"/>
      <c r="B321" s="1"/>
      <c r="C321" s="1"/>
      <c r="D321" s="177"/>
      <c r="E321" s="177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</row>
    <row r="322" spans="1:40" x14ac:dyDescent="0.3">
      <c r="A322"/>
      <c r="B322" s="1"/>
      <c r="C322" s="1"/>
      <c r="D322" s="177"/>
      <c r="E322" s="177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</row>
    <row r="323" spans="1:40" x14ac:dyDescent="0.3">
      <c r="A323"/>
      <c r="B323" s="1"/>
      <c r="C323" s="1"/>
      <c r="D323" s="177"/>
      <c r="E323" s="177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</row>
    <row r="324" spans="1:40" x14ac:dyDescent="0.3">
      <c r="A324"/>
      <c r="B324" s="1"/>
      <c r="C324" s="1"/>
      <c r="D324" s="177"/>
      <c r="E324" s="177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</row>
    <row r="325" spans="1:40" x14ac:dyDescent="0.3">
      <c r="A325"/>
      <c r="B325" s="1"/>
      <c r="C325" s="1"/>
      <c r="D325" s="177"/>
      <c r="E325" s="177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</row>
    <row r="326" spans="1:40" x14ac:dyDescent="0.3">
      <c r="A326"/>
      <c r="B326" s="1"/>
      <c r="C326" s="1"/>
      <c r="D326" s="177"/>
      <c r="E326" s="177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</row>
    <row r="327" spans="1:40" x14ac:dyDescent="0.3">
      <c r="A327"/>
      <c r="B327" s="1"/>
      <c r="C327" s="1"/>
      <c r="D327" s="177"/>
      <c r="E327" s="17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</row>
    <row r="328" spans="1:40" x14ac:dyDescent="0.3">
      <c r="A328"/>
      <c r="B328" s="1"/>
      <c r="C328" s="1"/>
      <c r="D328" s="177"/>
      <c r="E328" s="177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</row>
    <row r="329" spans="1:40" x14ac:dyDescent="0.3">
      <c r="A329"/>
      <c r="B329" s="1"/>
      <c r="C329" s="1"/>
      <c r="D329" s="177"/>
      <c r="E329" s="177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</row>
    <row r="330" spans="1:40" x14ac:dyDescent="0.3">
      <c r="A330"/>
      <c r="B330" s="1"/>
      <c r="C330" s="1"/>
      <c r="D330" s="177"/>
      <c r="E330" s="177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</row>
    <row r="331" spans="1:40" x14ac:dyDescent="0.3">
      <c r="A331"/>
      <c r="B331" s="1"/>
      <c r="C331" s="1"/>
      <c r="D331" s="177"/>
      <c r="E331" s="177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</row>
  </sheetData>
  <hyperlinks>
    <hyperlink ref="A8" r:id="rId1" display="SP@"/>
    <hyperlink ref="A9" r:id="rId2" display="SP@"/>
    <hyperlink ref="A10" r:id="rId3" display="SP@"/>
    <hyperlink ref="A12" r:id="rId4" display="SP@"/>
    <hyperlink ref="A11" r:id="rId5" display="SP@"/>
  </hyperlinks>
  <pageMargins left="0.7" right="0.7" top="0.75" bottom="0.75" header="0.3" footer="0.3"/>
  <pageSetup orientation="portrait" horizontalDpi="0" verticalDpi="0" r:id="rId6"/>
  <drawing r:id="rId7"/>
  <tableParts count="1">
    <tablePart r:id="rId8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2"/>
  <sheetViews>
    <sheetView zoomScale="85" zoomScaleNormal="85" workbookViewId="0">
      <selection activeCell="B3" sqref="B3:K9"/>
    </sheetView>
  </sheetViews>
  <sheetFormatPr defaultRowHeight="14.4" x14ac:dyDescent="0.3"/>
  <cols>
    <col min="2" max="2" width="13.5546875" customWidth="1"/>
    <col min="3" max="3" width="10" customWidth="1"/>
    <col min="4" max="4" width="12.88671875" customWidth="1"/>
    <col min="5" max="5" width="26.6640625" customWidth="1"/>
    <col min="6" max="6" width="11.109375" customWidth="1"/>
    <col min="7" max="7" width="14" customWidth="1"/>
    <col min="8" max="8" width="9.88671875" customWidth="1"/>
    <col min="9" max="9" width="11.109375" customWidth="1"/>
    <col min="10" max="10" width="11.88671875" customWidth="1"/>
    <col min="11" max="11" width="12.88671875" customWidth="1"/>
    <col min="12" max="12" width="10.33203125" customWidth="1"/>
  </cols>
  <sheetData>
    <row r="1" spans="2:11" ht="46.8" x14ac:dyDescent="0.3">
      <c r="B1" s="170"/>
      <c r="C1" s="170" t="s">
        <v>248</v>
      </c>
      <c r="D1" s="329" t="s">
        <v>249</v>
      </c>
      <c r="E1" s="170" t="s">
        <v>195</v>
      </c>
      <c r="F1" s="170" t="s">
        <v>122</v>
      </c>
      <c r="G1" s="170" t="s">
        <v>123</v>
      </c>
      <c r="H1" s="293" t="s">
        <v>121</v>
      </c>
      <c r="I1" s="168" t="s">
        <v>198</v>
      </c>
      <c r="J1" s="289" t="s">
        <v>125</v>
      </c>
      <c r="K1" s="171"/>
    </row>
    <row r="2" spans="2:11" ht="15.75" x14ac:dyDescent="0.25">
      <c r="B2" s="172" t="s">
        <v>243</v>
      </c>
      <c r="C2" s="172">
        <v>17</v>
      </c>
      <c r="D2" s="330">
        <v>47</v>
      </c>
      <c r="E2" s="173" t="s">
        <v>196</v>
      </c>
      <c r="F2" s="287">
        <v>7.87</v>
      </c>
      <c r="G2" s="287">
        <v>49.2</v>
      </c>
      <c r="H2" s="287" t="s">
        <v>252</v>
      </c>
      <c r="I2" s="287" t="s">
        <v>254</v>
      </c>
      <c r="J2" s="290" t="s">
        <v>253</v>
      </c>
      <c r="K2" s="288">
        <v>31.4</v>
      </c>
    </row>
    <row r="3" spans="2:11" ht="15.75" x14ac:dyDescent="0.25">
      <c r="B3" s="172" t="s">
        <v>244</v>
      </c>
      <c r="C3" s="172">
        <v>8</v>
      </c>
      <c r="D3" s="330">
        <v>52</v>
      </c>
      <c r="E3" s="173" t="s">
        <v>197</v>
      </c>
      <c r="F3" s="287" t="s">
        <v>255</v>
      </c>
      <c r="G3" s="287" t="s">
        <v>267</v>
      </c>
      <c r="H3" s="287">
        <v>2.2999999999999998</v>
      </c>
      <c r="I3" s="287" t="s">
        <v>257</v>
      </c>
      <c r="J3" s="290" t="s">
        <v>258</v>
      </c>
      <c r="K3" s="288" t="s">
        <v>259</v>
      </c>
    </row>
    <row r="4" spans="2:11" ht="15.75" x14ac:dyDescent="0.25">
      <c r="B4" s="172" t="s">
        <v>245</v>
      </c>
      <c r="C4" s="172">
        <v>8</v>
      </c>
      <c r="D4" s="330">
        <v>88</v>
      </c>
      <c r="E4" s="173" t="s">
        <v>197</v>
      </c>
      <c r="F4" s="335" t="s">
        <v>266</v>
      </c>
      <c r="G4" s="287" t="s">
        <v>260</v>
      </c>
      <c r="H4" s="287" t="s">
        <v>261</v>
      </c>
      <c r="I4" s="287" t="s">
        <v>262</v>
      </c>
      <c r="J4" s="290" t="s">
        <v>263</v>
      </c>
      <c r="K4" s="288" t="s">
        <v>264</v>
      </c>
    </row>
    <row r="5" spans="2:11" ht="15.75" x14ac:dyDescent="0.25">
      <c r="B5" s="172" t="s">
        <v>246</v>
      </c>
      <c r="C5" s="172">
        <v>10</v>
      </c>
      <c r="D5" s="330">
        <v>82</v>
      </c>
      <c r="E5" s="173" t="s">
        <v>197</v>
      </c>
      <c r="F5" s="287" t="s">
        <v>265</v>
      </c>
      <c r="G5" s="287" t="s">
        <v>268</v>
      </c>
      <c r="H5" s="287" t="s">
        <v>269</v>
      </c>
      <c r="I5" s="287" t="s">
        <v>270</v>
      </c>
      <c r="J5" s="290" t="s">
        <v>271</v>
      </c>
      <c r="K5" s="288" t="s">
        <v>272</v>
      </c>
    </row>
    <row r="6" spans="2:11" ht="15.75" x14ac:dyDescent="0.25">
      <c r="B6" s="172" t="s">
        <v>247</v>
      </c>
      <c r="C6" s="172">
        <v>30</v>
      </c>
      <c r="D6" s="330">
        <v>198</v>
      </c>
      <c r="E6" s="173" t="s">
        <v>256</v>
      </c>
      <c r="F6" s="287" t="s">
        <v>288</v>
      </c>
      <c r="G6" s="287" t="s">
        <v>273</v>
      </c>
      <c r="H6" s="287" t="s">
        <v>274</v>
      </c>
      <c r="I6" s="287" t="s">
        <v>275</v>
      </c>
      <c r="J6" s="290" t="s">
        <v>276</v>
      </c>
      <c r="K6" s="288" t="s">
        <v>277</v>
      </c>
    </row>
    <row r="7" spans="2:11" ht="15.75" x14ac:dyDescent="0.25">
      <c r="B7" s="172" t="s">
        <v>202</v>
      </c>
      <c r="C7" s="172">
        <v>1</v>
      </c>
      <c r="D7" s="330">
        <v>10</v>
      </c>
      <c r="E7" s="173" t="s">
        <v>250</v>
      </c>
      <c r="F7" s="287">
        <v>9.8000000000000007</v>
      </c>
      <c r="G7" s="287">
        <v>937</v>
      </c>
      <c r="H7" s="287">
        <v>3.1</v>
      </c>
      <c r="I7" s="287">
        <v>151.19999999999999</v>
      </c>
      <c r="J7" s="290">
        <v>0.7</v>
      </c>
      <c r="K7" s="288">
        <v>40</v>
      </c>
    </row>
    <row r="8" spans="2:11" ht="15.75" x14ac:dyDescent="0.25">
      <c r="B8" s="172" t="s">
        <v>203</v>
      </c>
      <c r="C8" s="172">
        <v>1</v>
      </c>
      <c r="D8" s="330">
        <v>4</v>
      </c>
      <c r="E8" s="173" t="s">
        <v>250</v>
      </c>
      <c r="F8" s="287">
        <v>11.8</v>
      </c>
      <c r="G8" s="287">
        <v>452.6</v>
      </c>
      <c r="H8" s="287">
        <v>2.9</v>
      </c>
      <c r="I8" s="287">
        <v>74.400000000000006</v>
      </c>
      <c r="J8" s="290">
        <v>0.7</v>
      </c>
      <c r="K8" s="288">
        <v>31.8</v>
      </c>
    </row>
    <row r="9" spans="2:11" ht="15.75" x14ac:dyDescent="0.25">
      <c r="B9" s="172" t="s">
        <v>206</v>
      </c>
      <c r="C9" s="172">
        <v>2</v>
      </c>
      <c r="D9" s="330">
        <v>12</v>
      </c>
      <c r="E9" s="173" t="s">
        <v>250</v>
      </c>
      <c r="F9" s="287">
        <v>11.8</v>
      </c>
      <c r="G9" s="287" t="s">
        <v>278</v>
      </c>
      <c r="H9" s="287" t="s">
        <v>279</v>
      </c>
      <c r="I9" s="287">
        <v>75.599999999999994</v>
      </c>
      <c r="J9" s="290" t="s">
        <v>280</v>
      </c>
      <c r="K9" s="288" t="s">
        <v>281</v>
      </c>
    </row>
    <row r="10" spans="2:11" ht="15.75" x14ac:dyDescent="0.25">
      <c r="B10" s="172" t="s">
        <v>241</v>
      </c>
      <c r="C10" s="172">
        <v>6</v>
      </c>
      <c r="D10" s="330">
        <v>42</v>
      </c>
      <c r="E10" s="334" t="s">
        <v>204</v>
      </c>
      <c r="F10" s="287">
        <v>11.81</v>
      </c>
      <c r="G10" s="287" t="s">
        <v>282</v>
      </c>
      <c r="H10" s="342" t="s">
        <v>283</v>
      </c>
      <c r="I10" s="287">
        <v>36.4</v>
      </c>
      <c r="J10" s="290">
        <v>0.98</v>
      </c>
      <c r="K10" s="288" t="s">
        <v>284</v>
      </c>
    </row>
    <row r="11" spans="2:11" ht="16.5" thickBot="1" x14ac:dyDescent="0.3">
      <c r="B11" s="337" t="s">
        <v>242</v>
      </c>
      <c r="C11" s="337">
        <v>3</v>
      </c>
      <c r="D11" s="338">
        <v>28</v>
      </c>
      <c r="E11" s="343" t="s">
        <v>251</v>
      </c>
      <c r="F11" s="344">
        <v>7.84</v>
      </c>
      <c r="G11" s="344" t="s">
        <v>285</v>
      </c>
      <c r="H11" s="344" t="s">
        <v>290</v>
      </c>
      <c r="I11" s="344">
        <v>11.81</v>
      </c>
      <c r="J11" s="345" t="s">
        <v>286</v>
      </c>
      <c r="K11" s="346" t="s">
        <v>287</v>
      </c>
    </row>
    <row r="12" spans="2:11" ht="16.5" thickBot="1" x14ac:dyDescent="0.3">
      <c r="B12" s="339" t="s">
        <v>295</v>
      </c>
      <c r="C12" s="340">
        <f>SUM(C2:C11)</f>
        <v>86</v>
      </c>
      <c r="D12" s="341">
        <f>SUM(D2:D11)</f>
        <v>563</v>
      </c>
      <c r="E12" s="347"/>
      <c r="F12" s="340" t="s">
        <v>288</v>
      </c>
      <c r="G12" s="341" t="s">
        <v>289</v>
      </c>
      <c r="H12" s="340" t="s">
        <v>294</v>
      </c>
      <c r="I12" s="341" t="s">
        <v>291</v>
      </c>
      <c r="J12" s="340" t="s">
        <v>292</v>
      </c>
      <c r="K12" s="341" t="s">
        <v>293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87"/>
  <sheetViews>
    <sheetView workbookViewId="0">
      <selection activeCell="C1" sqref="C1:D1048576"/>
    </sheetView>
  </sheetViews>
  <sheetFormatPr defaultRowHeight="14.4" x14ac:dyDescent="0.3"/>
  <sheetData>
    <row r="2" spans="3:4" x14ac:dyDescent="0.3">
      <c r="C2" s="109" t="s">
        <v>298</v>
      </c>
      <c r="D2" s="109" t="s">
        <v>299</v>
      </c>
    </row>
    <row r="3" spans="3:4" x14ac:dyDescent="0.3">
      <c r="C3" s="109">
        <v>26.5</v>
      </c>
      <c r="D3" s="109">
        <v>15.14</v>
      </c>
    </row>
    <row r="4" spans="3:4" x14ac:dyDescent="0.3">
      <c r="C4" s="109">
        <v>31.4</v>
      </c>
      <c r="D4" s="109">
        <v>15.14</v>
      </c>
    </row>
    <row r="5" spans="3:4" x14ac:dyDescent="0.3">
      <c r="C5" s="109">
        <v>25.5</v>
      </c>
      <c r="D5" s="109">
        <v>15.14</v>
      </c>
    </row>
    <row r="6" spans="3:4" x14ac:dyDescent="0.3">
      <c r="C6" s="109">
        <v>33.79</v>
      </c>
      <c r="D6" s="109">
        <v>19.809999999999999</v>
      </c>
    </row>
    <row r="7" spans="3:4" x14ac:dyDescent="0.3">
      <c r="C7" s="109">
        <v>34</v>
      </c>
      <c r="D7" s="109">
        <v>19.809999999999999</v>
      </c>
    </row>
    <row r="8" spans="3:4" x14ac:dyDescent="0.3">
      <c r="C8" s="109">
        <v>35.5</v>
      </c>
      <c r="D8" s="109">
        <v>19.809999999999999</v>
      </c>
    </row>
    <row r="9" spans="3:4" x14ac:dyDescent="0.3">
      <c r="C9" s="109">
        <v>41.4</v>
      </c>
      <c r="D9" s="109">
        <v>25.98</v>
      </c>
    </row>
    <row r="10" spans="3:4" x14ac:dyDescent="0.3">
      <c r="C10" s="109">
        <v>42.3</v>
      </c>
      <c r="D10" s="109">
        <v>25.98</v>
      </c>
    </row>
    <row r="11" spans="3:4" x14ac:dyDescent="0.3">
      <c r="C11" s="109">
        <v>57</v>
      </c>
      <c r="D11" s="109">
        <v>25.98</v>
      </c>
    </row>
    <row r="12" spans="3:4" x14ac:dyDescent="0.3">
      <c r="C12" s="109">
        <v>50</v>
      </c>
      <c r="D12" s="109">
        <v>30.46</v>
      </c>
    </row>
    <row r="13" spans="3:4" x14ac:dyDescent="0.3">
      <c r="C13" s="109">
        <v>50.7</v>
      </c>
      <c r="D13" s="109">
        <v>30.46</v>
      </c>
    </row>
    <row r="14" spans="3:4" x14ac:dyDescent="0.3">
      <c r="C14" s="109">
        <v>44.9</v>
      </c>
      <c r="D14" s="109">
        <v>30.46</v>
      </c>
    </row>
    <row r="15" spans="3:4" x14ac:dyDescent="0.3">
      <c r="C15" s="109">
        <v>63.25</v>
      </c>
      <c r="D15" s="109">
        <v>39.25</v>
      </c>
    </row>
    <row r="16" spans="3:4" x14ac:dyDescent="0.3">
      <c r="C16" s="109">
        <v>70.099999999999994</v>
      </c>
      <c r="D16" s="109">
        <v>39.25</v>
      </c>
    </row>
    <row r="17" spans="3:4" x14ac:dyDescent="0.3">
      <c r="C17" s="109">
        <v>62</v>
      </c>
      <c r="D17" s="109">
        <v>39.25</v>
      </c>
    </row>
    <row r="18" spans="3:4" x14ac:dyDescent="0.3">
      <c r="C18" s="109">
        <v>151</v>
      </c>
      <c r="D18" s="109">
        <v>57.37</v>
      </c>
    </row>
    <row r="19" spans="3:4" x14ac:dyDescent="0.3">
      <c r="C19" s="109">
        <v>187.25</v>
      </c>
      <c r="D19" s="109">
        <v>57.37</v>
      </c>
    </row>
    <row r="20" spans="3:4" x14ac:dyDescent="0.3">
      <c r="C20" s="109">
        <v>324.7</v>
      </c>
      <c r="D20" s="109">
        <v>315.26072484614241</v>
      </c>
    </row>
    <row r="21" spans="3:4" x14ac:dyDescent="0.3">
      <c r="C21" s="109">
        <v>293.55</v>
      </c>
      <c r="D21" s="109">
        <v>360.19815692107983</v>
      </c>
    </row>
    <row r="22" spans="3:4" x14ac:dyDescent="0.3">
      <c r="C22" s="109">
        <v>75.599999999999994</v>
      </c>
      <c r="D22" s="109">
        <v>50.441715975382785</v>
      </c>
    </row>
    <row r="23" spans="3:4" x14ac:dyDescent="0.3">
      <c r="C23" s="109">
        <v>88.95</v>
      </c>
      <c r="D23" s="109">
        <v>50.441715975382785</v>
      </c>
    </row>
    <row r="24" spans="3:4" x14ac:dyDescent="0.3">
      <c r="C24" s="109">
        <v>97.85</v>
      </c>
      <c r="D24" s="109">
        <v>58.846249182011164</v>
      </c>
    </row>
    <row r="25" spans="3:4" x14ac:dyDescent="0.3">
      <c r="C25" s="109">
        <v>86.7</v>
      </c>
      <c r="D25" s="109">
        <v>57.631705107372774</v>
      </c>
    </row>
    <row r="26" spans="3:4" x14ac:dyDescent="0.3">
      <c r="C26" s="109">
        <v>48.924999999999997</v>
      </c>
      <c r="D26" s="109">
        <v>43.666203653414307</v>
      </c>
    </row>
    <row r="27" spans="3:4" x14ac:dyDescent="0.3">
      <c r="C27" s="109">
        <v>51</v>
      </c>
      <c r="D27" s="109">
        <v>44.480290845592471</v>
      </c>
    </row>
    <row r="28" spans="3:4" x14ac:dyDescent="0.3">
      <c r="C28" s="109">
        <v>133.5</v>
      </c>
      <c r="D28" s="109">
        <v>95.475820516409613</v>
      </c>
    </row>
    <row r="29" spans="3:4" x14ac:dyDescent="0.3">
      <c r="C29" s="109">
        <v>136.6</v>
      </c>
      <c r="D29" s="109">
        <v>218.1128658349013</v>
      </c>
    </row>
    <row r="30" spans="3:4" x14ac:dyDescent="0.3">
      <c r="C30" s="109">
        <v>146</v>
      </c>
      <c r="D30" s="109">
        <v>277.91275211563118</v>
      </c>
    </row>
    <row r="31" spans="3:4" x14ac:dyDescent="0.3">
      <c r="C31" s="109">
        <v>160</v>
      </c>
      <c r="D31" s="109">
        <v>359.85480101280268</v>
      </c>
    </row>
    <row r="32" spans="3:4" x14ac:dyDescent="0.3">
      <c r="C32" s="109">
        <v>58.6</v>
      </c>
      <c r="D32" s="109">
        <v>65.122551005708502</v>
      </c>
    </row>
    <row r="33" spans="3:4" x14ac:dyDescent="0.3">
      <c r="C33" s="109">
        <v>153.6</v>
      </c>
      <c r="D33" s="109">
        <v>287.39988916950136</v>
      </c>
    </row>
    <row r="34" spans="3:4" x14ac:dyDescent="0.3">
      <c r="C34" s="109">
        <v>253.7</v>
      </c>
      <c r="D34" s="109">
        <v>476.19309321559643</v>
      </c>
    </row>
    <row r="35" spans="3:4" x14ac:dyDescent="0.3">
      <c r="C35" s="109">
        <v>330.09</v>
      </c>
      <c r="D35" s="109">
        <v>710.51011021012994</v>
      </c>
    </row>
    <row r="36" spans="3:4" x14ac:dyDescent="0.3">
      <c r="C36" s="109">
        <v>422</v>
      </c>
      <c r="D36" s="109">
        <v>304.14091473389425</v>
      </c>
    </row>
    <row r="37" spans="3:4" x14ac:dyDescent="0.3">
      <c r="C37" s="109">
        <v>406</v>
      </c>
      <c r="D37" s="109">
        <v>355.96518421728706</v>
      </c>
    </row>
    <row r="38" spans="3:4" x14ac:dyDescent="0.3">
      <c r="C38" s="109">
        <v>60</v>
      </c>
      <c r="D38" s="109">
        <v>57.493854738296953</v>
      </c>
    </row>
    <row r="39" spans="3:4" x14ac:dyDescent="0.3">
      <c r="C39" s="109">
        <v>66.7</v>
      </c>
      <c r="D39" s="109">
        <v>57.742956546489154</v>
      </c>
    </row>
    <row r="40" spans="3:4" x14ac:dyDescent="0.3">
      <c r="C40" s="109">
        <v>68.900000000000006</v>
      </c>
      <c r="D40" s="109">
        <v>58.045099923767296</v>
      </c>
    </row>
    <row r="41" spans="3:4" x14ac:dyDescent="0.3">
      <c r="C41" s="109">
        <v>64.5</v>
      </c>
      <c r="D41" s="109">
        <v>58.032851892469481</v>
      </c>
    </row>
    <row r="42" spans="3:4" x14ac:dyDescent="0.3">
      <c r="C42" s="109">
        <v>289.12</v>
      </c>
      <c r="D42" s="109">
        <v>346.21389233163654</v>
      </c>
    </row>
    <row r="43" spans="3:4" x14ac:dyDescent="0.3">
      <c r="C43" s="109">
        <v>300.2</v>
      </c>
      <c r="D43" s="109">
        <v>347.03430439877314</v>
      </c>
    </row>
    <row r="44" spans="3:4" x14ac:dyDescent="0.3">
      <c r="C44" s="109">
        <v>60</v>
      </c>
      <c r="D44" s="109">
        <v>60.226251930410818</v>
      </c>
    </row>
    <row r="45" spans="3:4" x14ac:dyDescent="0.3">
      <c r="C45" s="109">
        <v>64.5</v>
      </c>
      <c r="D45" s="109">
        <v>59.564424986120599</v>
      </c>
    </row>
    <row r="46" spans="3:4" x14ac:dyDescent="0.3">
      <c r="C46" s="109">
        <v>1220.2</v>
      </c>
      <c r="D46" s="109">
        <v>2453.385027333662</v>
      </c>
    </row>
    <row r="47" spans="3:4" x14ac:dyDescent="0.3">
      <c r="C47" s="109">
        <v>114.5</v>
      </c>
      <c r="D47" s="109">
        <v>111.39914120993571</v>
      </c>
    </row>
    <row r="48" spans="3:4" x14ac:dyDescent="0.3">
      <c r="C48" s="109">
        <v>112</v>
      </c>
      <c r="D48" s="109">
        <v>112.57489031020607</v>
      </c>
    </row>
    <row r="49" spans="3:4" x14ac:dyDescent="0.3">
      <c r="C49" s="109">
        <v>471</v>
      </c>
      <c r="D49" s="109">
        <v>456.19893529712158</v>
      </c>
    </row>
    <row r="50" spans="3:4" x14ac:dyDescent="0.3">
      <c r="C50" s="109">
        <v>440</v>
      </c>
      <c r="D50" s="109">
        <v>448.69492671021681</v>
      </c>
    </row>
    <row r="51" spans="3:4" x14ac:dyDescent="0.3">
      <c r="C51" s="109">
        <v>1282</v>
      </c>
      <c r="D51" s="109">
        <v>1399.1036567734952</v>
      </c>
    </row>
    <row r="52" spans="3:4" x14ac:dyDescent="0.3">
      <c r="C52" s="109">
        <v>237.5</v>
      </c>
      <c r="D52" s="109">
        <v>217.6088277901716</v>
      </c>
    </row>
    <row r="53" spans="3:4" x14ac:dyDescent="0.3">
      <c r="C53" s="109">
        <v>253</v>
      </c>
      <c r="D53" s="109">
        <v>218.7031752928074</v>
      </c>
    </row>
    <row r="54" spans="3:4" x14ac:dyDescent="0.3">
      <c r="C54" s="109">
        <v>258.5</v>
      </c>
      <c r="D54" s="109">
        <v>218.52584307051055</v>
      </c>
    </row>
    <row r="55" spans="3:4" x14ac:dyDescent="0.3">
      <c r="C55" s="109">
        <v>248.5</v>
      </c>
      <c r="D55" s="109">
        <v>218.52584307051055</v>
      </c>
    </row>
    <row r="56" spans="3:4" x14ac:dyDescent="0.3">
      <c r="C56" s="109">
        <v>249.5</v>
      </c>
      <c r="D56" s="109">
        <v>432.21976677119284</v>
      </c>
    </row>
    <row r="57" spans="3:4" x14ac:dyDescent="0.3">
      <c r="C57" s="109">
        <v>227</v>
      </c>
      <c r="D57" s="109">
        <v>442.78360878303693</v>
      </c>
    </row>
    <row r="58" spans="3:4" x14ac:dyDescent="0.3">
      <c r="C58" s="109">
        <v>260</v>
      </c>
      <c r="D58" s="109">
        <v>598.38117144774571</v>
      </c>
    </row>
    <row r="59" spans="3:4" x14ac:dyDescent="0.3">
      <c r="C59" s="109">
        <v>694</v>
      </c>
      <c r="D59" s="109">
        <v>588.5440985337824</v>
      </c>
    </row>
    <row r="60" spans="3:4" x14ac:dyDescent="0.3">
      <c r="C60" s="109">
        <v>249.5</v>
      </c>
      <c r="D60" s="109">
        <v>390.84434845224735</v>
      </c>
    </row>
    <row r="61" spans="3:4" x14ac:dyDescent="0.3">
      <c r="C61" s="109">
        <v>250</v>
      </c>
      <c r="D61" s="109">
        <v>401.89079055787931</v>
      </c>
    </row>
    <row r="62" spans="3:4" x14ac:dyDescent="0.3">
      <c r="C62" s="109">
        <v>226.5</v>
      </c>
      <c r="D62" s="109">
        <v>369.73636943603475</v>
      </c>
    </row>
    <row r="63" spans="3:4" x14ac:dyDescent="0.3">
      <c r="C63" s="109">
        <v>272.5</v>
      </c>
      <c r="D63" s="109">
        <v>372.35864604944913</v>
      </c>
    </row>
    <row r="64" spans="3:4" x14ac:dyDescent="0.3">
      <c r="C64" s="109">
        <v>36.35</v>
      </c>
      <c r="D64" s="109">
        <v>36.721008118325614</v>
      </c>
    </row>
    <row r="65" spans="3:4" x14ac:dyDescent="0.3">
      <c r="C65" s="109">
        <v>38.049999999999997</v>
      </c>
      <c r="D65" s="109">
        <v>36.721008118325614</v>
      </c>
    </row>
    <row r="66" spans="3:4" x14ac:dyDescent="0.3">
      <c r="C66" s="109">
        <v>38.85</v>
      </c>
      <c r="D66" s="109">
        <v>35.51817294750655</v>
      </c>
    </row>
    <row r="67" spans="3:4" x14ac:dyDescent="0.3">
      <c r="C67" s="109">
        <v>37.950000000000003</v>
      </c>
      <c r="D67" s="109">
        <v>35.016285286734792</v>
      </c>
    </row>
    <row r="68" spans="3:4" x14ac:dyDescent="0.3">
      <c r="C68" s="109">
        <v>41.5</v>
      </c>
      <c r="D68" s="109">
        <v>30.602300724370938</v>
      </c>
    </row>
    <row r="69" spans="3:4" x14ac:dyDescent="0.3">
      <c r="C69" s="109">
        <v>34.5</v>
      </c>
      <c r="D69" s="109">
        <v>30.602300724370938</v>
      </c>
    </row>
    <row r="70" spans="3:4" x14ac:dyDescent="0.3">
      <c r="C70" s="109">
        <v>38.25</v>
      </c>
      <c r="D70" s="109">
        <v>37.415556800297637</v>
      </c>
    </row>
    <row r="71" spans="3:4" x14ac:dyDescent="0.3">
      <c r="C71" s="109">
        <v>40.299999999999997</v>
      </c>
      <c r="D71" s="109">
        <v>37.415556800297637</v>
      </c>
    </row>
    <row r="72" spans="3:4" x14ac:dyDescent="0.3">
      <c r="C72" s="109">
        <v>24.75</v>
      </c>
      <c r="D72" s="109">
        <v>36.14686198410422</v>
      </c>
    </row>
    <row r="73" spans="3:4" x14ac:dyDescent="0.3">
      <c r="C73" s="109">
        <v>37.450000000000003</v>
      </c>
      <c r="D73" s="109">
        <v>48.668335277749989</v>
      </c>
    </row>
    <row r="74" spans="3:4" x14ac:dyDescent="0.3">
      <c r="C74" s="109">
        <v>66</v>
      </c>
      <c r="D74" s="109">
        <v>49.876656311454809</v>
      </c>
    </row>
    <row r="75" spans="3:4" x14ac:dyDescent="0.3">
      <c r="C75" s="109">
        <v>171.5</v>
      </c>
      <c r="D75" s="109">
        <v>422.65048463655484</v>
      </c>
    </row>
    <row r="76" spans="3:4" x14ac:dyDescent="0.3">
      <c r="C76" s="109">
        <v>1365</v>
      </c>
      <c r="D76" s="109">
        <v>1008.3027479373087</v>
      </c>
    </row>
    <row r="77" spans="3:4" x14ac:dyDescent="0.3">
      <c r="C77" s="109">
        <v>230</v>
      </c>
      <c r="D77" s="109">
        <v>530.9899984822747</v>
      </c>
    </row>
    <row r="78" spans="3:4" x14ac:dyDescent="0.3">
      <c r="C78" s="109">
        <v>200</v>
      </c>
      <c r="D78" s="109">
        <v>509.13336600687688</v>
      </c>
    </row>
    <row r="79" spans="3:4" x14ac:dyDescent="0.3">
      <c r="C79" s="109">
        <v>380</v>
      </c>
      <c r="D79" s="109">
        <v>489.8791857548851</v>
      </c>
    </row>
    <row r="80" spans="3:4" x14ac:dyDescent="0.3">
      <c r="C80" s="109">
        <v>353</v>
      </c>
      <c r="D80" s="109">
        <v>368.67415755023751</v>
      </c>
    </row>
    <row r="81" spans="3:4" x14ac:dyDescent="0.3">
      <c r="C81" s="109">
        <v>779.75</v>
      </c>
      <c r="D81" s="109">
        <v>287.79617199530611</v>
      </c>
    </row>
    <row r="82" spans="3:4" x14ac:dyDescent="0.3">
      <c r="C82" s="109">
        <v>1107</v>
      </c>
      <c r="D82" s="109">
        <v>287.79617199530611</v>
      </c>
    </row>
    <row r="83" spans="3:4" x14ac:dyDescent="0.3">
      <c r="C83" s="109">
        <v>826.5</v>
      </c>
      <c r="D83" s="109">
        <v>309.14267918617435</v>
      </c>
    </row>
    <row r="84" spans="3:4" x14ac:dyDescent="0.3">
      <c r="C84" s="109">
        <v>675.5</v>
      </c>
      <c r="D84" s="109">
        <v>350.96734173726651</v>
      </c>
    </row>
    <row r="85" spans="3:4" x14ac:dyDescent="0.3">
      <c r="C85" s="109">
        <v>79.2</v>
      </c>
      <c r="D85" s="109">
        <v>69.891365221947837</v>
      </c>
    </row>
    <row r="86" spans="3:4" x14ac:dyDescent="0.3">
      <c r="C86" s="109">
        <v>75</v>
      </c>
      <c r="D86" s="109">
        <v>70.068709747650161</v>
      </c>
    </row>
    <row r="87" spans="3:4" x14ac:dyDescent="0.3">
      <c r="C87" s="109">
        <v>84.5</v>
      </c>
      <c r="D87" s="109">
        <v>73.761756773501048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raw_Island</vt:lpstr>
      <vt:lpstr>all</vt:lpstr>
      <vt:lpstr>all_ex_postcap</vt:lpstr>
      <vt:lpstr>shearstrength_DS5</vt:lpstr>
      <vt:lpstr>D4</vt:lpstr>
      <vt:lpstr>all_ex_postcap_2</vt:lpstr>
      <vt:lpstr>Purdu</vt:lpstr>
      <vt:lpstr>Purdu_ex_deep</vt:lpstr>
      <vt:lpstr>PCA</vt:lpstr>
      <vt:lpstr>Toronto</vt:lpstr>
      <vt:lpstr>deep</vt:lpstr>
      <vt:lpstr>deep_2</vt:lpstr>
      <vt:lpstr>Purdu_2</vt:lpstr>
      <vt:lpstr>PCA_ex_postcap</vt:lpstr>
      <vt:lpstr>table_paper</vt:lpstr>
      <vt:lpstr>4mdeep</vt:lpstr>
      <vt:lpstr>Uniform</vt:lpstr>
      <vt:lpstr>Haunched</vt:lpstr>
      <vt:lpstr>Uniform_0</vt:lpstr>
      <vt:lpstr>simpletable</vt:lpstr>
      <vt:lpstr>shearstrength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Rouzbeh Davoudi</dc:creator>
  <cp:lastModifiedBy>Rouzbeh Davoudi</cp:lastModifiedBy>
  <dcterms:created xsi:type="dcterms:W3CDTF">2016-05-16T03:05:09Z</dcterms:created>
  <dcterms:modified xsi:type="dcterms:W3CDTF">2018-03-05T22:08:48Z</dcterms:modified>
</cp:coreProperties>
</file>