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unbeltmod-my.sharepoint.com/personal/mitch_quintana_nwbsinc_com/Documents/Sunbelt Sales &amp; Praxis Training Materials/Calculators/Every Quote/"/>
    </mc:Choice>
  </mc:AlternateContent>
  <xr:revisionPtr revIDLastSave="8" documentId="13_ncr:1_{F3696463-C69E-4718-98B8-0A2D532AD248}" xr6:coauthVersionLast="47" xr6:coauthVersionMax="47" xr10:uidLastSave="{94275FBC-9DD6-4696-AFB2-EF18B802E3C0}"/>
  <bookViews>
    <workbookView xWindow="-108" yWindow="-108" windowWidth="23256" windowHeight="12576" activeTab="2" xr2:uid="{00000000-000D-0000-FFFF-FFFF00000000}"/>
  </bookViews>
  <sheets>
    <sheet name="Occupant Calculator" sheetId="4" r:id="rId1"/>
    <sheet name="IMC-UMC Vent. Rate" sheetId="1" r:id="rId2"/>
    <sheet name="IMC-UMC Endmount HVAC Calc" sheetId="5" r:id="rId3"/>
    <sheet name="IMC-UMC Rooftop HVAC Calc" sheetId="6" r:id="rId4"/>
    <sheet name="CA Outisde Air" sheetId="10" r:id="rId5"/>
    <sheet name=" CA Vent Rate" sheetId="3" state="hidden" r:id="rId6"/>
    <sheet name="CA Endmount Calc" sheetId="7" r:id="rId7"/>
    <sheet name="CA Rooftop Calc" sheetId="8" r:id="rId8"/>
    <sheet name="Heating Climate Zones" sheetId="9" r:id="rId9"/>
  </sheets>
  <definedNames>
    <definedName name="_xlnm._FilterDatabase" localSheetId="5" hidden="1">' CA Vent Rate'!$A$11:$L$11</definedName>
    <definedName name="CFMBardUMC">'CA Endmount Calc'!$M$3:$O$10</definedName>
    <definedName name="CFMtable">'IMC-UMC Endmount HVAC Calc'!$I$3:$K$11</definedName>
    <definedName name="CFMtableDaikin">'IMC-UMC Rooftop HVAC Calc'!$J$3:$L$10</definedName>
    <definedName name="CFMtableDaikinUMC">'CA Rooftop Calc'!$J$3:$L$10</definedName>
    <definedName name="ClimateZone09">'IMC-UMC Endmount HVAC Calc'!$X$2:$X$18</definedName>
    <definedName name="EerEquipment">'IMC-UMC Endmount HVAC Calc'!$V$23:$V$32</definedName>
    <definedName name="EerHVACsize">'IMC-UMC Endmount HVAC Calc'!$W$22:$AE$22</definedName>
    <definedName name="EerTable">'IMC-UMC Endmount HVAC Calc'!$W$23:$AE$32</definedName>
    <definedName name="Exceptions09">'IMC-UMC Endmount HVAC Calc'!$Y$2:$Y$18</definedName>
    <definedName name="FreshAirType">'IMC-UMC Endmount HVAC Calc'!$I$2:$K$2</definedName>
    <definedName name="FRESHairtypeUMC">'CA Endmount Calc'!$M$2:$O$2</definedName>
    <definedName name="HVACsize">'IMC-UMC Endmount HVAC Calc'!$G$3:$G$11</definedName>
    <definedName name="HVACsizeDaikinUMC">'CA Rooftop Calc'!$H$3:$H$10</definedName>
    <definedName name="HVACsizeUMC">'CA Endmount Calc'!$K$3:$K$10</definedName>
    <definedName name="RTUsizes">'IMC-UMC Rooftop HVAC Calc'!$H$3:$H$10</definedName>
    <definedName name="SeerEquipment">'IMC-UMC Endmount HVAC Calc'!$V$37:$V$46</definedName>
    <definedName name="SeerHVACsize">'IMC-UMC Endmount HVAC Calc'!$W$36:$AE$36</definedName>
    <definedName name="SeerTable">'IMC-UMC Endmount HVAC Calc'!$W$37:$AE$46</definedName>
    <definedName name="VENTtypeDaikin">'IMC-UMC Rooftop HVAC Calc'!$J$2:$L$2</definedName>
    <definedName name="VENTtypeDaikinUMC">'CA Rooftop Calc'!$J$2:$L$2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14" i="7"/>
  <c r="C8" i="7"/>
  <c r="D7" i="7"/>
  <c r="D6" i="7"/>
  <c r="D4" i="7"/>
  <c r="D5" i="7"/>
  <c r="E3" i="7"/>
  <c r="E34" i="10"/>
  <c r="E85" i="10"/>
  <c r="E87" i="10"/>
  <c r="E86" i="10"/>
  <c r="E84" i="10"/>
  <c r="E81" i="10"/>
  <c r="E80" i="10"/>
  <c r="E78" i="10"/>
  <c r="E77" i="10"/>
  <c r="E74" i="10"/>
  <c r="E73" i="10"/>
  <c r="E70" i="10"/>
  <c r="E69" i="10"/>
  <c r="E65" i="10"/>
  <c r="E64" i="10"/>
  <c r="E63" i="10"/>
  <c r="E61" i="10"/>
  <c r="E60" i="10"/>
  <c r="E59" i="10"/>
  <c r="E58" i="10"/>
  <c r="E54" i="10"/>
  <c r="E38" i="10"/>
  <c r="E37" i="10"/>
  <c r="E26" i="10"/>
  <c r="E25" i="10"/>
  <c r="E24" i="10"/>
  <c r="E21" i="10"/>
  <c r="E20" i="10"/>
  <c r="E19" i="10"/>
  <c r="E17" i="10"/>
  <c r="E16" i="10"/>
  <c r="E9" i="10"/>
  <c r="B9" i="10"/>
  <c r="E8" i="10"/>
  <c r="E7" i="10"/>
  <c r="E6" i="10"/>
  <c r="E4" i="10"/>
  <c r="D83" i="10"/>
  <c r="D82" i="10"/>
  <c r="D79" i="10"/>
  <c r="D75" i="10"/>
  <c r="D72" i="10"/>
  <c r="D71" i="10"/>
  <c r="D62" i="10"/>
  <c r="D56" i="10"/>
  <c r="D55" i="10"/>
  <c r="D53" i="10"/>
  <c r="D52" i="10"/>
  <c r="D50" i="10"/>
  <c r="D49" i="10"/>
  <c r="D48" i="10"/>
  <c r="D46" i="10"/>
  <c r="D45" i="10"/>
  <c r="D44" i="10"/>
  <c r="D42" i="10"/>
  <c r="D41" i="10"/>
  <c r="D40" i="10"/>
  <c r="D39" i="10"/>
  <c r="D35" i="10"/>
  <c r="D33" i="10"/>
  <c r="D32" i="10"/>
  <c r="D31" i="10"/>
  <c r="D30" i="10"/>
  <c r="D28" i="10"/>
  <c r="D27" i="10"/>
  <c r="D22" i="10"/>
  <c r="D15" i="10"/>
  <c r="D14" i="10"/>
  <c r="D13" i="10"/>
  <c r="D12" i="10"/>
  <c r="D11" i="10"/>
  <c r="D10" i="10"/>
  <c r="D5" i="10"/>
  <c r="B2" i="10"/>
  <c r="B87" i="10"/>
  <c r="D87" i="10" s="1"/>
  <c r="B80" i="10"/>
  <c r="D80" i="10" s="1"/>
  <c r="B86" i="10"/>
  <c r="D86" i="10" s="1"/>
  <c r="B85" i="10"/>
  <c r="D85" i="10" s="1"/>
  <c r="B84" i="10"/>
  <c r="D84" i="10" s="1"/>
  <c r="B81" i="10"/>
  <c r="D81" i="10" s="1"/>
  <c r="B78" i="10"/>
  <c r="D78" i="10" s="1"/>
  <c r="B77" i="10"/>
  <c r="D77" i="10" s="1"/>
  <c r="B74" i="10"/>
  <c r="D74" i="10" s="1"/>
  <c r="B73" i="10"/>
  <c r="D73" i="10" s="1"/>
  <c r="B70" i="10"/>
  <c r="D70" i="10" s="1"/>
  <c r="B69" i="10"/>
  <c r="D69" i="10" s="1"/>
  <c r="B65" i="10"/>
  <c r="D65" i="10" s="1"/>
  <c r="B64" i="10"/>
  <c r="D64" i="10" s="1"/>
  <c r="B63" i="10"/>
  <c r="D63" i="10" s="1"/>
  <c r="B61" i="10"/>
  <c r="D61" i="10" s="1"/>
  <c r="B60" i="10"/>
  <c r="D60" i="10" s="1"/>
  <c r="B54" i="10"/>
  <c r="D54" i="10" s="1"/>
  <c r="B59" i="10"/>
  <c r="D59" i="10" s="1"/>
  <c r="B58" i="10"/>
  <c r="D58" i="10" s="1"/>
  <c r="B38" i="10"/>
  <c r="D38" i="10" s="1"/>
  <c r="B37" i="10"/>
  <c r="D37" i="10" s="1"/>
  <c r="B34" i="10"/>
  <c r="D34" i="10" s="1"/>
  <c r="B26" i="10"/>
  <c r="D26" i="10" s="1"/>
  <c r="B25" i="10"/>
  <c r="D25" i="10" s="1"/>
  <c r="B24" i="10"/>
  <c r="D24" i="10" s="1"/>
  <c r="B21" i="10"/>
  <c r="D21" i="10" s="1"/>
  <c r="B20" i="10"/>
  <c r="D20" i="10" s="1"/>
  <c r="B19" i="10"/>
  <c r="D19" i="10" s="1"/>
  <c r="B17" i="10"/>
  <c r="D17" i="10" s="1"/>
  <c r="B16" i="10"/>
  <c r="D16" i="10" s="1"/>
  <c r="B8" i="10"/>
  <c r="D8" i="10" s="1"/>
  <c r="B7" i="10"/>
  <c r="D7" i="10" s="1"/>
  <c r="B6" i="10"/>
  <c r="D6" i="10" s="1"/>
  <c r="B4" i="10"/>
  <c r="D4" i="10" s="1"/>
  <c r="D89" i="10" l="1"/>
  <c r="H10" i="1"/>
  <c r="B14" i="7" l="1"/>
  <c r="B14" i="8"/>
  <c r="F10" i="1"/>
  <c r="J10" i="1" s="1"/>
  <c r="I10" i="1"/>
  <c r="H9" i="1"/>
  <c r="F9" i="1" s="1"/>
  <c r="J9" i="1" l="1"/>
  <c r="I9" i="1"/>
  <c r="AW14" i="6"/>
  <c r="AY11" i="6"/>
  <c r="AR11" i="6"/>
  <c r="AK11" i="6"/>
  <c r="AD11" i="6"/>
  <c r="W11" i="6"/>
  <c r="AR10" i="6"/>
  <c r="AK10" i="6"/>
  <c r="AD10" i="6"/>
  <c r="W10" i="6"/>
  <c r="AY9" i="6"/>
  <c r="AR9" i="6"/>
  <c r="AK9" i="6"/>
  <c r="AD9" i="6"/>
  <c r="W9" i="6"/>
  <c r="AR8" i="6"/>
  <c r="AK8" i="6"/>
  <c r="AD8" i="6"/>
  <c r="W8" i="6"/>
  <c r="AR7" i="6"/>
  <c r="AK7" i="6"/>
  <c r="AD7" i="6"/>
  <c r="W7" i="6"/>
  <c r="AR6" i="6"/>
  <c r="AK6" i="6"/>
  <c r="AD6" i="6"/>
  <c r="W6" i="6"/>
  <c r="AR5" i="6"/>
  <c r="AK5" i="6"/>
  <c r="AD5" i="6"/>
  <c r="W5" i="6"/>
  <c r="AR4" i="6"/>
  <c r="AK4" i="6"/>
  <c r="E22" i="6" s="1"/>
  <c r="AD4" i="6"/>
  <c r="W4" i="6"/>
  <c r="H22" i="6"/>
  <c r="G22" i="6"/>
  <c r="F22" i="6"/>
  <c r="BA16" i="6" l="1"/>
  <c r="Y10" i="6"/>
  <c r="Y5" i="6"/>
  <c r="BA6" i="6"/>
  <c r="BA1" i="6"/>
  <c r="BA11" i="6"/>
  <c r="AT6" i="6"/>
  <c r="AF5" i="6"/>
  <c r="AB14" i="6" s="1"/>
  <c r="AF10" i="6"/>
  <c r="BA12" i="6"/>
  <c r="BA2" i="6"/>
  <c r="Y7" i="6"/>
  <c r="BA8" i="6"/>
  <c r="BA13" i="6"/>
  <c r="BA3" i="6"/>
  <c r="AM5" i="6"/>
  <c r="AI14" i="6" s="1"/>
  <c r="AM10" i="6"/>
  <c r="AT5" i="6"/>
  <c r="AP14" i="6" s="1"/>
  <c r="I22" i="6" s="1"/>
  <c r="AT10" i="6"/>
  <c r="AM7" i="6"/>
  <c r="BA10" i="6"/>
  <c r="AF7" i="6"/>
  <c r="BA5" i="6"/>
  <c r="AT9" i="6"/>
  <c r="BA14" i="6"/>
  <c r="BA4" i="6"/>
  <c r="BA7" i="6"/>
  <c r="BA9" i="6"/>
  <c r="BA15" i="6"/>
  <c r="AT4" i="6"/>
  <c r="AT7" i="6"/>
  <c r="E3" i="5"/>
  <c r="E4" i="5"/>
  <c r="E5" i="5"/>
  <c r="E6" i="5"/>
  <c r="E7" i="5"/>
  <c r="G22" i="5"/>
  <c r="E14" i="5" l="1"/>
  <c r="E22" i="5"/>
  <c r="F22" i="5"/>
  <c r="H22" i="5"/>
  <c r="W4" i="5"/>
  <c r="AD4" i="5"/>
  <c r="AK4" i="5"/>
  <c r="AR4" i="5"/>
  <c r="W5" i="5"/>
  <c r="AD5" i="5"/>
  <c r="AK5" i="5"/>
  <c r="AR5" i="5"/>
  <c r="W6" i="5"/>
  <c r="AD6" i="5"/>
  <c r="AK6" i="5"/>
  <c r="AR6" i="5"/>
  <c r="W7" i="5"/>
  <c r="AD7" i="5"/>
  <c r="AK7" i="5"/>
  <c r="AR7" i="5"/>
  <c r="W8" i="5"/>
  <c r="AD8" i="5"/>
  <c r="AK8" i="5"/>
  <c r="AR8" i="5"/>
  <c r="W9" i="5"/>
  <c r="AD9" i="5"/>
  <c r="AK9" i="5"/>
  <c r="AR9" i="5"/>
  <c r="AY9" i="5"/>
  <c r="W10" i="5"/>
  <c r="AD10" i="5"/>
  <c r="AK10" i="5"/>
  <c r="AR10" i="5"/>
  <c r="W11" i="5"/>
  <c r="AD11" i="5"/>
  <c r="AK11" i="5"/>
  <c r="AR11" i="5"/>
  <c r="AY11" i="5"/>
  <c r="Y7" i="5" l="1"/>
  <c r="BA16" i="5"/>
  <c r="BA3" i="5"/>
  <c r="BA15" i="5"/>
  <c r="BA9" i="5"/>
  <c r="BA7" i="5"/>
  <c r="BA4" i="5"/>
  <c r="BA2" i="5"/>
  <c r="BA14" i="5"/>
  <c r="AT7" i="5"/>
  <c r="AT4" i="5"/>
  <c r="BA1" i="5"/>
  <c r="AT9" i="5"/>
  <c r="BA10" i="5"/>
  <c r="AM7" i="5"/>
  <c r="BA5" i="5"/>
  <c r="BA12" i="5"/>
  <c r="AF10" i="5"/>
  <c r="AF5" i="5"/>
  <c r="AB14" i="5" s="1"/>
  <c r="BA11" i="5"/>
  <c r="BA6" i="5"/>
  <c r="AF7" i="5"/>
  <c r="AM5" i="5"/>
  <c r="AI14" i="5" s="1"/>
  <c r="Y10" i="5"/>
  <c r="AT6" i="5"/>
  <c r="Y5" i="5"/>
  <c r="AT10" i="5"/>
  <c r="AT5" i="5"/>
  <c r="AM10" i="5"/>
  <c r="BA13" i="5"/>
  <c r="BA8" i="5"/>
  <c r="U14" i="5" l="1"/>
  <c r="U14" i="6"/>
  <c r="AP14" i="5"/>
  <c r="I22" i="5" s="1"/>
  <c r="G14" i="5" s="1"/>
  <c r="AW14" i="5"/>
  <c r="G14" i="8"/>
  <c r="D7" i="8"/>
  <c r="D6" i="8"/>
  <c r="D5" i="8"/>
  <c r="D4" i="8"/>
  <c r="L10" i="8"/>
  <c r="K10" i="8"/>
  <c r="J10" i="8"/>
  <c r="L9" i="8"/>
  <c r="K9" i="8"/>
  <c r="J9" i="8"/>
  <c r="L8" i="8"/>
  <c r="K8" i="8"/>
  <c r="J8" i="8"/>
  <c r="L7" i="8"/>
  <c r="K7" i="8"/>
  <c r="J7" i="8"/>
  <c r="E7" i="8"/>
  <c r="L6" i="8"/>
  <c r="K6" i="8"/>
  <c r="J6" i="8"/>
  <c r="D3" i="8" s="1"/>
  <c r="E6" i="8"/>
  <c r="L5" i="8"/>
  <c r="K5" i="8"/>
  <c r="J5" i="8"/>
  <c r="E5" i="8"/>
  <c r="O4" i="8"/>
  <c r="L4" i="8"/>
  <c r="K4" i="8"/>
  <c r="J4" i="8"/>
  <c r="E4" i="8"/>
  <c r="E3" i="8"/>
  <c r="O10" i="7"/>
  <c r="N10" i="7"/>
  <c r="M10" i="7"/>
  <c r="O9" i="7"/>
  <c r="N9" i="7"/>
  <c r="M9" i="7"/>
  <c r="O8" i="7"/>
  <c r="N8" i="7"/>
  <c r="M8" i="7"/>
  <c r="O7" i="7"/>
  <c r="N7" i="7"/>
  <c r="M7" i="7"/>
  <c r="D3" i="7" s="1"/>
  <c r="O6" i="7"/>
  <c r="N6" i="7"/>
  <c r="M6" i="7"/>
  <c r="E7" i="7"/>
  <c r="O5" i="7"/>
  <c r="N5" i="7"/>
  <c r="M5" i="7"/>
  <c r="E6" i="7"/>
  <c r="O4" i="7"/>
  <c r="N4" i="7"/>
  <c r="M4" i="7"/>
  <c r="E5" i="7"/>
  <c r="S4" i="7"/>
  <c r="E4" i="7"/>
  <c r="X2" i="7" s="1"/>
  <c r="D7" i="6"/>
  <c r="D6" i="6"/>
  <c r="D5" i="6"/>
  <c r="D4" i="6"/>
  <c r="E7" i="6"/>
  <c r="E6" i="6"/>
  <c r="E5" i="6"/>
  <c r="E4" i="6"/>
  <c r="E3" i="6"/>
  <c r="E14" i="6" s="1"/>
  <c r="G14" i="6" s="1"/>
  <c r="D7" i="5"/>
  <c r="D5" i="5"/>
  <c r="D6" i="5"/>
  <c r="D4" i="5"/>
  <c r="E14" i="8" l="1"/>
  <c r="D14" i="7"/>
  <c r="D14" i="8"/>
  <c r="A14" i="8"/>
  <c r="A14" i="7"/>
  <c r="D14" i="6"/>
  <c r="F42" i="1" l="1"/>
  <c r="F27" i="1"/>
  <c r="H27" i="1"/>
  <c r="H4" i="1"/>
  <c r="H42" i="1"/>
  <c r="H33" i="1"/>
  <c r="F33" i="1" s="1"/>
  <c r="H30" i="1"/>
  <c r="F30" i="1" s="1"/>
  <c r="H29" i="1"/>
  <c r="F29" i="1" s="1"/>
  <c r="H28" i="1"/>
  <c r="F28" i="1" s="1"/>
  <c r="H22" i="1"/>
  <c r="F22" i="1" s="1"/>
  <c r="H23" i="1"/>
  <c r="F23" i="1" s="1"/>
  <c r="H21" i="1"/>
  <c r="F21" i="1" s="1"/>
  <c r="H20" i="1"/>
  <c r="F20" i="1" s="1"/>
  <c r="H19" i="1"/>
  <c r="F19" i="1" s="1"/>
  <c r="H18" i="1"/>
  <c r="F18" i="1" s="1"/>
  <c r="H17" i="1"/>
  <c r="F17" i="1" s="1"/>
  <c r="H16" i="1"/>
  <c r="F16" i="1" s="1"/>
  <c r="H15" i="1"/>
  <c r="F15" i="1" s="1"/>
  <c r="H11" i="1"/>
  <c r="F11" i="1" s="1"/>
  <c r="H8" i="1"/>
  <c r="H7" i="1"/>
  <c r="F7" i="1" s="1"/>
  <c r="H6" i="1"/>
  <c r="H5" i="1"/>
  <c r="F5" i="1" s="1"/>
  <c r="H47" i="1" l="1"/>
  <c r="F6" i="1"/>
  <c r="F8" i="1"/>
  <c r="F24" i="1"/>
  <c r="F39" i="1"/>
  <c r="J18" i="1"/>
  <c r="I18" i="1"/>
  <c r="I19" i="1"/>
  <c r="J19" i="1"/>
  <c r="J20" i="1"/>
  <c r="I20" i="1"/>
  <c r="J21" i="1"/>
  <c r="I21" i="1"/>
  <c r="J23" i="1"/>
  <c r="I23" i="1"/>
  <c r="I28" i="1"/>
  <c r="J28" i="1"/>
  <c r="I29" i="1"/>
  <c r="J29" i="1"/>
  <c r="I42" i="1"/>
  <c r="J42" i="1"/>
  <c r="J15" i="1"/>
  <c r="I15" i="1"/>
  <c r="J33" i="1"/>
  <c r="I33" i="1"/>
  <c r="J22" i="1"/>
  <c r="I22" i="1"/>
  <c r="J30" i="1"/>
  <c r="I30" i="1"/>
  <c r="J27" i="1"/>
  <c r="I27" i="1"/>
  <c r="J17" i="1"/>
  <c r="I17" i="1"/>
  <c r="J16" i="1"/>
  <c r="I16" i="1"/>
  <c r="I11" i="1"/>
  <c r="J11" i="1"/>
  <c r="J6" i="1"/>
  <c r="I6" i="1"/>
  <c r="I7" i="1"/>
  <c r="J7" i="1"/>
  <c r="F4" i="1"/>
  <c r="J5" i="1"/>
  <c r="I5" i="1"/>
  <c r="G36" i="1"/>
  <c r="G31" i="1"/>
  <c r="G34" i="1"/>
  <c r="G32" i="1"/>
  <c r="F12" i="1" l="1"/>
  <c r="I8" i="1"/>
  <c r="J8" i="1"/>
  <c r="I4" i="1"/>
  <c r="J4" i="1"/>
  <c r="C11" i="9"/>
  <c r="E11" i="9" s="1"/>
  <c r="L9" i="6" l="1"/>
  <c r="K9" i="6"/>
  <c r="J9" i="6"/>
  <c r="L8" i="6"/>
  <c r="K8" i="6"/>
  <c r="J8" i="6"/>
  <c r="L7" i="6"/>
  <c r="K7" i="6"/>
  <c r="J7" i="6"/>
  <c r="L6" i="6"/>
  <c r="K6" i="6"/>
  <c r="J6" i="6"/>
  <c r="D3" i="6" s="1"/>
  <c r="A14" i="6" s="1"/>
  <c r="L5" i="6"/>
  <c r="K5" i="6"/>
  <c r="J5" i="6"/>
  <c r="L4" i="6"/>
  <c r="K4" i="6"/>
  <c r="J4" i="6"/>
  <c r="L10" i="6"/>
  <c r="K10" i="6"/>
  <c r="J10" i="6"/>
  <c r="O4" i="6"/>
  <c r="N4" i="5"/>
  <c r="K11" i="5" l="1"/>
  <c r="J11" i="5"/>
  <c r="I11" i="5"/>
  <c r="K10" i="5"/>
  <c r="J10" i="5"/>
  <c r="I10" i="5"/>
  <c r="K9" i="5"/>
  <c r="J9" i="5"/>
  <c r="I9" i="5"/>
  <c r="K8" i="5"/>
  <c r="J8" i="5"/>
  <c r="I8" i="5"/>
  <c r="D3" i="5" s="1"/>
  <c r="A14" i="5" s="1"/>
  <c r="K7" i="5"/>
  <c r="J7" i="5"/>
  <c r="I7" i="5"/>
  <c r="K6" i="5"/>
  <c r="J6" i="5"/>
  <c r="I6" i="5"/>
  <c r="K5" i="5"/>
  <c r="J5" i="5"/>
  <c r="I5" i="5"/>
  <c r="K4" i="5"/>
  <c r="J4" i="5"/>
  <c r="I4" i="5"/>
  <c r="D14" i="5" l="1"/>
  <c r="D18" i="4" l="1"/>
  <c r="D25" i="4"/>
  <c r="D15" i="4"/>
  <c r="D3" i="4"/>
  <c r="D4" i="4"/>
  <c r="D13" i="4"/>
  <c r="E13" i="4" s="1"/>
  <c r="D24" i="4"/>
  <c r="D23" i="4"/>
  <c r="D22" i="4"/>
  <c r="D21" i="4"/>
  <c r="D20" i="4"/>
  <c r="D19" i="4"/>
  <c r="D17" i="4"/>
  <c r="D16" i="4"/>
  <c r="D14" i="4"/>
  <c r="D12" i="4"/>
  <c r="D11" i="4"/>
  <c r="D10" i="4"/>
  <c r="D8" i="4"/>
  <c r="D7" i="4"/>
  <c r="D6" i="4"/>
  <c r="D5" i="4"/>
  <c r="D9" i="4"/>
  <c r="E16" i="3"/>
  <c r="D26" i="4" l="1"/>
  <c r="E13" i="3" s="1"/>
  <c r="G38" i="1" l="1"/>
  <c r="G37" i="1"/>
  <c r="G35" i="1" l="1"/>
  <c r="G43" i="1"/>
  <c r="F44" i="1"/>
  <c r="F45" i="1" s="1"/>
  <c r="G19" i="1"/>
  <c r="G20" i="1"/>
  <c r="G21" i="1"/>
  <c r="G7" i="1"/>
  <c r="F49" i="1" l="1"/>
  <c r="E17" i="3"/>
  <c r="F47" i="1"/>
  <c r="C14" i="8" l="1"/>
  <c r="C14" i="7"/>
  <c r="B14" i="6"/>
  <c r="C14" i="6" s="1"/>
  <c r="B14" i="5"/>
  <c r="C14" i="5" s="1"/>
</calcChain>
</file>

<file path=xl/sharedStrings.xml><?xml version="1.0" encoding="utf-8"?>
<sst xmlns="http://schemas.openxmlformats.org/spreadsheetml/2006/main" count="1124" uniqueCount="327">
  <si>
    <t>CBC Section 1004 / IBC Section 1004</t>
  </si>
  <si>
    <t>Occupancy Use:</t>
  </si>
  <si>
    <t>Occupant Load Factor:</t>
  </si>
  <si>
    <t>Square Footage:</t>
  </si>
  <si>
    <t># Of Persons</t>
  </si>
  <si>
    <t>Accesory Storage, Mechanical Equipment</t>
  </si>
  <si>
    <t>300 Gross</t>
  </si>
  <si>
    <t>Assembly (Casino)</t>
  </si>
  <si>
    <t>11 Gross</t>
  </si>
  <si>
    <t>Assembly (With Tables &amp; Chairs)</t>
  </si>
  <si>
    <r>
      <t xml:space="preserve">15 </t>
    </r>
    <r>
      <rPr>
        <i/>
        <sz val="11"/>
        <color theme="1"/>
        <rFont val="Calibri"/>
        <family val="2"/>
        <scheme val="minor"/>
      </rPr>
      <t>Net</t>
    </r>
  </si>
  <si>
    <t>&lt;--- Use for Conference Rooms &amp; Break Rooms</t>
  </si>
  <si>
    <t>Assembly (Concentrated)</t>
  </si>
  <si>
    <r>
      <t xml:space="preserve">7 </t>
    </r>
    <r>
      <rPr>
        <i/>
        <sz val="11"/>
        <color theme="1"/>
        <rFont val="Calibri"/>
        <family val="2"/>
        <scheme val="minor"/>
      </rPr>
      <t>Net</t>
    </r>
  </si>
  <si>
    <t>Assembly (Standing)</t>
  </si>
  <si>
    <r>
      <t xml:space="preserve">5 </t>
    </r>
    <r>
      <rPr>
        <i/>
        <sz val="11"/>
        <color theme="1"/>
        <rFont val="Calibri"/>
        <family val="2"/>
        <scheme val="minor"/>
      </rPr>
      <t>Net</t>
    </r>
  </si>
  <si>
    <t>Business (2006 - 2015 IBC)</t>
  </si>
  <si>
    <t>100 Gross</t>
  </si>
  <si>
    <t>Business (2018 IBC &amp; 2019 CBC)</t>
  </si>
  <si>
    <t>150 Gross</t>
  </si>
  <si>
    <t>Courtrooms</t>
  </si>
  <si>
    <r>
      <t xml:space="preserve">40 </t>
    </r>
    <r>
      <rPr>
        <i/>
        <sz val="11"/>
        <color theme="1"/>
        <rFont val="Calibri"/>
        <family val="2"/>
        <scheme val="minor"/>
      </rPr>
      <t>Net</t>
    </r>
  </si>
  <si>
    <t>Day Care</t>
  </si>
  <si>
    <r>
      <t xml:space="preserve">35 </t>
    </r>
    <r>
      <rPr>
        <i/>
        <sz val="11"/>
        <color theme="1"/>
        <rFont val="Calibri"/>
        <family val="2"/>
        <scheme val="minor"/>
      </rPr>
      <t>Net</t>
    </r>
  </si>
  <si>
    <t>Dormatories</t>
  </si>
  <si>
    <t>50 Gross</t>
  </si>
  <si>
    <t>Educational (Includes Adult Education)</t>
  </si>
  <si>
    <r>
      <t xml:space="preserve">20 </t>
    </r>
    <r>
      <rPr>
        <i/>
        <sz val="11"/>
        <color theme="1"/>
        <rFont val="Calibri"/>
        <family val="2"/>
        <scheme val="minor"/>
      </rPr>
      <t>Net</t>
    </r>
  </si>
  <si>
    <t>Exercise Rooms</t>
  </si>
  <si>
    <t>Institutional (Inpatient)</t>
  </si>
  <si>
    <t>240 Gross</t>
  </si>
  <si>
    <t>Institutional (Outpatient)</t>
  </si>
  <si>
    <t>Institutional (Sleeping Areas)</t>
  </si>
  <si>
    <t>120 Gross</t>
  </si>
  <si>
    <t>Note:</t>
  </si>
  <si>
    <t>Commercial Kitchens</t>
  </si>
  <si>
    <t>200 Gross</t>
  </si>
  <si>
    <r>
      <rPr>
        <b/>
        <sz val="11"/>
        <color theme="1"/>
        <rFont val="Calibri"/>
        <family val="2"/>
        <scheme val="minor"/>
      </rPr>
      <t>Gross</t>
    </r>
    <r>
      <rPr>
        <sz val="11"/>
        <color theme="1"/>
        <rFont val="Calibri"/>
        <family val="2"/>
        <scheme val="minor"/>
      </rPr>
      <t>: overall area (including walls)</t>
    </r>
  </si>
  <si>
    <t>Lab (Educational)</t>
  </si>
  <si>
    <r>
      <t xml:space="preserve">50 </t>
    </r>
    <r>
      <rPr>
        <i/>
        <sz val="11"/>
        <color theme="1"/>
        <rFont val="Calibri"/>
        <family val="2"/>
        <scheme val="minor"/>
      </rPr>
      <t>Net</t>
    </r>
  </si>
  <si>
    <r>
      <rPr>
        <b/>
        <i/>
        <sz val="11"/>
        <color theme="1"/>
        <rFont val="Calibri"/>
        <family val="2"/>
        <scheme val="minor"/>
      </rPr>
      <t>Net</t>
    </r>
    <r>
      <rPr>
        <sz val="11"/>
        <color theme="1"/>
        <rFont val="Calibri"/>
        <family val="2"/>
        <scheme val="minor"/>
      </rPr>
      <t>: actual wall-to-wall square footage</t>
    </r>
  </si>
  <si>
    <t>Lab (Non-Educational)</t>
  </si>
  <si>
    <r>
      <t xml:space="preserve">100 </t>
    </r>
    <r>
      <rPr>
        <i/>
        <sz val="11"/>
        <color theme="1"/>
        <rFont val="Calibri"/>
        <family val="2"/>
        <scheme val="minor"/>
      </rPr>
      <t>Net</t>
    </r>
  </si>
  <si>
    <t>Library (Reading Rm)</t>
  </si>
  <si>
    <t>Library (Stack Areas)</t>
  </si>
  <si>
    <t>Locker Rooms</t>
  </si>
  <si>
    <t>Mercantile</t>
  </si>
  <si>
    <t>60 Gross</t>
  </si>
  <si>
    <t>Mercantile (Storage, Stock)</t>
  </si>
  <si>
    <t>TOTAL # OF OCCUPANTS:</t>
  </si>
  <si>
    <t>IMC MINIMUM VENTILATION RATE:</t>
  </si>
  <si>
    <t>BUILDING USE:</t>
  </si>
  <si>
    <t>PEOPLE OUTDOOR FLOW RATE (Rp):</t>
  </si>
  <si>
    <t>AREA OUTDOOR FLOW RATE (Ra):</t>
  </si>
  <si>
    <t>OCCUPANT DENSITY /1000 sq. ft.:</t>
  </si>
  <si>
    <t>SQUARE FOOTAGE OF BDLG/AREA (Az):</t>
  </si>
  <si>
    <t>TOTAL OUTDOOR AIR REQUIRED (Vbz=RpPz+RaAz):</t>
  </si>
  <si>
    <t>EXHAUST REQUIRED:</t>
  </si>
  <si>
    <t xml:space="preserve">OCCUPANT LOAD OF SPACE (Pz) </t>
  </si>
  <si>
    <t>ZONE OUTDOOR AIRFLOW (Voz &amp; Vot) COOLING</t>
  </si>
  <si>
    <t>ZONE OUTDOOR AIRFLOW (Voz &amp; Vot) HEATING</t>
  </si>
  <si>
    <t>OFFICES</t>
  </si>
  <si>
    <t>OFFICE SPACE(S)</t>
  </si>
  <si>
    <t>-</t>
  </si>
  <si>
    <t>CONFERENCE ROOMS</t>
  </si>
  <si>
    <t>RECEPTION AREA</t>
  </si>
  <si>
    <t>COPY / PRINTING RM</t>
  </si>
  <si>
    <t>LOBBIES</t>
  </si>
  <si>
    <t>DINING ROOM</t>
  </si>
  <si>
    <t>CAFETERIA</t>
  </si>
  <si>
    <t>PHARMACY PREP AREA</t>
  </si>
  <si>
    <t>TOTAL OUTDOOR AIR REQUIRED:</t>
  </si>
  <si>
    <t>EDUCATIONAL</t>
  </si>
  <si>
    <t>CLASSROOM (5-8)</t>
  </si>
  <si>
    <t>CLASSROOM (9+)</t>
  </si>
  <si>
    <t>DAYCARE (UP TO 4YR)</t>
  </si>
  <si>
    <t>AUDITORIUMS</t>
  </si>
  <si>
    <t>ART CLASSROOM</t>
  </si>
  <si>
    <t>SCIENCE LAB</t>
  </si>
  <si>
    <t>WOOD/METAL SHOP</t>
  </si>
  <si>
    <t>COMPUTER LAB</t>
  </si>
  <si>
    <t>MULTIUSE ASSEMBLY</t>
  </si>
  <si>
    <t>PUBLIC SPACES / GENERAL USE</t>
  </si>
  <si>
    <t>CORRIDORS</t>
  </si>
  <si>
    <t>RELIGIOUS WORSHIP</t>
  </si>
  <si>
    <t>COURTROOMS</t>
  </si>
  <si>
    <t>AEROBICS ROOM</t>
  </si>
  <si>
    <t>COPY / PRINTING ROOM</t>
  </si>
  <si>
    <t>JANITOR CLOSET (UMC/CMC)</t>
  </si>
  <si>
    <t>WEIGHT ROOM</t>
  </si>
  <si>
    <t>LOCKER (ATHLETIC / HEALTH CARE)</t>
  </si>
  <si>
    <t>LOCKER/DRESSING RM (OTHER)</t>
  </si>
  <si>
    <r>
      <t xml:space="preserve">SOILED LAUNDRY </t>
    </r>
    <r>
      <rPr>
        <i/>
        <sz val="11"/>
        <color theme="1"/>
        <rFont val="Calibri"/>
        <family val="2"/>
        <scheme val="minor"/>
      </rPr>
      <t>STORAGE</t>
    </r>
  </si>
  <si>
    <t>SHOWER (PER HEAD)</t>
  </si>
  <si>
    <t>TOTAL # OF SHOWERS:</t>
  </si>
  <si>
    <t>TOILET ROOMS</t>
  </si>
  <si>
    <t>TOTAL # OF W.C. / URINALS:</t>
  </si>
  <si>
    <t>RETAIL</t>
  </si>
  <si>
    <t>SALES</t>
  </si>
  <si>
    <t>DRESSING ROOMS</t>
  </si>
  <si>
    <t>STORAGE ROOMS</t>
  </si>
  <si>
    <t>GRAND TOTAL OF OUTDOOR AIR REQUIRED:</t>
  </si>
  <si>
    <t>(D=Ps/Pz)</t>
  </si>
  <si>
    <t xml:space="preserve"> (Vou=D x Eall zone RpPz + Eall zones RaAz)</t>
  </si>
  <si>
    <t>TOTAL EXHAUST  AIR:</t>
  </si>
  <si>
    <r>
      <rPr>
        <b/>
        <u/>
        <sz val="11"/>
        <color theme="1"/>
        <rFont val="Calibri"/>
        <family val="2"/>
        <scheme val="minor"/>
      </rPr>
      <t>Note:</t>
    </r>
    <r>
      <rPr>
        <b/>
        <sz val="11"/>
        <color theme="1"/>
        <rFont val="Calibri"/>
        <family val="2"/>
        <scheme val="minor"/>
      </rPr>
      <t xml:space="preserve"> HVAC sizing should be considered base on total exhaust from room/space.</t>
    </r>
  </si>
  <si>
    <t>WALL MOUNT HVAC'S</t>
  </si>
  <si>
    <r>
      <rPr>
        <b/>
        <i/>
        <sz val="12"/>
        <color theme="1"/>
        <rFont val="Calibri"/>
        <family val="2"/>
        <scheme val="minor"/>
      </rPr>
      <t>BARD</t>
    </r>
    <r>
      <rPr>
        <b/>
        <sz val="12"/>
        <color theme="1"/>
        <rFont val="Calibri"/>
        <family val="2"/>
        <scheme val="minor"/>
      </rPr>
      <t xml:space="preserve"> WALL MOUNT OUTDOOR AIR VENTILATION:</t>
    </r>
  </si>
  <si>
    <t>2009 IECC</t>
  </si>
  <si>
    <t>SEER:</t>
  </si>
  <si>
    <t>EER:</t>
  </si>
  <si>
    <t>IECC Climate Zone:</t>
  </si>
  <si>
    <t>2012 IECC</t>
  </si>
  <si>
    <t>2015 IECC</t>
  </si>
  <si>
    <t>2018 IECC</t>
  </si>
  <si>
    <t>2019 CEC</t>
  </si>
  <si>
    <t>A/C SIZE:</t>
  </si>
  <si>
    <t># OF A/C's:</t>
  </si>
  <si>
    <t>VENTILATION TYPE:</t>
  </si>
  <si>
    <t>VENTILATION RATE:</t>
  </si>
  <si>
    <t>COOLING BTU:</t>
  </si>
  <si>
    <t>HVAC SIZE:</t>
  </si>
  <si>
    <t>SYSTEM CFM OUTPUT:</t>
  </si>
  <si>
    <t>F.A.D.</t>
  </si>
  <si>
    <t>C.R.V.</t>
  </si>
  <si>
    <t>ECONOMIZER</t>
  </si>
  <si>
    <t>HVAC HEAT STRIP BTHU CONV.</t>
  </si>
  <si>
    <t>Bard AC</t>
  </si>
  <si>
    <t>1A</t>
  </si>
  <si>
    <t>Not Required</t>
  </si>
  <si>
    <t>1.5 TON</t>
  </si>
  <si>
    <t>N/A</t>
  </si>
  <si>
    <t>ENTER KW:</t>
  </si>
  <si>
    <t>Bard HP</t>
  </si>
  <si>
    <t>1B</t>
  </si>
  <si>
    <t>1 TON</t>
  </si>
  <si>
    <t>= BTHU:</t>
  </si>
  <si>
    <t>Roof Top AC (1P)</t>
  </si>
  <si>
    <t>2A</t>
  </si>
  <si>
    <t>No Exception</t>
  </si>
  <si>
    <t>Roof Top AC (3P)</t>
  </si>
  <si>
    <t>2B</t>
  </si>
  <si>
    <t>2 TON</t>
  </si>
  <si>
    <t>Roof Top HP (1P)</t>
  </si>
  <si>
    <t>3A</t>
  </si>
  <si>
    <t>2.5 TON</t>
  </si>
  <si>
    <t>IECC ECONOMIZER REQUIREMENTS:</t>
  </si>
  <si>
    <t>Roof Top HP (3P)</t>
  </si>
  <si>
    <t>3B</t>
  </si>
  <si>
    <t>3 TON</t>
  </si>
  <si>
    <t>OVER 4.5 TON / &gt; 300,00 BTU</t>
  </si>
  <si>
    <t>Split System</t>
  </si>
  <si>
    <t>3C</t>
  </si>
  <si>
    <t>3.5 TON</t>
  </si>
  <si>
    <t>OVER 2.5 TON / &gt; 300,000 BTU</t>
  </si>
  <si>
    <t>Minisplit AC</t>
  </si>
  <si>
    <t>4A</t>
  </si>
  <si>
    <t>4 TON</t>
  </si>
  <si>
    <t>Thru Wall</t>
  </si>
  <si>
    <t>4B</t>
  </si>
  <si>
    <t>5 TON</t>
  </si>
  <si>
    <t>PTAC</t>
  </si>
  <si>
    <t>4C</t>
  </si>
  <si>
    <t>5A</t>
  </si>
  <si>
    <t>OUTDOOR AIR PROPOSED:</t>
  </si>
  <si>
    <t>TOTAL NEEDED:</t>
  </si>
  <si>
    <t>ADD'L REQUIRED:</t>
  </si>
  <si>
    <t>TOTAL COOLING BTU:</t>
  </si>
  <si>
    <t>BTU REDUCTION BASED ON FRESH AIR TYPE:</t>
  </si>
  <si>
    <t>VENTILATION REQUIREMENT:</t>
  </si>
  <si>
    <t>5B</t>
  </si>
  <si>
    <t>5C</t>
  </si>
  <si>
    <t>Note: 2012 IECC: HVAC's 3-Ton or Greater require Economizers</t>
  </si>
  <si>
    <t>6A</t>
  </si>
  <si>
    <t>NOTES:</t>
  </si>
  <si>
    <t>6B</t>
  </si>
  <si>
    <t>1. WHEN ECONOMIZERS ARE REQUIRED OVER 300,000 BTU, LOOK AT CHART AND BRING THE TOTAL UNDER 300,000.  NOT ALL HVAC'S NEED ECONOMIZERS.</t>
  </si>
  <si>
    <t>Not in 2015 Code</t>
  </si>
  <si>
    <t>Not in 2018 Code</t>
  </si>
  <si>
    <t>2. WHEN CRV'S ARE REQUIRED, LOOK AT CHART AND MEET THE ADDITIONAL REQUIRED.  NOT ALL HVAC'S NEED CRV'S IN CASES.</t>
  </si>
  <si>
    <t>ECONOMIZER EXCEPTION</t>
  </si>
  <si>
    <t>Code Year:</t>
  </si>
  <si>
    <t>HVAC Size (Tons):</t>
  </si>
  <si>
    <t>HVAC Type:</t>
  </si>
  <si>
    <t>Min. EER Rating:</t>
  </si>
  <si>
    <t>Min. SEER Rating:</t>
  </si>
  <si>
    <t>Equipment EER Rating:</t>
  </si>
  <si>
    <t>Equipment SEER Rating:</t>
  </si>
  <si>
    <t>Results:</t>
  </si>
  <si>
    <t>PMI Elec. Equip.</t>
  </si>
  <si>
    <t>Equipment Size EER Rating</t>
  </si>
  <si>
    <t>Equipment Size SEER Rating</t>
  </si>
  <si>
    <t>RTU HVAC'S</t>
  </si>
  <si>
    <r>
      <rPr>
        <b/>
        <i/>
        <sz val="12"/>
        <color theme="1"/>
        <rFont val="Calibri"/>
        <family val="2"/>
        <scheme val="minor"/>
      </rPr>
      <t>DAIKIN</t>
    </r>
    <r>
      <rPr>
        <b/>
        <sz val="12"/>
        <color theme="1"/>
        <rFont val="Calibri"/>
        <family val="2"/>
        <scheme val="minor"/>
      </rPr>
      <t xml:space="preserve"> ROOF TOP OUTDOOR AIR VENTILATION:</t>
    </r>
  </si>
  <si>
    <r>
      <rPr>
        <u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 ABOVE CFM OUTPUT IS BASED ON A DAIKEN HVAC UNIT.  CFM OUTPUT MAY VARY BASED ON BRAND OF HVAC.</t>
    </r>
  </si>
  <si>
    <t>2022 CEC / Table 120.1-A</t>
  </si>
  <si>
    <t>SQUARE FOOTAGE</t>
  </si>
  <si>
    <t>OUTSIDE AIR REQUIRED</t>
  </si>
  <si>
    <t>Notes:</t>
  </si>
  <si>
    <t>Educational Facilities</t>
  </si>
  <si>
    <t>Daycare (through age 4)</t>
  </si>
  <si>
    <t>No</t>
  </si>
  <si>
    <t>:Economizer, CRV, or ERV Installed</t>
  </si>
  <si>
    <t>Daycare sickroom</t>
  </si>
  <si>
    <t>Classrooms (ages 5-8)</t>
  </si>
  <si>
    <t>Classrooms (ages 9-18)</t>
  </si>
  <si>
    <t>Lecture/postsecondary classroom</t>
  </si>
  <si>
    <t>Lecture hall (fixed seats)</t>
  </si>
  <si>
    <t>Art classroom</t>
  </si>
  <si>
    <t>Science laboratories</t>
  </si>
  <si>
    <t>University/college laboratories</t>
  </si>
  <si>
    <t>Wood/metal shop</t>
  </si>
  <si>
    <t>Computer lab</t>
  </si>
  <si>
    <t>Media center</t>
  </si>
  <si>
    <t>Music/theater/dance</t>
  </si>
  <si>
    <t>Multiuse assembly</t>
  </si>
  <si>
    <t>Food and Beverage Service</t>
  </si>
  <si>
    <t>Restaurant dining rooms</t>
  </si>
  <si>
    <t>Cafeteria/fast-food dining</t>
  </si>
  <si>
    <t>Bars, cocktail lounges</t>
  </si>
  <si>
    <t>Kitchen (cooking)</t>
  </si>
  <si>
    <t>General</t>
  </si>
  <si>
    <t>Break rooms</t>
  </si>
  <si>
    <t>Coffee Stations</t>
  </si>
  <si>
    <t>Conference/meeting</t>
  </si>
  <si>
    <t>Corridors</t>
  </si>
  <si>
    <t>Occupiable storage rooms for liquids or gels</t>
  </si>
  <si>
    <t>Hotels, Motels, Resorts, Dormitories</t>
  </si>
  <si>
    <t>Bedroom/living room</t>
  </si>
  <si>
    <t>Barracks sleeping areas</t>
  </si>
  <si>
    <t>Laundry rooms, central</t>
  </si>
  <si>
    <t>Laundry rooms within dwelling units</t>
  </si>
  <si>
    <t>Lobbies/pre-function</t>
  </si>
  <si>
    <t>Multipurpose assembly</t>
  </si>
  <si>
    <t>Office Buildings</t>
  </si>
  <si>
    <t>Breakrooms</t>
  </si>
  <si>
    <t>Main entry lobbies</t>
  </si>
  <si>
    <t>Occupiable storage rooms for dry materials</t>
  </si>
  <si>
    <t>Office space</t>
  </si>
  <si>
    <t>Reception areas</t>
  </si>
  <si>
    <t>Telephone/data entry</t>
  </si>
  <si>
    <t>Miscellaneous Spaces</t>
  </si>
  <si>
    <t>Bank vaults/safe deposit</t>
  </si>
  <si>
    <t>Banks or bank lobbies</t>
  </si>
  <si>
    <t>Computer (not printing)</t>
  </si>
  <si>
    <t>Freezer and refrigerated spaces (&lt;50F)</t>
  </si>
  <si>
    <t>General manufacturing (excludes heavy industrial and process using chemicals)</t>
  </si>
  <si>
    <t>Pharmacy (prep. Area)</t>
  </si>
  <si>
    <t>Photo studios</t>
  </si>
  <si>
    <t>Shipping/receiving</t>
  </si>
  <si>
    <t>Sorting, packing, light assembly</t>
  </si>
  <si>
    <t>Telephone closets</t>
  </si>
  <si>
    <t>Transportation waiting</t>
  </si>
  <si>
    <t>Warehouses</t>
  </si>
  <si>
    <t>All others</t>
  </si>
  <si>
    <t>Public Assembly Spaces</t>
  </si>
  <si>
    <t>Auditorium seating area</t>
  </si>
  <si>
    <t>Places of religious worship</t>
  </si>
  <si>
    <t>Legislative chambers</t>
  </si>
  <si>
    <t>Libraries (reading rooms and stack areas)</t>
  </si>
  <si>
    <t>Lobbies</t>
  </si>
  <si>
    <t>Museums (children's)</t>
  </si>
  <si>
    <t>Museums/galleries</t>
  </si>
  <si>
    <t>Residential</t>
  </si>
  <si>
    <t>Common corridors</t>
  </si>
  <si>
    <t>Retail</t>
  </si>
  <si>
    <t>Sales (except as below)</t>
  </si>
  <si>
    <t>Mall common areas</t>
  </si>
  <si>
    <t>Barbershop</t>
  </si>
  <si>
    <t>Beauty and nail salons</t>
  </si>
  <si>
    <t>Pet shops (animal areas)</t>
  </si>
  <si>
    <t>Supermarket</t>
  </si>
  <si>
    <t>Coin-operated laundries</t>
  </si>
  <si>
    <t>Sports and Entertainment</t>
  </si>
  <si>
    <t>Gym, sports arena (play area)</t>
  </si>
  <si>
    <t>Spetator areas</t>
  </si>
  <si>
    <t>Swimming (pool)</t>
  </si>
  <si>
    <t>Swimming (deck)</t>
  </si>
  <si>
    <t>Disco/dance floors</t>
  </si>
  <si>
    <t>Health club/aerobics room</t>
  </si>
  <si>
    <t>Health club/weight rooms</t>
  </si>
  <si>
    <t>Bowling alley (seating)</t>
  </si>
  <si>
    <t>Gambling casinos</t>
  </si>
  <si>
    <t>Game arcades</t>
  </si>
  <si>
    <t>Stages, studios</t>
  </si>
  <si>
    <t>Total Oustide Air Required:</t>
  </si>
  <si>
    <t>2019 CA ENERGY CODE: CHAPTER 3 / SECTION 120.1.2 (A) (B)</t>
  </si>
  <si>
    <t>NOTE:</t>
  </si>
  <si>
    <t>THERE ARE (2) METHODS OF FIGURING THE REQUIRED OUTSIDE AIR, BUT THE GREATER OF THE TWO MUST BE USED.</t>
  </si>
  <si>
    <t>OVERALL BUILDING SQUARE FOOTAGE:</t>
  </si>
  <si>
    <t>TOTAL OCCUPANT LOAD:</t>
  </si>
  <si>
    <t xml:space="preserve">&lt;---- USE OCCUPANT CALCULATOR OR ENTER # OF OCCUPANTS, IF CELL IS OVERWRITTEN THEN USE FORMULA: =SUM('Occupant Calculator'!D27) </t>
  </si>
  <si>
    <t>METHOD 1: OVERALL BUILDING SQ. FT.:</t>
  </si>
  <si>
    <t>METHOD 2: OVERALL OCCUPANCY:</t>
  </si>
  <si>
    <t>BARD WALL MOUNT OUTDOOR AIR VENTILATION:</t>
  </si>
  <si>
    <t>CA ECONOMIZER REQUIREMENTS:</t>
  </si>
  <si>
    <t>CFM OUTPUT:</t>
  </si>
  <si>
    <t>ERV</t>
  </si>
  <si>
    <t>CA / UMC:</t>
  </si>
  <si>
    <t>OVER 2.5 TON</t>
  </si>
  <si>
    <t>Exception: ERV is provided, then no greater than 4 Ton</t>
  </si>
  <si>
    <r>
      <rPr>
        <u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 ABOVE CFM OUTPUT IS BASED ON A </t>
    </r>
    <r>
      <rPr>
        <i/>
        <sz val="11"/>
        <color theme="1"/>
        <rFont val="Calibri"/>
        <family val="2"/>
        <scheme val="minor"/>
      </rPr>
      <t>BARD</t>
    </r>
    <r>
      <rPr>
        <sz val="11"/>
        <color theme="1"/>
        <rFont val="Calibri"/>
        <family val="2"/>
        <scheme val="minor"/>
      </rPr>
      <t xml:space="preserve"> HVAC UNIT.  CFM OUTPUT MAY VARY BASED ON BRAND OF HVAC.</t>
    </r>
  </si>
  <si>
    <t>1. WHEN MULTIPLE HVAC'S ARE SERVING COMMON A AREA(S) THEN SMOKE DUCT DETECTION WILL BE REQUIRED FOR THOSE HVAC'S.</t>
  </si>
  <si>
    <t>2. WHEN CRV'S ARE REQUIRED, LOOK AT CHART AND MEET THE ADDITIONAL REQUIRED.  NOT ALL HVAC'S NEED CRV'S IN SOME CASES.</t>
  </si>
  <si>
    <t>FRESH AIR TYPE:</t>
  </si>
  <si>
    <t>CA / UMC ECONOMIZER REQUIREMENTS:</t>
  </si>
  <si>
    <t>OVER 4.5 TON</t>
  </si>
  <si>
    <t>HEATING BASED ON CLIMATE ZONE</t>
  </si>
  <si>
    <t>ZONE 1</t>
  </si>
  <si>
    <t>ZONE 2</t>
  </si>
  <si>
    <t>ZONE 3</t>
  </si>
  <si>
    <t>ZONE 4</t>
  </si>
  <si>
    <t>ZONE 5</t>
  </si>
  <si>
    <t>30-35 BTU's per sq. ft.</t>
  </si>
  <si>
    <t>35-40 BTU's per sq. ft.</t>
  </si>
  <si>
    <t>40-45 BTU's per sq. ft.</t>
  </si>
  <si>
    <t>45-50 BTU's per sq. ft.</t>
  </si>
  <si>
    <t>50-60 BTU's per sq. ft.</t>
  </si>
  <si>
    <t>Pick Zone:</t>
  </si>
  <si>
    <t>Sq. Ft.:</t>
  </si>
  <si>
    <t>Zone BTU</t>
  </si>
  <si>
    <t>*</t>
  </si>
  <si>
    <t>=</t>
  </si>
  <si>
    <t>KW Heating</t>
  </si>
  <si>
    <t xml:space="preserve">Note: The above zone BTU is based on the highest #.  Adjust as needed.  </t>
  </si>
  <si>
    <r>
      <t xml:space="preserve">If Cell </t>
    </r>
    <r>
      <rPr>
        <i/>
        <sz val="11"/>
        <color theme="1"/>
        <rFont val="Calibri"/>
        <family val="2"/>
        <scheme val="minor"/>
      </rPr>
      <t>C11</t>
    </r>
    <r>
      <rPr>
        <sz val="11"/>
        <color theme="1"/>
        <rFont val="Calibri"/>
        <family val="2"/>
        <scheme val="minor"/>
      </rPr>
      <t xml:space="preserve"> is overwritten, copy and paste the following formula (without the astrick):</t>
    </r>
  </si>
  <si>
    <t>*=INDEX(K3:O3,MATCH(B8,K2:O2,0))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</si>
</sst>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2">
    <xf numFmtId="0" fontId="0" fillId="0" borderId="0" xfId="0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10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6" xfId="0" applyFont="1" applyBorder="1" applyAlignment="1">
      <alignment horizontal="right" vertical="center"/>
    </xf>
    <xf numFmtId="1" fontId="3" fillId="0" borderId="7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" fontId="0" fillId="0" borderId="8" xfId="0" applyNumberFormat="1" applyBorder="1" applyAlignment="1">
      <alignment horizontal="right" vertical="center"/>
    </xf>
    <xf numFmtId="1" fontId="0" fillId="0" borderId="8" xfId="0" applyNumberFormat="1" applyBorder="1"/>
    <xf numFmtId="0" fontId="1" fillId="0" borderId="1" xfId="0" applyFon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vertical="center"/>
    </xf>
    <xf numFmtId="1" fontId="4" fillId="0" borderId="1" xfId="0" applyNumberFormat="1" applyFont="1" applyBorder="1" applyAlignment="1">
      <alignment vertical="center"/>
    </xf>
    <xf numFmtId="1" fontId="3" fillId="0" borderId="8" xfId="0" applyNumberFormat="1" applyFont="1" applyBorder="1" applyAlignment="1">
      <alignment horizontal="right" vertical="center"/>
    </xf>
    <xf numFmtId="0" fontId="3" fillId="0" borderId="0" xfId="0" applyFont="1"/>
    <xf numFmtId="0" fontId="7" fillId="0" borderId="0" xfId="0" applyFont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9" xfId="0" quotePrefix="1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44" xfId="0" applyNumberFormat="1" applyBorder="1" applyAlignment="1">
      <alignment horizontal="right" vertical="center"/>
    </xf>
    <xf numFmtId="1" fontId="0" fillId="0" borderId="45" xfId="0" applyNumberFormat="1" applyBorder="1" applyAlignment="1">
      <alignment horizontal="right" vertical="center"/>
    </xf>
    <xf numFmtId="1" fontId="0" fillId="0" borderId="46" xfId="0" applyNumberFormat="1" applyBorder="1" applyAlignment="1">
      <alignment horizontal="right" vertical="center"/>
    </xf>
    <xf numFmtId="1" fontId="0" fillId="0" borderId="11" xfId="0" applyNumberFormat="1" applyBorder="1"/>
    <xf numFmtId="1" fontId="0" fillId="0" borderId="11" xfId="0" applyNumberFormat="1" applyBorder="1" applyAlignment="1">
      <alignment vertical="center"/>
    </xf>
    <xf numFmtId="1" fontId="0" fillId="0" borderId="9" xfId="0" applyNumberFormat="1" applyBorder="1" applyAlignment="1">
      <alignment horizontal="right" vertical="center"/>
    </xf>
    <xf numFmtId="0" fontId="3" fillId="0" borderId="0" xfId="0" applyFont="1" applyAlignment="1">
      <alignment vertical="center"/>
    </xf>
    <xf numFmtId="3" fontId="0" fillId="0" borderId="2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3" fontId="0" fillId="0" borderId="22" xfId="0" applyNumberForma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3" fontId="3" fillId="0" borderId="22" xfId="0" applyNumberFormat="1" applyFon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50" xfId="0" applyBorder="1" applyAlignment="1">
      <alignment horizontal="right" vertical="center"/>
    </xf>
    <xf numFmtId="0" fontId="0" fillId="0" borderId="47" xfId="0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7" xfId="0" applyBorder="1"/>
    <xf numFmtId="0" fontId="0" fillId="0" borderId="10" xfId="0" applyBorder="1"/>
    <xf numFmtId="3" fontId="0" fillId="0" borderId="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3" fontId="0" fillId="0" borderId="47" xfId="0" applyNumberFormat="1" applyBorder="1" applyAlignment="1">
      <alignment horizont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3" fontId="0" fillId="0" borderId="49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51" xfId="0" applyNumberFormat="1" applyBorder="1" applyAlignment="1">
      <alignment horizontal="right" vertical="center"/>
    </xf>
    <xf numFmtId="1" fontId="0" fillId="0" borderId="54" xfId="0" applyNumberFormat="1" applyBorder="1" applyAlignment="1">
      <alignment horizontal="right" vertical="center"/>
    </xf>
    <xf numFmtId="1" fontId="0" fillId="0" borderId="53" xfId="0" applyNumberFormat="1" applyBorder="1" applyAlignment="1">
      <alignment horizontal="right" vertical="center"/>
    </xf>
    <xf numFmtId="0" fontId="0" fillId="0" borderId="5" xfId="0" applyBorder="1"/>
    <xf numFmtId="0" fontId="0" fillId="0" borderId="8" xfId="0" applyBorder="1"/>
    <xf numFmtId="0" fontId="0" fillId="0" borderId="11" xfId="0" applyBorder="1"/>
    <xf numFmtId="0" fontId="0" fillId="0" borderId="14" xfId="0" applyBorder="1"/>
    <xf numFmtId="0" fontId="0" fillId="0" borderId="13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1" fontId="0" fillId="0" borderId="4" xfId="0" applyNumberFormat="1" applyBorder="1" applyAlignment="1">
      <alignment horizontal="right" vertical="center"/>
    </xf>
    <xf numFmtId="1" fontId="0" fillId="0" borderId="7" xfId="0" applyNumberFormat="1" applyBorder="1" applyAlignment="1">
      <alignment horizontal="right" vertical="center"/>
    </xf>
    <xf numFmtId="1" fontId="0" fillId="0" borderId="10" xfId="0" applyNumberFormat="1" applyBorder="1" applyAlignment="1">
      <alignment horizontal="right" vertical="center"/>
    </xf>
    <xf numFmtId="0" fontId="0" fillId="0" borderId="51" xfId="0" applyBorder="1"/>
    <xf numFmtId="0" fontId="0" fillId="0" borderId="54" xfId="0" applyBorder="1" applyAlignment="1">
      <alignment horizontal="right" vertical="center"/>
    </xf>
    <xf numFmtId="0" fontId="0" fillId="0" borderId="53" xfId="0" applyBorder="1" applyAlignment="1">
      <alignment horizontal="right" vertical="center"/>
    </xf>
    <xf numFmtId="0" fontId="0" fillId="0" borderId="52" xfId="0" applyBorder="1"/>
    <xf numFmtId="0" fontId="0" fillId="0" borderId="54" xfId="0" applyBorder="1"/>
    <xf numFmtId="0" fontId="0" fillId="0" borderId="53" xfId="0" applyBorder="1"/>
    <xf numFmtId="0" fontId="0" fillId="0" borderId="34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38" xfId="0" applyBorder="1"/>
    <xf numFmtId="0" fontId="0" fillId="0" borderId="55" xfId="0" applyBorder="1"/>
    <xf numFmtId="0" fontId="0" fillId="0" borderId="8" xfId="0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0" fillId="0" borderId="43" xfId="0" applyBorder="1" applyAlignment="1">
      <alignment horizontal="right" vertical="center"/>
    </xf>
    <xf numFmtId="0" fontId="0" fillId="0" borderId="56" xfId="0" applyBorder="1"/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5" xfId="0" applyBorder="1"/>
    <xf numFmtId="9" fontId="0" fillId="0" borderId="0" xfId="0" applyNumberFormat="1" applyAlignment="1">
      <alignment vertical="center"/>
    </xf>
    <xf numFmtId="9" fontId="0" fillId="0" borderId="0" xfId="0" applyNumberFormat="1"/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vertical="center" wrapText="1"/>
    </xf>
    <xf numFmtId="0" fontId="0" fillId="0" borderId="48" xfId="0" applyBorder="1"/>
    <xf numFmtId="0" fontId="0" fillId="0" borderId="2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3" fontId="0" fillId="0" borderId="47" xfId="0" applyNumberForma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right" vertical="center"/>
    </xf>
    <xf numFmtId="0" fontId="3" fillId="4" borderId="13" xfId="0" applyFont="1" applyFill="1" applyBorder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0" fontId="0" fillId="4" borderId="12" xfId="0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3" fillId="4" borderId="14" xfId="0" applyFont="1" applyFill="1" applyBorder="1"/>
    <xf numFmtId="0" fontId="3" fillId="4" borderId="1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vertical="center"/>
    </xf>
    <xf numFmtId="0" fontId="0" fillId="4" borderId="0" xfId="0" applyFill="1" applyAlignment="1">
      <alignment horizontal="center"/>
    </xf>
    <xf numFmtId="0" fontId="12" fillId="0" borderId="1" xfId="0" applyFont="1" applyBorder="1" applyAlignment="1">
      <alignment horizontal="center" vertical="center"/>
    </xf>
    <xf numFmtId="1" fontId="13" fillId="0" borderId="1" xfId="0" applyNumberFormat="1" applyFont="1" applyBorder="1"/>
    <xf numFmtId="0" fontId="13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0" fillId="0" borderId="38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right" vertical="center"/>
    </xf>
    <xf numFmtId="0" fontId="0" fillId="0" borderId="34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4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0" borderId="34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3" fontId="0" fillId="0" borderId="18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3" fontId="0" fillId="0" borderId="15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0" xfId="0" applyAlignment="1">
      <alignment horizontal="center" vertical="top" wrapText="1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1" fontId="0" fillId="0" borderId="27" xfId="0" applyNumberFormat="1" applyBorder="1" applyAlignment="1">
      <alignment horizontal="center" vertical="center" wrapText="1"/>
    </xf>
    <xf numFmtId="1" fontId="0" fillId="0" borderId="28" xfId="0" applyNumberFormat="1" applyBorder="1" applyAlignment="1">
      <alignment horizontal="center" vertical="center" wrapText="1"/>
    </xf>
    <xf numFmtId="1" fontId="0" fillId="0" borderId="29" xfId="0" applyNumberFormat="1" applyBorder="1" applyAlignment="1">
      <alignment horizontal="center" vertical="center" wrapText="1"/>
    </xf>
    <xf numFmtId="1" fontId="0" fillId="0" borderId="30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0" borderId="31" xfId="0" applyNumberFormat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561975</xdr:colOff>
      <xdr:row>19</xdr:row>
      <xdr:rowOff>66675</xdr:rowOff>
    </xdr:from>
    <xdr:to>
      <xdr:col>26</xdr:col>
      <xdr:colOff>15875</xdr:colOff>
      <xdr:row>41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3924300"/>
          <a:ext cx="5549900" cy="416242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43</xdr:row>
      <xdr:rowOff>152400</xdr:rowOff>
    </xdr:from>
    <xdr:to>
      <xdr:col>30</xdr:col>
      <xdr:colOff>458927</xdr:colOff>
      <xdr:row>92</xdr:row>
      <xdr:rowOff>10808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B52869-9C50-6AC5-4DB6-F7EA67F4C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925" y="8582025"/>
          <a:ext cx="12374702" cy="9192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pane ySplit="2" topLeftCell="A3" activePane="bottomLeft" state="frozen"/>
      <selection pane="bottomLeft" activeCell="C10" sqref="C10"/>
    </sheetView>
  </sheetViews>
  <sheetFormatPr defaultRowHeight="14.4" x14ac:dyDescent="0.3"/>
  <cols>
    <col min="1" max="1" width="34.33203125" customWidth="1"/>
    <col min="2" max="4" width="15.6640625" customWidth="1"/>
  </cols>
  <sheetData>
    <row r="1" spans="1:9" ht="18.600000000000001" thickBot="1" x14ac:dyDescent="0.4">
      <c r="A1" s="175" t="s">
        <v>0</v>
      </c>
      <c r="B1" s="176"/>
      <c r="C1" s="176"/>
      <c r="D1" s="177"/>
      <c r="F1" s="39"/>
      <c r="G1" s="39"/>
      <c r="H1" s="39"/>
      <c r="I1" s="39"/>
    </row>
    <row r="2" spans="1:9" ht="30" customHeight="1" thickBot="1" x14ac:dyDescent="0.35">
      <c r="A2" s="23" t="s">
        <v>1</v>
      </c>
      <c r="B2" s="23" t="s">
        <v>2</v>
      </c>
      <c r="C2" s="23" t="s">
        <v>3</v>
      </c>
      <c r="D2" s="23" t="s">
        <v>4</v>
      </c>
      <c r="F2" s="40"/>
    </row>
    <row r="3" spans="1:9" x14ac:dyDescent="0.3">
      <c r="A3" s="17" t="s">
        <v>5</v>
      </c>
      <c r="B3" s="18" t="s">
        <v>6</v>
      </c>
      <c r="C3" s="144">
        <v>0</v>
      </c>
      <c r="D3" s="38">
        <f>ROUNDUP((C3/300),0)</f>
        <v>0</v>
      </c>
    </row>
    <row r="4" spans="1:9" x14ac:dyDescent="0.3">
      <c r="A4" s="16" t="s">
        <v>7</v>
      </c>
      <c r="B4" s="12" t="s">
        <v>8</v>
      </c>
      <c r="C4" s="145">
        <v>0</v>
      </c>
      <c r="D4" s="31">
        <f>ROUNDUP((C4/11),1)</f>
        <v>0</v>
      </c>
    </row>
    <row r="5" spans="1:9" x14ac:dyDescent="0.3">
      <c r="A5" s="16" t="s">
        <v>9</v>
      </c>
      <c r="B5" s="12" t="s">
        <v>10</v>
      </c>
      <c r="C5" s="145">
        <v>0</v>
      </c>
      <c r="D5" s="31">
        <f>ROUNDUP((C5/15),1)</f>
        <v>0</v>
      </c>
      <c r="E5" t="s">
        <v>11</v>
      </c>
    </row>
    <row r="6" spans="1:9" x14ac:dyDescent="0.3">
      <c r="A6" s="16" t="s">
        <v>12</v>
      </c>
      <c r="B6" s="12" t="s">
        <v>13</v>
      </c>
      <c r="C6" s="145">
        <v>0</v>
      </c>
      <c r="D6" s="31">
        <f>ROUNDUP((C6/7),1)</f>
        <v>0</v>
      </c>
    </row>
    <row r="7" spans="1:9" x14ac:dyDescent="0.3">
      <c r="A7" s="16" t="s">
        <v>14</v>
      </c>
      <c r="B7" s="12" t="s">
        <v>15</v>
      </c>
      <c r="C7" s="145">
        <v>0</v>
      </c>
      <c r="D7" s="31">
        <f>ROUNDUP((C7/5),1)</f>
        <v>0</v>
      </c>
    </row>
    <row r="8" spans="1:9" x14ac:dyDescent="0.3">
      <c r="A8" s="16" t="s">
        <v>16</v>
      </c>
      <c r="B8" s="12" t="s">
        <v>17</v>
      </c>
      <c r="C8" s="145">
        <v>0</v>
      </c>
      <c r="D8" s="31">
        <f>ROUNDUP((C8/100),1)</f>
        <v>0</v>
      </c>
    </row>
    <row r="9" spans="1:9" x14ac:dyDescent="0.3">
      <c r="A9" s="16" t="s">
        <v>18</v>
      </c>
      <c r="B9" s="12" t="s">
        <v>19</v>
      </c>
      <c r="C9" s="145">
        <v>50000</v>
      </c>
      <c r="D9" s="32">
        <f>ROUNDUP((C9/150),1)</f>
        <v>333.40000000000003</v>
      </c>
    </row>
    <row r="10" spans="1:9" x14ac:dyDescent="0.3">
      <c r="A10" s="16" t="s">
        <v>20</v>
      </c>
      <c r="B10" s="12" t="s">
        <v>21</v>
      </c>
      <c r="C10" s="145">
        <v>0</v>
      </c>
      <c r="D10" s="31">
        <f>ROUNDUP((C10/40),1)</f>
        <v>0</v>
      </c>
    </row>
    <row r="11" spans="1:9" x14ac:dyDescent="0.3">
      <c r="A11" s="16" t="s">
        <v>22</v>
      </c>
      <c r="B11" s="12" t="s">
        <v>23</v>
      </c>
      <c r="C11" s="145">
        <v>0</v>
      </c>
      <c r="D11" s="31">
        <f>ROUNDUP((C11/35),1)</f>
        <v>0</v>
      </c>
    </row>
    <row r="12" spans="1:9" x14ac:dyDescent="0.3">
      <c r="A12" s="16" t="s">
        <v>24</v>
      </c>
      <c r="B12" s="12" t="s">
        <v>25</v>
      </c>
      <c r="C12" s="145">
        <v>0</v>
      </c>
      <c r="D12" s="31">
        <f>ROUNDUP((C12/50),1)</f>
        <v>0</v>
      </c>
    </row>
    <row r="13" spans="1:9" x14ac:dyDescent="0.3">
      <c r="A13" s="16" t="s">
        <v>26</v>
      </c>
      <c r="B13" s="12" t="s">
        <v>27</v>
      </c>
      <c r="C13" s="145">
        <v>0</v>
      </c>
      <c r="D13" s="31">
        <f>ROUNDUP((C13/20),1)</f>
        <v>0</v>
      </c>
      <c r="E13">
        <f>+D13/3</f>
        <v>0</v>
      </c>
    </row>
    <row r="14" spans="1:9" x14ac:dyDescent="0.3">
      <c r="A14" s="16" t="s">
        <v>28</v>
      </c>
      <c r="B14" s="12" t="s">
        <v>25</v>
      </c>
      <c r="C14" s="145">
        <v>0</v>
      </c>
      <c r="D14" s="31">
        <f>ROUNDUP((C14/50),1)</f>
        <v>0</v>
      </c>
    </row>
    <row r="15" spans="1:9" x14ac:dyDescent="0.3">
      <c r="A15" s="16" t="s">
        <v>29</v>
      </c>
      <c r="B15" s="12" t="s">
        <v>30</v>
      </c>
      <c r="C15" s="145">
        <v>0</v>
      </c>
      <c r="D15" s="31">
        <f>ROUNDUP((C15/240),0)</f>
        <v>0</v>
      </c>
    </row>
    <row r="16" spans="1:9" ht="15" thickBot="1" x14ac:dyDescent="0.35">
      <c r="A16" s="16" t="s">
        <v>31</v>
      </c>
      <c r="B16" s="12" t="s">
        <v>17</v>
      </c>
      <c r="C16" s="145">
        <v>0</v>
      </c>
      <c r="D16" s="31">
        <f>ROUNDUP((C16/100),1)</f>
        <v>0</v>
      </c>
    </row>
    <row r="17" spans="1:9" ht="15" thickBot="1" x14ac:dyDescent="0.35">
      <c r="A17" s="16" t="s">
        <v>32</v>
      </c>
      <c r="B17" s="12" t="s">
        <v>33</v>
      </c>
      <c r="C17" s="145">
        <v>0</v>
      </c>
      <c r="D17" s="31">
        <f>ROUNDUP((C17/120),1)</f>
        <v>0</v>
      </c>
      <c r="F17" s="169" t="s">
        <v>34</v>
      </c>
      <c r="G17" s="170"/>
      <c r="H17" s="170"/>
      <c r="I17" s="171"/>
    </row>
    <row r="18" spans="1:9" x14ac:dyDescent="0.3">
      <c r="A18" s="16" t="s">
        <v>35</v>
      </c>
      <c r="B18" s="12" t="s">
        <v>36</v>
      </c>
      <c r="C18" s="145">
        <v>0</v>
      </c>
      <c r="D18" s="31">
        <f>ROUNDUP((C18/200),0)</f>
        <v>0</v>
      </c>
      <c r="F18" s="172" t="s">
        <v>37</v>
      </c>
      <c r="G18" s="173"/>
      <c r="H18" s="173"/>
      <c r="I18" s="174"/>
    </row>
    <row r="19" spans="1:9" ht="15" thickBot="1" x14ac:dyDescent="0.35">
      <c r="A19" s="16" t="s">
        <v>38</v>
      </c>
      <c r="B19" s="12" t="s">
        <v>39</v>
      </c>
      <c r="C19" s="145">
        <v>0</v>
      </c>
      <c r="D19" s="31">
        <f>ROUNDUP((C19/50),1)</f>
        <v>0</v>
      </c>
      <c r="F19" s="180" t="s">
        <v>40</v>
      </c>
      <c r="G19" s="181"/>
      <c r="H19" s="181"/>
      <c r="I19" s="182"/>
    </row>
    <row r="20" spans="1:9" x14ac:dyDescent="0.3">
      <c r="A20" s="16" t="s">
        <v>41</v>
      </c>
      <c r="B20" s="12" t="s">
        <v>42</v>
      </c>
      <c r="C20" s="145">
        <v>0</v>
      </c>
      <c r="D20" s="31">
        <f>ROUNDUP((C20/100),1)</f>
        <v>0</v>
      </c>
    </row>
    <row r="21" spans="1:9" x14ac:dyDescent="0.3">
      <c r="A21" s="16" t="s">
        <v>43</v>
      </c>
      <c r="B21" s="12" t="s">
        <v>39</v>
      </c>
      <c r="C21" s="145">
        <v>0</v>
      </c>
      <c r="D21" s="31">
        <f>ROUNDUP((C21/50),1)</f>
        <v>0</v>
      </c>
    </row>
    <row r="22" spans="1:9" x14ac:dyDescent="0.3">
      <c r="A22" s="16" t="s">
        <v>44</v>
      </c>
      <c r="B22" s="12" t="s">
        <v>17</v>
      </c>
      <c r="C22" s="145">
        <v>0</v>
      </c>
      <c r="D22" s="31">
        <f>ROUNDUP((C22/100),1)</f>
        <v>0</v>
      </c>
    </row>
    <row r="23" spans="1:9" x14ac:dyDescent="0.3">
      <c r="A23" s="16" t="s">
        <v>45</v>
      </c>
      <c r="B23" s="12" t="s">
        <v>25</v>
      </c>
      <c r="C23" s="145">
        <v>0</v>
      </c>
      <c r="D23" s="31">
        <f>ROUNDUP((C23/50),1)</f>
        <v>0</v>
      </c>
    </row>
    <row r="24" spans="1:9" x14ac:dyDescent="0.3">
      <c r="A24" s="16" t="s">
        <v>46</v>
      </c>
      <c r="B24" s="12" t="s">
        <v>47</v>
      </c>
      <c r="C24" s="145">
        <v>0</v>
      </c>
      <c r="D24" s="31">
        <f>ROUNDUP((C24/60),1)</f>
        <v>0</v>
      </c>
    </row>
    <row r="25" spans="1:9" ht="15" thickBot="1" x14ac:dyDescent="0.35">
      <c r="A25" s="16" t="s">
        <v>48</v>
      </c>
      <c r="B25" s="12" t="s">
        <v>6</v>
      </c>
      <c r="C25" s="145">
        <v>0</v>
      </c>
      <c r="D25" s="31">
        <f>ROUNDUP((C25/300),0)</f>
        <v>0</v>
      </c>
    </row>
    <row r="26" spans="1:9" ht="16.2" thickBot="1" x14ac:dyDescent="0.35">
      <c r="B26" s="178" t="s">
        <v>49</v>
      </c>
      <c r="C26" s="179"/>
      <c r="D26" s="167">
        <f>SUM(D3:D25)</f>
        <v>333.40000000000003</v>
      </c>
    </row>
  </sheetData>
  <mergeCells count="5">
    <mergeCell ref="F17:I17"/>
    <mergeCell ref="F18:I18"/>
    <mergeCell ref="A1:D1"/>
    <mergeCell ref="B26:C26"/>
    <mergeCell ref="F19:I19"/>
  </mergeCells>
  <pageMargins left="0.7" right="0.7" top="0.75" bottom="0.75" header="0.3" footer="0.3"/>
  <pageSetup orientation="portrait" r:id="rId1"/>
  <ignoredErrors>
    <ignoredError sqref="D13 D20 D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pane ySplit="2" topLeftCell="A42" activePane="bottomLeft" state="frozen"/>
      <selection pane="bottomLeft" activeCell="E5" sqref="E5"/>
    </sheetView>
  </sheetViews>
  <sheetFormatPr defaultRowHeight="14.4" x14ac:dyDescent="0.3"/>
  <cols>
    <col min="1" max="1" width="30.6640625" customWidth="1"/>
    <col min="2" max="4" width="15.6640625" customWidth="1"/>
    <col min="5" max="5" width="19.6640625" customWidth="1"/>
    <col min="6" max="7" width="15.6640625" customWidth="1"/>
    <col min="8" max="8" width="15" customWidth="1"/>
    <col min="9" max="10" width="16.6640625" customWidth="1"/>
  </cols>
  <sheetData>
    <row r="1" spans="1:10" ht="18.600000000000001" thickBot="1" x14ac:dyDescent="0.35">
      <c r="A1" s="183" t="s">
        <v>50</v>
      </c>
      <c r="B1" s="184"/>
      <c r="C1" s="184"/>
      <c r="D1" s="184"/>
      <c r="E1" s="184"/>
      <c r="F1" s="184"/>
      <c r="G1" s="184"/>
      <c r="H1" s="184"/>
      <c r="I1" s="184"/>
      <c r="J1" s="184"/>
    </row>
    <row r="2" spans="1:10" ht="45" customHeight="1" thickBot="1" x14ac:dyDescent="0.35">
      <c r="A2" s="22" t="s">
        <v>51</v>
      </c>
      <c r="B2" s="22" t="s">
        <v>52</v>
      </c>
      <c r="C2" s="22" t="s">
        <v>53</v>
      </c>
      <c r="D2" s="22" t="s">
        <v>54</v>
      </c>
      <c r="E2" s="22" t="s">
        <v>55</v>
      </c>
      <c r="F2" s="79" t="s">
        <v>56</v>
      </c>
      <c r="G2" s="22" t="s">
        <v>57</v>
      </c>
      <c r="H2" s="22" t="s">
        <v>58</v>
      </c>
      <c r="I2" s="22" t="s">
        <v>59</v>
      </c>
      <c r="J2" s="22" t="s">
        <v>60</v>
      </c>
    </row>
    <row r="3" spans="1:10" ht="15" thickBot="1" x14ac:dyDescent="0.35">
      <c r="A3" s="169" t="s">
        <v>61</v>
      </c>
      <c r="B3" s="170"/>
      <c r="C3" s="170"/>
      <c r="D3" s="170"/>
      <c r="E3" s="170"/>
      <c r="F3" s="170"/>
      <c r="G3" s="170"/>
      <c r="H3" s="170"/>
      <c r="I3" s="170"/>
      <c r="J3" s="171"/>
    </row>
    <row r="4" spans="1:10" x14ac:dyDescent="0.3">
      <c r="A4" s="5" t="s">
        <v>62</v>
      </c>
      <c r="B4" s="6">
        <v>5</v>
      </c>
      <c r="C4" s="6">
        <v>0.06</v>
      </c>
      <c r="D4" s="6">
        <v>5</v>
      </c>
      <c r="E4" s="144">
        <f>+'Occupant Calculator'!C9</f>
        <v>50000</v>
      </c>
      <c r="F4" s="6">
        <f t="shared" ref="F4:F8" si="0">SUM(B4*H4)+(C4*E4)</f>
        <v>4250</v>
      </c>
      <c r="G4" s="77" t="s">
        <v>63</v>
      </c>
      <c r="H4" s="94">
        <f t="shared" ref="H4:H8" si="1">ROUNDUP(((D4/1000)*E4),1)</f>
        <v>250</v>
      </c>
      <c r="I4" s="81">
        <f t="shared" ref="I4:I8" si="2">SUM(F4/1)</f>
        <v>4250</v>
      </c>
      <c r="J4" s="97">
        <f t="shared" ref="J4:J8" si="3">SUM(F4/0.8)</f>
        <v>5312.5</v>
      </c>
    </row>
    <row r="5" spans="1:10" x14ac:dyDescent="0.3">
      <c r="A5" s="2" t="s">
        <v>64</v>
      </c>
      <c r="B5" s="3">
        <v>5</v>
      </c>
      <c r="C5" s="3">
        <v>0.06</v>
      </c>
      <c r="D5" s="3">
        <v>50</v>
      </c>
      <c r="E5" s="145">
        <v>0</v>
      </c>
      <c r="F5" s="6">
        <f t="shared" si="0"/>
        <v>0</v>
      </c>
      <c r="G5" s="75" t="s">
        <v>63</v>
      </c>
      <c r="H5" s="95">
        <f t="shared" si="1"/>
        <v>0</v>
      </c>
      <c r="I5" s="82">
        <f t="shared" si="2"/>
        <v>0</v>
      </c>
      <c r="J5" s="98">
        <f t="shared" si="3"/>
        <v>0</v>
      </c>
    </row>
    <row r="6" spans="1:10" x14ac:dyDescent="0.3">
      <c r="A6" s="2" t="s">
        <v>65</v>
      </c>
      <c r="B6" s="3">
        <v>5</v>
      </c>
      <c r="C6" s="3">
        <v>0.06</v>
      </c>
      <c r="D6" s="3">
        <v>30</v>
      </c>
      <c r="E6" s="145">
        <v>0</v>
      </c>
      <c r="F6" s="6">
        <f t="shared" si="0"/>
        <v>0</v>
      </c>
      <c r="G6" s="75" t="s">
        <v>63</v>
      </c>
      <c r="H6" s="95">
        <f t="shared" si="1"/>
        <v>0</v>
      </c>
      <c r="I6" s="82">
        <f t="shared" si="2"/>
        <v>0</v>
      </c>
      <c r="J6" s="98">
        <f t="shared" si="3"/>
        <v>0</v>
      </c>
    </row>
    <row r="7" spans="1:10" x14ac:dyDescent="0.3">
      <c r="A7" s="2" t="s">
        <v>66</v>
      </c>
      <c r="B7" s="3">
        <v>5</v>
      </c>
      <c r="C7" s="3">
        <v>0.06</v>
      </c>
      <c r="D7" s="3">
        <v>4</v>
      </c>
      <c r="E7" s="145">
        <v>0</v>
      </c>
      <c r="F7" s="6">
        <f t="shared" si="0"/>
        <v>0</v>
      </c>
      <c r="G7" s="75">
        <f>SUM(E7*0.5)</f>
        <v>0</v>
      </c>
      <c r="H7" s="95">
        <f t="shared" si="1"/>
        <v>0</v>
      </c>
      <c r="I7" s="82">
        <f t="shared" si="2"/>
        <v>0</v>
      </c>
      <c r="J7" s="98">
        <f t="shared" si="3"/>
        <v>0</v>
      </c>
    </row>
    <row r="8" spans="1:10" x14ac:dyDescent="0.3">
      <c r="A8" s="2" t="s">
        <v>67</v>
      </c>
      <c r="B8" s="3">
        <v>5</v>
      </c>
      <c r="C8" s="3">
        <v>0.06</v>
      </c>
      <c r="D8" s="3">
        <v>10</v>
      </c>
      <c r="E8" s="145">
        <v>0</v>
      </c>
      <c r="F8" s="6">
        <f t="shared" si="0"/>
        <v>0</v>
      </c>
      <c r="G8" s="75" t="s">
        <v>63</v>
      </c>
      <c r="H8" s="95">
        <f t="shared" si="1"/>
        <v>0</v>
      </c>
      <c r="I8" s="82">
        <f t="shared" si="2"/>
        <v>0</v>
      </c>
      <c r="J8" s="98">
        <f t="shared" si="3"/>
        <v>0</v>
      </c>
    </row>
    <row r="9" spans="1:10" x14ac:dyDescent="0.3">
      <c r="A9" s="2" t="s">
        <v>68</v>
      </c>
      <c r="B9" s="3">
        <v>7.5</v>
      </c>
      <c r="C9" s="3">
        <v>0.18</v>
      </c>
      <c r="D9" s="3">
        <v>70</v>
      </c>
      <c r="E9" s="145">
        <v>0</v>
      </c>
      <c r="F9" s="6">
        <f t="shared" ref="F9:F10" si="4">SUM(B9*H9)+(C9*E9)</f>
        <v>0</v>
      </c>
      <c r="G9" s="75" t="s">
        <v>63</v>
      </c>
      <c r="H9" s="95">
        <f t="shared" ref="H9" si="5">ROUNDUP(((D9/1000)*E9),1)</f>
        <v>0</v>
      </c>
      <c r="I9" s="82">
        <f t="shared" ref="I9" si="6">SUM(F9/1)</f>
        <v>0</v>
      </c>
      <c r="J9" s="98">
        <f t="shared" ref="J9" si="7">SUM(F9/0.8)</f>
        <v>0</v>
      </c>
    </row>
    <row r="10" spans="1:10" x14ac:dyDescent="0.3">
      <c r="A10" s="2" t="s">
        <v>69</v>
      </c>
      <c r="B10" s="3">
        <v>7.5</v>
      </c>
      <c r="C10" s="3">
        <v>0.18</v>
      </c>
      <c r="D10" s="3">
        <v>100</v>
      </c>
      <c r="E10" s="145">
        <v>0</v>
      </c>
      <c r="F10" s="6">
        <f t="shared" si="4"/>
        <v>0</v>
      </c>
      <c r="G10" s="75" t="s">
        <v>63</v>
      </c>
      <c r="H10" s="95">
        <f t="shared" ref="H10" si="8">ROUNDUP(((D10/1000)*E10),1)</f>
        <v>0</v>
      </c>
      <c r="I10" s="82">
        <f t="shared" ref="I10" si="9">SUM(F10/1)</f>
        <v>0</v>
      </c>
      <c r="J10" s="98">
        <f t="shared" ref="J10" si="10">SUM(F10/0.8)</f>
        <v>0</v>
      </c>
    </row>
    <row r="11" spans="1:10" ht="15" thickBot="1" x14ac:dyDescent="0.35">
      <c r="A11" s="8" t="s">
        <v>70</v>
      </c>
      <c r="B11" s="19">
        <v>5</v>
      </c>
      <c r="C11" s="19">
        <v>0.18</v>
      </c>
      <c r="D11" s="19">
        <v>10</v>
      </c>
      <c r="E11" s="146">
        <v>0</v>
      </c>
      <c r="F11" s="6">
        <f>SUM(B11*H11)+(C11*E11)</f>
        <v>0</v>
      </c>
      <c r="G11" s="78" t="s">
        <v>63</v>
      </c>
      <c r="H11" s="96">
        <f>ROUNDUP(((D11/1000)*E11),1)</f>
        <v>0</v>
      </c>
      <c r="I11" s="83">
        <f>SUM(F11/1)</f>
        <v>0</v>
      </c>
      <c r="J11" s="99">
        <f>SUM(F11/0.8)</f>
        <v>0</v>
      </c>
    </row>
    <row r="12" spans="1:10" ht="16.2" thickBot="1" x14ac:dyDescent="0.35">
      <c r="A12" s="1"/>
      <c r="B12" s="1"/>
      <c r="C12" s="1"/>
      <c r="D12" s="1"/>
      <c r="E12" s="14" t="s">
        <v>71</v>
      </c>
      <c r="F12" s="24">
        <f>SUM(1*(F4+F5+F6+F7+F8+F9+F11+F10))</f>
        <v>4250</v>
      </c>
      <c r="G12" s="1"/>
      <c r="H12" s="36"/>
    </row>
    <row r="13" spans="1:10" ht="15" thickBot="1" x14ac:dyDescent="0.35">
      <c r="A13" s="59"/>
      <c r="B13" s="59"/>
      <c r="C13" s="59"/>
      <c r="D13" s="59"/>
      <c r="E13" s="59"/>
      <c r="F13" s="59"/>
      <c r="G13" s="59"/>
      <c r="H13" s="36"/>
    </row>
    <row r="14" spans="1:10" ht="15" thickBot="1" x14ac:dyDescent="0.35">
      <c r="A14" s="169" t="s">
        <v>72</v>
      </c>
      <c r="B14" s="170"/>
      <c r="C14" s="170"/>
      <c r="D14" s="170"/>
      <c r="E14" s="170"/>
      <c r="F14" s="170"/>
      <c r="G14" s="170"/>
      <c r="H14" s="170"/>
      <c r="I14" s="170"/>
      <c r="J14" s="171"/>
    </row>
    <row r="15" spans="1:10" x14ac:dyDescent="0.3">
      <c r="A15" s="5" t="s">
        <v>73</v>
      </c>
      <c r="B15" s="6">
        <v>10</v>
      </c>
      <c r="C15" s="6">
        <v>0.12</v>
      </c>
      <c r="D15" s="6">
        <v>25</v>
      </c>
      <c r="E15" s="144">
        <v>0</v>
      </c>
      <c r="F15" s="6">
        <f t="shared" ref="F15:F23" si="11">SUM(B15*H15)+(C15*E15)</f>
        <v>0</v>
      </c>
      <c r="G15" s="77" t="s">
        <v>63</v>
      </c>
      <c r="H15" s="104">
        <f t="shared" ref="H15:H23" si="12">ROUNDUP(((D15/1000)*E15),1)</f>
        <v>0</v>
      </c>
      <c r="I15" s="110">
        <f t="shared" ref="I15:I19" si="13">SUM(F15/1)</f>
        <v>0</v>
      </c>
      <c r="J15" s="100">
        <f t="shared" ref="J15:J19" si="14">SUM(F15/0.8)</f>
        <v>0</v>
      </c>
    </row>
    <row r="16" spans="1:10" x14ac:dyDescent="0.3">
      <c r="A16" s="2" t="s">
        <v>74</v>
      </c>
      <c r="B16" s="3">
        <v>10</v>
      </c>
      <c r="C16" s="3">
        <v>0.12</v>
      </c>
      <c r="D16" s="3">
        <v>35</v>
      </c>
      <c r="E16" s="145">
        <v>0</v>
      </c>
      <c r="F16" s="6">
        <f t="shared" si="11"/>
        <v>0</v>
      </c>
      <c r="G16" s="75" t="s">
        <v>63</v>
      </c>
      <c r="H16" s="105">
        <f t="shared" si="12"/>
        <v>0</v>
      </c>
      <c r="I16" s="111">
        <f t="shared" si="13"/>
        <v>0</v>
      </c>
      <c r="J16" s="98">
        <f t="shared" si="14"/>
        <v>0</v>
      </c>
    </row>
    <row r="17" spans="1:10" x14ac:dyDescent="0.3">
      <c r="A17" s="2" t="s">
        <v>75</v>
      </c>
      <c r="B17" s="3">
        <v>10</v>
      </c>
      <c r="C17" s="3">
        <v>0.18</v>
      </c>
      <c r="D17" s="3">
        <v>25</v>
      </c>
      <c r="E17" s="145">
        <v>0</v>
      </c>
      <c r="F17" s="6">
        <f t="shared" si="11"/>
        <v>0</v>
      </c>
      <c r="G17" s="75" t="s">
        <v>63</v>
      </c>
      <c r="H17" s="105">
        <f t="shared" si="12"/>
        <v>0</v>
      </c>
      <c r="I17" s="111">
        <f t="shared" si="13"/>
        <v>0</v>
      </c>
      <c r="J17" s="98">
        <f t="shared" si="14"/>
        <v>0</v>
      </c>
    </row>
    <row r="18" spans="1:10" x14ac:dyDescent="0.3">
      <c r="A18" s="2" t="s">
        <v>76</v>
      </c>
      <c r="B18" s="3">
        <v>5</v>
      </c>
      <c r="C18" s="3">
        <v>0.06</v>
      </c>
      <c r="D18" s="3">
        <v>150</v>
      </c>
      <c r="E18" s="145">
        <v>0</v>
      </c>
      <c r="F18" s="6">
        <f t="shared" si="11"/>
        <v>0</v>
      </c>
      <c r="G18" s="75" t="s">
        <v>63</v>
      </c>
      <c r="H18" s="105">
        <f t="shared" si="12"/>
        <v>0</v>
      </c>
      <c r="I18" s="111">
        <f t="shared" si="13"/>
        <v>0</v>
      </c>
      <c r="J18" s="98">
        <f t="shared" si="14"/>
        <v>0</v>
      </c>
    </row>
    <row r="19" spans="1:10" x14ac:dyDescent="0.3">
      <c r="A19" s="2" t="s">
        <v>77</v>
      </c>
      <c r="B19" s="3">
        <v>10</v>
      </c>
      <c r="C19" s="3">
        <v>0.18</v>
      </c>
      <c r="D19" s="3">
        <v>20</v>
      </c>
      <c r="E19" s="145">
        <v>0</v>
      </c>
      <c r="F19" s="6">
        <f t="shared" si="11"/>
        <v>0</v>
      </c>
      <c r="G19" s="75">
        <f>SUM(E19*0.7)</f>
        <v>0</v>
      </c>
      <c r="H19" s="105">
        <f t="shared" si="12"/>
        <v>0</v>
      </c>
      <c r="I19" s="111">
        <f t="shared" si="13"/>
        <v>0</v>
      </c>
      <c r="J19" s="98">
        <f t="shared" si="14"/>
        <v>0</v>
      </c>
    </row>
    <row r="20" spans="1:10" x14ac:dyDescent="0.3">
      <c r="A20" s="2" t="s">
        <v>78</v>
      </c>
      <c r="B20" s="3">
        <v>10</v>
      </c>
      <c r="C20" s="3">
        <v>0.18</v>
      </c>
      <c r="D20" s="3">
        <v>25</v>
      </c>
      <c r="E20" s="145">
        <v>0</v>
      </c>
      <c r="F20" s="6">
        <f t="shared" si="11"/>
        <v>0</v>
      </c>
      <c r="G20" s="75">
        <f>SUM(E20*1)</f>
        <v>0</v>
      </c>
      <c r="H20" s="105">
        <f t="shared" si="12"/>
        <v>0</v>
      </c>
      <c r="I20" s="111">
        <f t="shared" ref="I20:I22" si="15">SUM(F20/1)</f>
        <v>0</v>
      </c>
      <c r="J20" s="98">
        <f t="shared" ref="J20:J22" si="16">SUM(F20/0.8)</f>
        <v>0</v>
      </c>
    </row>
    <row r="21" spans="1:10" x14ac:dyDescent="0.3">
      <c r="A21" s="2" t="s">
        <v>79</v>
      </c>
      <c r="B21" s="3">
        <v>10</v>
      </c>
      <c r="C21" s="3">
        <v>0.18</v>
      </c>
      <c r="D21" s="3">
        <v>20</v>
      </c>
      <c r="E21" s="145">
        <v>0</v>
      </c>
      <c r="F21" s="6">
        <f t="shared" si="11"/>
        <v>0</v>
      </c>
      <c r="G21" s="75">
        <f>SUM(E21*0.5)</f>
        <v>0</v>
      </c>
      <c r="H21" s="105">
        <f t="shared" si="12"/>
        <v>0</v>
      </c>
      <c r="I21" s="111">
        <f t="shared" si="15"/>
        <v>0</v>
      </c>
      <c r="J21" s="98">
        <f t="shared" si="16"/>
        <v>0</v>
      </c>
    </row>
    <row r="22" spans="1:10" x14ac:dyDescent="0.3">
      <c r="A22" s="2" t="s">
        <v>80</v>
      </c>
      <c r="B22" s="3">
        <v>10</v>
      </c>
      <c r="C22" s="3">
        <v>0.12</v>
      </c>
      <c r="D22" s="3">
        <v>25</v>
      </c>
      <c r="E22" s="145">
        <v>0</v>
      </c>
      <c r="F22" s="6">
        <f t="shared" si="11"/>
        <v>0</v>
      </c>
      <c r="G22" s="75" t="s">
        <v>63</v>
      </c>
      <c r="H22" s="105">
        <f t="shared" si="12"/>
        <v>0</v>
      </c>
      <c r="I22" s="111">
        <f t="shared" si="15"/>
        <v>0</v>
      </c>
      <c r="J22" s="98">
        <f t="shared" si="16"/>
        <v>0</v>
      </c>
    </row>
    <row r="23" spans="1:10" ht="15" thickBot="1" x14ac:dyDescent="0.35">
      <c r="A23" s="4" t="s">
        <v>81</v>
      </c>
      <c r="B23" s="21">
        <v>7.5</v>
      </c>
      <c r="C23" s="21">
        <v>0.06</v>
      </c>
      <c r="D23" s="21">
        <v>100</v>
      </c>
      <c r="E23" s="147">
        <v>0</v>
      </c>
      <c r="F23" s="6">
        <f t="shared" si="11"/>
        <v>0</v>
      </c>
      <c r="G23" s="76" t="s">
        <v>63</v>
      </c>
      <c r="H23" s="106">
        <f t="shared" si="12"/>
        <v>0</v>
      </c>
      <c r="I23" s="112">
        <f t="shared" ref="I23" si="17">SUM(F23/1)</f>
        <v>0</v>
      </c>
      <c r="J23" s="99">
        <f t="shared" ref="J23" si="18">SUM(F23/0.8)</f>
        <v>0</v>
      </c>
    </row>
    <row r="24" spans="1:10" ht="16.2" thickBot="1" x14ac:dyDescent="0.35">
      <c r="A24" s="1"/>
      <c r="B24" s="1"/>
      <c r="C24" s="1"/>
      <c r="D24" s="15"/>
      <c r="E24" s="14" t="s">
        <v>71</v>
      </c>
      <c r="F24" s="25">
        <f>SUM(F15:F23)</f>
        <v>0</v>
      </c>
      <c r="G24" s="1"/>
      <c r="H24" s="36"/>
    </row>
    <row r="25" spans="1:10" ht="15" thickBot="1" x14ac:dyDescent="0.35">
      <c r="A25" s="1"/>
      <c r="B25" s="1"/>
      <c r="C25" s="1"/>
      <c r="D25" s="1"/>
      <c r="E25" s="1"/>
      <c r="F25" s="1"/>
      <c r="G25" s="1"/>
      <c r="H25" s="36"/>
    </row>
    <row r="26" spans="1:10" ht="15" thickBot="1" x14ac:dyDescent="0.35">
      <c r="A26" s="169" t="s">
        <v>82</v>
      </c>
      <c r="B26" s="170"/>
      <c r="C26" s="170"/>
      <c r="D26" s="170"/>
      <c r="E26" s="170"/>
      <c r="F26" s="170"/>
      <c r="G26" s="170"/>
      <c r="H26" s="170"/>
      <c r="I26" s="170"/>
      <c r="J26" s="171"/>
    </row>
    <row r="27" spans="1:10" x14ac:dyDescent="0.3">
      <c r="A27" s="5" t="s">
        <v>83</v>
      </c>
      <c r="B27" s="101" t="s">
        <v>63</v>
      </c>
      <c r="C27" s="101">
        <v>0.06</v>
      </c>
      <c r="D27" s="101">
        <v>0</v>
      </c>
      <c r="E27" s="144">
        <v>0</v>
      </c>
      <c r="F27" s="101">
        <f>SUM(E27*C27)</f>
        <v>0</v>
      </c>
      <c r="G27" s="77" t="s">
        <v>63</v>
      </c>
      <c r="H27" s="104">
        <f>ROUNDUP(((D27/1000)*E27),1)</f>
        <v>0</v>
      </c>
      <c r="I27" s="81">
        <f t="shared" ref="I27:I30" si="19">SUM(F27/1)</f>
        <v>0</v>
      </c>
      <c r="J27" s="97">
        <f t="shared" ref="J27:J30" si="20">SUM(F27/0.8)</f>
        <v>0</v>
      </c>
    </row>
    <row r="28" spans="1:10" x14ac:dyDescent="0.3">
      <c r="A28" s="2" t="s">
        <v>84</v>
      </c>
      <c r="B28" s="9">
        <v>5</v>
      </c>
      <c r="C28" s="9">
        <v>0.06</v>
      </c>
      <c r="D28" s="9">
        <v>120</v>
      </c>
      <c r="E28" s="145">
        <v>0</v>
      </c>
      <c r="F28" s="6">
        <f>SUM(B28*H28)+(C28*E28)</f>
        <v>0</v>
      </c>
      <c r="G28" s="75" t="s">
        <v>63</v>
      </c>
      <c r="H28" s="105">
        <f>ROUNDUP(((D28/1000)*E28),1)</f>
        <v>0</v>
      </c>
      <c r="I28" s="82">
        <f t="shared" si="19"/>
        <v>0</v>
      </c>
      <c r="J28" s="98">
        <f t="shared" si="20"/>
        <v>0</v>
      </c>
    </row>
    <row r="29" spans="1:10" x14ac:dyDescent="0.3">
      <c r="A29" s="2" t="s">
        <v>85</v>
      </c>
      <c r="B29" s="9">
        <v>5</v>
      </c>
      <c r="C29" s="9">
        <v>0.06</v>
      </c>
      <c r="D29" s="9">
        <v>70</v>
      </c>
      <c r="E29" s="145">
        <v>0</v>
      </c>
      <c r="F29" s="6">
        <f>SUM(B29*H29)+(C29*E29)</f>
        <v>0</v>
      </c>
      <c r="G29" s="75" t="s">
        <v>63</v>
      </c>
      <c r="H29" s="105">
        <f>ROUNDUP(((D29/1000)*E29),1)</f>
        <v>0</v>
      </c>
      <c r="I29" s="82">
        <f t="shared" si="19"/>
        <v>0</v>
      </c>
      <c r="J29" s="98">
        <f t="shared" si="20"/>
        <v>0</v>
      </c>
    </row>
    <row r="30" spans="1:10" x14ac:dyDescent="0.3">
      <c r="A30" s="2" t="s">
        <v>86</v>
      </c>
      <c r="B30" s="9">
        <v>20</v>
      </c>
      <c r="C30" s="9">
        <v>0.06</v>
      </c>
      <c r="D30" s="9">
        <v>40</v>
      </c>
      <c r="E30" s="145">
        <v>0</v>
      </c>
      <c r="F30" s="6">
        <f>SUM(B30*H30)+(C30*E30)</f>
        <v>0</v>
      </c>
      <c r="G30" s="75" t="s">
        <v>63</v>
      </c>
      <c r="H30" s="105">
        <f>ROUNDUP(((D30/1000)*E30),1)</f>
        <v>0</v>
      </c>
      <c r="I30" s="82">
        <f t="shared" si="19"/>
        <v>0</v>
      </c>
      <c r="J30" s="98">
        <f t="shared" si="20"/>
        <v>0</v>
      </c>
    </row>
    <row r="31" spans="1:10" x14ac:dyDescent="0.3">
      <c r="A31" s="2" t="s">
        <v>87</v>
      </c>
      <c r="B31" s="9" t="s">
        <v>63</v>
      </c>
      <c r="C31" s="9" t="s">
        <v>63</v>
      </c>
      <c r="D31" s="9" t="s">
        <v>63</v>
      </c>
      <c r="E31" s="145">
        <v>0</v>
      </c>
      <c r="F31" s="9" t="s">
        <v>63</v>
      </c>
      <c r="G31" s="75">
        <f>SUM(E31*0.5)</f>
        <v>0</v>
      </c>
      <c r="H31" s="105" t="s">
        <v>63</v>
      </c>
      <c r="I31" s="9" t="s">
        <v>63</v>
      </c>
      <c r="J31" s="102" t="s">
        <v>63</v>
      </c>
    </row>
    <row r="32" spans="1:10" x14ac:dyDescent="0.3">
      <c r="A32" s="2" t="s">
        <v>88</v>
      </c>
      <c r="B32" s="9" t="s">
        <v>63</v>
      </c>
      <c r="C32" s="9" t="s">
        <v>63</v>
      </c>
      <c r="D32" s="9" t="s">
        <v>63</v>
      </c>
      <c r="E32" s="145">
        <v>0</v>
      </c>
      <c r="F32" s="9" t="s">
        <v>63</v>
      </c>
      <c r="G32" s="75">
        <f>SUM(E32*1)</f>
        <v>0</v>
      </c>
      <c r="H32" s="105" t="s">
        <v>63</v>
      </c>
      <c r="I32" s="9" t="s">
        <v>63</v>
      </c>
      <c r="J32" s="102" t="s">
        <v>63</v>
      </c>
    </row>
    <row r="33" spans="1:10" x14ac:dyDescent="0.3">
      <c r="A33" s="2" t="s">
        <v>89</v>
      </c>
      <c r="B33" s="9">
        <v>20</v>
      </c>
      <c r="C33" s="9">
        <v>0.06</v>
      </c>
      <c r="D33" s="9">
        <v>10</v>
      </c>
      <c r="E33" s="145">
        <v>0</v>
      </c>
      <c r="F33" s="6">
        <f>SUM(B33*H33)+(C33*E33)</f>
        <v>0</v>
      </c>
      <c r="G33" s="75" t="s">
        <v>63</v>
      </c>
      <c r="H33" s="105">
        <f>ROUNDUP(((D33/1000)*E33),1)</f>
        <v>0</v>
      </c>
      <c r="I33" s="82">
        <f t="shared" ref="I33" si="21">SUM(F33/1)</f>
        <v>0</v>
      </c>
      <c r="J33" s="98">
        <f t="shared" ref="J33" si="22">SUM(F33/0.8)</f>
        <v>0</v>
      </c>
    </row>
    <row r="34" spans="1:10" x14ac:dyDescent="0.3">
      <c r="A34" s="2" t="s">
        <v>90</v>
      </c>
      <c r="B34" s="9" t="s">
        <v>63</v>
      </c>
      <c r="C34" s="9" t="s">
        <v>63</v>
      </c>
      <c r="D34" s="9" t="s">
        <v>63</v>
      </c>
      <c r="E34" s="145">
        <v>0</v>
      </c>
      <c r="F34" s="9" t="s">
        <v>63</v>
      </c>
      <c r="G34" s="75">
        <f>SUM(E34*0.5)</f>
        <v>0</v>
      </c>
      <c r="H34" s="105" t="s">
        <v>63</v>
      </c>
      <c r="I34" s="9" t="s">
        <v>63</v>
      </c>
      <c r="J34" s="102" t="s">
        <v>63</v>
      </c>
    </row>
    <row r="35" spans="1:10" x14ac:dyDescent="0.3">
      <c r="A35" s="2" t="s">
        <v>91</v>
      </c>
      <c r="B35" s="9" t="s">
        <v>63</v>
      </c>
      <c r="C35" s="9" t="s">
        <v>63</v>
      </c>
      <c r="D35" s="9" t="s">
        <v>63</v>
      </c>
      <c r="E35" s="145">
        <v>0</v>
      </c>
      <c r="F35" s="9" t="s">
        <v>63</v>
      </c>
      <c r="G35" s="75">
        <f>SUM(E35*0.25)</f>
        <v>0</v>
      </c>
      <c r="H35" s="105" t="s">
        <v>63</v>
      </c>
      <c r="I35" s="9" t="s">
        <v>63</v>
      </c>
      <c r="J35" s="102" t="s">
        <v>63</v>
      </c>
    </row>
    <row r="36" spans="1:10" x14ac:dyDescent="0.3">
      <c r="A36" s="2" t="s">
        <v>92</v>
      </c>
      <c r="B36" s="9" t="s">
        <v>63</v>
      </c>
      <c r="C36" s="9" t="s">
        <v>63</v>
      </c>
      <c r="D36" s="9" t="s">
        <v>63</v>
      </c>
      <c r="E36" s="145">
        <v>0</v>
      </c>
      <c r="F36" s="9" t="s">
        <v>63</v>
      </c>
      <c r="G36" s="75">
        <f>SUM(E36*0.1)</f>
        <v>0</v>
      </c>
      <c r="H36" s="105" t="s">
        <v>63</v>
      </c>
      <c r="I36" s="9" t="s">
        <v>63</v>
      </c>
      <c r="J36" s="102" t="s">
        <v>63</v>
      </c>
    </row>
    <row r="37" spans="1:10" x14ac:dyDescent="0.3">
      <c r="A37" s="2" t="s">
        <v>93</v>
      </c>
      <c r="B37" s="191" t="s">
        <v>94</v>
      </c>
      <c r="C37" s="192"/>
      <c r="D37" s="148">
        <v>1</v>
      </c>
      <c r="E37" s="10" t="s">
        <v>63</v>
      </c>
      <c r="F37" s="10" t="s">
        <v>63</v>
      </c>
      <c r="G37" s="75">
        <f>SUM(D37*50)</f>
        <v>50</v>
      </c>
      <c r="H37" s="105" t="s">
        <v>63</v>
      </c>
      <c r="I37" s="9" t="s">
        <v>63</v>
      </c>
      <c r="J37" s="102" t="s">
        <v>63</v>
      </c>
    </row>
    <row r="38" spans="1:10" ht="15" thickBot="1" x14ac:dyDescent="0.35">
      <c r="A38" s="4" t="s">
        <v>95</v>
      </c>
      <c r="B38" s="193" t="s">
        <v>96</v>
      </c>
      <c r="C38" s="194"/>
      <c r="D38" s="149">
        <v>2</v>
      </c>
      <c r="E38" s="11" t="s">
        <v>63</v>
      </c>
      <c r="F38" s="11" t="s">
        <v>63</v>
      </c>
      <c r="G38" s="76">
        <f>SUM(D38*70)</f>
        <v>140</v>
      </c>
      <c r="H38" s="106" t="s">
        <v>63</v>
      </c>
      <c r="I38" s="7" t="s">
        <v>63</v>
      </c>
      <c r="J38" s="103" t="s">
        <v>63</v>
      </c>
    </row>
    <row r="39" spans="1:10" ht="16.2" thickBot="1" x14ac:dyDescent="0.35">
      <c r="A39" s="1"/>
      <c r="B39" s="1"/>
      <c r="C39" s="1"/>
      <c r="D39" s="1"/>
      <c r="E39" s="14" t="s">
        <v>71</v>
      </c>
      <c r="F39" s="24">
        <f>SUM(F27:F38)</f>
        <v>0</v>
      </c>
      <c r="G39" s="1"/>
      <c r="H39" s="36"/>
    </row>
    <row r="40" spans="1:10" ht="15" thickBot="1" x14ac:dyDescent="0.35">
      <c r="A40" s="1"/>
      <c r="B40" s="1"/>
      <c r="C40" s="1"/>
      <c r="D40" s="1"/>
      <c r="E40" s="1"/>
      <c r="F40" s="1"/>
      <c r="G40" s="1"/>
      <c r="H40" s="36"/>
    </row>
    <row r="41" spans="1:10" ht="15" thickBot="1" x14ac:dyDescent="0.35">
      <c r="A41" s="169" t="s">
        <v>97</v>
      </c>
      <c r="B41" s="170"/>
      <c r="C41" s="170"/>
      <c r="D41" s="170"/>
      <c r="E41" s="170"/>
      <c r="F41" s="170"/>
      <c r="G41" s="170"/>
      <c r="H41" s="170"/>
      <c r="I41" s="170"/>
      <c r="J41" s="171"/>
    </row>
    <row r="42" spans="1:10" x14ac:dyDescent="0.3">
      <c r="A42" s="5" t="s">
        <v>98</v>
      </c>
      <c r="B42" s="101">
        <v>7.5</v>
      </c>
      <c r="C42" s="101">
        <v>0.12</v>
      </c>
      <c r="D42" s="101">
        <v>15</v>
      </c>
      <c r="E42" s="150">
        <v>0</v>
      </c>
      <c r="F42" s="101">
        <f>SUM(E42*C42)</f>
        <v>0</v>
      </c>
      <c r="G42" s="77" t="s">
        <v>63</v>
      </c>
      <c r="H42" s="104">
        <f>ROUNDUP(((D42/1000)*E42),1)</f>
        <v>0</v>
      </c>
      <c r="I42" s="107">
        <f t="shared" ref="I42" si="23">SUM(F42/1)</f>
        <v>0</v>
      </c>
      <c r="J42" s="97">
        <f t="shared" ref="J42" si="24">SUM(F42/0.8)</f>
        <v>0</v>
      </c>
    </row>
    <row r="43" spans="1:10" x14ac:dyDescent="0.3">
      <c r="A43" s="2" t="s">
        <v>99</v>
      </c>
      <c r="B43" s="9" t="s">
        <v>63</v>
      </c>
      <c r="C43" s="9" t="s">
        <v>63</v>
      </c>
      <c r="D43" s="9" t="s">
        <v>63</v>
      </c>
      <c r="E43" s="148">
        <v>0</v>
      </c>
      <c r="F43" s="9" t="s">
        <v>63</v>
      </c>
      <c r="G43" s="75">
        <f>SUM(E43*0.25)</f>
        <v>0</v>
      </c>
      <c r="H43" s="105" t="s">
        <v>63</v>
      </c>
      <c r="I43" s="108" t="s">
        <v>63</v>
      </c>
      <c r="J43" s="102" t="s">
        <v>63</v>
      </c>
    </row>
    <row r="44" spans="1:10" ht="15" thickBot="1" x14ac:dyDescent="0.35">
      <c r="A44" s="4" t="s">
        <v>100</v>
      </c>
      <c r="B44" s="7" t="s">
        <v>63</v>
      </c>
      <c r="C44" s="7">
        <v>0.12</v>
      </c>
      <c r="D44" s="7" t="s">
        <v>63</v>
      </c>
      <c r="E44" s="149">
        <v>0</v>
      </c>
      <c r="F44" s="7">
        <f>SUM(E44*C44)</f>
        <v>0</v>
      </c>
      <c r="G44" s="76" t="s">
        <v>63</v>
      </c>
      <c r="H44" s="106" t="s">
        <v>63</v>
      </c>
      <c r="I44" s="109" t="s">
        <v>63</v>
      </c>
      <c r="J44" s="103" t="s">
        <v>63</v>
      </c>
    </row>
    <row r="45" spans="1:10" ht="16.2" thickBot="1" x14ac:dyDescent="0.35">
      <c r="A45" s="1"/>
      <c r="B45" s="1"/>
      <c r="C45" s="1"/>
      <c r="D45" s="15"/>
      <c r="E45" s="14" t="s">
        <v>71</v>
      </c>
      <c r="F45" s="26">
        <f>SUM(F42:F44)</f>
        <v>0</v>
      </c>
      <c r="G45" s="1"/>
    </row>
    <row r="46" spans="1:10" ht="15" thickBot="1" x14ac:dyDescent="0.35"/>
    <row r="47" spans="1:10" ht="16.2" thickBot="1" x14ac:dyDescent="0.35">
      <c r="A47" s="1"/>
      <c r="B47" s="20"/>
      <c r="C47" s="20"/>
      <c r="E47" s="14" t="s">
        <v>101</v>
      </c>
      <c r="F47" s="168">
        <f>SUM(H47*(F12+F24+F39+F45))</f>
        <v>4250</v>
      </c>
      <c r="G47" s="20"/>
      <c r="H47" s="151">
        <f>SUM(H4+H5+H6+H7+H8+H9+H10+H11+H15+H16+H17+H18+H19+H20+H21+H22+H23+H27+H28+H29+H30+H33+H42)/(H4+H5+H6+H7+H8+H9+H10+H11+H15+H16+H17+H18+H19+H20+H21+H22+H23+H27+H28+H29+H30+H33+H42)</f>
        <v>1</v>
      </c>
      <c r="I47" t="s">
        <v>102</v>
      </c>
    </row>
    <row r="48" spans="1:10" ht="15" thickBot="1" x14ac:dyDescent="0.35">
      <c r="E48" s="80" t="s">
        <v>103</v>
      </c>
    </row>
    <row r="49" spans="5:6" ht="15" customHeight="1" thickBot="1" x14ac:dyDescent="0.35">
      <c r="E49" s="14" t="s">
        <v>104</v>
      </c>
      <c r="F49" s="168">
        <f>SUM(G34+G43+G38+G37+G35+G21+G20+G19+G7)</f>
        <v>190</v>
      </c>
    </row>
    <row r="50" spans="5:6" ht="15" thickBot="1" x14ac:dyDescent="0.35"/>
    <row r="51" spans="5:6" x14ac:dyDescent="0.3">
      <c r="E51" s="185" t="s">
        <v>105</v>
      </c>
      <c r="F51" s="186"/>
    </row>
    <row r="52" spans="5:6" x14ac:dyDescent="0.3">
      <c r="E52" s="187"/>
      <c r="F52" s="188"/>
    </row>
    <row r="53" spans="5:6" ht="15" thickBot="1" x14ac:dyDescent="0.35">
      <c r="E53" s="189"/>
      <c r="F53" s="190"/>
    </row>
  </sheetData>
  <mergeCells count="8">
    <mergeCell ref="A1:J1"/>
    <mergeCell ref="E51:F53"/>
    <mergeCell ref="B37:C37"/>
    <mergeCell ref="B38:C38"/>
    <mergeCell ref="A3:J3"/>
    <mergeCell ref="A14:J14"/>
    <mergeCell ref="A26:J26"/>
    <mergeCell ref="A41:J4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46"/>
  <sheetViews>
    <sheetView tabSelected="1" workbookViewId="0">
      <selection activeCell="B4" sqref="B4"/>
    </sheetView>
  </sheetViews>
  <sheetFormatPr defaultRowHeight="14.4" x14ac:dyDescent="0.3"/>
  <cols>
    <col min="1" max="1" width="10.88671875" customWidth="1"/>
    <col min="2" max="2" width="11.6640625" customWidth="1"/>
    <col min="3" max="3" width="17.44140625" customWidth="1"/>
    <col min="4" max="5" width="12.88671875" customWidth="1"/>
    <col min="6" max="6" width="7.33203125" customWidth="1"/>
    <col min="7" max="7" width="15.33203125" customWidth="1"/>
    <col min="8" max="8" width="11.33203125" customWidth="1"/>
    <col min="9" max="9" width="16.44140625" customWidth="1"/>
    <col min="10" max="10" width="16" customWidth="1"/>
    <col min="11" max="11" width="13.44140625" customWidth="1"/>
    <col min="12" max="13" width="12.33203125" customWidth="1"/>
    <col min="14" max="14" width="13.6640625" customWidth="1"/>
    <col min="15" max="15" width="13.33203125" customWidth="1"/>
    <col min="16" max="17" width="10" customWidth="1"/>
    <col min="18" max="18" width="16.6640625" customWidth="1"/>
    <col min="19" max="19" width="9.6640625" customWidth="1"/>
    <col min="21" max="53" width="9.109375" hidden="1" customWidth="1"/>
    <col min="54" max="54" width="9.109375" customWidth="1"/>
  </cols>
  <sheetData>
    <row r="1" spans="1:53" ht="16.2" thickBot="1" x14ac:dyDescent="0.35">
      <c r="A1" s="169" t="s">
        <v>106</v>
      </c>
      <c r="B1" s="170"/>
      <c r="C1" s="170"/>
      <c r="D1" s="170"/>
      <c r="E1" s="171"/>
      <c r="G1" s="203" t="s">
        <v>107</v>
      </c>
      <c r="H1" s="204"/>
      <c r="I1" s="204"/>
      <c r="J1" s="204"/>
      <c r="K1" s="205"/>
      <c r="U1" t="s">
        <v>108</v>
      </c>
      <c r="V1" t="s">
        <v>109</v>
      </c>
      <c r="W1" t="s">
        <v>110</v>
      </c>
      <c r="Y1" t="s">
        <v>111</v>
      </c>
      <c r="AB1" t="s">
        <v>112</v>
      </c>
      <c r="AC1" t="s">
        <v>109</v>
      </c>
      <c r="AD1" t="s">
        <v>110</v>
      </c>
      <c r="AE1" s="220" t="s">
        <v>111</v>
      </c>
      <c r="AF1" s="220"/>
      <c r="AI1" t="s">
        <v>113</v>
      </c>
      <c r="AJ1" t="s">
        <v>109</v>
      </c>
      <c r="AK1" t="s">
        <v>110</v>
      </c>
      <c r="AL1" s="220" t="s">
        <v>111</v>
      </c>
      <c r="AM1" s="220"/>
      <c r="AP1" t="s">
        <v>114</v>
      </c>
      <c r="AQ1" t="s">
        <v>109</v>
      </c>
      <c r="AR1" t="s">
        <v>110</v>
      </c>
      <c r="AS1" s="220" t="s">
        <v>111</v>
      </c>
      <c r="AT1" s="220"/>
      <c r="AW1" t="s">
        <v>115</v>
      </c>
      <c r="AX1" t="s">
        <v>109</v>
      </c>
      <c r="AY1" t="s">
        <v>110</v>
      </c>
      <c r="AZ1" s="1">
        <v>1</v>
      </c>
      <c r="BA1" s="128" t="str">
        <f>IF(((E22*0.7)+E22)&lt;G22,"Meets Exception","Doesn't Meet")</f>
        <v>Doesn't Meet</v>
      </c>
    </row>
    <row r="2" spans="1:53" ht="41.4" customHeight="1" thickBot="1" x14ac:dyDescent="0.35">
      <c r="A2" s="13" t="s">
        <v>116</v>
      </c>
      <c r="B2" s="68" t="s">
        <v>117</v>
      </c>
      <c r="C2" s="13" t="s">
        <v>118</v>
      </c>
      <c r="D2" s="13" t="s">
        <v>119</v>
      </c>
      <c r="E2" s="68" t="s">
        <v>120</v>
      </c>
      <c r="G2" s="13" t="s">
        <v>121</v>
      </c>
      <c r="H2" s="13" t="s">
        <v>122</v>
      </c>
      <c r="I2" s="13" t="s">
        <v>123</v>
      </c>
      <c r="J2" s="13" t="s">
        <v>124</v>
      </c>
      <c r="K2" s="13" t="s">
        <v>125</v>
      </c>
      <c r="M2" s="206" t="s">
        <v>126</v>
      </c>
      <c r="N2" s="207"/>
      <c r="U2" t="s">
        <v>127</v>
      </c>
      <c r="V2" t="s">
        <v>63</v>
      </c>
      <c r="W2">
        <v>9</v>
      </c>
      <c r="X2" t="s">
        <v>128</v>
      </c>
      <c r="Y2" t="s">
        <v>129</v>
      </c>
      <c r="AB2" t="s">
        <v>127</v>
      </c>
      <c r="AC2" t="s">
        <v>63</v>
      </c>
      <c r="AD2">
        <v>9</v>
      </c>
      <c r="AE2" t="s">
        <v>128</v>
      </c>
      <c r="AF2" t="s">
        <v>129</v>
      </c>
      <c r="AI2" t="s">
        <v>127</v>
      </c>
      <c r="AJ2" t="s">
        <v>63</v>
      </c>
      <c r="AK2">
        <v>9</v>
      </c>
      <c r="AL2" t="s">
        <v>128</v>
      </c>
      <c r="AM2" t="s">
        <v>129</v>
      </c>
      <c r="AP2" t="s">
        <v>127</v>
      </c>
      <c r="AQ2" t="s">
        <v>63</v>
      </c>
      <c r="AR2">
        <v>9</v>
      </c>
      <c r="AS2" t="s">
        <v>128</v>
      </c>
      <c r="AT2" t="s">
        <v>129</v>
      </c>
      <c r="AW2" t="s">
        <v>127</v>
      </c>
      <c r="AX2" t="s">
        <v>63</v>
      </c>
      <c r="AY2">
        <v>11</v>
      </c>
      <c r="AZ2" s="1">
        <v>2</v>
      </c>
      <c r="BA2" s="128" t="str">
        <f>IF(((E22*0.65)+E22)&lt;G22,"Meets Exception","Doesn't Meet")</f>
        <v>Doesn't Meet</v>
      </c>
    </row>
    <row r="3" spans="1:53" x14ac:dyDescent="0.3">
      <c r="A3" s="152" t="s">
        <v>149</v>
      </c>
      <c r="B3" s="144">
        <v>4</v>
      </c>
      <c r="C3" s="153" t="s">
        <v>125</v>
      </c>
      <c r="D3" s="84">
        <f>INDEX(CFMtable,MATCH(A3,HVACsize,0),MATCH(C3,FreshAirType,0))*B3</f>
        <v>4600</v>
      </c>
      <c r="E3" s="89" t="str">
        <f>IF(AND(B3&gt;0,A3="1 TON"),"12,000",IF(AND(B3&gt;0,A3="1.5 TON"),"18,000",IF(AND(B3&gt;0,A3="2 TON"),"24,000",IF(AND(B3&gt;0,A3="2.5 TON"),"30,000",IF(AND(B3&gt;0,A3="3 TON"),"36,000",IF(AND(B3&gt;0,A3="3.5 TON"),"42,000",IF(AND(B3&gt;0,A3="4 TON"),"48,000",IF(AND(B3&gt;0,A3="5 TON"),"60,000",0))))))))</f>
        <v>36,000</v>
      </c>
      <c r="G3" s="17" t="s">
        <v>131</v>
      </c>
      <c r="H3" s="42">
        <v>0</v>
      </c>
      <c r="I3" s="43">
        <v>0</v>
      </c>
      <c r="J3" s="43">
        <v>0</v>
      </c>
      <c r="K3" s="44">
        <v>0</v>
      </c>
      <c r="M3" s="51" t="s">
        <v>132</v>
      </c>
      <c r="N3" s="159">
        <v>0</v>
      </c>
      <c r="U3" t="s">
        <v>133</v>
      </c>
      <c r="V3" t="s">
        <v>63</v>
      </c>
      <c r="W3">
        <v>9</v>
      </c>
      <c r="X3" t="s">
        <v>134</v>
      </c>
      <c r="Y3" t="s">
        <v>129</v>
      </c>
      <c r="AB3" t="s">
        <v>133</v>
      </c>
      <c r="AC3" t="s">
        <v>63</v>
      </c>
      <c r="AD3">
        <v>9</v>
      </c>
      <c r="AE3" t="s">
        <v>134</v>
      </c>
      <c r="AF3" t="s">
        <v>129</v>
      </c>
      <c r="AI3" t="s">
        <v>133</v>
      </c>
      <c r="AJ3" t="s">
        <v>63</v>
      </c>
      <c r="AK3">
        <v>9</v>
      </c>
      <c r="AL3" t="s">
        <v>134</v>
      </c>
      <c r="AM3" t="s">
        <v>129</v>
      </c>
      <c r="AP3" t="s">
        <v>133</v>
      </c>
      <c r="AQ3" t="s">
        <v>63</v>
      </c>
      <c r="AR3">
        <v>9</v>
      </c>
      <c r="AS3" t="s">
        <v>134</v>
      </c>
      <c r="AT3" t="s">
        <v>129</v>
      </c>
      <c r="AW3" t="s">
        <v>133</v>
      </c>
      <c r="AX3" t="s">
        <v>63</v>
      </c>
      <c r="AY3">
        <v>11</v>
      </c>
      <c r="AZ3" s="1">
        <v>3</v>
      </c>
      <c r="BA3" s="128" t="str">
        <f>IF(((E22*0.65)+E22)&lt;G22,"Meets Exception","Doesn't Meet")</f>
        <v>Doesn't Meet</v>
      </c>
    </row>
    <row r="4" spans="1:53" ht="15" thickBot="1" x14ac:dyDescent="0.35">
      <c r="A4" s="154" t="s">
        <v>131</v>
      </c>
      <c r="B4" s="145">
        <v>0</v>
      </c>
      <c r="C4" s="137" t="s">
        <v>123</v>
      </c>
      <c r="D4" s="46">
        <f>INDEX(CFMtable,MATCH(A4,HVACsize,0),MATCH(C4,FreshAirType,0))*B4</f>
        <v>0</v>
      </c>
      <c r="E4" s="57">
        <f>IF(AND(B4&gt;0,A4="1 TON"),"12,000",IF(AND(B4&gt;0,A4="1.5 TON"),"18,000",IF(AND(B4&gt;0,A4="2 TON"),"24,000",IF(AND(B4&gt;0,A4="2.5 TON"),"30,000",IF(AND(B4&gt;0,A4="3 TON"),"36,000",IF(AND(B4&gt;0,A4="3.5 TON"),"42,000",IF(AND(B4&gt;0,A4="4 TON"),"48,000",IF(AND(B4&gt;0,A4="5 TON"),"60,000",0))))))))</f>
        <v>0</v>
      </c>
      <c r="G4" s="17" t="s">
        <v>135</v>
      </c>
      <c r="H4" s="42">
        <v>420</v>
      </c>
      <c r="I4" s="43">
        <f t="shared" ref="I4:I11" si="0">SUM(H4*0.25)</f>
        <v>105</v>
      </c>
      <c r="J4" s="43">
        <f t="shared" ref="J4:J11" si="1">SUM(H4*0.5)</f>
        <v>210</v>
      </c>
      <c r="K4" s="44">
        <f t="shared" ref="K4:K11" si="2">SUM(H4*1)</f>
        <v>420</v>
      </c>
      <c r="M4" s="50" t="s">
        <v>136</v>
      </c>
      <c r="N4" s="63">
        <f>SUM( N3*3.412142)</f>
        <v>0</v>
      </c>
      <c r="U4" t="s">
        <v>137</v>
      </c>
      <c r="V4">
        <v>13</v>
      </c>
      <c r="W4">
        <f t="shared" ref="W4:W10" si="3">SUM((1.12*V4)-(0.02*V4^2))</f>
        <v>11.180000000000003</v>
      </c>
      <c r="X4" t="s">
        <v>138</v>
      </c>
      <c r="Y4" t="s">
        <v>129</v>
      </c>
      <c r="AB4" t="s">
        <v>137</v>
      </c>
      <c r="AC4">
        <v>13</v>
      </c>
      <c r="AD4">
        <f t="shared" ref="AD4:AD10" si="4">SUM((1.12*AC4)-(0.02*AC4^2))</f>
        <v>11.180000000000003</v>
      </c>
      <c r="AE4" t="s">
        <v>138</v>
      </c>
      <c r="AF4" t="s">
        <v>139</v>
      </c>
      <c r="AI4" t="s">
        <v>137</v>
      </c>
      <c r="AJ4">
        <v>14</v>
      </c>
      <c r="AK4">
        <f t="shared" ref="AK4:AK10" si="5">SUM((1.12*AJ4)-(0.02*AJ4^2))</f>
        <v>11.760000000000002</v>
      </c>
      <c r="AL4" t="s">
        <v>138</v>
      </c>
      <c r="AM4" t="s">
        <v>139</v>
      </c>
      <c r="AP4" t="s">
        <v>137</v>
      </c>
      <c r="AQ4">
        <v>14</v>
      </c>
      <c r="AR4">
        <f t="shared" ref="AR4:AR10" si="6">SUM((1.12*AQ4)-(0.02*AQ4^2))</f>
        <v>11.760000000000002</v>
      </c>
      <c r="AS4" t="s">
        <v>138</v>
      </c>
      <c r="AT4" s="129" t="str">
        <f>IF(((E22*0.1)+E22)&lt;G22,"Meets Exception","Doesn't Meet")</f>
        <v>Meets Exception</v>
      </c>
      <c r="AW4" t="s">
        <v>137</v>
      </c>
      <c r="AX4">
        <v>14</v>
      </c>
      <c r="AY4">
        <v>11</v>
      </c>
      <c r="AZ4" s="1">
        <v>4</v>
      </c>
      <c r="BA4" s="128" t="str">
        <f>IF(((E22*0.65)+E22)&lt;G22,"Meets Exception","Doesn't Meet")</f>
        <v>Doesn't Meet</v>
      </c>
    </row>
    <row r="5" spans="1:53" x14ac:dyDescent="0.3">
      <c r="A5" s="154" t="s">
        <v>131</v>
      </c>
      <c r="B5" s="145">
        <v>0</v>
      </c>
      <c r="C5" s="137" t="s">
        <v>123</v>
      </c>
      <c r="D5" s="46">
        <f>INDEX(CFMtable,MATCH(A5,HVACsize,0),MATCH(C5,FreshAirType,0))*B5</f>
        <v>0</v>
      </c>
      <c r="E5" s="57">
        <f>IF(AND(B5&gt;0,A5="1 TON"),"12,000",IF(AND(B5&gt;0,A5="1.5 TON"),"18,000",IF(AND(B5&gt;0,A5="2 TON"),"24,000",IF(AND(B5&gt;0,A5="2.5 TON"),"30,000",IF(AND(B5&gt;0,A5="3 TON"),"36,000",IF(AND(B5&gt;0,A5="3.5 TON"),"42,000",IF(AND(B5&gt;0,A5="4 TON"),"48,000",IF(AND(B5&gt;0,A5="5 TON"),"60,000",0))))))))</f>
        <v>0</v>
      </c>
      <c r="G5" s="16" t="s">
        <v>130</v>
      </c>
      <c r="H5" s="45">
        <v>600</v>
      </c>
      <c r="I5" s="46">
        <f t="shared" si="0"/>
        <v>150</v>
      </c>
      <c r="J5" s="46">
        <f t="shared" si="1"/>
        <v>300</v>
      </c>
      <c r="K5" s="47">
        <f t="shared" si="2"/>
        <v>600</v>
      </c>
      <c r="U5" t="s">
        <v>140</v>
      </c>
      <c r="V5">
        <v>13</v>
      </c>
      <c r="W5">
        <f t="shared" si="3"/>
        <v>11.180000000000003</v>
      </c>
      <c r="X5" t="s">
        <v>141</v>
      </c>
      <c r="Y5" t="str">
        <f>IF(((E22*0.1)+E22)&lt;G22,"Meets Exception","Doesn't Meet")</f>
        <v>Meets Exception</v>
      </c>
      <c r="AB5" t="s">
        <v>140</v>
      </c>
      <c r="AC5">
        <v>13</v>
      </c>
      <c r="AD5">
        <f t="shared" si="4"/>
        <v>11.180000000000003</v>
      </c>
      <c r="AE5" t="s">
        <v>141</v>
      </c>
      <c r="AF5" s="129" t="str">
        <f>IF(((E22*0.1)+E22)&lt;G22,"Meets Exception","Doesn't Meet")</f>
        <v>Meets Exception</v>
      </c>
      <c r="AI5" t="s">
        <v>140</v>
      </c>
      <c r="AJ5">
        <v>14</v>
      </c>
      <c r="AK5">
        <f t="shared" si="5"/>
        <v>11.760000000000002</v>
      </c>
      <c r="AL5" t="s">
        <v>141</v>
      </c>
      <c r="AM5" s="129" t="str">
        <f>IF(((E22*0.1)+E22)&lt;G22,"Meets Exception","Doesn't Meet")</f>
        <v>Meets Exception</v>
      </c>
      <c r="AP5" t="s">
        <v>140</v>
      </c>
      <c r="AQ5">
        <v>14</v>
      </c>
      <c r="AR5">
        <f t="shared" si="6"/>
        <v>11.760000000000002</v>
      </c>
      <c r="AS5" t="s">
        <v>141</v>
      </c>
      <c r="AT5" s="129" t="str">
        <f>IF(((E22*0.1)+E22)&lt;G22,"Meets Exception","Doesn't Meet")</f>
        <v>Meets Exception</v>
      </c>
      <c r="AW5" t="s">
        <v>140</v>
      </c>
      <c r="AX5">
        <v>14</v>
      </c>
      <c r="AY5">
        <v>11</v>
      </c>
      <c r="AZ5" s="1">
        <v>5</v>
      </c>
      <c r="BA5" s="128" t="str">
        <f>IF(((E22*0.7)+E22)&lt;G22,"Meets Exception","Doesn't Meet")</f>
        <v>Doesn't Meet</v>
      </c>
    </row>
    <row r="6" spans="1:53" ht="15" thickBot="1" x14ac:dyDescent="0.35">
      <c r="A6" s="154" t="s">
        <v>131</v>
      </c>
      <c r="B6" s="145">
        <v>0</v>
      </c>
      <c r="C6" s="137" t="s">
        <v>123</v>
      </c>
      <c r="D6" s="46">
        <f>INDEX(CFMtable,MATCH(A6,HVACsize,0),MATCH(C6,FreshAirType,0))*B6</f>
        <v>0</v>
      </c>
      <c r="E6" s="57">
        <f>IF(AND(B6&gt;0,A6="1 TON"),"12,000",IF(AND(B6&gt;0,A6="1.5 TON"),"18,000",IF(AND(B6&gt;0,A6="2 TON"),"24,000",IF(AND(B6&gt;0,A6="2.5 TON"),"30,000",IF(AND(B6&gt;0,A6="3 TON"),"36,000",IF(AND(B6&gt;0,A6="3.5 TON"),"42,000",IF(AND(B6&gt;0,A6="4 TON"),"48,000",IF(AND(B6&gt;0,A6="5 TON"),"60,000",0))))))))</f>
        <v>0</v>
      </c>
      <c r="G6" s="16" t="s">
        <v>142</v>
      </c>
      <c r="H6" s="45">
        <v>800</v>
      </c>
      <c r="I6" s="46">
        <f t="shared" si="0"/>
        <v>200</v>
      </c>
      <c r="J6" s="46">
        <f t="shared" si="1"/>
        <v>400</v>
      </c>
      <c r="K6" s="47">
        <f t="shared" si="2"/>
        <v>800</v>
      </c>
      <c r="U6" t="s">
        <v>143</v>
      </c>
      <c r="V6">
        <v>13</v>
      </c>
      <c r="W6">
        <f t="shared" si="3"/>
        <v>11.180000000000003</v>
      </c>
      <c r="X6" t="s">
        <v>144</v>
      </c>
      <c r="Y6" t="s">
        <v>139</v>
      </c>
      <c r="AB6" t="s">
        <v>143</v>
      </c>
      <c r="AC6">
        <v>13</v>
      </c>
      <c r="AD6">
        <f t="shared" si="4"/>
        <v>11.180000000000003</v>
      </c>
      <c r="AE6" t="s">
        <v>144</v>
      </c>
      <c r="AF6" t="s">
        <v>139</v>
      </c>
      <c r="AI6" t="s">
        <v>143</v>
      </c>
      <c r="AJ6">
        <v>14</v>
      </c>
      <c r="AK6">
        <f t="shared" si="5"/>
        <v>11.760000000000002</v>
      </c>
      <c r="AL6" t="s">
        <v>144</v>
      </c>
      <c r="AM6" t="s">
        <v>139</v>
      </c>
      <c r="AP6" t="s">
        <v>143</v>
      </c>
      <c r="AQ6">
        <v>14</v>
      </c>
      <c r="AR6">
        <f t="shared" si="6"/>
        <v>11.760000000000002</v>
      </c>
      <c r="AS6" t="s">
        <v>144</v>
      </c>
      <c r="AT6" s="129" t="str">
        <f>IF(((E22*0.15)+E22)&lt;G22,"Meets Exception","Doesn't Meet")</f>
        <v>Meets Exception</v>
      </c>
      <c r="AW6" t="s">
        <v>143</v>
      </c>
      <c r="AX6">
        <v>14</v>
      </c>
      <c r="AY6">
        <v>11</v>
      </c>
      <c r="AZ6" s="1">
        <v>6</v>
      </c>
      <c r="BA6" s="128" t="str">
        <f>IF(((E22*0.3)+E22)&lt;G22,"Meets Exception","Doesn't Meet")</f>
        <v>Doesn't Meet</v>
      </c>
    </row>
    <row r="7" spans="1:53" ht="15" thickBot="1" x14ac:dyDescent="0.35">
      <c r="A7" s="155" t="s">
        <v>131</v>
      </c>
      <c r="B7" s="147">
        <v>0</v>
      </c>
      <c r="C7" s="156" t="s">
        <v>123</v>
      </c>
      <c r="D7" s="41">
        <f>INDEX(CFMtable,MATCH(A7,HVACsize,0),MATCH(C7,FreshAirType,0))*B7</f>
        <v>0</v>
      </c>
      <c r="E7" s="58">
        <f>IF(AND(B7&gt;0,A7="1 TON"),"12,000",IF(AND(B7&gt;0,A7="1.5 TON"),"18,000",IF(AND(B7&gt;0,A7="2 TON"),"24,000",IF(AND(B7&gt;0,A7="2.5 TON"),"30,000",IF(AND(B7&gt;0,A7="3 TON"),"36,000",IF(AND(B7&gt;0,A7="3.5 TON"),"42,000",IF(AND(B7&gt;0,A7="4 TON"),"48,000",IF(AND(B7&gt;0,A7="5 TON"),"60000",0))))))))</f>
        <v>0</v>
      </c>
      <c r="G7" s="16" t="s">
        <v>145</v>
      </c>
      <c r="H7" s="45">
        <v>950</v>
      </c>
      <c r="I7" s="46">
        <f t="shared" si="0"/>
        <v>237.5</v>
      </c>
      <c r="J7" s="46">
        <f t="shared" si="1"/>
        <v>475</v>
      </c>
      <c r="K7" s="47">
        <f t="shared" si="2"/>
        <v>950</v>
      </c>
      <c r="M7" s="212" t="s">
        <v>146</v>
      </c>
      <c r="N7" s="213"/>
      <c r="O7" s="214"/>
      <c r="U7" t="s">
        <v>147</v>
      </c>
      <c r="V7">
        <v>13</v>
      </c>
      <c r="W7">
        <f t="shared" si="3"/>
        <v>11.180000000000003</v>
      </c>
      <c r="X7" t="s">
        <v>148</v>
      </c>
      <c r="Y7" t="str">
        <f>IF(((E22*0.15)+E22)&lt;G22,"Meets Exception","")</f>
        <v>Meets Exception</v>
      </c>
      <c r="AB7" t="s">
        <v>147</v>
      </c>
      <c r="AC7">
        <v>13</v>
      </c>
      <c r="AD7">
        <f t="shared" si="4"/>
        <v>11.180000000000003</v>
      </c>
      <c r="AE7" t="s">
        <v>148</v>
      </c>
      <c r="AF7" s="129" t="str">
        <f>IF(((E22*0.15)+E22)&lt;G22,"Meets Exception","Doesn't Meet")</f>
        <v>Meets Exception</v>
      </c>
      <c r="AI7" t="s">
        <v>147</v>
      </c>
      <c r="AJ7">
        <v>14</v>
      </c>
      <c r="AK7">
        <f t="shared" si="5"/>
        <v>11.760000000000002</v>
      </c>
      <c r="AL7" t="s">
        <v>148</v>
      </c>
      <c r="AM7" s="129" t="str">
        <f>IF(((E22*0.15)+E22)&lt;G22,"Meets Exception","Doesn't Meet")</f>
        <v>Meets Exception</v>
      </c>
      <c r="AP7" t="s">
        <v>147</v>
      </c>
      <c r="AQ7">
        <v>14</v>
      </c>
      <c r="AR7">
        <f t="shared" si="6"/>
        <v>11.760000000000002</v>
      </c>
      <c r="AS7" t="s">
        <v>148</v>
      </c>
      <c r="AT7" s="129" t="str">
        <f>IF(((E22*0.15)+E22)&lt;G22,"Meets Exception","Doesn't Meet")</f>
        <v>Meets Exception</v>
      </c>
      <c r="AW7" t="s">
        <v>147</v>
      </c>
      <c r="AX7">
        <v>14</v>
      </c>
      <c r="AY7">
        <v>11</v>
      </c>
      <c r="AZ7" s="1">
        <v>7</v>
      </c>
      <c r="BA7" s="128" t="str">
        <f>IF(((E22*0.3)+E22)&lt;G22,"Meets Exception","Doesn't Meet")</f>
        <v>Doesn't Meet</v>
      </c>
    </row>
    <row r="8" spans="1:53" x14ac:dyDescent="0.3">
      <c r="G8" s="16" t="s">
        <v>149</v>
      </c>
      <c r="H8" s="45">
        <v>1150</v>
      </c>
      <c r="I8" s="46">
        <f t="shared" si="0"/>
        <v>287.5</v>
      </c>
      <c r="J8" s="46">
        <f t="shared" si="1"/>
        <v>575</v>
      </c>
      <c r="K8" s="47">
        <f t="shared" si="2"/>
        <v>1150</v>
      </c>
      <c r="M8" s="60">
        <v>2009</v>
      </c>
      <c r="N8" s="215" t="s">
        <v>150</v>
      </c>
      <c r="O8" s="216"/>
      <c r="U8" t="s">
        <v>151</v>
      </c>
      <c r="V8">
        <v>13</v>
      </c>
      <c r="W8">
        <f t="shared" si="3"/>
        <v>11.180000000000003</v>
      </c>
      <c r="X8" t="s">
        <v>152</v>
      </c>
      <c r="Y8" t="s">
        <v>139</v>
      </c>
      <c r="AB8" t="s">
        <v>151</v>
      </c>
      <c r="AC8">
        <v>13</v>
      </c>
      <c r="AD8">
        <f t="shared" si="4"/>
        <v>11.180000000000003</v>
      </c>
      <c r="AE8" t="s">
        <v>152</v>
      </c>
      <c r="AF8" t="s">
        <v>139</v>
      </c>
      <c r="AI8" t="s">
        <v>151</v>
      </c>
      <c r="AJ8">
        <v>13</v>
      </c>
      <c r="AK8">
        <f t="shared" si="5"/>
        <v>11.180000000000003</v>
      </c>
      <c r="AL8" t="s">
        <v>152</v>
      </c>
      <c r="AM8" t="s">
        <v>139</v>
      </c>
      <c r="AP8" t="s">
        <v>151</v>
      </c>
      <c r="AQ8">
        <v>13</v>
      </c>
      <c r="AR8">
        <f t="shared" si="6"/>
        <v>11.180000000000003</v>
      </c>
      <c r="AS8" t="s">
        <v>152</v>
      </c>
      <c r="AT8" t="s">
        <v>139</v>
      </c>
      <c r="AW8" t="s">
        <v>151</v>
      </c>
      <c r="AX8">
        <v>13</v>
      </c>
      <c r="AY8">
        <v>12.2</v>
      </c>
      <c r="AZ8" s="1">
        <v>8</v>
      </c>
      <c r="BA8" s="128" t="str">
        <f>IF(((E22*0.3)+E22)&lt;G22,"Meets Exception","Doesn't Meet")</f>
        <v>Doesn't Meet</v>
      </c>
    </row>
    <row r="9" spans="1:53" x14ac:dyDescent="0.3">
      <c r="G9" s="16" t="s">
        <v>153</v>
      </c>
      <c r="H9" s="45">
        <v>1350</v>
      </c>
      <c r="I9" s="46">
        <f t="shared" si="0"/>
        <v>337.5</v>
      </c>
      <c r="J9" s="46">
        <f t="shared" si="1"/>
        <v>675</v>
      </c>
      <c r="K9" s="47">
        <f t="shared" si="2"/>
        <v>1350</v>
      </c>
      <c r="M9" s="61">
        <v>2012</v>
      </c>
      <c r="N9" s="208" t="s">
        <v>154</v>
      </c>
      <c r="O9" s="209"/>
      <c r="U9" t="s">
        <v>155</v>
      </c>
      <c r="V9">
        <v>13</v>
      </c>
      <c r="W9">
        <f t="shared" si="3"/>
        <v>11.180000000000003</v>
      </c>
      <c r="X9" t="s">
        <v>156</v>
      </c>
      <c r="Y9" t="s">
        <v>139</v>
      </c>
      <c r="AB9" t="s">
        <v>155</v>
      </c>
      <c r="AC9">
        <v>13</v>
      </c>
      <c r="AD9">
        <f t="shared" si="4"/>
        <v>11.180000000000003</v>
      </c>
      <c r="AE9" t="s">
        <v>156</v>
      </c>
      <c r="AF9" t="s">
        <v>139</v>
      </c>
      <c r="AI9" t="s">
        <v>155</v>
      </c>
      <c r="AJ9">
        <v>13</v>
      </c>
      <c r="AK9">
        <f t="shared" si="5"/>
        <v>11.180000000000003</v>
      </c>
      <c r="AL9" t="s">
        <v>156</v>
      </c>
      <c r="AM9" t="s">
        <v>139</v>
      </c>
      <c r="AP9" t="s">
        <v>155</v>
      </c>
      <c r="AQ9">
        <v>13</v>
      </c>
      <c r="AR9">
        <f t="shared" si="6"/>
        <v>11.180000000000003</v>
      </c>
      <c r="AS9" t="s">
        <v>156</v>
      </c>
      <c r="AT9" s="129" t="str">
        <f>IF(((E22*0.2)+E22)&lt;G22,"Meets Exception","Doesn't Meet")</f>
        <v>Meets Exception</v>
      </c>
      <c r="AW9" t="s">
        <v>155</v>
      </c>
      <c r="AX9">
        <v>13</v>
      </c>
      <c r="AY9">
        <f>SUM((1.12*AX9)-(0.02*AX9^2))</f>
        <v>11.180000000000003</v>
      </c>
      <c r="AZ9" s="1">
        <v>9</v>
      </c>
      <c r="BA9" s="128" t="str">
        <f>IF(((E22*0.3)+E22)&lt;G22,"Meets Exception","Doesn't Meet")</f>
        <v>Doesn't Meet</v>
      </c>
    </row>
    <row r="10" spans="1:53" x14ac:dyDescent="0.3">
      <c r="G10" s="16" t="s">
        <v>157</v>
      </c>
      <c r="H10" s="45">
        <v>1550</v>
      </c>
      <c r="I10" s="46">
        <f t="shared" si="0"/>
        <v>387.5</v>
      </c>
      <c r="J10" s="46">
        <f t="shared" si="1"/>
        <v>775</v>
      </c>
      <c r="K10" s="47">
        <f t="shared" si="2"/>
        <v>1550</v>
      </c>
      <c r="M10" s="61">
        <v>2015</v>
      </c>
      <c r="N10" s="208" t="s">
        <v>150</v>
      </c>
      <c r="O10" s="209"/>
      <c r="U10" t="s">
        <v>158</v>
      </c>
      <c r="V10">
        <v>12</v>
      </c>
      <c r="W10">
        <f t="shared" si="3"/>
        <v>10.560000000000002</v>
      </c>
      <c r="X10" t="s">
        <v>159</v>
      </c>
      <c r="Y10" t="str">
        <f>IF(((E22*0.2)+E22)&lt;G22,"Meets Exception","Doesn't Meet")</f>
        <v>Meets Exception</v>
      </c>
      <c r="AB10" t="s">
        <v>158</v>
      </c>
      <c r="AC10">
        <v>12</v>
      </c>
      <c r="AD10">
        <f t="shared" si="4"/>
        <v>10.560000000000002</v>
      </c>
      <c r="AE10" t="s">
        <v>159</v>
      </c>
      <c r="AF10" s="129" t="str">
        <f>IF(((E22*0.2)+E22)&lt;G22,"Meets Exception","Doesn't Meet")</f>
        <v>Meets Exception</v>
      </c>
      <c r="AI10" t="s">
        <v>158</v>
      </c>
      <c r="AJ10">
        <v>12</v>
      </c>
      <c r="AK10">
        <f t="shared" si="5"/>
        <v>10.560000000000002</v>
      </c>
      <c r="AL10" t="s">
        <v>159</v>
      </c>
      <c r="AM10" s="129" t="str">
        <f>IF(((E22*0.2)+E22)&lt;G22,"Meets Exception","Doesn't Meet")</f>
        <v>Meets Exception</v>
      </c>
      <c r="AP10" t="s">
        <v>158</v>
      </c>
      <c r="AQ10">
        <v>12</v>
      </c>
      <c r="AR10">
        <f t="shared" si="6"/>
        <v>10.560000000000002</v>
      </c>
      <c r="AS10" t="s">
        <v>159</v>
      </c>
      <c r="AT10" s="129" t="str">
        <f>IF(((E22*0.2)+E22)&lt;G22,"Meets Exception","Doesn't Meet")</f>
        <v>Meets Exception</v>
      </c>
      <c r="AW10" t="s">
        <v>158</v>
      </c>
      <c r="AX10" t="s">
        <v>63</v>
      </c>
      <c r="AY10">
        <v>9.3000000000000007</v>
      </c>
      <c r="AZ10" s="1">
        <v>10</v>
      </c>
      <c r="BA10" s="128" t="str">
        <f>IF(((E22*0.3)+E22)&lt;G22,"Meets Exception","Doesn't Meet")</f>
        <v>Doesn't Meet</v>
      </c>
    </row>
    <row r="11" spans="1:53" ht="15" thickBot="1" x14ac:dyDescent="0.35">
      <c r="G11" s="30" t="s">
        <v>160</v>
      </c>
      <c r="H11" s="48">
        <v>1750</v>
      </c>
      <c r="I11" s="41">
        <f t="shared" si="0"/>
        <v>437.5</v>
      </c>
      <c r="J11" s="41">
        <f t="shared" si="1"/>
        <v>875</v>
      </c>
      <c r="K11" s="49">
        <f t="shared" si="2"/>
        <v>1750</v>
      </c>
      <c r="L11" s="132"/>
      <c r="M11" s="62">
        <v>2018</v>
      </c>
      <c r="N11" s="210" t="s">
        <v>150</v>
      </c>
      <c r="O11" s="211"/>
      <c r="U11" t="s">
        <v>161</v>
      </c>
      <c r="V11" t="s">
        <v>63</v>
      </c>
      <c r="W11">
        <f>SUM(12.5-(0.213*(B22*12000)/1000))</f>
        <v>-0.27999999999999936</v>
      </c>
      <c r="X11" t="s">
        <v>162</v>
      </c>
      <c r="Y11" t="s">
        <v>139</v>
      </c>
      <c r="AB11" t="s">
        <v>161</v>
      </c>
      <c r="AC11" t="s">
        <v>63</v>
      </c>
      <c r="AD11">
        <f>SUM(13.8-(0.3*(B22*12000)/1000))</f>
        <v>-4.1999999999999993</v>
      </c>
      <c r="AE11" t="s">
        <v>162</v>
      </c>
      <c r="AF11" t="s">
        <v>139</v>
      </c>
      <c r="AI11" t="s">
        <v>161</v>
      </c>
      <c r="AJ11" t="s">
        <v>63</v>
      </c>
      <c r="AK11">
        <f>SUM(14-(0.3*(B22*12000)/1000))</f>
        <v>-4</v>
      </c>
      <c r="AL11" t="s">
        <v>162</v>
      </c>
      <c r="AM11" t="s">
        <v>139</v>
      </c>
      <c r="AP11" t="s">
        <v>161</v>
      </c>
      <c r="AQ11" t="s">
        <v>63</v>
      </c>
      <c r="AR11">
        <f>SUM(14-(0.3*(B22*12000)/1000))</f>
        <v>-4</v>
      </c>
      <c r="AS11" t="s">
        <v>162</v>
      </c>
      <c r="AT11" t="s">
        <v>139</v>
      </c>
      <c r="AW11" t="s">
        <v>161</v>
      </c>
      <c r="AX11" t="s">
        <v>63</v>
      </c>
      <c r="AY11">
        <f>SUM(14-(0.213*(B22*12000)/1000))</f>
        <v>1.2200000000000006</v>
      </c>
      <c r="AZ11" s="1">
        <v>11</v>
      </c>
      <c r="BA11" s="128" t="str">
        <f>IF(((E22*0.3)+E22)&lt;G22,"Meets Exception","Doesn't Meet")</f>
        <v>Doesn't Meet</v>
      </c>
    </row>
    <row r="12" spans="1:53" ht="15" thickBot="1" x14ac:dyDescent="0.35">
      <c r="A12" s="53"/>
      <c r="B12" s="53"/>
      <c r="C12" s="54"/>
      <c r="D12" s="55"/>
      <c r="E12" s="56"/>
      <c r="F12" s="56"/>
      <c r="G12" s="56"/>
      <c r="K12" s="131"/>
      <c r="L12" s="35"/>
      <c r="M12" s="35"/>
      <c r="N12" s="35"/>
      <c r="O12" s="35"/>
      <c r="X12" t="s">
        <v>163</v>
      </c>
      <c r="Y12" t="s">
        <v>139</v>
      </c>
      <c r="AE12" t="s">
        <v>163</v>
      </c>
      <c r="AF12" t="s">
        <v>139</v>
      </c>
      <c r="AL12" t="s">
        <v>163</v>
      </c>
      <c r="AM12" t="s">
        <v>139</v>
      </c>
      <c r="AS12" t="s">
        <v>163</v>
      </c>
      <c r="AT12" t="s">
        <v>139</v>
      </c>
      <c r="AZ12" s="1">
        <v>12</v>
      </c>
      <c r="BA12" s="128" t="str">
        <f>IF(((E22*0.3)+E22)&lt;G22,"Meets Exception","Doesn't Meet")</f>
        <v>Doesn't Meet</v>
      </c>
    </row>
    <row r="13" spans="1:53" ht="45" customHeight="1" thickBot="1" x14ac:dyDescent="0.35">
      <c r="A13" s="68" t="s">
        <v>164</v>
      </c>
      <c r="B13" s="68" t="s">
        <v>165</v>
      </c>
      <c r="C13" s="13" t="s">
        <v>166</v>
      </c>
      <c r="D13" s="85" t="s">
        <v>167</v>
      </c>
      <c r="E13" s="206" t="s">
        <v>168</v>
      </c>
      <c r="F13" s="207"/>
      <c r="G13" s="206" t="s">
        <v>169</v>
      </c>
      <c r="H13" s="219"/>
      <c r="I13" s="219"/>
      <c r="J13" s="207"/>
      <c r="K13" s="35"/>
      <c r="L13" s="35"/>
      <c r="M13" s="35"/>
      <c r="N13" s="35"/>
      <c r="O13" s="35"/>
      <c r="X13" t="s">
        <v>170</v>
      </c>
      <c r="Y13" t="s">
        <v>139</v>
      </c>
      <c r="AE13" t="s">
        <v>170</v>
      </c>
      <c r="AF13" t="s">
        <v>139</v>
      </c>
      <c r="AL13" t="s">
        <v>170</v>
      </c>
      <c r="AM13" t="s">
        <v>139</v>
      </c>
      <c r="AS13" t="s">
        <v>170</v>
      </c>
      <c r="AT13" t="s">
        <v>139</v>
      </c>
      <c r="AZ13" s="1">
        <v>13</v>
      </c>
      <c r="BA13" s="128" t="str">
        <f>IF(((E22*0.3)+E22)&lt;G22,"Meets Exception","Doesn't Meet")</f>
        <v>Doesn't Meet</v>
      </c>
    </row>
    <row r="14" spans="1:53" ht="15" thickBot="1" x14ac:dyDescent="0.35">
      <c r="A14" s="92">
        <f>SUM(D3:D7)</f>
        <v>4600</v>
      </c>
      <c r="B14" s="92">
        <f>SUM('IMC-UMC Vent. Rate'!F47)</f>
        <v>4250</v>
      </c>
      <c r="C14" s="93" t="str">
        <f>IF(A14&gt;B14,"NO ADD'L NEEDED",IF(A14&lt;B14,(B14-A14),""))</f>
        <v>NO ADD'L NEEDED</v>
      </c>
      <c r="D14" s="90">
        <f>IF(B3&gt;0,(E3*B3),0)+IF(B4&gt;0,(E4*B4),0)+IF(B5&gt;0,(E5*B5),0)+IF(B6&gt;0,(E6*B6),0)+IF(B7&gt;0,(E7*B7),0)</f>
        <v>144000</v>
      </c>
      <c r="E14" s="217">
        <f>IF(C3="F.A.D.",(B3*E3),0)+IF(C3="C.R.V.",((B3*(E3/2)))+IF(C3="ECONOMIZER",((B3*(-E3))),0))+IF(C4="F.A.D.",(B4*E4),0)+IF(C4="C.R.V.",((B4*(E4/2)))+IF(C4="ECONOMIZER",((B4*(-E4))),0))+IF(C5="F.A.D.",(B5*E5),0)+IF(C5="C.R.V.",((B5*(E5/2)))+IF(C5="ECONOMIZER",((B5*(-E5))),0))+IF(C6="F.A.D.",(B6*E6),0)+IF(C6="C.R.V.",((B6*(E6/2)))+IF(C6="ECONOMIZER",((B6*(-E6))),0))+IF(C7="F.A.D.",(B7*E7),0)+IF(C7="C.R.V.",((B7*(E7/2)))+IF(C7="ECONOMIZER",((B7*(-E7))),0))</f>
        <v>0</v>
      </c>
      <c r="F14" s="218"/>
      <c r="G14" s="212" t="str">
        <f>IF(E14&gt;300000,"ECONOMIZERS REQUIRED",IF((((OR(A3="5 TON",A4="5 TON",A5="5 TON",A6="5 TON",A7="5 TON")))),"ECONOMIZERS REQUIRED @ 5 TON",IF(I22="meets exception","Meets Exception","NO ADD'L VENTILATION REQUIRED")))</f>
        <v>NO ADD'L VENTILATION REQUIRED</v>
      </c>
      <c r="H14" s="213"/>
      <c r="I14" s="213"/>
      <c r="J14" s="214"/>
      <c r="U14" t="str">
        <f>INDEX(Exceptions09,MATCH(D22,ClimateZone09,0))</f>
        <v>Not Required</v>
      </c>
      <c r="X14" t="s">
        <v>171</v>
      </c>
      <c r="Y14" t="s">
        <v>139</v>
      </c>
      <c r="AB14" t="str">
        <f>INDEX(AF2:AF18,MATCH(D22,AE2:AE18,0))</f>
        <v>No Exception</v>
      </c>
      <c r="AE14" t="s">
        <v>171</v>
      </c>
      <c r="AF14" t="s">
        <v>139</v>
      </c>
      <c r="AI14" t="str">
        <f>INDEX(AM2:AM18,MATCH(D22,AL2:AL18,0))</f>
        <v>No Exception</v>
      </c>
      <c r="AL14" t="s">
        <v>171</v>
      </c>
      <c r="AM14" t="s">
        <v>139</v>
      </c>
      <c r="AP14" t="str">
        <f>INDEX(AT2:AT18,MATCH(D22,AS2:AS18,0))</f>
        <v>Meets Exception</v>
      </c>
      <c r="AS14" t="s">
        <v>171</v>
      </c>
      <c r="AT14" t="s">
        <v>139</v>
      </c>
      <c r="AW14" t="e">
        <f>INDEX(BA1:BA16,MATCH(#REF!,AZ1:AZ16,0))</f>
        <v>#REF!</v>
      </c>
      <c r="AZ14" s="1">
        <v>14</v>
      </c>
      <c r="BA14" s="128" t="str">
        <f>IF(((E22*0.3)+E22)&lt;G22,"Meets Exception","Doesn't Meet")</f>
        <v>Doesn't Meet</v>
      </c>
    </row>
    <row r="15" spans="1:53" x14ac:dyDescent="0.3">
      <c r="G15" t="s">
        <v>172</v>
      </c>
      <c r="X15" t="s">
        <v>173</v>
      </c>
      <c r="Y15" t="s">
        <v>139</v>
      </c>
      <c r="AE15" t="s">
        <v>173</v>
      </c>
      <c r="AF15" t="s">
        <v>139</v>
      </c>
      <c r="AL15" t="s">
        <v>173</v>
      </c>
      <c r="AM15" t="s">
        <v>139</v>
      </c>
      <c r="AS15" t="s">
        <v>173</v>
      </c>
      <c r="AT15" t="s">
        <v>139</v>
      </c>
      <c r="AZ15" s="1">
        <v>15</v>
      </c>
      <c r="BA15" s="128" t="str">
        <f>IF(((E22*0.3)+E22)&lt;G22,"Meets Exception","Doesn't Meet")</f>
        <v>Doesn't Meet</v>
      </c>
    </row>
    <row r="16" spans="1:53" ht="15" thickBot="1" x14ac:dyDescent="0.35">
      <c r="A16" s="15" t="s">
        <v>174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X16" t="s">
        <v>175</v>
      </c>
      <c r="Y16" t="s">
        <v>139</v>
      </c>
      <c r="AE16" t="s">
        <v>175</v>
      </c>
      <c r="AF16" t="s">
        <v>139</v>
      </c>
      <c r="AL16" t="s">
        <v>175</v>
      </c>
      <c r="AM16" t="s">
        <v>139</v>
      </c>
      <c r="AS16" t="s">
        <v>175</v>
      </c>
      <c r="AT16" t="s">
        <v>139</v>
      </c>
      <c r="AZ16" s="1">
        <v>16</v>
      </c>
      <c r="BA16" s="128" t="str">
        <f>IF(((E22*0.7)+E22)&lt;G22,"Meets Exception","Doesn't Meet")</f>
        <v>Doesn't Meet</v>
      </c>
    </row>
    <row r="17" spans="1:46" x14ac:dyDescent="0.3">
      <c r="A17" s="197" t="s">
        <v>176</v>
      </c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9"/>
      <c r="X17">
        <v>7</v>
      </c>
      <c r="Y17" t="s">
        <v>129</v>
      </c>
      <c r="AE17">
        <v>7</v>
      </c>
      <c r="AF17" t="s">
        <v>139</v>
      </c>
      <c r="AL17">
        <v>7</v>
      </c>
      <c r="AM17" t="s">
        <v>177</v>
      </c>
      <c r="AS17">
        <v>7</v>
      </c>
      <c r="AT17" t="s">
        <v>178</v>
      </c>
    </row>
    <row r="18" spans="1:46" ht="15" thickBot="1" x14ac:dyDescent="0.35">
      <c r="A18" s="200" t="s">
        <v>179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2"/>
      <c r="X18">
        <v>8</v>
      </c>
      <c r="Y18" t="s">
        <v>129</v>
      </c>
      <c r="AE18">
        <v>8</v>
      </c>
      <c r="AF18" t="s">
        <v>139</v>
      </c>
      <c r="AL18">
        <v>8</v>
      </c>
      <c r="AM18" t="s">
        <v>177</v>
      </c>
      <c r="AS18">
        <v>8</v>
      </c>
      <c r="AT18" t="s">
        <v>178</v>
      </c>
    </row>
    <row r="19" spans="1:46" ht="15" thickBot="1" x14ac:dyDescent="0.35"/>
    <row r="20" spans="1:46" ht="14.4" customHeight="1" thickBot="1" x14ac:dyDescent="0.35">
      <c r="A20" s="212" t="s">
        <v>180</v>
      </c>
      <c r="B20" s="213"/>
      <c r="C20" s="213"/>
      <c r="D20" s="213"/>
      <c r="E20" s="213"/>
      <c r="F20" s="213"/>
      <c r="G20" s="213"/>
      <c r="H20" s="213"/>
      <c r="I20" s="214"/>
    </row>
    <row r="21" spans="1:46" ht="43.8" thickBot="1" x14ac:dyDescent="0.35">
      <c r="A21" s="13" t="s">
        <v>181</v>
      </c>
      <c r="B21" s="13" t="s">
        <v>182</v>
      </c>
      <c r="C21" s="13" t="s">
        <v>183</v>
      </c>
      <c r="D21" s="13" t="s">
        <v>111</v>
      </c>
      <c r="E21" s="13" t="s">
        <v>184</v>
      </c>
      <c r="F21" s="13" t="s">
        <v>185</v>
      </c>
      <c r="G21" s="13" t="s">
        <v>186</v>
      </c>
      <c r="H21" s="13" t="s">
        <v>187</v>
      </c>
      <c r="I21" s="13" t="s">
        <v>188</v>
      </c>
      <c r="J21" s="195"/>
      <c r="K21" s="196"/>
      <c r="U21" s="221" t="s">
        <v>189</v>
      </c>
      <c r="V21" s="222"/>
      <c r="W21" s="126" t="s">
        <v>190</v>
      </c>
      <c r="X21" s="125"/>
      <c r="Y21" s="125"/>
      <c r="Z21" s="125"/>
      <c r="AA21" s="125"/>
      <c r="AB21" s="125"/>
      <c r="AC21" s="125"/>
      <c r="AD21" s="125"/>
      <c r="AE21" s="124"/>
    </row>
    <row r="22" spans="1:46" ht="15" thickBot="1" x14ac:dyDescent="0.35">
      <c r="A22" s="157" t="s">
        <v>113</v>
      </c>
      <c r="B22" s="158">
        <v>5</v>
      </c>
      <c r="C22" s="158" t="s">
        <v>127</v>
      </c>
      <c r="D22" s="158" t="s">
        <v>138</v>
      </c>
      <c r="E22" s="130">
        <f>IF(AND(OR(A22="2009 iecc",A22="2012 iecc",A22="2015 iecc",A22="2018 iecc"),C22="Bard ac"),W2,IF(AND(OR(A22="2009 iecc",A22="2012 iecc",A22="2015 iecc",A22="2018 iecc"),C22="Bard HP"),W3,IF(AND(OR(A22="2009 iecc",A22="2012 iecc"),C22="roof top ac (1P)"),W4,IF(AND(OR(A22="2009 iecc",A22="2012 iecc"),C22="roof top ac (3P)"),W5,IF(AND(OR(A22="2009 iecc",A22="2012 iecc"),C22="roof top hp (1P)"),W6,IF(AND(OR(A22="2009 iecc",A22="2012 iecc"),C22="roof top hp (3P)"),W7,IF(AND(OR(A22="2009 iecc",A22="2012 iecc"),C22="split system"),W8,IF(AND(OR(A22="2009 iecc",A22="2012 iecc"),C22="minisplit ac"),W9,IF(AND(OR(A22="2009 iecc",A22="2012 iecc"),C22="thru wall"),W10,IF(AND(OR(A22="2015 iecc",A22="2018 iecc"),C22="roof top ac (1P)"),AK4,IF(AND(OR(A22="2015 iecc",A22="2018 iecc"),C22="roof top ac (3P)"),AK5,IF(AND(OR(A22="2015 iecc",A22="2018 iecc"),C22="roof top hp (1P)"),AK6,IF(AND(OR(A22="2015 iecc",A22="2018 iecc"),C22="roof top hp (3P)"),AK7,IF(AND(OR(A22="2015 iecc",A22="2018 iecc"),C22="split system"),AK8,IF(AND(OR(A22="2015 iecc",A22="2018 iecc"),C22="minisplit ac"),AK9,IF(AND(OR(A22="2015 iecc",A22="2018 iecc"),C22="thru wall"),AK10,IF(AND(A22="2009 iecc",C22="ptac"),W11,IF(AND(A22="2012 iecc",C22="ptac"),AD11,IF(AND(A22="2015 iecc",C22="ptac"),AK11,IF(AND(A22="2018 iecc",C22="ptac"),AR11,IF(AND(A22="2019 cec",C22="Bard ac"),AY2,IF(AND(A22="2019 cec",C22="Bard HP"),AY3,IF(AND(A22="2019 cec",C22="roof top ac (1P)"),AY4,IF(AND(A22="2019 cec",C22="roof top ac (3P)"),AY5,IF(AND(A22="2019 cec",C22="roof top hp (1P)"),AY6,IF(AND(A22="2019 cec",C22="roof top hp (3P)"),AY7,IF(AND(A22="2019 cec",C22="split system"),AY8,IF(AND(A22="2019 cec",C22="minisplit ac"),AY9,IF(AND(A22="2019 cec",C22="thru wall"),AY10,IF(AND(A22="2019 cec",C22="ptac"),AY11,""))))))))))))))))))))))))))))))</f>
        <v>9</v>
      </c>
      <c r="F22" s="130" t="str">
        <f>IF(AND(OR(A22="2009 iecc",A22="2012 iecc",A22="2015 iecc",A22="2018 iecc",A22="2019 cec"),C22="Bard ac"),V2,IF(AND(OR(A22="2009 iecc",A22="2012 iecc",A22="2015 iecc",A22="2018 iecc",A22="2019 cec"),C22="Bard HP"),V3,IF(AND(OR(A22="2009 iecc",A22="2012 iecc"),C22="roof top ac (1P)"),V4,IF(AND(OR(A22="2009 iecc",A22="2012 iecc"),C22="roof top ac (3P)"),V5,IF(AND(OR(A22="2009 iecc",A22="2012 iecc"),C22="roof top hp (1P)"),V6,IF(AND(OR(A22="2009 iecc",A22="2012 iecc"),C22="roof top hp (3P)"),V7,IF(AND(OR(A22="2009 iecc",A22="2012 iecc"),C22="split system"),V8,IF(AND(OR(A22="2009 iecc",A22="2012 iecc"),C22="minisplit ac"),V9,IF(AND(OR(A22="2009 iecc",A22="2012 iecc"),C22="thru wall"),V10,IF(AND(OR(A22="2015 iecc",A22="2018 iecc",A22="2019 cec"),C22="roof top ac (1P)"),AJ4,IF(AND(OR(A22="2015 iecc",A22="2018 iecc",A22="2019 cec"),C22="roof top ac (3P)"),AJ5,IF(AND(OR(A22="2015 iecc",A22="2018 iecc",A22="2019 cec"),C22="roof top hp (1P)"),AJ6,IF(AND(OR(A22="2015 iecc",A22="2018 iecc",A22="2019 cec"),C22="roof top hp (3P)"),AJ7,IF(AND(OR(A22="2015 iecc",A22="2018 iecc",A22="2019 cec"),C22="split system"),AJ8,IF(AND(OR(A22="2015 iecc",A22="2018 iecc",A22="2019 cec"),C22="minisplit ac"),AJ9,IF(AND(OR(A22="2015 iecc",A22="2018 iecc"),C22="thru wall"),AJ10,IF(AND(A22="2019 cec",C22="thru wall"),AX10,IF(AND(OR(A22="2009 iecc",A22="2012 iecc",A22="2015 iecc",A22="2018 iecc",A22="2019 cec"),C22="ptac"),V11,""))))))))))))))))))</f>
        <v>-</v>
      </c>
      <c r="G22" s="130">
        <f>INDEX(EerTable,MATCH(C22,EerEquipment,0),MATCH(B22,EerHVACsize,0))</f>
        <v>11</v>
      </c>
      <c r="H22" s="130" t="str">
        <f>INDEX(SeerTable,MATCH(C22,SeerEquipment,0),MATCH(B22,SeerHVACsize,0))</f>
        <v>-</v>
      </c>
      <c r="I22" s="133" t="str">
        <f>IF(A22="2009 iecc",U14,IF(A22="2012 iecc",AB14,IF(A22="2015 iecc",AI14,IF(A22="2018 iecc",AP14,IF(A22="2019 cec",AW14,"")))))</f>
        <v>No Exception</v>
      </c>
      <c r="U22" s="223"/>
      <c r="V22" s="224"/>
      <c r="W22" s="123">
        <v>0.75</v>
      </c>
      <c r="X22" s="122">
        <v>1</v>
      </c>
      <c r="Y22" s="122">
        <v>1.5</v>
      </c>
      <c r="Z22" s="122">
        <v>2</v>
      </c>
      <c r="AA22" s="122">
        <v>2.5</v>
      </c>
      <c r="AB22" s="122">
        <v>3</v>
      </c>
      <c r="AC22" s="122">
        <v>3.5</v>
      </c>
      <c r="AD22" s="122">
        <v>4</v>
      </c>
      <c r="AE22" s="121">
        <v>5</v>
      </c>
    </row>
    <row r="23" spans="1:46" x14ac:dyDescent="0.3">
      <c r="U23" s="127"/>
      <c r="V23" s="119" t="s">
        <v>127</v>
      </c>
      <c r="W23" s="12" t="s">
        <v>63</v>
      </c>
      <c r="X23" s="12">
        <v>11</v>
      </c>
      <c r="Y23" s="12">
        <v>11.3</v>
      </c>
      <c r="Z23" s="12">
        <v>11.2</v>
      </c>
      <c r="AA23" s="12">
        <v>11.2</v>
      </c>
      <c r="AB23" s="12">
        <v>11</v>
      </c>
      <c r="AC23" s="12">
        <v>11</v>
      </c>
      <c r="AD23" s="12">
        <v>11</v>
      </c>
      <c r="AE23" s="117">
        <v>11</v>
      </c>
    </row>
    <row r="24" spans="1:46" x14ac:dyDescent="0.3">
      <c r="U24" s="116"/>
      <c r="V24" s="113" t="s">
        <v>133</v>
      </c>
      <c r="W24" s="12" t="s">
        <v>63</v>
      </c>
      <c r="X24" s="12" t="s">
        <v>63</v>
      </c>
      <c r="Y24" s="12">
        <v>11</v>
      </c>
      <c r="Z24" s="12">
        <v>11</v>
      </c>
      <c r="AA24" s="12">
        <v>11</v>
      </c>
      <c r="AB24" s="12">
        <v>11</v>
      </c>
      <c r="AC24" s="12">
        <v>11</v>
      </c>
      <c r="AD24" s="12">
        <v>11</v>
      </c>
      <c r="AE24" s="117">
        <v>11</v>
      </c>
    </row>
    <row r="25" spans="1:46" x14ac:dyDescent="0.3">
      <c r="U25" s="116"/>
      <c r="V25" s="113" t="s">
        <v>137</v>
      </c>
      <c r="W25" s="12" t="s">
        <v>63</v>
      </c>
      <c r="X25" s="12" t="s">
        <v>63</v>
      </c>
      <c r="Y25" s="12" t="s">
        <v>63</v>
      </c>
      <c r="Z25" s="12" t="s">
        <v>63</v>
      </c>
      <c r="AA25" s="12" t="s">
        <v>63</v>
      </c>
      <c r="AB25" s="12">
        <v>12.5</v>
      </c>
      <c r="AC25" s="12">
        <v>12.5</v>
      </c>
      <c r="AD25" s="12">
        <v>12</v>
      </c>
      <c r="AE25" s="117">
        <v>12</v>
      </c>
    </row>
    <row r="26" spans="1:46" x14ac:dyDescent="0.3">
      <c r="U26" s="116"/>
      <c r="V26" s="113" t="s">
        <v>140</v>
      </c>
      <c r="W26" s="12" t="s">
        <v>63</v>
      </c>
      <c r="X26" s="12" t="s">
        <v>63</v>
      </c>
      <c r="Y26" s="12" t="s">
        <v>63</v>
      </c>
      <c r="Z26" s="12" t="s">
        <v>63</v>
      </c>
      <c r="AA26" s="12" t="s">
        <v>63</v>
      </c>
      <c r="AB26" s="12">
        <v>13</v>
      </c>
      <c r="AC26" s="12">
        <v>13</v>
      </c>
      <c r="AD26" s="12">
        <v>12.5</v>
      </c>
      <c r="AE26" s="117">
        <v>12.5</v>
      </c>
    </row>
    <row r="27" spans="1:46" x14ac:dyDescent="0.3">
      <c r="U27" s="116"/>
      <c r="V27" s="113" t="s">
        <v>143</v>
      </c>
      <c r="W27" s="12" t="s">
        <v>63</v>
      </c>
      <c r="X27" s="12" t="s">
        <v>63</v>
      </c>
      <c r="Y27" s="12" t="s">
        <v>63</v>
      </c>
      <c r="Z27" s="12" t="s">
        <v>63</v>
      </c>
      <c r="AA27" s="12" t="s">
        <v>63</v>
      </c>
      <c r="AB27" s="12">
        <v>13</v>
      </c>
      <c r="AC27" s="12">
        <v>13</v>
      </c>
      <c r="AD27" s="12">
        <v>12</v>
      </c>
      <c r="AE27" s="117">
        <v>12</v>
      </c>
    </row>
    <row r="28" spans="1:46" x14ac:dyDescent="0.3">
      <c r="U28" s="116"/>
      <c r="V28" s="113" t="s">
        <v>147</v>
      </c>
      <c r="W28" s="12" t="s">
        <v>63</v>
      </c>
      <c r="X28" s="12" t="s">
        <v>63</v>
      </c>
      <c r="Y28" s="12" t="s">
        <v>63</v>
      </c>
      <c r="Z28" s="12" t="s">
        <v>63</v>
      </c>
      <c r="AA28" s="12" t="s">
        <v>63</v>
      </c>
      <c r="AB28" s="12">
        <v>13</v>
      </c>
      <c r="AC28" s="12">
        <v>13</v>
      </c>
      <c r="AD28" s="12">
        <v>12.5</v>
      </c>
      <c r="AE28" s="117">
        <v>12.5</v>
      </c>
    </row>
    <row r="29" spans="1:46" x14ac:dyDescent="0.3">
      <c r="U29" s="118"/>
      <c r="V29" s="113" t="s">
        <v>155</v>
      </c>
      <c r="W29" s="12">
        <v>10.4</v>
      </c>
      <c r="X29" s="12">
        <v>10.6</v>
      </c>
      <c r="Y29" s="12">
        <v>12.2</v>
      </c>
      <c r="Z29" s="12">
        <v>9.1999999999999993</v>
      </c>
      <c r="AA29" s="12" t="s">
        <v>63</v>
      </c>
      <c r="AB29" s="12" t="s">
        <v>63</v>
      </c>
      <c r="AC29" s="12" t="s">
        <v>63</v>
      </c>
      <c r="AD29" s="12" t="s">
        <v>63</v>
      </c>
      <c r="AE29" s="117" t="s">
        <v>63</v>
      </c>
    </row>
    <row r="30" spans="1:46" x14ac:dyDescent="0.3">
      <c r="U30" s="116"/>
      <c r="V30" s="113" t="s">
        <v>151</v>
      </c>
      <c r="W30" s="82"/>
      <c r="X30" s="82"/>
      <c r="Y30" s="82"/>
      <c r="Z30" s="82"/>
      <c r="AA30" s="82"/>
      <c r="AB30" s="82"/>
      <c r="AC30" s="82"/>
      <c r="AD30" s="82"/>
      <c r="AE30" s="98"/>
    </row>
    <row r="31" spans="1:46" x14ac:dyDescent="0.3">
      <c r="U31" s="116"/>
      <c r="V31" s="113" t="s">
        <v>158</v>
      </c>
      <c r="W31" s="82"/>
      <c r="X31" s="82"/>
      <c r="Y31" s="82"/>
      <c r="Z31" s="82"/>
      <c r="AA31" s="82"/>
      <c r="AB31" s="82"/>
      <c r="AC31" s="82"/>
      <c r="AD31" s="82"/>
      <c r="AE31" s="98"/>
    </row>
    <row r="32" spans="1:46" ht="15" thickBot="1" x14ac:dyDescent="0.35">
      <c r="U32" s="115"/>
      <c r="V32" s="114" t="s">
        <v>161</v>
      </c>
      <c r="W32" s="83"/>
      <c r="X32" s="83"/>
      <c r="Y32" s="83"/>
      <c r="Z32" s="83"/>
      <c r="AA32" s="83"/>
      <c r="AB32" s="83"/>
      <c r="AC32" s="83"/>
      <c r="AD32" s="83"/>
      <c r="AE32" s="99"/>
    </row>
    <row r="34" spans="21:31" ht="15" thickBot="1" x14ac:dyDescent="0.35"/>
    <row r="35" spans="21:31" ht="15" thickBot="1" x14ac:dyDescent="0.35">
      <c r="U35" s="221" t="s">
        <v>189</v>
      </c>
      <c r="V35" s="222"/>
      <c r="W35" s="126" t="s">
        <v>191</v>
      </c>
      <c r="X35" s="125"/>
      <c r="Y35" s="125"/>
      <c r="Z35" s="125"/>
      <c r="AA35" s="125"/>
      <c r="AB35" s="125"/>
      <c r="AC35" s="125"/>
      <c r="AD35" s="125"/>
      <c r="AE35" s="124"/>
    </row>
    <row r="36" spans="21:31" ht="15" thickBot="1" x14ac:dyDescent="0.35">
      <c r="U36" s="223"/>
      <c r="V36" s="224"/>
      <c r="W36" s="123">
        <v>0.75</v>
      </c>
      <c r="X36" s="122">
        <v>1</v>
      </c>
      <c r="Y36" s="122">
        <v>1.5</v>
      </c>
      <c r="Z36" s="122">
        <v>2</v>
      </c>
      <c r="AA36" s="122">
        <v>2.5</v>
      </c>
      <c r="AB36" s="122">
        <v>3</v>
      </c>
      <c r="AC36" s="122">
        <v>3.5</v>
      </c>
      <c r="AD36" s="122">
        <v>4</v>
      </c>
      <c r="AE36" s="121">
        <v>5</v>
      </c>
    </row>
    <row r="37" spans="21:31" x14ac:dyDescent="0.3">
      <c r="U37" s="120"/>
      <c r="V37" s="119" t="s">
        <v>127</v>
      </c>
      <c r="W37" s="12" t="s">
        <v>63</v>
      </c>
      <c r="X37" s="12" t="s">
        <v>63</v>
      </c>
      <c r="Y37" s="12" t="s">
        <v>63</v>
      </c>
      <c r="Z37" s="12" t="s">
        <v>63</v>
      </c>
      <c r="AA37" s="12" t="s">
        <v>63</v>
      </c>
      <c r="AB37" s="12" t="s">
        <v>63</v>
      </c>
      <c r="AC37" s="12" t="s">
        <v>63</v>
      </c>
      <c r="AD37" s="12" t="s">
        <v>63</v>
      </c>
      <c r="AE37" s="117" t="s">
        <v>63</v>
      </c>
    </row>
    <row r="38" spans="21:31" x14ac:dyDescent="0.3">
      <c r="U38" s="116"/>
      <c r="V38" s="113" t="s">
        <v>133</v>
      </c>
      <c r="W38" s="12" t="s">
        <v>63</v>
      </c>
      <c r="X38" s="12" t="s">
        <v>63</v>
      </c>
      <c r="Y38" s="12" t="s">
        <v>63</v>
      </c>
      <c r="Z38" s="12" t="s">
        <v>63</v>
      </c>
      <c r="AA38" s="12" t="s">
        <v>63</v>
      </c>
      <c r="AB38" s="12" t="s">
        <v>63</v>
      </c>
      <c r="AC38" s="12" t="s">
        <v>63</v>
      </c>
      <c r="AD38" s="12" t="s">
        <v>63</v>
      </c>
      <c r="AE38" s="117" t="s">
        <v>63</v>
      </c>
    </row>
    <row r="39" spans="21:31" x14ac:dyDescent="0.3">
      <c r="U39" s="116"/>
      <c r="V39" s="113" t="s">
        <v>137</v>
      </c>
      <c r="W39" s="12" t="s">
        <v>63</v>
      </c>
      <c r="X39" s="12" t="s">
        <v>63</v>
      </c>
      <c r="Y39" s="12" t="s">
        <v>63</v>
      </c>
      <c r="Z39" s="12" t="s">
        <v>63</v>
      </c>
      <c r="AA39" s="12" t="s">
        <v>63</v>
      </c>
      <c r="AB39" s="12">
        <v>15</v>
      </c>
      <c r="AC39" s="12">
        <v>15</v>
      </c>
      <c r="AD39" s="12">
        <v>15</v>
      </c>
      <c r="AE39" s="117">
        <v>15</v>
      </c>
    </row>
    <row r="40" spans="21:31" x14ac:dyDescent="0.3">
      <c r="U40" s="116"/>
      <c r="V40" s="113" t="s">
        <v>140</v>
      </c>
      <c r="W40" s="12" t="s">
        <v>63</v>
      </c>
      <c r="X40" s="12" t="s">
        <v>63</v>
      </c>
      <c r="Y40" s="12" t="s">
        <v>63</v>
      </c>
      <c r="Z40" s="12" t="s">
        <v>63</v>
      </c>
      <c r="AA40" s="12" t="s">
        <v>63</v>
      </c>
      <c r="AB40" s="12">
        <v>15</v>
      </c>
      <c r="AC40" s="12">
        <v>15</v>
      </c>
      <c r="AD40" s="12">
        <v>15</v>
      </c>
      <c r="AE40" s="117">
        <v>15</v>
      </c>
    </row>
    <row r="41" spans="21:31" x14ac:dyDescent="0.3">
      <c r="U41" s="116"/>
      <c r="V41" s="113" t="s">
        <v>143</v>
      </c>
      <c r="W41" s="12" t="s">
        <v>63</v>
      </c>
      <c r="X41" s="12" t="s">
        <v>63</v>
      </c>
      <c r="Y41" s="12" t="s">
        <v>63</v>
      </c>
      <c r="Z41" s="12" t="s">
        <v>63</v>
      </c>
      <c r="AA41" s="12" t="s">
        <v>63</v>
      </c>
      <c r="AB41" s="12">
        <v>15.5</v>
      </c>
      <c r="AC41" s="12">
        <v>15.5</v>
      </c>
      <c r="AD41" s="12">
        <v>15</v>
      </c>
      <c r="AE41" s="117">
        <v>15</v>
      </c>
    </row>
    <row r="42" spans="21:31" x14ac:dyDescent="0.3">
      <c r="U42" s="116"/>
      <c r="V42" s="113" t="s">
        <v>147</v>
      </c>
      <c r="W42" s="12" t="s">
        <v>63</v>
      </c>
      <c r="X42" s="12" t="s">
        <v>63</v>
      </c>
      <c r="Y42" s="12" t="s">
        <v>63</v>
      </c>
      <c r="Z42" s="12" t="s">
        <v>63</v>
      </c>
      <c r="AA42" s="12" t="s">
        <v>63</v>
      </c>
      <c r="AB42" s="12">
        <v>15</v>
      </c>
      <c r="AC42" s="12">
        <v>15</v>
      </c>
      <c r="AD42" s="12">
        <v>15</v>
      </c>
      <c r="AE42" s="117">
        <v>15</v>
      </c>
    </row>
    <row r="43" spans="21:31" x14ac:dyDescent="0.3">
      <c r="U43" s="118"/>
      <c r="V43" s="113" t="s">
        <v>155</v>
      </c>
      <c r="W43" s="12">
        <v>16</v>
      </c>
      <c r="X43" s="12">
        <v>16</v>
      </c>
      <c r="Y43" s="12">
        <v>16</v>
      </c>
      <c r="Z43" s="12">
        <v>16</v>
      </c>
      <c r="AA43" s="12" t="s">
        <v>63</v>
      </c>
      <c r="AB43" s="12" t="s">
        <v>63</v>
      </c>
      <c r="AC43" s="12" t="s">
        <v>63</v>
      </c>
      <c r="AD43" s="12" t="s">
        <v>63</v>
      </c>
      <c r="AE43" s="117" t="s">
        <v>63</v>
      </c>
    </row>
    <row r="44" spans="21:31" x14ac:dyDescent="0.3">
      <c r="U44" s="116"/>
      <c r="V44" s="113" t="s">
        <v>151</v>
      </c>
      <c r="W44" s="82"/>
      <c r="X44" s="82"/>
      <c r="Y44" s="82"/>
      <c r="Z44" s="82"/>
      <c r="AA44" s="82"/>
      <c r="AB44" s="82"/>
      <c r="AC44" s="82"/>
      <c r="AD44" s="82"/>
      <c r="AE44" s="98"/>
    </row>
    <row r="45" spans="21:31" x14ac:dyDescent="0.3">
      <c r="U45" s="116"/>
      <c r="V45" s="113" t="s">
        <v>158</v>
      </c>
      <c r="W45" s="82"/>
      <c r="X45" s="82"/>
      <c r="Y45" s="82"/>
      <c r="Z45" s="82"/>
      <c r="AA45" s="82"/>
      <c r="AB45" s="82"/>
      <c r="AC45" s="82"/>
      <c r="AD45" s="82"/>
      <c r="AE45" s="98"/>
    </row>
    <row r="46" spans="21:31" ht="15" thickBot="1" x14ac:dyDescent="0.35">
      <c r="U46" s="115"/>
      <c r="V46" s="114" t="s">
        <v>161</v>
      </c>
      <c r="W46" s="83"/>
      <c r="X46" s="83"/>
      <c r="Y46" s="83"/>
      <c r="Z46" s="83"/>
      <c r="AA46" s="83"/>
      <c r="AB46" s="83"/>
      <c r="AC46" s="83"/>
      <c r="AD46" s="83"/>
      <c r="AE46" s="99"/>
    </row>
  </sheetData>
  <mergeCells count="21">
    <mergeCell ref="AE1:AF1"/>
    <mergeCell ref="AL1:AM1"/>
    <mergeCell ref="AS1:AT1"/>
    <mergeCell ref="U35:V36"/>
    <mergeCell ref="U21:V22"/>
    <mergeCell ref="J21:K21"/>
    <mergeCell ref="A17:M17"/>
    <mergeCell ref="A18:M18"/>
    <mergeCell ref="G1:K1"/>
    <mergeCell ref="M2:N2"/>
    <mergeCell ref="N9:O9"/>
    <mergeCell ref="N10:O10"/>
    <mergeCell ref="N11:O11"/>
    <mergeCell ref="M7:O7"/>
    <mergeCell ref="N8:O8"/>
    <mergeCell ref="E13:F13"/>
    <mergeCell ref="E14:F14"/>
    <mergeCell ref="A1:E1"/>
    <mergeCell ref="G13:J13"/>
    <mergeCell ref="G14:J14"/>
    <mergeCell ref="A20:I20"/>
  </mergeCells>
  <conditionalFormatting sqref="C14">
    <cfRule type="cellIs" dxfId="21" priority="1" operator="greaterThan">
      <formula>$B$14&gt;$A$14</formula>
    </cfRule>
  </conditionalFormatting>
  <conditionalFormatting sqref="G14">
    <cfRule type="cellIs" dxfId="20" priority="6" operator="greaterThan">
      <formula>$D$14&gt;300000</formula>
    </cfRule>
  </conditionalFormatting>
  <dataValidations count="7">
    <dataValidation type="list" allowBlank="1" showInputMessage="1" showErrorMessage="1" sqref="C4:C7" xr:uid="{00000000-0002-0000-0200-000000000000}">
      <formula1>FreshAirType</formula1>
    </dataValidation>
    <dataValidation type="list" allowBlank="1" showInputMessage="1" showErrorMessage="1" sqref="D22" xr:uid="{00000000-0002-0000-0200-000001000000}">
      <formula1>ClimateZone09</formula1>
    </dataValidation>
    <dataValidation type="list" allowBlank="1" showInputMessage="1" showErrorMessage="1" sqref="C22" xr:uid="{00000000-0002-0000-0200-000002000000}">
      <formula1>"Bard AC, Bard HP, Roof Top AC (1P), Roof Top AC (3P), Roof Top HP (1P), Roof Top HP (3P), Split System, Minisplit AC, Thru Wall, PTAC"</formula1>
    </dataValidation>
    <dataValidation type="list" allowBlank="1" showInputMessage="1" showErrorMessage="1" sqref="A22" xr:uid="{00000000-0002-0000-0200-000003000000}">
      <formula1>"2009 IECC, 2012 IECC, 2015 IECC, 2018 IECC"</formula1>
    </dataValidation>
    <dataValidation type="list" allowBlank="1" showInputMessage="1" showErrorMessage="1" sqref="B22" xr:uid="{00000000-0002-0000-0200-000004000000}">
      <formula1>"0.75, 1, 1.5, 2, 2.5, 3, 3.5, 4, 5"</formula1>
    </dataValidation>
    <dataValidation type="list" allowBlank="1" showInputMessage="1" showErrorMessage="1" sqref="A3:A7" xr:uid="{00000000-0002-0000-0200-000005000000}">
      <formula1>$G$3:$G$11</formula1>
    </dataValidation>
    <dataValidation type="list" allowBlank="1" showInputMessage="1" showErrorMessage="1" sqref="C3" xr:uid="{00000000-0002-0000-0200-000006000000}">
      <formula1>$I$2:$K$2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46"/>
  <sheetViews>
    <sheetView workbookViewId="0">
      <selection activeCell="A3" sqref="A3"/>
    </sheetView>
  </sheetViews>
  <sheetFormatPr defaultRowHeight="14.4" x14ac:dyDescent="0.3"/>
  <cols>
    <col min="1" max="1" width="10.88671875" customWidth="1"/>
    <col min="2" max="2" width="11.6640625" customWidth="1"/>
    <col min="3" max="3" width="19.6640625" customWidth="1"/>
    <col min="4" max="4" width="13.109375" customWidth="1"/>
    <col min="5" max="5" width="12.33203125" customWidth="1"/>
    <col min="6" max="6" width="10.6640625" customWidth="1"/>
    <col min="7" max="7" width="15.33203125" customWidth="1"/>
    <col min="8" max="8" width="11.109375" customWidth="1"/>
    <col min="9" max="9" width="12.6640625" customWidth="1"/>
    <col min="12" max="12" width="15" customWidth="1"/>
    <col min="13" max="13" width="12.33203125" customWidth="1"/>
    <col min="14" max="14" width="10.5546875" customWidth="1"/>
    <col min="16" max="16" width="17.5546875" customWidth="1"/>
    <col min="17" max="17" width="10.6640625" customWidth="1"/>
    <col min="18" max="18" width="17.33203125" customWidth="1"/>
    <col min="21" max="53" width="9.109375" hidden="1" customWidth="1"/>
    <col min="54" max="54" width="9.109375" customWidth="1"/>
  </cols>
  <sheetData>
    <row r="1" spans="1:53" ht="16.2" thickBot="1" x14ac:dyDescent="0.35">
      <c r="A1" s="169" t="s">
        <v>192</v>
      </c>
      <c r="B1" s="170"/>
      <c r="C1" s="170"/>
      <c r="D1" s="170"/>
      <c r="E1" s="171"/>
      <c r="H1" s="231" t="s">
        <v>193</v>
      </c>
      <c r="I1" s="232"/>
      <c r="J1" s="232"/>
      <c r="K1" s="232"/>
      <c r="L1" s="233"/>
      <c r="U1" t="s">
        <v>108</v>
      </c>
      <c r="V1" t="s">
        <v>109</v>
      </c>
      <c r="W1" t="s">
        <v>110</v>
      </c>
      <c r="Y1" t="s">
        <v>111</v>
      </c>
      <c r="AB1" t="s">
        <v>112</v>
      </c>
      <c r="AC1" t="s">
        <v>109</v>
      </c>
      <c r="AD1" t="s">
        <v>110</v>
      </c>
      <c r="AE1" s="220" t="s">
        <v>111</v>
      </c>
      <c r="AF1" s="220"/>
      <c r="AI1" t="s">
        <v>113</v>
      </c>
      <c r="AJ1" t="s">
        <v>109</v>
      </c>
      <c r="AK1" t="s">
        <v>110</v>
      </c>
      <c r="AL1" s="220" t="s">
        <v>111</v>
      </c>
      <c r="AM1" s="220"/>
      <c r="AP1" t="s">
        <v>114</v>
      </c>
      <c r="AQ1" t="s">
        <v>109</v>
      </c>
      <c r="AR1" t="s">
        <v>110</v>
      </c>
      <c r="AS1" s="220" t="s">
        <v>111</v>
      </c>
      <c r="AT1" s="220"/>
      <c r="AW1" t="s">
        <v>115</v>
      </c>
      <c r="AX1" t="s">
        <v>109</v>
      </c>
      <c r="AY1" t="s">
        <v>110</v>
      </c>
      <c r="AZ1" s="1">
        <v>1</v>
      </c>
      <c r="BA1" s="128" t="str">
        <f>IF(((E22*0.7)+E22)&lt;G22,"Meets Exception","Doesn't Meet")</f>
        <v>Doesn't Meet</v>
      </c>
    </row>
    <row r="2" spans="1:53" ht="41.4" customHeight="1" thickBot="1" x14ac:dyDescent="0.35">
      <c r="A2" s="13" t="s">
        <v>116</v>
      </c>
      <c r="B2" s="68" t="s">
        <v>117</v>
      </c>
      <c r="C2" s="13" t="s">
        <v>118</v>
      </c>
      <c r="D2" s="13" t="s">
        <v>119</v>
      </c>
      <c r="E2" s="68" t="s">
        <v>120</v>
      </c>
      <c r="H2" s="13" t="s">
        <v>121</v>
      </c>
      <c r="I2" s="13" t="s">
        <v>122</v>
      </c>
      <c r="J2" s="13" t="s">
        <v>123</v>
      </c>
      <c r="K2" s="13" t="s">
        <v>124</v>
      </c>
      <c r="L2" s="13" t="s">
        <v>125</v>
      </c>
      <c r="N2" s="206" t="s">
        <v>126</v>
      </c>
      <c r="O2" s="207"/>
      <c r="P2" s="1"/>
      <c r="U2" t="s">
        <v>127</v>
      </c>
      <c r="V2" t="s">
        <v>63</v>
      </c>
      <c r="W2">
        <v>9</v>
      </c>
      <c r="X2" t="s">
        <v>128</v>
      </c>
      <c r="Y2" t="s">
        <v>129</v>
      </c>
      <c r="AB2" t="s">
        <v>127</v>
      </c>
      <c r="AC2" t="s">
        <v>63</v>
      </c>
      <c r="AD2">
        <v>9</v>
      </c>
      <c r="AE2" t="s">
        <v>128</v>
      </c>
      <c r="AF2" t="s">
        <v>129</v>
      </c>
      <c r="AI2" t="s">
        <v>127</v>
      </c>
      <c r="AJ2" t="s">
        <v>63</v>
      </c>
      <c r="AK2">
        <v>9</v>
      </c>
      <c r="AL2" t="s">
        <v>128</v>
      </c>
      <c r="AM2" t="s">
        <v>129</v>
      </c>
      <c r="AP2" t="s">
        <v>127</v>
      </c>
      <c r="AQ2" t="s">
        <v>63</v>
      </c>
      <c r="AR2">
        <v>9</v>
      </c>
      <c r="AS2" t="s">
        <v>128</v>
      </c>
      <c r="AT2" t="s">
        <v>129</v>
      </c>
      <c r="AW2" t="s">
        <v>127</v>
      </c>
      <c r="AX2" t="s">
        <v>63</v>
      </c>
      <c r="AY2">
        <v>11</v>
      </c>
      <c r="AZ2" s="1">
        <v>2</v>
      </c>
      <c r="BA2" s="128" t="str">
        <f>IF(((E22*0.65)+E22)&lt;G22,"Meets Exception","Doesn't Meet")</f>
        <v>Doesn't Meet</v>
      </c>
    </row>
    <row r="3" spans="1:53" x14ac:dyDescent="0.3">
      <c r="A3" s="152" t="s">
        <v>149</v>
      </c>
      <c r="B3" s="144">
        <v>0</v>
      </c>
      <c r="C3" s="153" t="s">
        <v>123</v>
      </c>
      <c r="D3" s="43">
        <f>INDEX(CFMtableDaikin,MATCH(A3,RTUsizes,0),MATCH(C3,VENTtypeDaikin,0))*B3</f>
        <v>0</v>
      </c>
      <c r="E3" s="89">
        <f>IF(AND(B3&gt;0,A3="1 TON"),"12,000",IF(AND(B3&gt;0,A3="1.5 TON"),"18,000",IF(AND(B3&gt;0,A3="2 TON"),"24,000",IF(AND(B3&gt;0,A3="2.5 TON"),"30,000",IF(AND(B3&gt;0,A3="3 TON"),"36,000",IF(AND(B3&gt;0,A3="3.5 TON"),"42,000",IF(AND(B3&gt;0,A3="4 TON"),"48,000",IF(AND(B3&gt;0,A3="5 TON"),"60,000",0))))))))</f>
        <v>0</v>
      </c>
      <c r="H3" s="17" t="s">
        <v>131</v>
      </c>
      <c r="I3" s="18">
        <v>0</v>
      </c>
      <c r="J3" s="18">
        <v>0</v>
      </c>
      <c r="K3" s="18">
        <v>0</v>
      </c>
      <c r="L3" s="52">
        <v>0</v>
      </c>
      <c r="N3" s="51" t="s">
        <v>132</v>
      </c>
      <c r="O3" s="164">
        <v>0</v>
      </c>
      <c r="P3" s="1"/>
      <c r="U3" t="s">
        <v>133</v>
      </c>
      <c r="V3" t="s">
        <v>63</v>
      </c>
      <c r="W3">
        <v>9</v>
      </c>
      <c r="X3" t="s">
        <v>134</v>
      </c>
      <c r="Y3" t="s">
        <v>129</v>
      </c>
      <c r="AB3" t="s">
        <v>133</v>
      </c>
      <c r="AC3" t="s">
        <v>63</v>
      </c>
      <c r="AD3">
        <v>9</v>
      </c>
      <c r="AE3" t="s">
        <v>134</v>
      </c>
      <c r="AF3" t="s">
        <v>129</v>
      </c>
      <c r="AI3" t="s">
        <v>133</v>
      </c>
      <c r="AJ3" t="s">
        <v>63</v>
      </c>
      <c r="AK3">
        <v>9</v>
      </c>
      <c r="AL3" t="s">
        <v>134</v>
      </c>
      <c r="AM3" t="s">
        <v>129</v>
      </c>
      <c r="AP3" t="s">
        <v>133</v>
      </c>
      <c r="AQ3" t="s">
        <v>63</v>
      </c>
      <c r="AR3">
        <v>9</v>
      </c>
      <c r="AS3" t="s">
        <v>134</v>
      </c>
      <c r="AT3" t="s">
        <v>129</v>
      </c>
      <c r="AW3" t="s">
        <v>133</v>
      </c>
      <c r="AX3" t="s">
        <v>63</v>
      </c>
      <c r="AY3">
        <v>11</v>
      </c>
      <c r="AZ3" s="1">
        <v>3</v>
      </c>
      <c r="BA3" s="128" t="str">
        <f>IF(((E22*0.65)+E22)&lt;G22,"Meets Exception","Doesn't Meet")</f>
        <v>Doesn't Meet</v>
      </c>
    </row>
    <row r="4" spans="1:53" ht="15" thickBot="1" x14ac:dyDescent="0.35">
      <c r="A4" s="154" t="s">
        <v>131</v>
      </c>
      <c r="B4" s="145">
        <v>0</v>
      </c>
      <c r="C4" s="137" t="s">
        <v>123</v>
      </c>
      <c r="D4" s="46">
        <f>INDEX(CFMtableDaikin,MATCH(A4,RTUsizes,0),MATCH(C4,VENTtypeDaikin,0))*B4</f>
        <v>0</v>
      </c>
      <c r="E4" s="57">
        <f>IF(AND(B4&gt;0,A4="1 TON"),"12,000",IF(AND(B4&gt;0,A4="1.5 TON"),"18,000",IF(AND(B4&gt;0,A4="2 TON"),"24,000",IF(AND(B4&gt;0,A4="2.5 TON"),"30,000",IF(AND(B4&gt;0,A4="3 TON"),"36,000",IF(AND(B4&gt;0,A4="3.5 TON"),"42,000",IF(AND(B4&gt;0,A4="4 TON"),"48,000",IF(AND(B4&gt;0,A4="5 TON"),"60,000",0))))))))</f>
        <v>0</v>
      </c>
      <c r="H4" s="16" t="s">
        <v>142</v>
      </c>
      <c r="I4" s="27">
        <v>780</v>
      </c>
      <c r="J4" s="28">
        <f t="shared" ref="J4:J9" si="0">SUM(I4*0.25)</f>
        <v>195</v>
      </c>
      <c r="K4" s="28">
        <f t="shared" ref="K4:K9" si="1">SUM(I4*0.5)</f>
        <v>390</v>
      </c>
      <c r="L4" s="29">
        <f t="shared" ref="L4:L9" si="2">SUM(I4*1)</f>
        <v>780</v>
      </c>
      <c r="N4" s="50" t="s">
        <v>136</v>
      </c>
      <c r="O4" s="64">
        <f>SUM( O3*3.412142)</f>
        <v>0</v>
      </c>
      <c r="P4" s="1"/>
      <c r="U4" t="s">
        <v>137</v>
      </c>
      <c r="V4">
        <v>13</v>
      </c>
      <c r="W4">
        <f t="shared" ref="W4:W10" si="3">SUM((1.12*V4)-(0.02*V4^2))</f>
        <v>11.180000000000003</v>
      </c>
      <c r="X4" t="s">
        <v>138</v>
      </c>
      <c r="Y4" t="s">
        <v>129</v>
      </c>
      <c r="AB4" t="s">
        <v>137</v>
      </c>
      <c r="AC4">
        <v>13</v>
      </c>
      <c r="AD4">
        <f t="shared" ref="AD4:AD10" si="4">SUM((1.12*AC4)-(0.02*AC4^2))</f>
        <v>11.180000000000003</v>
      </c>
      <c r="AE4" t="s">
        <v>138</v>
      </c>
      <c r="AF4" t="s">
        <v>139</v>
      </c>
      <c r="AI4" t="s">
        <v>137</v>
      </c>
      <c r="AJ4">
        <v>14</v>
      </c>
      <c r="AK4">
        <f t="shared" ref="AK4:AK10" si="5">SUM((1.12*AJ4)-(0.02*AJ4^2))</f>
        <v>11.760000000000002</v>
      </c>
      <c r="AL4" t="s">
        <v>138</v>
      </c>
      <c r="AM4" t="s">
        <v>139</v>
      </c>
      <c r="AP4" t="s">
        <v>137</v>
      </c>
      <c r="AQ4">
        <v>14</v>
      </c>
      <c r="AR4">
        <f t="shared" ref="AR4:AR10" si="6">SUM((1.12*AQ4)-(0.02*AQ4^2))</f>
        <v>11.760000000000002</v>
      </c>
      <c r="AS4" t="s">
        <v>138</v>
      </c>
      <c r="AT4" s="129" t="str">
        <f>IF(((E22*0.1)+E22)&lt;G22,"Meets Exception","Doesn't Meet")</f>
        <v>Doesn't Meet</v>
      </c>
      <c r="AW4" t="s">
        <v>137</v>
      </c>
      <c r="AX4">
        <v>14</v>
      </c>
      <c r="AY4">
        <v>11</v>
      </c>
      <c r="AZ4" s="1">
        <v>4</v>
      </c>
      <c r="BA4" s="128" t="str">
        <f>IF(((E22*0.65)+E22)&lt;G22,"Meets Exception","Doesn't Meet")</f>
        <v>Doesn't Meet</v>
      </c>
    </row>
    <row r="5" spans="1:53" x14ac:dyDescent="0.3">
      <c r="A5" s="154" t="s">
        <v>131</v>
      </c>
      <c r="B5" s="145">
        <v>0</v>
      </c>
      <c r="C5" s="137" t="s">
        <v>123</v>
      </c>
      <c r="D5" s="46">
        <f>INDEX(CFMtableDaikin,MATCH(A5,RTUsizes,0),MATCH(C5,VENTtypeDaikin,0))*B5</f>
        <v>0</v>
      </c>
      <c r="E5" s="57">
        <f>IF(AND(B5&gt;0,A5="1 TON"),"12,000",IF(AND(B5&gt;0,A5="1.5 TON"),"18,000",IF(AND(B5&gt;0,A5="2 TON"),"24,000",IF(AND(B5&gt;0,A5="2.5 TON"),"30,000",IF(AND(B5&gt;0,A5="3 TON"),"36,000",IF(AND(B5&gt;0,A5="3.5 TON"),"42,000",IF(AND(B5&gt;0,A5="4 TON"),"48,000",IF(AND(B5&gt;0,A5="5 TON"),"60,000",0))))))))</f>
        <v>0</v>
      </c>
      <c r="H5" s="16" t="s">
        <v>145</v>
      </c>
      <c r="I5" s="27">
        <v>900</v>
      </c>
      <c r="J5" s="28">
        <f t="shared" si="0"/>
        <v>225</v>
      </c>
      <c r="K5" s="28">
        <f t="shared" si="1"/>
        <v>450</v>
      </c>
      <c r="L5" s="29">
        <f t="shared" si="2"/>
        <v>900</v>
      </c>
      <c r="N5" s="1"/>
      <c r="O5" s="1"/>
      <c r="P5" s="1"/>
      <c r="U5" t="s">
        <v>140</v>
      </c>
      <c r="V5">
        <v>13</v>
      </c>
      <c r="W5">
        <f t="shared" si="3"/>
        <v>11.180000000000003</v>
      </c>
      <c r="X5" t="s">
        <v>141</v>
      </c>
      <c r="Y5" t="str">
        <f>IF(((E22*0.1)+E22)&lt;G22,"Meets Exception","Doesn't Meet")</f>
        <v>Doesn't Meet</v>
      </c>
      <c r="AB5" t="s">
        <v>140</v>
      </c>
      <c r="AC5">
        <v>13</v>
      </c>
      <c r="AD5">
        <f t="shared" si="4"/>
        <v>11.180000000000003</v>
      </c>
      <c r="AE5" t="s">
        <v>141</v>
      </c>
      <c r="AF5" s="129" t="str">
        <f>IF(((E22*0.1)+E22)&lt;G22,"Meets Exception","Doesn't Meet")</f>
        <v>Doesn't Meet</v>
      </c>
      <c r="AI5" t="s">
        <v>140</v>
      </c>
      <c r="AJ5">
        <v>14</v>
      </c>
      <c r="AK5">
        <f t="shared" si="5"/>
        <v>11.760000000000002</v>
      </c>
      <c r="AL5" t="s">
        <v>141</v>
      </c>
      <c r="AM5" s="129" t="str">
        <f>IF(((E22*0.1)+E22)&lt;G22,"Meets Exception","Doesn't Meet")</f>
        <v>Doesn't Meet</v>
      </c>
      <c r="AP5" t="s">
        <v>140</v>
      </c>
      <c r="AQ5">
        <v>14</v>
      </c>
      <c r="AR5">
        <f t="shared" si="6"/>
        <v>11.760000000000002</v>
      </c>
      <c r="AS5" t="s">
        <v>141</v>
      </c>
      <c r="AT5" s="129" t="str">
        <f>IF(((E22*0.1)+E22)&lt;G22,"Meets Exception","Doesn't Meet")</f>
        <v>Doesn't Meet</v>
      </c>
      <c r="AW5" t="s">
        <v>140</v>
      </c>
      <c r="AX5">
        <v>14</v>
      </c>
      <c r="AY5">
        <v>11</v>
      </c>
      <c r="AZ5" s="1">
        <v>5</v>
      </c>
      <c r="BA5" s="128" t="str">
        <f>IF(((E22*0.7)+E22)&lt;G22,"Meets Exception","Doesn't Meet")</f>
        <v>Doesn't Meet</v>
      </c>
    </row>
    <row r="6" spans="1:53" ht="15" thickBot="1" x14ac:dyDescent="0.35">
      <c r="A6" s="154" t="s">
        <v>131</v>
      </c>
      <c r="B6" s="145">
        <v>0</v>
      </c>
      <c r="C6" s="137" t="s">
        <v>123</v>
      </c>
      <c r="D6" s="46">
        <f>INDEX(CFMtableDaikin,MATCH(A6,RTUsizes,0),MATCH(C6,VENTtypeDaikin,0))*B6</f>
        <v>0</v>
      </c>
      <c r="E6" s="57">
        <f>IF(AND(B6&gt;0,A6="1 TON"),"12,000",IF(AND(B6&gt;0,A6="1.5 TON"),"18,000",IF(AND(B6&gt;0,A6="2 TON"),"24,000",IF(AND(B6&gt;0,A6="2.5 TON"),"30,000",IF(AND(B6&gt;0,A6="3 TON"),"36,000",IF(AND(B6&gt;0,A6="3.5 TON"),"42,000",IF(AND(B6&gt;0,A6="4 TON"),"48,000",IF(AND(B6&gt;0,A6="5 TON"),"60,000",0))))))))</f>
        <v>0</v>
      </c>
      <c r="H6" s="16" t="s">
        <v>149</v>
      </c>
      <c r="I6" s="27">
        <v>1195</v>
      </c>
      <c r="J6" s="28">
        <f t="shared" si="0"/>
        <v>298.75</v>
      </c>
      <c r="K6" s="28">
        <f t="shared" si="1"/>
        <v>597.5</v>
      </c>
      <c r="L6" s="29">
        <f t="shared" si="2"/>
        <v>1195</v>
      </c>
      <c r="N6" s="1"/>
      <c r="O6" s="1"/>
      <c r="P6" s="1"/>
      <c r="U6" t="s">
        <v>143</v>
      </c>
      <c r="V6">
        <v>13</v>
      </c>
      <c r="W6">
        <f t="shared" si="3"/>
        <v>11.180000000000003</v>
      </c>
      <c r="X6" t="s">
        <v>144</v>
      </c>
      <c r="Y6" t="s">
        <v>139</v>
      </c>
      <c r="AB6" t="s">
        <v>143</v>
      </c>
      <c r="AC6">
        <v>13</v>
      </c>
      <c r="AD6">
        <f t="shared" si="4"/>
        <v>11.180000000000003</v>
      </c>
      <c r="AE6" t="s">
        <v>144</v>
      </c>
      <c r="AF6" t="s">
        <v>139</v>
      </c>
      <c r="AI6" t="s">
        <v>143</v>
      </c>
      <c r="AJ6">
        <v>14</v>
      </c>
      <c r="AK6">
        <f t="shared" si="5"/>
        <v>11.760000000000002</v>
      </c>
      <c r="AL6" t="s">
        <v>144</v>
      </c>
      <c r="AM6" t="s">
        <v>139</v>
      </c>
      <c r="AP6" t="s">
        <v>143</v>
      </c>
      <c r="AQ6">
        <v>14</v>
      </c>
      <c r="AR6">
        <f t="shared" si="6"/>
        <v>11.760000000000002</v>
      </c>
      <c r="AS6" t="s">
        <v>144</v>
      </c>
      <c r="AT6" s="129" t="str">
        <f>IF(((E22*0.15)+E22)&lt;G22,"Meets Exception","Doesn't Meet")</f>
        <v>Doesn't Meet</v>
      </c>
      <c r="AW6" t="s">
        <v>143</v>
      </c>
      <c r="AX6">
        <v>14</v>
      </c>
      <c r="AY6">
        <v>11</v>
      </c>
      <c r="AZ6" s="1">
        <v>6</v>
      </c>
      <c r="BA6" s="128" t="str">
        <f>IF(((E22*0.3)+E22)&lt;G22,"Meets Exception","Doesn't Meet")</f>
        <v>Doesn't Meet</v>
      </c>
    </row>
    <row r="7" spans="1:53" ht="15" thickBot="1" x14ac:dyDescent="0.35">
      <c r="A7" s="155" t="s">
        <v>131</v>
      </c>
      <c r="B7" s="147">
        <v>0</v>
      </c>
      <c r="C7" s="156" t="s">
        <v>123</v>
      </c>
      <c r="D7" s="41">
        <f>INDEX(CFMtableDaikin,MATCH(A7,RTUsizes,0),MATCH(C7,VENTtypeDaikin,0))*B7</f>
        <v>0</v>
      </c>
      <c r="E7" s="58">
        <f>IF(AND(B7&gt;0,A7="1 TON"),"12,000",IF(AND(B7&gt;0,A7="1.5 TON"),"18,000",IF(AND(B7&gt;0,A7="2 TON"),"24,000",IF(AND(B7&gt;0,A7="2.5 TON"),"30,000",IF(AND(B7&gt;0,A7="3 TON"),"36,000",IF(AND(B7&gt;0,A7="3.5 TON"),"42,000",IF(AND(B7&gt;0,A7="4 TON"),"48,000",IF(AND(B7&gt;0,A7="5 TON"),"60000",0))))))))</f>
        <v>0</v>
      </c>
      <c r="H7" s="16" t="s">
        <v>153</v>
      </c>
      <c r="I7" s="27">
        <v>1420</v>
      </c>
      <c r="J7" s="28">
        <f t="shared" si="0"/>
        <v>355</v>
      </c>
      <c r="K7" s="28">
        <f t="shared" si="1"/>
        <v>710</v>
      </c>
      <c r="L7" s="29">
        <f t="shared" si="2"/>
        <v>1420</v>
      </c>
      <c r="N7" s="212" t="s">
        <v>146</v>
      </c>
      <c r="O7" s="213"/>
      <c r="P7" s="214"/>
      <c r="U7" t="s">
        <v>147</v>
      </c>
      <c r="V7">
        <v>13</v>
      </c>
      <c r="W7">
        <f t="shared" si="3"/>
        <v>11.180000000000003</v>
      </c>
      <c r="X7" t="s">
        <v>148</v>
      </c>
      <c r="Y7" t="str">
        <f>IF(((E22*0.15)+E22)&lt;G22,"Meets Exception","")</f>
        <v/>
      </c>
      <c r="AB7" t="s">
        <v>147</v>
      </c>
      <c r="AC7">
        <v>13</v>
      </c>
      <c r="AD7">
        <f t="shared" si="4"/>
        <v>11.180000000000003</v>
      </c>
      <c r="AE7" t="s">
        <v>148</v>
      </c>
      <c r="AF7" s="129" t="str">
        <f>IF(((E22*0.15)+E22)&lt;G22,"Meets Exception","Doesn't Meet")</f>
        <v>Doesn't Meet</v>
      </c>
      <c r="AI7" t="s">
        <v>147</v>
      </c>
      <c r="AJ7">
        <v>14</v>
      </c>
      <c r="AK7">
        <f t="shared" si="5"/>
        <v>11.760000000000002</v>
      </c>
      <c r="AL7" t="s">
        <v>148</v>
      </c>
      <c r="AM7" s="129" t="str">
        <f>IF(((E22*0.15)+E22)&lt;G22,"Meets Exception","Doesn't Meet")</f>
        <v>Doesn't Meet</v>
      </c>
      <c r="AP7" t="s">
        <v>147</v>
      </c>
      <c r="AQ7">
        <v>14</v>
      </c>
      <c r="AR7">
        <f t="shared" si="6"/>
        <v>11.760000000000002</v>
      </c>
      <c r="AS7" t="s">
        <v>148</v>
      </c>
      <c r="AT7" s="129" t="str">
        <f>IF(((E22*0.15)+E22)&lt;G22,"Meets Exception","Doesn't Meet")</f>
        <v>Doesn't Meet</v>
      </c>
      <c r="AW7" t="s">
        <v>147</v>
      </c>
      <c r="AX7">
        <v>14</v>
      </c>
      <c r="AY7">
        <v>11</v>
      </c>
      <c r="AZ7" s="1">
        <v>7</v>
      </c>
      <c r="BA7" s="128" t="str">
        <f>IF(((E22*0.3)+E22)&lt;G22,"Meets Exception","Doesn't Meet")</f>
        <v>Doesn't Meet</v>
      </c>
    </row>
    <row r="8" spans="1:53" x14ac:dyDescent="0.3">
      <c r="H8" s="16" t="s">
        <v>157</v>
      </c>
      <c r="I8" s="27">
        <v>1605</v>
      </c>
      <c r="J8" s="28">
        <f t="shared" si="0"/>
        <v>401.25</v>
      </c>
      <c r="K8" s="28">
        <f t="shared" si="1"/>
        <v>802.5</v>
      </c>
      <c r="L8" s="29">
        <f t="shared" si="2"/>
        <v>1605</v>
      </c>
      <c r="N8" s="60">
        <v>2009</v>
      </c>
      <c r="O8" s="215" t="s">
        <v>150</v>
      </c>
      <c r="P8" s="216"/>
      <c r="U8" t="s">
        <v>151</v>
      </c>
      <c r="V8">
        <v>13</v>
      </c>
      <c r="W8">
        <f t="shared" si="3"/>
        <v>11.180000000000003</v>
      </c>
      <c r="X8" t="s">
        <v>152</v>
      </c>
      <c r="Y8" t="s">
        <v>139</v>
      </c>
      <c r="AB8" t="s">
        <v>151</v>
      </c>
      <c r="AC8">
        <v>13</v>
      </c>
      <c r="AD8">
        <f t="shared" si="4"/>
        <v>11.180000000000003</v>
      </c>
      <c r="AE8" t="s">
        <v>152</v>
      </c>
      <c r="AF8" t="s">
        <v>139</v>
      </c>
      <c r="AI8" t="s">
        <v>151</v>
      </c>
      <c r="AJ8">
        <v>13</v>
      </c>
      <c r="AK8">
        <f t="shared" si="5"/>
        <v>11.180000000000003</v>
      </c>
      <c r="AL8" t="s">
        <v>152</v>
      </c>
      <c r="AM8" t="s">
        <v>139</v>
      </c>
      <c r="AP8" t="s">
        <v>151</v>
      </c>
      <c r="AQ8">
        <v>13</v>
      </c>
      <c r="AR8">
        <f t="shared" si="6"/>
        <v>11.180000000000003</v>
      </c>
      <c r="AS8" t="s">
        <v>152</v>
      </c>
      <c r="AT8" t="s">
        <v>139</v>
      </c>
      <c r="AW8" t="s">
        <v>151</v>
      </c>
      <c r="AX8">
        <v>13</v>
      </c>
      <c r="AY8">
        <v>12.2</v>
      </c>
      <c r="AZ8" s="1">
        <v>8</v>
      </c>
      <c r="BA8" s="128" t="str">
        <f>IF(((E22*0.3)+E22)&lt;G22,"Meets Exception","Doesn't Meet")</f>
        <v>Doesn't Meet</v>
      </c>
    </row>
    <row r="9" spans="1:53" x14ac:dyDescent="0.3">
      <c r="H9" s="16" t="s">
        <v>160</v>
      </c>
      <c r="I9" s="27">
        <v>1800</v>
      </c>
      <c r="J9" s="28">
        <f t="shared" si="0"/>
        <v>450</v>
      </c>
      <c r="K9" s="28">
        <f t="shared" si="1"/>
        <v>900</v>
      </c>
      <c r="L9" s="29">
        <f t="shared" si="2"/>
        <v>1800</v>
      </c>
      <c r="N9" s="61">
        <v>2012</v>
      </c>
      <c r="O9" s="208" t="s">
        <v>154</v>
      </c>
      <c r="P9" s="209"/>
      <c r="U9" t="s">
        <v>155</v>
      </c>
      <c r="V9">
        <v>13</v>
      </c>
      <c r="W9">
        <f t="shared" si="3"/>
        <v>11.180000000000003</v>
      </c>
      <c r="X9" t="s">
        <v>156</v>
      </c>
      <c r="Y9" t="s">
        <v>139</v>
      </c>
      <c r="AB9" t="s">
        <v>155</v>
      </c>
      <c r="AC9">
        <v>13</v>
      </c>
      <c r="AD9">
        <f t="shared" si="4"/>
        <v>11.180000000000003</v>
      </c>
      <c r="AE9" t="s">
        <v>156</v>
      </c>
      <c r="AF9" t="s">
        <v>139</v>
      </c>
      <c r="AI9" t="s">
        <v>155</v>
      </c>
      <c r="AJ9">
        <v>13</v>
      </c>
      <c r="AK9">
        <f t="shared" si="5"/>
        <v>11.180000000000003</v>
      </c>
      <c r="AL9" t="s">
        <v>156</v>
      </c>
      <c r="AM9" t="s">
        <v>139</v>
      </c>
      <c r="AP9" t="s">
        <v>155</v>
      </c>
      <c r="AQ9">
        <v>13</v>
      </c>
      <c r="AR9">
        <f t="shared" si="6"/>
        <v>11.180000000000003</v>
      </c>
      <c r="AS9" t="s">
        <v>156</v>
      </c>
      <c r="AT9" s="129" t="str">
        <f>IF(((E22*0.2)+E22)&lt;G22,"Meets Exception","Doesn't Meet")</f>
        <v>Doesn't Meet</v>
      </c>
      <c r="AW9" t="s">
        <v>155</v>
      </c>
      <c r="AX9">
        <v>13</v>
      </c>
      <c r="AY9">
        <f>SUM((1.12*AX9)-(0.02*AX9^2))</f>
        <v>11.180000000000003</v>
      </c>
      <c r="AZ9" s="1">
        <v>9</v>
      </c>
      <c r="BA9" s="128" t="str">
        <f>IF(((E22*0.3)+E22)&lt;G22,"Meets Exception","Doesn't Meet")</f>
        <v>Doesn't Meet</v>
      </c>
    </row>
    <row r="10" spans="1:53" ht="15" thickBot="1" x14ac:dyDescent="0.35">
      <c r="H10" s="71" t="s">
        <v>160</v>
      </c>
      <c r="I10" s="72">
        <v>1700</v>
      </c>
      <c r="J10" s="69">
        <f>SUM(I10*0.25)</f>
        <v>425</v>
      </c>
      <c r="K10" s="69">
        <f>SUM(I10*0.5)</f>
        <v>850</v>
      </c>
      <c r="L10" s="73">
        <f>SUM(I10*1)</f>
        <v>1700</v>
      </c>
      <c r="N10" s="61">
        <v>2015</v>
      </c>
      <c r="O10" s="208" t="s">
        <v>150</v>
      </c>
      <c r="P10" s="209"/>
      <c r="U10" t="s">
        <v>158</v>
      </c>
      <c r="V10">
        <v>12</v>
      </c>
      <c r="W10">
        <f t="shared" si="3"/>
        <v>10.560000000000002</v>
      </c>
      <c r="X10" t="s">
        <v>159</v>
      </c>
      <c r="Y10" t="str">
        <f>IF(((E22*0.2)+E22)&lt;G22,"Meets Exception","Doesn't Meet")</f>
        <v>Doesn't Meet</v>
      </c>
      <c r="AB10" t="s">
        <v>158</v>
      </c>
      <c r="AC10">
        <v>12</v>
      </c>
      <c r="AD10">
        <f t="shared" si="4"/>
        <v>10.560000000000002</v>
      </c>
      <c r="AE10" t="s">
        <v>159</v>
      </c>
      <c r="AF10" s="129" t="str">
        <f>IF(((E22*0.2)+E22)&lt;G22,"Meets Exception","Doesn't Meet")</f>
        <v>Doesn't Meet</v>
      </c>
      <c r="AI10" t="s">
        <v>158</v>
      </c>
      <c r="AJ10">
        <v>12</v>
      </c>
      <c r="AK10">
        <f t="shared" si="5"/>
        <v>10.560000000000002</v>
      </c>
      <c r="AL10" t="s">
        <v>159</v>
      </c>
      <c r="AM10" s="129" t="str">
        <f>IF(((E22*0.2)+E22)&lt;G22,"Meets Exception","Doesn't Meet")</f>
        <v>Doesn't Meet</v>
      </c>
      <c r="AP10" t="s">
        <v>158</v>
      </c>
      <c r="AQ10">
        <v>12</v>
      </c>
      <c r="AR10">
        <f t="shared" si="6"/>
        <v>10.560000000000002</v>
      </c>
      <c r="AS10" t="s">
        <v>159</v>
      </c>
      <c r="AT10" s="129" t="str">
        <f>IF(((E22*0.2)+E22)&lt;G22,"Meets Exception","Doesn't Meet")</f>
        <v>Doesn't Meet</v>
      </c>
      <c r="AW10" t="s">
        <v>158</v>
      </c>
      <c r="AX10" t="s">
        <v>63</v>
      </c>
      <c r="AY10">
        <v>9.3000000000000007</v>
      </c>
      <c r="AZ10" s="1">
        <v>10</v>
      </c>
      <c r="BA10" s="128" t="str">
        <f>IF(((E22*0.3)+E22)&lt;G22,"Meets Exception","Doesn't Meet")</f>
        <v>Doesn't Meet</v>
      </c>
    </row>
    <row r="11" spans="1:53" ht="15" thickBot="1" x14ac:dyDescent="0.35">
      <c r="H11" s="225" t="s">
        <v>194</v>
      </c>
      <c r="I11" s="225"/>
      <c r="J11" s="225"/>
      <c r="K11" s="225"/>
      <c r="L11" s="225"/>
      <c r="N11" s="62">
        <v>2018</v>
      </c>
      <c r="O11" s="210" t="s">
        <v>150</v>
      </c>
      <c r="P11" s="211"/>
      <c r="U11" t="s">
        <v>161</v>
      </c>
      <c r="V11" t="s">
        <v>63</v>
      </c>
      <c r="W11">
        <f>SUM(12.5-(0.213*(B22*12000)/1000))</f>
        <v>4.8319999999999999</v>
      </c>
      <c r="X11" t="s">
        <v>162</v>
      </c>
      <c r="Y11" t="s">
        <v>139</v>
      </c>
      <c r="AB11" t="s">
        <v>161</v>
      </c>
      <c r="AC11" t="s">
        <v>63</v>
      </c>
      <c r="AD11">
        <f>SUM(13.8-(0.3*(B22*12000)/1000))</f>
        <v>3</v>
      </c>
      <c r="AE11" t="s">
        <v>162</v>
      </c>
      <c r="AF11" t="s">
        <v>139</v>
      </c>
      <c r="AI11" t="s">
        <v>161</v>
      </c>
      <c r="AJ11" t="s">
        <v>63</v>
      </c>
      <c r="AK11">
        <f>SUM(14-(0.3*(B22*12000)/1000))</f>
        <v>3.1999999999999993</v>
      </c>
      <c r="AL11" t="s">
        <v>162</v>
      </c>
      <c r="AM11" t="s">
        <v>139</v>
      </c>
      <c r="AP11" t="s">
        <v>161</v>
      </c>
      <c r="AQ11" t="s">
        <v>63</v>
      </c>
      <c r="AR11">
        <f>SUM(14-(0.3*(B22*12000)/1000))</f>
        <v>3.1999999999999993</v>
      </c>
      <c r="AS11" t="s">
        <v>162</v>
      </c>
      <c r="AT11" t="s">
        <v>139</v>
      </c>
      <c r="AW11" t="s">
        <v>161</v>
      </c>
      <c r="AX11" t="s">
        <v>63</v>
      </c>
      <c r="AY11">
        <f>SUM(14-(0.213*(B22*12000)/1000))</f>
        <v>6.3319999999999999</v>
      </c>
      <c r="AZ11" s="1">
        <v>11</v>
      </c>
      <c r="BA11" s="128" t="str">
        <f>IF(((E22*0.3)+E22)&lt;G22,"Meets Exception","Doesn't Meet")</f>
        <v>Doesn't Meet</v>
      </c>
    </row>
    <row r="12" spans="1:53" ht="15" thickBot="1" x14ac:dyDescent="0.35">
      <c r="A12" s="53"/>
      <c r="B12" s="53"/>
      <c r="C12" s="54"/>
      <c r="D12" s="55"/>
      <c r="E12" s="56"/>
      <c r="F12" s="56"/>
      <c r="G12" s="56"/>
      <c r="H12" s="226"/>
      <c r="I12" s="226"/>
      <c r="J12" s="226"/>
      <c r="K12" s="226"/>
      <c r="L12" s="226"/>
      <c r="X12" t="s">
        <v>163</v>
      </c>
      <c r="Y12" t="s">
        <v>139</v>
      </c>
      <c r="AE12" t="s">
        <v>163</v>
      </c>
      <c r="AF12" t="s">
        <v>139</v>
      </c>
      <c r="AL12" t="s">
        <v>163</v>
      </c>
      <c r="AM12" t="s">
        <v>139</v>
      </c>
      <c r="AS12" t="s">
        <v>163</v>
      </c>
      <c r="AT12" t="s">
        <v>139</v>
      </c>
      <c r="AZ12" s="1">
        <v>12</v>
      </c>
      <c r="BA12" s="128" t="str">
        <f>IF(((E22*0.3)+E22)&lt;G22,"Meets Exception","Doesn't Meet")</f>
        <v>Doesn't Meet</v>
      </c>
    </row>
    <row r="13" spans="1:53" ht="42.75" customHeight="1" thickBot="1" x14ac:dyDescent="0.35">
      <c r="A13" s="68" t="s">
        <v>164</v>
      </c>
      <c r="B13" s="68" t="s">
        <v>165</v>
      </c>
      <c r="C13" s="13" t="s">
        <v>166</v>
      </c>
      <c r="D13" s="85" t="s">
        <v>167</v>
      </c>
      <c r="E13" s="227" t="s">
        <v>168</v>
      </c>
      <c r="F13" s="228"/>
      <c r="G13" s="206" t="s">
        <v>169</v>
      </c>
      <c r="H13" s="219"/>
      <c r="I13" s="219"/>
      <c r="J13" s="207"/>
      <c r="X13" t="s">
        <v>170</v>
      </c>
      <c r="Y13" t="s">
        <v>139</v>
      </c>
      <c r="AE13" t="s">
        <v>170</v>
      </c>
      <c r="AF13" t="s">
        <v>139</v>
      </c>
      <c r="AL13" t="s">
        <v>170</v>
      </c>
      <c r="AM13" t="s">
        <v>139</v>
      </c>
      <c r="AS13" t="s">
        <v>170</v>
      </c>
      <c r="AT13" t="s">
        <v>139</v>
      </c>
      <c r="AZ13" s="1">
        <v>13</v>
      </c>
      <c r="BA13" s="128" t="str">
        <f>IF(((E22*0.3)+E22)&lt;G22,"Meets Exception","Doesn't Meet")</f>
        <v>Doesn't Meet</v>
      </c>
    </row>
    <row r="14" spans="1:53" ht="15" thickBot="1" x14ac:dyDescent="0.35">
      <c r="A14" s="92">
        <f>SUM(D3:D7)</f>
        <v>0</v>
      </c>
      <c r="B14" s="92">
        <f>SUM('IMC-UMC Vent. Rate'!F47)</f>
        <v>4250</v>
      </c>
      <c r="C14" s="91">
        <f>IF(A14&gt;B14,"NO ADD'L NEEDED",IF(A14&lt;B14,(B14-A14),""))</f>
        <v>4250</v>
      </c>
      <c r="D14" s="90">
        <f>IF(B3&gt;0,(E3*B3),0)+IF(B4&gt;0,(E4*B4),0)+IF(B5&gt;0,(E5*B5),0)+IF(B6&gt;0,(E6*B6),0)+IF(B7&gt;0,(E7*B7),0)</f>
        <v>0</v>
      </c>
      <c r="E14" s="229">
        <f>IF(C3="F.A.D.",(B3*E3),0)+IF(C3="C.R.V.",((B3*(E3/2)))+IF(C3="ECONOMIZER",((B3*(-E3))),0))+IF(C4="F.A.D.",(B4*E4),0)+IF(C4="C.R.V.",((B4*(E4/2)))+IF(C4="ECONOMIZER",((B4*(-E4))),0))+IF(C5="F.A.D.",(B5*E5),0)+IF(C5="C.R.V.",((B5*(E5/2)))+IF(C5="ECONOMIZER",((B5*(-E5))),0))+IF(C6="F.A.D.",(B6*E6),0)+IF(C6="C.R.V.",((B6*(E6/2)))+IF(C6="ECONOMIZER",((B6*(-E6))),0))+IF(C7="F.A.D.",(B7*E7),0)+IF(C7="C.R.V.",((B7*(E7/2)))+IF(C7="ECONOMIZER",((B7*(-E7))),0))</f>
        <v>0</v>
      </c>
      <c r="F14" s="230"/>
      <c r="G14" s="169" t="str">
        <f>IF(E14&gt;300000,"ECONOMIZERS REQUIRED",IF((((OR(A3="5 TON",A4="5 TON",A5="5 TON",A6="5 TON",A7="5 TON")))),"ECONOMIZERS REQUIRED @ 5 TON","NO ADD'L VENTILATION REQUIRED"))</f>
        <v>NO ADD'L VENTILATION REQUIRED</v>
      </c>
      <c r="H14" s="170"/>
      <c r="I14" s="170"/>
      <c r="J14" s="171"/>
      <c r="U14" t="str">
        <f>INDEX(Exceptions09,MATCH(D22,ClimateZone09,0))</f>
        <v>Meets Exception</v>
      </c>
      <c r="X14" t="s">
        <v>171</v>
      </c>
      <c r="Y14" t="s">
        <v>139</v>
      </c>
      <c r="AB14" t="str">
        <f>INDEX(AF2:AF18,MATCH(D22,AE2:AE18,0))</f>
        <v>Doesn't Meet</v>
      </c>
      <c r="AE14" t="s">
        <v>171</v>
      </c>
      <c r="AF14" t="s">
        <v>139</v>
      </c>
      <c r="AI14" t="str">
        <f>INDEX(AM2:AM18,MATCH(D22,AL2:AL18,0))</f>
        <v>Doesn't Meet</v>
      </c>
      <c r="AL14" t="s">
        <v>171</v>
      </c>
      <c r="AM14" t="s">
        <v>139</v>
      </c>
      <c r="AP14" t="str">
        <f>INDEX(AT2:AT18,MATCH(D22,AS2:AS18,0))</f>
        <v>Doesn't Meet</v>
      </c>
      <c r="AS14" t="s">
        <v>171</v>
      </c>
      <c r="AT14" t="s">
        <v>139</v>
      </c>
      <c r="AW14" t="e">
        <f>INDEX(BA1:BA16,MATCH(#REF!,AZ1:AZ16,0))</f>
        <v>#REF!</v>
      </c>
      <c r="AZ14" s="1">
        <v>14</v>
      </c>
      <c r="BA14" s="128" t="str">
        <f>IF(((E22*0.3)+E22)&lt;G22,"Meets Exception","Doesn't Meet")</f>
        <v>Doesn't Meet</v>
      </c>
    </row>
    <row r="15" spans="1:53" x14ac:dyDescent="0.3">
      <c r="G15" t="s">
        <v>172</v>
      </c>
      <c r="X15" t="s">
        <v>173</v>
      </c>
      <c r="Y15" t="s">
        <v>139</v>
      </c>
      <c r="AE15" t="s">
        <v>173</v>
      </c>
      <c r="AF15" t="s">
        <v>139</v>
      </c>
      <c r="AL15" t="s">
        <v>173</v>
      </c>
      <c r="AM15" t="s">
        <v>139</v>
      </c>
      <c r="AS15" t="s">
        <v>173</v>
      </c>
      <c r="AT15" t="s">
        <v>139</v>
      </c>
      <c r="AZ15" s="1">
        <v>15</v>
      </c>
      <c r="BA15" s="128" t="str">
        <f>IF(((E22*0.3)+E22)&lt;G22,"Meets Exception","Doesn't Meet")</f>
        <v>Doesn't Meet</v>
      </c>
    </row>
    <row r="16" spans="1:53" ht="15" thickBot="1" x14ac:dyDescent="0.35">
      <c r="A16" s="15" t="s">
        <v>174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X16" t="s">
        <v>175</v>
      </c>
      <c r="Y16" t="s">
        <v>139</v>
      </c>
      <c r="AE16" t="s">
        <v>175</v>
      </c>
      <c r="AF16" t="s">
        <v>139</v>
      </c>
      <c r="AL16" t="s">
        <v>175</v>
      </c>
      <c r="AM16" t="s">
        <v>139</v>
      </c>
      <c r="AS16" t="s">
        <v>175</v>
      </c>
      <c r="AT16" t="s">
        <v>139</v>
      </c>
      <c r="AZ16" s="1">
        <v>16</v>
      </c>
      <c r="BA16" s="128" t="str">
        <f>IF(((E22*0.7)+E22)&lt;G22,"Meets Exception","Doesn't Meet")</f>
        <v>Doesn't Meet</v>
      </c>
    </row>
    <row r="17" spans="1:46" x14ac:dyDescent="0.3">
      <c r="A17" s="197" t="s">
        <v>176</v>
      </c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9"/>
      <c r="X17">
        <v>7</v>
      </c>
      <c r="Y17" t="s">
        <v>129</v>
      </c>
      <c r="AE17">
        <v>7</v>
      </c>
      <c r="AF17" t="s">
        <v>139</v>
      </c>
      <c r="AL17">
        <v>7</v>
      </c>
      <c r="AM17" t="s">
        <v>177</v>
      </c>
      <c r="AS17">
        <v>7</v>
      </c>
      <c r="AT17" t="s">
        <v>178</v>
      </c>
    </row>
    <row r="18" spans="1:46" ht="15" thickBot="1" x14ac:dyDescent="0.35">
      <c r="A18" s="200" t="s">
        <v>179</v>
      </c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2"/>
      <c r="X18">
        <v>8</v>
      </c>
      <c r="Y18" t="s">
        <v>129</v>
      </c>
      <c r="AE18">
        <v>8</v>
      </c>
      <c r="AF18" t="s">
        <v>139</v>
      </c>
      <c r="AL18">
        <v>8</v>
      </c>
      <c r="AM18" t="s">
        <v>177</v>
      </c>
      <c r="AS18">
        <v>8</v>
      </c>
      <c r="AT18" t="s">
        <v>178</v>
      </c>
    </row>
    <row r="19" spans="1:46" ht="19.95" customHeight="1" thickBot="1" x14ac:dyDescent="0.35"/>
    <row r="20" spans="1:46" ht="15" customHeight="1" thickBot="1" x14ac:dyDescent="0.35">
      <c r="A20" s="212" t="s">
        <v>180</v>
      </c>
      <c r="B20" s="213"/>
      <c r="C20" s="213"/>
      <c r="D20" s="213"/>
      <c r="E20" s="213"/>
      <c r="F20" s="213"/>
      <c r="G20" s="213"/>
      <c r="H20" s="213"/>
      <c r="I20" s="214"/>
    </row>
    <row r="21" spans="1:46" ht="46.2" customHeight="1" thickBot="1" x14ac:dyDescent="0.35">
      <c r="A21" s="13" t="s">
        <v>181</v>
      </c>
      <c r="B21" s="13" t="s">
        <v>182</v>
      </c>
      <c r="C21" s="13" t="s">
        <v>183</v>
      </c>
      <c r="D21" s="13" t="s">
        <v>111</v>
      </c>
      <c r="E21" s="13" t="s">
        <v>184</v>
      </c>
      <c r="F21" s="13" t="s">
        <v>185</v>
      </c>
      <c r="G21" s="13" t="s">
        <v>186</v>
      </c>
      <c r="H21" s="13" t="s">
        <v>187</v>
      </c>
      <c r="I21" s="13" t="s">
        <v>188</v>
      </c>
      <c r="J21" s="195"/>
      <c r="K21" s="196"/>
      <c r="U21" s="221" t="s">
        <v>189</v>
      </c>
      <c r="V21" s="222"/>
      <c r="W21" s="126" t="s">
        <v>190</v>
      </c>
      <c r="X21" s="125"/>
      <c r="Y21" s="125"/>
      <c r="Z21" s="125"/>
      <c r="AA21" s="125"/>
      <c r="AB21" s="125"/>
      <c r="AC21" s="125"/>
      <c r="AD21" s="125"/>
      <c r="AE21" s="124"/>
    </row>
    <row r="22" spans="1:46" ht="19.95" customHeight="1" thickBot="1" x14ac:dyDescent="0.35">
      <c r="A22" s="157" t="s">
        <v>114</v>
      </c>
      <c r="B22" s="158">
        <v>3</v>
      </c>
      <c r="C22" s="158" t="s">
        <v>137</v>
      </c>
      <c r="D22" s="158" t="s">
        <v>141</v>
      </c>
      <c r="E22" s="130">
        <f>IF(AND(OR(A22="2009 iecc",A22="2012 iecc",A22="2015 iecc",A22="2018 iecc"),C22="Bard ac"),W2,IF(AND(OR(A22="2009 iecc",A22="2012 iecc",A22="2015 iecc",A22="2018 iecc"),C22="Bard HP"),W3,IF(AND(OR(A22="2009 iecc",A22="2012 iecc"),C22="roof top ac (1P)"),W4,IF(AND(OR(A22="2009 iecc",A22="2012 iecc"),C22="roof top ac (3P)"),W5,IF(AND(OR(A22="2009 iecc",A22="2012 iecc"),C22="roof top hp (1P)"),W6,IF(AND(OR(A22="2009 iecc",A22="2012 iecc"),C22="roof top hp (3P)"),W7,IF(AND(OR(A22="2009 iecc",A22="2012 iecc"),C22="split system"),W8,IF(AND(OR(A22="2009 iecc",A22="2012 iecc"),C22="minisplit ac"),W9,IF(AND(OR(A22="2009 iecc",A22="2012 iecc"),C22="thru wall"),W10,IF(AND(OR(A22="2015 iecc",A22="2018 iecc"),C22="roof top ac (1P)"),AK4,IF(AND(OR(A22="2015 iecc",A22="2018 iecc"),C22="roof top ac (3P)"),AK5,IF(AND(OR(A22="2015 iecc",A22="2018 iecc"),C22="roof top hp (1P)"),AK6,IF(AND(OR(A22="2015 iecc",A22="2018 iecc"),C22="roof top hp (3P)"),AK7,IF(AND(OR(A22="2015 iecc",A22="2018 iecc"),C22="split system"),AK8,IF(AND(OR(A22="2015 iecc",A22="2018 iecc"),C22="minisplit ac"),AK9,IF(AND(OR(A22="2015 iecc",A22="2018 iecc"),C22="thru wall"),AK10,IF(AND(A22="2009 iecc",C22="ptac"),W11,IF(AND(A22="2012 iecc",C22="ptac"),AD11,IF(AND(A22="2015 iecc",C22="ptac"),AK11,IF(AND(A22="2018 iecc",C22="ptac"),AR11,IF(AND(A22="2019 cec",C22="Bard ac"),AY2,IF(AND(A22="2019 cec",C22="Bard HP"),AY3,IF(AND(A22="2019 cec",C22="roof top ac (1P)"),AY4,IF(AND(A22="2019 cec",C22="roof top ac (3P)"),AY5,IF(AND(A22="2019 cec",C22="roof top hp (1P)"),AY6,IF(AND(A22="2019 cec",C22="roof top hp (3P)"),AY7,IF(AND(A22="2019 cec",C22="split system"),AY8,IF(AND(A22="2019 cec",C22="minisplit ac"),AY9,IF(AND(A22="2019 cec",C22="thru wall"),AY10,IF(AND(A22="2019 cec",C22="ptac"),AY11,""))))))))))))))))))))))))))))))</f>
        <v>11.760000000000002</v>
      </c>
      <c r="F22" s="130">
        <f>IF(AND(OR(A22="2009 iecc",A22="2012 iecc",A22="2015 iecc",A22="2018 iecc",A22="2019 cec"),C22="Bard ac"),V2,IF(AND(OR(A22="2009 iecc",A22="2012 iecc",A22="2015 iecc",A22="2018 iecc",A22="2019 cec"),C22="Bard HP"),V3,IF(AND(OR(A22="2009 iecc",A22="2012 iecc"),C22="roof top ac (1P)"),V4,IF(AND(OR(A22="2009 iecc",A22="2012 iecc"),C22="roof top ac (3P)"),V5,IF(AND(OR(A22="2009 iecc",A22="2012 iecc"),C22="roof top hp (1P)"),V6,IF(AND(OR(A22="2009 iecc",A22="2012 iecc"),C22="roof top hp (3P)"),V7,IF(AND(OR(A22="2009 iecc",A22="2012 iecc"),C22="split system"),V8,IF(AND(OR(A22="2009 iecc",A22="2012 iecc"),C22="minisplit ac"),V9,IF(AND(OR(A22="2009 iecc",A22="2012 iecc"),C22="thru wall"),V10,IF(AND(OR(A22="2015 iecc",A22="2018 iecc",A22="2019 cec"),C22="roof top ac (1P)"),AJ4,IF(AND(OR(A22="2015 iecc",A22="2018 iecc",A22="2019 cec"),C22="roof top ac (3P)"),AJ5,IF(AND(OR(A22="2015 iecc",A22="2018 iecc",A22="2019 cec"),C22="roof top hp (1P)"),AJ6,IF(AND(OR(A22="2015 iecc",A22="2018 iecc",A22="2019 cec"),C22="roof top hp (3P)"),AJ7,IF(AND(OR(A22="2015 iecc",A22="2018 iecc",A22="2019 cec"),C22="split system"),AJ8,IF(AND(OR(A22="2015 iecc",A22="2018 iecc",A22="2019 cec"),C22="minisplit ac"),AJ9,IF(AND(OR(A22="2015 iecc",A22="2018 iecc"),C22="thru wall"),AJ10,IF(AND(A22="2019 cec",C22="thru wall"),AX10,IF(AND(OR(A22="2009 iecc",A22="2012 iecc",A22="2015 iecc",A22="2018 iecc",A22="2019 cec"),C22="ptac"),V11,""))))))))))))))))))</f>
        <v>14</v>
      </c>
      <c r="G22" s="130">
        <f>INDEX(EerTable,MATCH(C22,EerEquipment,0),MATCH(B22,EerHVACsize,0))</f>
        <v>12.5</v>
      </c>
      <c r="H22" s="134">
        <f>INDEX(SeerTable,MATCH(C22,SeerEquipment,0),MATCH(B22,SeerHVACsize,0))</f>
        <v>15</v>
      </c>
      <c r="I22" s="135" t="str">
        <f>IF(A22="2009 iecc",U14,IF(A22="2012 iecc",AB14,IF(A22="2015 iecc",AI14,IF(A22="2018 iecc",AP14,IF(A22="2019 cec",AW14,"")))))</f>
        <v>Doesn't Meet</v>
      </c>
      <c r="U22" s="223"/>
      <c r="V22" s="224"/>
      <c r="W22" s="123">
        <v>0.75</v>
      </c>
      <c r="X22" s="122">
        <v>1</v>
      </c>
      <c r="Y22" s="122">
        <v>1.5</v>
      </c>
      <c r="Z22" s="122">
        <v>2</v>
      </c>
      <c r="AA22" s="122">
        <v>2.5</v>
      </c>
      <c r="AB22" s="122">
        <v>3</v>
      </c>
      <c r="AC22" s="122">
        <v>3.5</v>
      </c>
      <c r="AD22" s="122">
        <v>4</v>
      </c>
      <c r="AE22" s="121">
        <v>5</v>
      </c>
    </row>
    <row r="23" spans="1:46" x14ac:dyDescent="0.3">
      <c r="U23" s="127"/>
      <c r="V23" s="119" t="s">
        <v>127</v>
      </c>
      <c r="W23" s="12" t="s">
        <v>63</v>
      </c>
      <c r="X23" s="12">
        <v>11</v>
      </c>
      <c r="Y23" s="12">
        <v>11.3</v>
      </c>
      <c r="Z23" s="12">
        <v>11.2</v>
      </c>
      <c r="AA23" s="12">
        <v>11.2</v>
      </c>
      <c r="AB23" s="12">
        <v>11</v>
      </c>
      <c r="AC23" s="12">
        <v>11</v>
      </c>
      <c r="AD23" s="12">
        <v>11</v>
      </c>
      <c r="AE23" s="117">
        <v>11</v>
      </c>
    </row>
    <row r="24" spans="1:46" x14ac:dyDescent="0.3">
      <c r="U24" s="116"/>
      <c r="V24" s="113" t="s">
        <v>133</v>
      </c>
      <c r="W24" s="12" t="s">
        <v>63</v>
      </c>
      <c r="X24" s="12" t="s">
        <v>63</v>
      </c>
      <c r="Y24" s="12">
        <v>11</v>
      </c>
      <c r="Z24" s="12">
        <v>11</v>
      </c>
      <c r="AA24" s="12">
        <v>11</v>
      </c>
      <c r="AB24" s="12">
        <v>11</v>
      </c>
      <c r="AC24" s="12">
        <v>11</v>
      </c>
      <c r="AD24" s="12">
        <v>11</v>
      </c>
      <c r="AE24" s="117">
        <v>11</v>
      </c>
    </row>
    <row r="25" spans="1:46" x14ac:dyDescent="0.3">
      <c r="U25" s="116"/>
      <c r="V25" s="113" t="s">
        <v>137</v>
      </c>
      <c r="W25" s="12" t="s">
        <v>63</v>
      </c>
      <c r="X25" s="12" t="s">
        <v>63</v>
      </c>
      <c r="Y25" s="12" t="s">
        <v>63</v>
      </c>
      <c r="Z25" s="12" t="s">
        <v>63</v>
      </c>
      <c r="AA25" s="12" t="s">
        <v>63</v>
      </c>
      <c r="AB25" s="12">
        <v>12.5</v>
      </c>
      <c r="AC25" s="12">
        <v>12.5</v>
      </c>
      <c r="AD25" s="12">
        <v>12</v>
      </c>
      <c r="AE25" s="117">
        <v>12</v>
      </c>
    </row>
    <row r="26" spans="1:46" x14ac:dyDescent="0.3">
      <c r="U26" s="116"/>
      <c r="V26" s="113" t="s">
        <v>140</v>
      </c>
      <c r="W26" s="12" t="s">
        <v>63</v>
      </c>
      <c r="X26" s="12" t="s">
        <v>63</v>
      </c>
      <c r="Y26" s="12" t="s">
        <v>63</v>
      </c>
      <c r="Z26" s="12" t="s">
        <v>63</v>
      </c>
      <c r="AA26" s="12" t="s">
        <v>63</v>
      </c>
      <c r="AB26" s="12">
        <v>13</v>
      </c>
      <c r="AC26" s="12">
        <v>13</v>
      </c>
      <c r="AD26" s="12">
        <v>12.5</v>
      </c>
      <c r="AE26" s="117">
        <v>12.5</v>
      </c>
    </row>
    <row r="27" spans="1:46" x14ac:dyDescent="0.3">
      <c r="U27" s="116"/>
      <c r="V27" s="113" t="s">
        <v>143</v>
      </c>
      <c r="W27" s="12" t="s">
        <v>63</v>
      </c>
      <c r="X27" s="12" t="s">
        <v>63</v>
      </c>
      <c r="Y27" s="12" t="s">
        <v>63</v>
      </c>
      <c r="Z27" s="12" t="s">
        <v>63</v>
      </c>
      <c r="AA27" s="12" t="s">
        <v>63</v>
      </c>
      <c r="AB27" s="12">
        <v>13</v>
      </c>
      <c r="AC27" s="12">
        <v>13</v>
      </c>
      <c r="AD27" s="12">
        <v>12</v>
      </c>
      <c r="AE27" s="117">
        <v>12</v>
      </c>
    </row>
    <row r="28" spans="1:46" x14ac:dyDescent="0.3">
      <c r="U28" s="116"/>
      <c r="V28" s="113" t="s">
        <v>147</v>
      </c>
      <c r="W28" s="12" t="s">
        <v>63</v>
      </c>
      <c r="X28" s="12" t="s">
        <v>63</v>
      </c>
      <c r="Y28" s="12" t="s">
        <v>63</v>
      </c>
      <c r="Z28" s="12" t="s">
        <v>63</v>
      </c>
      <c r="AA28" s="12" t="s">
        <v>63</v>
      </c>
      <c r="AB28" s="12">
        <v>13</v>
      </c>
      <c r="AC28" s="12">
        <v>13</v>
      </c>
      <c r="AD28" s="12">
        <v>12.5</v>
      </c>
      <c r="AE28" s="117">
        <v>12.5</v>
      </c>
    </row>
    <row r="29" spans="1:46" x14ac:dyDescent="0.3">
      <c r="U29" s="118"/>
      <c r="V29" s="113" t="s">
        <v>155</v>
      </c>
      <c r="W29" s="12">
        <v>10.4</v>
      </c>
      <c r="X29" s="12">
        <v>10.6</v>
      </c>
      <c r="Y29" s="12">
        <v>12.2</v>
      </c>
      <c r="Z29" s="12">
        <v>9.1999999999999993</v>
      </c>
      <c r="AA29" s="12" t="s">
        <v>63</v>
      </c>
      <c r="AB29" s="12" t="s">
        <v>63</v>
      </c>
      <c r="AC29" s="12" t="s">
        <v>63</v>
      </c>
      <c r="AD29" s="12" t="s">
        <v>63</v>
      </c>
      <c r="AE29" s="117" t="s">
        <v>63</v>
      </c>
    </row>
    <row r="30" spans="1:46" x14ac:dyDescent="0.3">
      <c r="U30" s="116"/>
      <c r="V30" s="113" t="s">
        <v>151</v>
      </c>
      <c r="W30" s="82"/>
      <c r="X30" s="82"/>
      <c r="Y30" s="82"/>
      <c r="Z30" s="82"/>
      <c r="AA30" s="82"/>
      <c r="AB30" s="82"/>
      <c r="AC30" s="82"/>
      <c r="AD30" s="82"/>
      <c r="AE30" s="98"/>
    </row>
    <row r="31" spans="1:46" x14ac:dyDescent="0.3">
      <c r="U31" s="116"/>
      <c r="V31" s="113" t="s">
        <v>158</v>
      </c>
      <c r="W31" s="82"/>
      <c r="X31" s="82"/>
      <c r="Y31" s="82"/>
      <c r="Z31" s="82"/>
      <c r="AA31" s="82"/>
      <c r="AB31" s="82"/>
      <c r="AC31" s="82"/>
      <c r="AD31" s="82"/>
      <c r="AE31" s="98"/>
    </row>
    <row r="32" spans="1:46" ht="15" thickBot="1" x14ac:dyDescent="0.35">
      <c r="U32" s="115"/>
      <c r="V32" s="114" t="s">
        <v>161</v>
      </c>
      <c r="W32" s="83"/>
      <c r="X32" s="83"/>
      <c r="Y32" s="83"/>
      <c r="Z32" s="83"/>
      <c r="AA32" s="83"/>
      <c r="AB32" s="83"/>
      <c r="AC32" s="83"/>
      <c r="AD32" s="83"/>
      <c r="AE32" s="99"/>
    </row>
    <row r="34" spans="21:31" ht="15" thickBot="1" x14ac:dyDescent="0.35"/>
    <row r="35" spans="21:31" ht="15" thickBot="1" x14ac:dyDescent="0.35">
      <c r="U35" s="221" t="s">
        <v>189</v>
      </c>
      <c r="V35" s="222"/>
      <c r="W35" s="126" t="s">
        <v>191</v>
      </c>
      <c r="X35" s="125"/>
      <c r="Y35" s="125"/>
      <c r="Z35" s="125"/>
      <c r="AA35" s="125"/>
      <c r="AB35" s="125"/>
      <c r="AC35" s="125"/>
      <c r="AD35" s="125"/>
      <c r="AE35" s="124"/>
    </row>
    <row r="36" spans="21:31" ht="15" thickBot="1" x14ac:dyDescent="0.35">
      <c r="U36" s="223"/>
      <c r="V36" s="224"/>
      <c r="W36" s="123">
        <v>0.75</v>
      </c>
      <c r="X36" s="122">
        <v>1</v>
      </c>
      <c r="Y36" s="122">
        <v>1.5</v>
      </c>
      <c r="Z36" s="122">
        <v>2</v>
      </c>
      <c r="AA36" s="122">
        <v>2.5</v>
      </c>
      <c r="AB36" s="122">
        <v>3</v>
      </c>
      <c r="AC36" s="122">
        <v>3.5</v>
      </c>
      <c r="AD36" s="122">
        <v>4</v>
      </c>
      <c r="AE36" s="121">
        <v>5</v>
      </c>
    </row>
    <row r="37" spans="21:31" x14ac:dyDescent="0.3">
      <c r="U37" s="120"/>
      <c r="V37" s="119" t="s">
        <v>127</v>
      </c>
      <c r="W37" s="12" t="s">
        <v>63</v>
      </c>
      <c r="X37" s="12" t="s">
        <v>63</v>
      </c>
      <c r="Y37" s="12" t="s">
        <v>63</v>
      </c>
      <c r="Z37" s="12" t="s">
        <v>63</v>
      </c>
      <c r="AA37" s="12" t="s">
        <v>63</v>
      </c>
      <c r="AB37" s="12" t="s">
        <v>63</v>
      </c>
      <c r="AC37" s="12" t="s">
        <v>63</v>
      </c>
      <c r="AD37" s="12" t="s">
        <v>63</v>
      </c>
      <c r="AE37" s="117" t="s">
        <v>63</v>
      </c>
    </row>
    <row r="38" spans="21:31" x14ac:dyDescent="0.3">
      <c r="U38" s="116"/>
      <c r="V38" s="113" t="s">
        <v>133</v>
      </c>
      <c r="W38" s="12" t="s">
        <v>63</v>
      </c>
      <c r="X38" s="12" t="s">
        <v>63</v>
      </c>
      <c r="Y38" s="12" t="s">
        <v>63</v>
      </c>
      <c r="Z38" s="12" t="s">
        <v>63</v>
      </c>
      <c r="AA38" s="12" t="s">
        <v>63</v>
      </c>
      <c r="AB38" s="12" t="s">
        <v>63</v>
      </c>
      <c r="AC38" s="12" t="s">
        <v>63</v>
      </c>
      <c r="AD38" s="12" t="s">
        <v>63</v>
      </c>
      <c r="AE38" s="117" t="s">
        <v>63</v>
      </c>
    </row>
    <row r="39" spans="21:31" x14ac:dyDescent="0.3">
      <c r="U39" s="116"/>
      <c r="V39" s="113" t="s">
        <v>137</v>
      </c>
      <c r="W39" s="12" t="s">
        <v>63</v>
      </c>
      <c r="X39" s="12" t="s">
        <v>63</v>
      </c>
      <c r="Y39" s="12" t="s">
        <v>63</v>
      </c>
      <c r="Z39" s="12" t="s">
        <v>63</v>
      </c>
      <c r="AA39" s="12" t="s">
        <v>63</v>
      </c>
      <c r="AB39" s="12">
        <v>15</v>
      </c>
      <c r="AC39" s="12">
        <v>15</v>
      </c>
      <c r="AD39" s="12">
        <v>15</v>
      </c>
      <c r="AE39" s="117">
        <v>15</v>
      </c>
    </row>
    <row r="40" spans="21:31" x14ac:dyDescent="0.3">
      <c r="U40" s="116"/>
      <c r="V40" s="113" t="s">
        <v>140</v>
      </c>
      <c r="W40" s="12" t="s">
        <v>63</v>
      </c>
      <c r="X40" s="12" t="s">
        <v>63</v>
      </c>
      <c r="Y40" s="12" t="s">
        <v>63</v>
      </c>
      <c r="Z40" s="12" t="s">
        <v>63</v>
      </c>
      <c r="AA40" s="12" t="s">
        <v>63</v>
      </c>
      <c r="AB40" s="12">
        <v>15</v>
      </c>
      <c r="AC40" s="12">
        <v>15</v>
      </c>
      <c r="AD40" s="12">
        <v>15</v>
      </c>
      <c r="AE40" s="117">
        <v>15</v>
      </c>
    </row>
    <row r="41" spans="21:31" x14ac:dyDescent="0.3">
      <c r="U41" s="116"/>
      <c r="V41" s="113" t="s">
        <v>143</v>
      </c>
      <c r="W41" s="12" t="s">
        <v>63</v>
      </c>
      <c r="X41" s="12" t="s">
        <v>63</v>
      </c>
      <c r="Y41" s="12" t="s">
        <v>63</v>
      </c>
      <c r="Z41" s="12" t="s">
        <v>63</v>
      </c>
      <c r="AA41" s="12" t="s">
        <v>63</v>
      </c>
      <c r="AB41" s="12">
        <v>15.5</v>
      </c>
      <c r="AC41" s="12">
        <v>15.5</v>
      </c>
      <c r="AD41" s="12">
        <v>15</v>
      </c>
      <c r="AE41" s="117">
        <v>15</v>
      </c>
    </row>
    <row r="42" spans="21:31" x14ac:dyDescent="0.3">
      <c r="U42" s="116"/>
      <c r="V42" s="113" t="s">
        <v>147</v>
      </c>
      <c r="W42" s="12" t="s">
        <v>63</v>
      </c>
      <c r="X42" s="12" t="s">
        <v>63</v>
      </c>
      <c r="Y42" s="12" t="s">
        <v>63</v>
      </c>
      <c r="Z42" s="12" t="s">
        <v>63</v>
      </c>
      <c r="AA42" s="12" t="s">
        <v>63</v>
      </c>
      <c r="AB42" s="12">
        <v>15</v>
      </c>
      <c r="AC42" s="12">
        <v>15</v>
      </c>
      <c r="AD42" s="12">
        <v>15</v>
      </c>
      <c r="AE42" s="117">
        <v>15</v>
      </c>
    </row>
    <row r="43" spans="21:31" x14ac:dyDescent="0.3">
      <c r="U43" s="118"/>
      <c r="V43" s="113" t="s">
        <v>155</v>
      </c>
      <c r="W43" s="12">
        <v>16</v>
      </c>
      <c r="X43" s="12">
        <v>16</v>
      </c>
      <c r="Y43" s="12">
        <v>16</v>
      </c>
      <c r="Z43" s="12">
        <v>16</v>
      </c>
      <c r="AA43" s="12" t="s">
        <v>63</v>
      </c>
      <c r="AB43" s="12" t="s">
        <v>63</v>
      </c>
      <c r="AC43" s="12" t="s">
        <v>63</v>
      </c>
      <c r="AD43" s="12" t="s">
        <v>63</v>
      </c>
      <c r="AE43" s="117" t="s">
        <v>63</v>
      </c>
    </row>
    <row r="44" spans="21:31" x14ac:dyDescent="0.3">
      <c r="U44" s="116"/>
      <c r="V44" s="113" t="s">
        <v>151</v>
      </c>
      <c r="W44" s="82"/>
      <c r="X44" s="82"/>
      <c r="Y44" s="82"/>
      <c r="Z44" s="82"/>
      <c r="AA44" s="82"/>
      <c r="AB44" s="82"/>
      <c r="AC44" s="82"/>
      <c r="AD44" s="82"/>
      <c r="AE44" s="98"/>
    </row>
    <row r="45" spans="21:31" x14ac:dyDescent="0.3">
      <c r="U45" s="116"/>
      <c r="V45" s="113" t="s">
        <v>158</v>
      </c>
      <c r="W45" s="82"/>
      <c r="X45" s="82"/>
      <c r="Y45" s="82"/>
      <c r="Z45" s="82"/>
      <c r="AA45" s="82"/>
      <c r="AB45" s="82"/>
      <c r="AC45" s="82"/>
      <c r="AD45" s="82"/>
      <c r="AE45" s="98"/>
    </row>
    <row r="46" spans="21:31" ht="15" thickBot="1" x14ac:dyDescent="0.35">
      <c r="U46" s="115"/>
      <c r="V46" s="114" t="s">
        <v>161</v>
      </c>
      <c r="W46" s="83"/>
      <c r="X46" s="83"/>
      <c r="Y46" s="83"/>
      <c r="Z46" s="83"/>
      <c r="AA46" s="83"/>
      <c r="AB46" s="83"/>
      <c r="AC46" s="83"/>
      <c r="AD46" s="83"/>
      <c r="AE46" s="99"/>
    </row>
  </sheetData>
  <mergeCells count="22">
    <mergeCell ref="U35:V36"/>
    <mergeCell ref="A20:I20"/>
    <mergeCell ref="J21:K21"/>
    <mergeCell ref="AE1:AF1"/>
    <mergeCell ref="AL1:AM1"/>
    <mergeCell ref="O8:P8"/>
    <mergeCell ref="AS1:AT1"/>
    <mergeCell ref="U21:V22"/>
    <mergeCell ref="A1:E1"/>
    <mergeCell ref="A17:M17"/>
    <mergeCell ref="A18:M18"/>
    <mergeCell ref="O10:P10"/>
    <mergeCell ref="O11:P11"/>
    <mergeCell ref="H11:L12"/>
    <mergeCell ref="E13:F13"/>
    <mergeCell ref="E14:F14"/>
    <mergeCell ref="G13:J13"/>
    <mergeCell ref="G14:J14"/>
    <mergeCell ref="O9:P9"/>
    <mergeCell ref="H1:L1"/>
    <mergeCell ref="N2:O2"/>
    <mergeCell ref="N7:P7"/>
  </mergeCells>
  <conditionalFormatting sqref="C14">
    <cfRule type="cellIs" dxfId="19" priority="1" operator="greaterThan">
      <formula>$B$14&gt;$A$14</formula>
    </cfRule>
  </conditionalFormatting>
  <conditionalFormatting sqref="G14">
    <cfRule type="cellIs" dxfId="18" priority="4" operator="greaterThan">
      <formula>$D$14&gt;300000</formula>
    </cfRule>
  </conditionalFormatting>
  <dataValidations count="6">
    <dataValidation type="list" allowBlank="1" showInputMessage="1" showErrorMessage="1" sqref="C3:C7" xr:uid="{00000000-0002-0000-0300-000000000000}">
      <formula1>VENTtypeDaikin</formula1>
    </dataValidation>
    <dataValidation type="list" allowBlank="1" showInputMessage="1" showErrorMessage="1" sqref="A3:A7" xr:uid="{00000000-0002-0000-0300-000001000000}">
      <formula1>RTUsizes</formula1>
    </dataValidation>
    <dataValidation type="list" allowBlank="1" showInputMessage="1" showErrorMessage="1" sqref="B22" xr:uid="{00000000-0002-0000-0300-000002000000}">
      <formula1>"0.75, 1, 1.5, 2, 2.5, 3, 3.5, 4, 5"</formula1>
    </dataValidation>
    <dataValidation type="list" allowBlank="1" showInputMessage="1" showErrorMessage="1" sqref="A22" xr:uid="{00000000-0002-0000-0300-000003000000}">
      <formula1>"2009 IECC, 2012 IECC, 2015 IECC, 2018 IECC"</formula1>
    </dataValidation>
    <dataValidation type="list" allowBlank="1" showInputMessage="1" showErrorMessage="1" sqref="C22" xr:uid="{00000000-0002-0000-0300-000004000000}">
      <formula1>"Bard AC, Bard HP, Roof Top AC (1P), Roof Top AC (3P), Roof Top HP (1P), Roof Top HP (3P), Split System, Minisplit AC, Thru Wall, PTAC"</formula1>
    </dataValidation>
    <dataValidation type="list" allowBlank="1" showInputMessage="1" showErrorMessage="1" sqref="D22" xr:uid="{00000000-0002-0000-0300-000005000000}">
      <formula1>ClimateZone09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workbookViewId="0">
      <selection activeCell="I4" sqref="I4"/>
    </sheetView>
  </sheetViews>
  <sheetFormatPr defaultRowHeight="14.4" x14ac:dyDescent="0.3"/>
  <cols>
    <col min="1" max="1" width="36.5546875" customWidth="1"/>
    <col min="2" max="2" width="12.88671875" customWidth="1"/>
    <col min="4" max="4" width="10" customWidth="1"/>
  </cols>
  <sheetData>
    <row r="1" spans="1:10" ht="19.2" customHeight="1" thickBot="1" x14ac:dyDescent="0.35">
      <c r="A1" s="231" t="s">
        <v>195</v>
      </c>
      <c r="B1" s="232"/>
      <c r="C1" s="232"/>
      <c r="D1" s="233"/>
    </row>
    <row r="2" spans="1:10" ht="58.2" thickBot="1" x14ac:dyDescent="0.35">
      <c r="A2" s="22" t="s">
        <v>51</v>
      </c>
      <c r="B2" s="22" t="str">
        <f>IF(I4="YES","MIN. VENTILATION AIR RATE FOR DCV (Ra):","TOTAL OUTDOOR AIRFLOW RATE (Rt):")</f>
        <v>TOTAL OUTDOOR AIRFLOW RATE (Rt):</v>
      </c>
      <c r="C2" s="22" t="s">
        <v>196</v>
      </c>
      <c r="D2" s="22" t="s">
        <v>197</v>
      </c>
      <c r="E2" s="239" t="s">
        <v>198</v>
      </c>
      <c r="F2" s="240"/>
      <c r="G2" s="241"/>
    </row>
    <row r="3" spans="1:10" ht="15" thickBot="1" x14ac:dyDescent="0.35">
      <c r="A3" s="238" t="s">
        <v>199</v>
      </c>
      <c r="B3" s="238"/>
      <c r="C3" s="238"/>
      <c r="D3" s="238"/>
      <c r="E3" s="238"/>
      <c r="F3" s="238"/>
      <c r="G3" s="238"/>
    </row>
    <row r="4" spans="1:10" ht="15" thickBot="1" x14ac:dyDescent="0.35">
      <c r="A4" s="3" t="s">
        <v>200</v>
      </c>
      <c r="B4" s="12">
        <f>IF(I4="yes",0.15,0.21)</f>
        <v>0.21</v>
      </c>
      <c r="C4" s="137"/>
      <c r="D4" s="3">
        <f>SUM(B4*C4)</f>
        <v>0</v>
      </c>
      <c r="E4" s="236" t="str">
        <f>IF(I4="yes","Title 24: CO2 Sensor required","")</f>
        <v/>
      </c>
      <c r="F4" s="236"/>
      <c r="G4" s="236"/>
      <c r="I4" s="138" t="s">
        <v>201</v>
      </c>
      <c r="J4" s="140" t="s">
        <v>202</v>
      </c>
    </row>
    <row r="5" spans="1:10" x14ac:dyDescent="0.3">
      <c r="A5" s="3" t="s">
        <v>203</v>
      </c>
      <c r="B5" s="12">
        <v>0.15</v>
      </c>
      <c r="C5" s="137"/>
      <c r="D5" s="3">
        <f>SUM(B5*C5)</f>
        <v>0</v>
      </c>
      <c r="E5" s="242"/>
      <c r="F5" s="242"/>
      <c r="G5" s="242"/>
    </row>
    <row r="6" spans="1:10" x14ac:dyDescent="0.3">
      <c r="A6" s="3" t="s">
        <v>204</v>
      </c>
      <c r="B6" s="12">
        <f>IF(I4="yes",0.15,0.38)</f>
        <v>0.38</v>
      </c>
      <c r="C6" s="137"/>
      <c r="D6" s="3">
        <f>SUM(B6*C6)</f>
        <v>0</v>
      </c>
      <c r="E6" s="236" t="str">
        <f>IF(I4="yes","Title 24: CO2 Sensor required","")</f>
        <v/>
      </c>
      <c r="F6" s="236"/>
      <c r="G6" s="236"/>
    </row>
    <row r="7" spans="1:10" x14ac:dyDescent="0.3">
      <c r="A7" s="3" t="s">
        <v>205</v>
      </c>
      <c r="B7" s="12">
        <f>IF(I4="yes",0.15,0.38)</f>
        <v>0.38</v>
      </c>
      <c r="C7" s="137"/>
      <c r="D7" s="3">
        <f>SUM(B7*C7)</f>
        <v>0</v>
      </c>
      <c r="E7" s="236" t="str">
        <f>IF(I4="yes","Title 24: CO2 Sensor required","")</f>
        <v/>
      </c>
      <c r="F7" s="236"/>
      <c r="G7" s="236"/>
    </row>
    <row r="8" spans="1:10" x14ac:dyDescent="0.3">
      <c r="A8" s="3" t="s">
        <v>206</v>
      </c>
      <c r="B8" s="12">
        <f>IF(I4="yes",0.15,0.38)</f>
        <v>0.38</v>
      </c>
      <c r="C8" s="137"/>
      <c r="D8" s="3">
        <f>SUM(B8*C8)</f>
        <v>0</v>
      </c>
      <c r="E8" s="236" t="str">
        <f>IF(I4="yes","Title 24: CO2 Sensor required","")</f>
        <v/>
      </c>
      <c r="F8" s="236"/>
      <c r="G8" s="236"/>
    </row>
    <row r="9" spans="1:10" x14ac:dyDescent="0.3">
      <c r="A9" s="3" t="s">
        <v>207</v>
      </c>
      <c r="B9" s="12" t="str">
        <f>IF(I4="yes",0.15,"-")</f>
        <v>-</v>
      </c>
      <c r="C9" s="137"/>
      <c r="D9" s="3"/>
      <c r="E9" s="236" t="str">
        <f>IF(I4="yes","Title 24: CO2 Sensor required","")</f>
        <v/>
      </c>
      <c r="F9" s="236"/>
      <c r="G9" s="236"/>
    </row>
    <row r="10" spans="1:10" x14ac:dyDescent="0.3">
      <c r="A10" s="3" t="s">
        <v>208</v>
      </c>
      <c r="B10" s="12">
        <v>0.15</v>
      </c>
      <c r="C10" s="137"/>
      <c r="D10" s="3">
        <f t="shared" ref="D10:D17" si="0">SUM(B10*C10)</f>
        <v>0</v>
      </c>
      <c r="E10" s="234"/>
      <c r="F10" s="234"/>
      <c r="G10" s="234"/>
    </row>
    <row r="11" spans="1:10" x14ac:dyDescent="0.3">
      <c r="A11" s="3" t="s">
        <v>209</v>
      </c>
      <c r="B11" s="12">
        <v>0.15</v>
      </c>
      <c r="C11" s="137"/>
      <c r="D11" s="3">
        <f t="shared" si="0"/>
        <v>0</v>
      </c>
      <c r="E11" s="234"/>
      <c r="F11" s="234"/>
      <c r="G11" s="234"/>
    </row>
    <row r="12" spans="1:10" x14ac:dyDescent="0.3">
      <c r="A12" s="3" t="s">
        <v>210</v>
      </c>
      <c r="B12" s="12">
        <v>0.15</v>
      </c>
      <c r="C12" s="137"/>
      <c r="D12" s="3">
        <f t="shared" si="0"/>
        <v>0</v>
      </c>
      <c r="E12" s="234"/>
      <c r="F12" s="234"/>
      <c r="G12" s="234"/>
    </row>
    <row r="13" spans="1:10" x14ac:dyDescent="0.3">
      <c r="A13" s="3" t="s">
        <v>211</v>
      </c>
      <c r="B13" s="12">
        <v>0.15</v>
      </c>
      <c r="C13" s="137"/>
      <c r="D13" s="3">
        <f t="shared" si="0"/>
        <v>0</v>
      </c>
      <c r="E13" s="234"/>
      <c r="F13" s="234"/>
      <c r="G13" s="234"/>
    </row>
    <row r="14" spans="1:10" x14ac:dyDescent="0.3">
      <c r="A14" s="3" t="s">
        <v>212</v>
      </c>
      <c r="B14" s="12">
        <v>0.15</v>
      </c>
      <c r="C14" s="137"/>
      <c r="D14" s="3">
        <f t="shared" si="0"/>
        <v>0</v>
      </c>
      <c r="E14" s="234"/>
      <c r="F14" s="234"/>
      <c r="G14" s="234"/>
    </row>
    <row r="15" spans="1:10" x14ac:dyDescent="0.3">
      <c r="A15" s="3" t="s">
        <v>213</v>
      </c>
      <c r="B15" s="12">
        <v>0.15</v>
      </c>
      <c r="C15" s="137"/>
      <c r="D15" s="3">
        <f t="shared" si="0"/>
        <v>0</v>
      </c>
      <c r="E15" s="234"/>
      <c r="F15" s="234"/>
      <c r="G15" s="234"/>
    </row>
    <row r="16" spans="1:10" x14ac:dyDescent="0.3">
      <c r="A16" s="3" t="s">
        <v>214</v>
      </c>
      <c r="B16" s="12">
        <f>IF(I4="yes",0.15,1.07)</f>
        <v>1.07</v>
      </c>
      <c r="C16" s="137"/>
      <c r="D16" s="3">
        <f t="shared" si="0"/>
        <v>0</v>
      </c>
      <c r="E16" s="236" t="str">
        <f>IF(I4="yes","Title 24: CO2 Sensor required","")</f>
        <v/>
      </c>
      <c r="F16" s="236"/>
      <c r="G16" s="236"/>
    </row>
    <row r="17" spans="1:7" x14ac:dyDescent="0.3">
      <c r="A17" s="3" t="s">
        <v>215</v>
      </c>
      <c r="B17" s="12">
        <f>IF(I4="yes",0.15,0.5)</f>
        <v>0.5</v>
      </c>
      <c r="C17" s="137"/>
      <c r="D17" s="3">
        <f t="shared" si="0"/>
        <v>0</v>
      </c>
      <c r="E17" s="236" t="str">
        <f>IF(I4="yes","Title 24: CO2 Sensor required","")</f>
        <v/>
      </c>
      <c r="F17" s="236"/>
      <c r="G17" s="236"/>
    </row>
    <row r="18" spans="1:7" x14ac:dyDescent="0.3">
      <c r="A18" s="243" t="s">
        <v>216</v>
      </c>
      <c r="B18" s="244"/>
      <c r="C18" s="244"/>
      <c r="D18" s="244"/>
      <c r="E18" s="244"/>
      <c r="F18" s="244"/>
      <c r="G18" s="245"/>
    </row>
    <row r="19" spans="1:7" x14ac:dyDescent="0.3">
      <c r="A19" s="3" t="s">
        <v>217</v>
      </c>
      <c r="B19" s="12">
        <f>IF(I4="yes",0.15,0.5)</f>
        <v>0.5</v>
      </c>
      <c r="C19" s="137"/>
      <c r="D19" s="3">
        <f>SUM(B19*C19)</f>
        <v>0</v>
      </c>
      <c r="E19" s="236" t="str">
        <f>IF(I4="yes","Title 24: CO2 Sensor required","")</f>
        <v/>
      </c>
      <c r="F19" s="236"/>
      <c r="G19" s="236"/>
    </row>
    <row r="20" spans="1:7" x14ac:dyDescent="0.3">
      <c r="A20" s="3" t="s">
        <v>218</v>
      </c>
      <c r="B20" s="12">
        <f>IF(I4="yes",0.15,0.5)</f>
        <v>0.5</v>
      </c>
      <c r="C20" s="137"/>
      <c r="D20" s="3">
        <f>SUM(B20*C20)</f>
        <v>0</v>
      </c>
      <c r="E20" s="236" t="str">
        <f>IF(I4="yes","Title 24: CO2 Sensor required","")</f>
        <v/>
      </c>
      <c r="F20" s="236"/>
      <c r="G20" s="236"/>
    </row>
    <row r="21" spans="1:7" x14ac:dyDescent="0.3">
      <c r="A21" s="3" t="s">
        <v>219</v>
      </c>
      <c r="B21" s="12">
        <f>IF(I4="yes",0.2,0.5)</f>
        <v>0.5</v>
      </c>
      <c r="C21" s="137"/>
      <c r="D21" s="3">
        <f>SUM(B21*C21)</f>
        <v>0</v>
      </c>
      <c r="E21" s="236" t="str">
        <f>IF(I4="yes","Title 24: CO2 Sensor required","")</f>
        <v/>
      </c>
      <c r="F21" s="236"/>
      <c r="G21" s="236"/>
    </row>
    <row r="22" spans="1:7" x14ac:dyDescent="0.3">
      <c r="A22" s="3" t="s">
        <v>220</v>
      </c>
      <c r="B22" s="12">
        <v>0.15</v>
      </c>
      <c r="C22" s="137"/>
      <c r="D22" s="3">
        <f>SUM(B22*C22)</f>
        <v>0</v>
      </c>
      <c r="E22" s="234"/>
      <c r="F22" s="234"/>
      <c r="G22" s="234"/>
    </row>
    <row r="23" spans="1:7" x14ac:dyDescent="0.3">
      <c r="A23" s="235" t="s">
        <v>221</v>
      </c>
      <c r="B23" s="235"/>
      <c r="C23" s="235"/>
      <c r="D23" s="235"/>
      <c r="E23" s="235"/>
      <c r="F23" s="235"/>
      <c r="G23" s="235"/>
    </row>
    <row r="24" spans="1:7" x14ac:dyDescent="0.3">
      <c r="A24" s="3" t="s">
        <v>222</v>
      </c>
      <c r="B24" s="12">
        <f>IF(I4="yes",0.15,0.5)</f>
        <v>0.5</v>
      </c>
      <c r="C24" s="137"/>
      <c r="D24" s="3">
        <f>SUM(B24*C24)</f>
        <v>0</v>
      </c>
      <c r="E24" s="236" t="str">
        <f>IF(I4="yes","Title 24: CO2 Sensor required","")</f>
        <v/>
      </c>
      <c r="F24" s="236"/>
      <c r="G24" s="236"/>
    </row>
    <row r="25" spans="1:7" x14ac:dyDescent="0.3">
      <c r="A25" s="3" t="s">
        <v>223</v>
      </c>
      <c r="B25" s="12">
        <f>IF(I4="yes",0.15,0.5)</f>
        <v>0.5</v>
      </c>
      <c r="C25" s="137"/>
      <c r="D25" s="3">
        <f>SUM(B25*C25)</f>
        <v>0</v>
      </c>
      <c r="E25" s="236" t="str">
        <f>IF(I4="yes","Title 24: CO2 Sensor required","")</f>
        <v/>
      </c>
      <c r="F25" s="236"/>
      <c r="G25" s="236"/>
    </row>
    <row r="26" spans="1:7" x14ac:dyDescent="0.3">
      <c r="A26" s="3" t="s">
        <v>224</v>
      </c>
      <c r="B26" s="12">
        <f>IF(I4="yes",0.15,0.5)</f>
        <v>0.5</v>
      </c>
      <c r="C26" s="137"/>
      <c r="D26" s="3">
        <f>SUM(B26*C26)</f>
        <v>0</v>
      </c>
      <c r="E26" s="236" t="str">
        <f>IF(I4="yes","Title 24: CO2 Sensor required","")</f>
        <v/>
      </c>
      <c r="F26" s="236"/>
      <c r="G26" s="236"/>
    </row>
    <row r="27" spans="1:7" x14ac:dyDescent="0.3">
      <c r="A27" s="3" t="s">
        <v>225</v>
      </c>
      <c r="B27" s="12">
        <v>0.15</v>
      </c>
      <c r="C27" s="137"/>
      <c r="D27" s="3">
        <f>SUM(B27*C27)</f>
        <v>0</v>
      </c>
      <c r="E27" s="234"/>
      <c r="F27" s="234"/>
      <c r="G27" s="234"/>
    </row>
    <row r="28" spans="1:7" x14ac:dyDescent="0.3">
      <c r="A28" s="3" t="s">
        <v>226</v>
      </c>
      <c r="B28" s="12">
        <v>0.15</v>
      </c>
      <c r="C28" s="137"/>
      <c r="D28" s="3">
        <f>SUM(B28*C28)</f>
        <v>0</v>
      </c>
      <c r="E28" s="234"/>
      <c r="F28" s="234"/>
      <c r="G28" s="234"/>
    </row>
    <row r="29" spans="1:7" x14ac:dyDescent="0.3">
      <c r="A29" s="235" t="s">
        <v>227</v>
      </c>
      <c r="B29" s="235"/>
      <c r="C29" s="235"/>
      <c r="D29" s="235"/>
      <c r="E29" s="235"/>
      <c r="F29" s="235"/>
      <c r="G29" s="235"/>
    </row>
    <row r="30" spans="1:7" x14ac:dyDescent="0.3">
      <c r="A30" s="3" t="s">
        <v>228</v>
      </c>
      <c r="B30" s="12">
        <v>0.15</v>
      </c>
      <c r="C30" s="137"/>
      <c r="D30" s="3">
        <f t="shared" ref="D30:D35" si="1">SUM(B30*C30)</f>
        <v>0</v>
      </c>
      <c r="E30" s="234"/>
      <c r="F30" s="234"/>
      <c r="G30" s="234"/>
    </row>
    <row r="31" spans="1:7" x14ac:dyDescent="0.3">
      <c r="A31" s="3" t="s">
        <v>229</v>
      </c>
      <c r="B31" s="12">
        <v>0.15</v>
      </c>
      <c r="C31" s="137"/>
      <c r="D31" s="3">
        <f t="shared" si="1"/>
        <v>0</v>
      </c>
      <c r="E31" s="234"/>
      <c r="F31" s="234"/>
      <c r="G31" s="234"/>
    </row>
    <row r="32" spans="1:7" x14ac:dyDescent="0.3">
      <c r="A32" s="3" t="s">
        <v>230</v>
      </c>
      <c r="B32" s="12">
        <v>0.15</v>
      </c>
      <c r="C32" s="137"/>
      <c r="D32" s="3">
        <f t="shared" si="1"/>
        <v>0</v>
      </c>
      <c r="E32" s="234"/>
      <c r="F32" s="234"/>
      <c r="G32" s="234"/>
    </row>
    <row r="33" spans="1:7" x14ac:dyDescent="0.3">
      <c r="A33" s="3" t="s">
        <v>231</v>
      </c>
      <c r="B33" s="12">
        <v>0.15</v>
      </c>
      <c r="C33" s="137"/>
      <c r="D33" s="3">
        <f t="shared" si="1"/>
        <v>0</v>
      </c>
      <c r="E33" s="234"/>
      <c r="F33" s="234"/>
      <c r="G33" s="234"/>
    </row>
    <row r="34" spans="1:7" x14ac:dyDescent="0.3">
      <c r="A34" s="3" t="s">
        <v>232</v>
      </c>
      <c r="B34" s="12">
        <f>IF(I4="yes",0.15,0.5)</f>
        <v>0.5</v>
      </c>
      <c r="C34" s="137"/>
      <c r="D34" s="3">
        <f t="shared" si="1"/>
        <v>0</v>
      </c>
      <c r="E34" s="236" t="str">
        <f>IF(I4="yes","Title 24: CO2 Sensor required","")</f>
        <v/>
      </c>
      <c r="F34" s="236"/>
      <c r="G34" s="236"/>
    </row>
    <row r="35" spans="1:7" x14ac:dyDescent="0.3">
      <c r="A35" s="3" t="s">
        <v>233</v>
      </c>
      <c r="B35" s="12">
        <v>0.5</v>
      </c>
      <c r="C35" s="137"/>
      <c r="D35" s="3">
        <f t="shared" si="1"/>
        <v>0</v>
      </c>
      <c r="E35" s="234"/>
      <c r="F35" s="234"/>
      <c r="G35" s="234"/>
    </row>
    <row r="36" spans="1:7" x14ac:dyDescent="0.3">
      <c r="A36" s="235" t="s">
        <v>234</v>
      </c>
      <c r="B36" s="235"/>
      <c r="C36" s="235"/>
      <c r="D36" s="235"/>
      <c r="E36" s="235"/>
      <c r="F36" s="235"/>
      <c r="G36" s="235"/>
    </row>
    <row r="37" spans="1:7" x14ac:dyDescent="0.3">
      <c r="A37" s="3" t="s">
        <v>235</v>
      </c>
      <c r="B37" s="12">
        <f>IF(I4="yes",0.15,0.5)</f>
        <v>0.5</v>
      </c>
      <c r="C37" s="137"/>
      <c r="D37" s="3">
        <f t="shared" ref="D37:D42" si="2">SUM(B37*C37)</f>
        <v>0</v>
      </c>
      <c r="E37" s="236" t="str">
        <f>IF(I4="yes","Title 24: CO2 Sensor required","")</f>
        <v/>
      </c>
      <c r="F37" s="236"/>
      <c r="G37" s="236"/>
    </row>
    <row r="38" spans="1:7" x14ac:dyDescent="0.3">
      <c r="A38" s="3" t="s">
        <v>236</v>
      </c>
      <c r="B38" s="12">
        <f>IF(I4="yes",0.15,0.5)</f>
        <v>0.5</v>
      </c>
      <c r="C38" s="137"/>
      <c r="D38" s="3">
        <f t="shared" si="2"/>
        <v>0</v>
      </c>
      <c r="E38" s="236" t="str">
        <f>IF(I4="yes","Title 24: CO2 Sensor required","")</f>
        <v/>
      </c>
      <c r="F38" s="236"/>
      <c r="G38" s="236"/>
    </row>
    <row r="39" spans="1:7" x14ac:dyDescent="0.3">
      <c r="A39" s="3" t="s">
        <v>237</v>
      </c>
      <c r="B39" s="12">
        <v>0.15</v>
      </c>
      <c r="C39" s="137"/>
      <c r="D39" s="3">
        <f t="shared" si="2"/>
        <v>0</v>
      </c>
      <c r="E39" s="234"/>
      <c r="F39" s="234"/>
      <c r="G39" s="234"/>
    </row>
    <row r="40" spans="1:7" x14ac:dyDescent="0.3">
      <c r="A40" s="3" t="s">
        <v>238</v>
      </c>
      <c r="B40" s="12">
        <v>0.15</v>
      </c>
      <c r="C40" s="137"/>
      <c r="D40" s="3">
        <f t="shared" si="2"/>
        <v>0</v>
      </c>
      <c r="E40" s="234"/>
      <c r="F40" s="234"/>
      <c r="G40" s="234"/>
    </row>
    <row r="41" spans="1:7" x14ac:dyDescent="0.3">
      <c r="A41" s="3" t="s">
        <v>239</v>
      </c>
      <c r="B41" s="12">
        <v>0.15</v>
      </c>
      <c r="C41" s="137"/>
      <c r="D41" s="3">
        <f t="shared" si="2"/>
        <v>0</v>
      </c>
      <c r="E41" s="234"/>
      <c r="F41" s="234"/>
      <c r="G41" s="234"/>
    </row>
    <row r="42" spans="1:7" x14ac:dyDescent="0.3">
      <c r="A42" s="3" t="s">
        <v>240</v>
      </c>
      <c r="B42" s="12">
        <v>0.15</v>
      </c>
      <c r="C42" s="137"/>
      <c r="D42" s="3">
        <f t="shared" si="2"/>
        <v>0</v>
      </c>
      <c r="E42" s="234"/>
      <c r="F42" s="234"/>
      <c r="G42" s="234"/>
    </row>
    <row r="43" spans="1:7" x14ac:dyDescent="0.3">
      <c r="A43" s="235" t="s">
        <v>241</v>
      </c>
      <c r="B43" s="235"/>
      <c r="C43" s="235"/>
      <c r="D43" s="235"/>
      <c r="E43" s="235"/>
      <c r="F43" s="235"/>
      <c r="G43" s="235"/>
    </row>
    <row r="44" spans="1:7" x14ac:dyDescent="0.3">
      <c r="A44" s="3" t="s">
        <v>242</v>
      </c>
      <c r="B44" s="12">
        <v>0.15</v>
      </c>
      <c r="C44" s="137"/>
      <c r="D44" s="3">
        <f>SUM(B44*C44)</f>
        <v>0</v>
      </c>
      <c r="E44" s="234"/>
      <c r="F44" s="234"/>
      <c r="G44" s="234"/>
    </row>
    <row r="45" spans="1:7" x14ac:dyDescent="0.3">
      <c r="A45" s="3" t="s">
        <v>243</v>
      </c>
      <c r="B45" s="12">
        <v>0.15</v>
      </c>
      <c r="C45" s="137"/>
      <c r="D45" s="3">
        <f>SUM(B45*C45)</f>
        <v>0</v>
      </c>
      <c r="E45" s="234"/>
      <c r="F45" s="234"/>
      <c r="G45" s="234"/>
    </row>
    <row r="46" spans="1:7" x14ac:dyDescent="0.3">
      <c r="A46" s="3" t="s">
        <v>244</v>
      </c>
      <c r="B46" s="12">
        <v>0.15</v>
      </c>
      <c r="C46" s="137"/>
      <c r="D46" s="3">
        <f>SUM(B46*C46)</f>
        <v>0</v>
      </c>
      <c r="E46" s="234"/>
      <c r="F46" s="234"/>
      <c r="G46" s="234"/>
    </row>
    <row r="47" spans="1:7" x14ac:dyDescent="0.3">
      <c r="A47" s="3" t="s">
        <v>245</v>
      </c>
      <c r="B47" s="12" t="s">
        <v>63</v>
      </c>
      <c r="C47" s="137"/>
      <c r="D47" s="3"/>
      <c r="E47" s="234"/>
      <c r="F47" s="234"/>
      <c r="G47" s="234"/>
    </row>
    <row r="48" spans="1:7" ht="28.8" x14ac:dyDescent="0.3">
      <c r="A48" s="139" t="s">
        <v>246</v>
      </c>
      <c r="B48" s="12">
        <v>0.15</v>
      </c>
      <c r="C48" s="137"/>
      <c r="D48" s="3">
        <f>SUM(B48*C48)</f>
        <v>0</v>
      </c>
      <c r="E48" s="234"/>
      <c r="F48" s="234"/>
      <c r="G48" s="234"/>
    </row>
    <row r="49" spans="1:7" x14ac:dyDescent="0.3">
      <c r="A49" s="3" t="s">
        <v>247</v>
      </c>
      <c r="B49" s="12">
        <v>0.15</v>
      </c>
      <c r="C49" s="137"/>
      <c r="D49" s="3">
        <f>SUM(B49*C49)</f>
        <v>0</v>
      </c>
      <c r="E49" s="234"/>
      <c r="F49" s="234"/>
      <c r="G49" s="234"/>
    </row>
    <row r="50" spans="1:7" x14ac:dyDescent="0.3">
      <c r="A50" s="3" t="s">
        <v>248</v>
      </c>
      <c r="B50" s="12">
        <v>0.15</v>
      </c>
      <c r="C50" s="137"/>
      <c r="D50" s="3">
        <f>SUM(B50*C50)</f>
        <v>0</v>
      </c>
      <c r="E50" s="234"/>
      <c r="F50" s="234"/>
      <c r="G50" s="234"/>
    </row>
    <row r="51" spans="1:7" x14ac:dyDescent="0.3">
      <c r="A51" s="3" t="s">
        <v>249</v>
      </c>
      <c r="B51" s="12">
        <v>0.15</v>
      </c>
      <c r="C51" s="137"/>
      <c r="D51" s="3">
        <v>0</v>
      </c>
      <c r="E51" s="234"/>
      <c r="F51" s="234"/>
      <c r="G51" s="234"/>
    </row>
    <row r="52" spans="1:7" x14ac:dyDescent="0.3">
      <c r="A52" s="3" t="s">
        <v>250</v>
      </c>
      <c r="B52" s="12">
        <v>0.15</v>
      </c>
      <c r="C52" s="137"/>
      <c r="D52" s="3">
        <f>SUM(B52*C52)</f>
        <v>0</v>
      </c>
      <c r="E52" s="234"/>
      <c r="F52" s="234"/>
      <c r="G52" s="234"/>
    </row>
    <row r="53" spans="1:7" x14ac:dyDescent="0.3">
      <c r="A53" s="3" t="s">
        <v>251</v>
      </c>
      <c r="B53" s="12">
        <v>0.15</v>
      </c>
      <c r="C53" s="137"/>
      <c r="D53" s="3">
        <f>SUM(B53*C53)</f>
        <v>0</v>
      </c>
      <c r="E53" s="234"/>
      <c r="F53" s="234"/>
      <c r="G53" s="234"/>
    </row>
    <row r="54" spans="1:7" x14ac:dyDescent="0.3">
      <c r="A54" s="3" t="s">
        <v>252</v>
      </c>
      <c r="B54" s="12">
        <f>IF(I4="yes",0.15,0.5)</f>
        <v>0.5</v>
      </c>
      <c r="C54" s="137"/>
      <c r="D54" s="3">
        <f>SUM(B54*C54)</f>
        <v>0</v>
      </c>
      <c r="E54" s="236" t="str">
        <f>IF(I4="yes","Title 24: CO2 Sensor required","")</f>
        <v/>
      </c>
      <c r="F54" s="236"/>
      <c r="G54" s="236"/>
    </row>
    <row r="55" spans="1:7" x14ac:dyDescent="0.3">
      <c r="A55" s="3" t="s">
        <v>253</v>
      </c>
      <c r="B55" s="12">
        <v>0.15</v>
      </c>
      <c r="C55" s="137"/>
      <c r="D55" s="3">
        <f>SUM(B55*C55)</f>
        <v>0</v>
      </c>
      <c r="E55" s="234"/>
      <c r="F55" s="234"/>
      <c r="G55" s="234"/>
    </row>
    <row r="56" spans="1:7" x14ac:dyDescent="0.3">
      <c r="A56" s="3" t="s">
        <v>254</v>
      </c>
      <c r="B56" s="12">
        <v>0.15</v>
      </c>
      <c r="C56" s="137"/>
      <c r="D56" s="3">
        <f>SUM(B56*C56)</f>
        <v>0</v>
      </c>
      <c r="E56" s="234"/>
      <c r="F56" s="234"/>
      <c r="G56" s="234"/>
    </row>
    <row r="57" spans="1:7" x14ac:dyDescent="0.3">
      <c r="A57" s="235" t="s">
        <v>255</v>
      </c>
      <c r="B57" s="235"/>
      <c r="C57" s="235"/>
      <c r="D57" s="235"/>
      <c r="E57" s="235"/>
      <c r="F57" s="235"/>
      <c r="G57" s="235"/>
    </row>
    <row r="58" spans="1:7" x14ac:dyDescent="0.3">
      <c r="A58" s="3" t="s">
        <v>256</v>
      </c>
      <c r="B58" s="12">
        <f>IF(I4="yes",0.15,1.07)</f>
        <v>1.07</v>
      </c>
      <c r="C58" s="137"/>
      <c r="D58" s="3">
        <f t="shared" ref="D58:D65" si="3">SUM(B58*C58)</f>
        <v>0</v>
      </c>
      <c r="E58" s="236" t="str">
        <f>IF(I4="yes","Title 24: CO2 Sensor required","")</f>
        <v/>
      </c>
      <c r="F58" s="236"/>
      <c r="G58" s="236"/>
    </row>
    <row r="59" spans="1:7" x14ac:dyDescent="0.3">
      <c r="A59" s="3" t="s">
        <v>257</v>
      </c>
      <c r="B59" s="12">
        <f>IF(I4="yes",0.15,1.07)</f>
        <v>1.07</v>
      </c>
      <c r="C59" s="137"/>
      <c r="D59" s="3">
        <f t="shared" si="3"/>
        <v>0</v>
      </c>
      <c r="E59" s="236" t="str">
        <f>IF(I4="yes","Title 24: CO2 Sensor required","")</f>
        <v/>
      </c>
      <c r="F59" s="236"/>
      <c r="G59" s="236"/>
    </row>
    <row r="60" spans="1:7" x14ac:dyDescent="0.3">
      <c r="A60" s="3" t="s">
        <v>20</v>
      </c>
      <c r="B60" s="12">
        <f>IF(I4="yes",0.15,0.19)</f>
        <v>0.19</v>
      </c>
      <c r="C60" s="137"/>
      <c r="D60" s="3">
        <f t="shared" si="3"/>
        <v>0</v>
      </c>
      <c r="E60" s="236" t="str">
        <f>IF(I4="yes","Title 24: CO2 Sensor required","")</f>
        <v/>
      </c>
      <c r="F60" s="236"/>
      <c r="G60" s="236"/>
    </row>
    <row r="61" spans="1:7" x14ac:dyDescent="0.3">
      <c r="A61" s="3" t="s">
        <v>258</v>
      </c>
      <c r="B61" s="12">
        <f>IF(I4="yes",0.15,0.19)</f>
        <v>0.19</v>
      </c>
      <c r="C61" s="137"/>
      <c r="D61" s="3">
        <f t="shared" si="3"/>
        <v>0</v>
      </c>
      <c r="E61" s="236" t="str">
        <f>IF(I4="yes","Title 24: CO2 Sensor required","")</f>
        <v/>
      </c>
      <c r="F61" s="236"/>
      <c r="G61" s="236"/>
    </row>
    <row r="62" spans="1:7" x14ac:dyDescent="0.3">
      <c r="A62" s="3" t="s">
        <v>259</v>
      </c>
      <c r="B62" s="12">
        <v>0.15</v>
      </c>
      <c r="C62" s="137"/>
      <c r="D62" s="3">
        <f t="shared" si="3"/>
        <v>0</v>
      </c>
      <c r="E62" s="234"/>
      <c r="F62" s="234"/>
      <c r="G62" s="234"/>
    </row>
    <row r="63" spans="1:7" x14ac:dyDescent="0.3">
      <c r="A63" s="3" t="s">
        <v>260</v>
      </c>
      <c r="B63" s="12">
        <f>IF(I4="yes",0.15,0.5)</f>
        <v>0.5</v>
      </c>
      <c r="C63" s="137"/>
      <c r="D63" s="3">
        <f t="shared" si="3"/>
        <v>0</v>
      </c>
      <c r="E63" s="236" t="str">
        <f>IF(I4="yes","Title 24: CO2 Sensor required","")</f>
        <v/>
      </c>
      <c r="F63" s="236"/>
      <c r="G63" s="236"/>
    </row>
    <row r="64" spans="1:7" x14ac:dyDescent="0.3">
      <c r="A64" s="3" t="s">
        <v>261</v>
      </c>
      <c r="B64" s="12">
        <f>IF(I4="yes",0.15,0.25)</f>
        <v>0.25</v>
      </c>
      <c r="C64" s="137"/>
      <c r="D64" s="3">
        <f t="shared" si="3"/>
        <v>0</v>
      </c>
      <c r="E64" s="236" t="str">
        <f>IF(I4="yes","Title 24: CO2 Sensor required","")</f>
        <v/>
      </c>
      <c r="F64" s="236"/>
      <c r="G64" s="236"/>
    </row>
    <row r="65" spans="1:7" x14ac:dyDescent="0.3">
      <c r="A65" s="3" t="s">
        <v>262</v>
      </c>
      <c r="B65" s="12">
        <f>IF(I4="yes",0.15,0.25)</f>
        <v>0.25</v>
      </c>
      <c r="C65" s="137"/>
      <c r="D65" s="3">
        <f t="shared" si="3"/>
        <v>0</v>
      </c>
      <c r="E65" s="236" t="str">
        <f>IF(I4="yes","Title 24: CO2 Sensor required","")</f>
        <v/>
      </c>
      <c r="F65" s="236"/>
      <c r="G65" s="236"/>
    </row>
    <row r="66" spans="1:7" x14ac:dyDescent="0.3">
      <c r="A66" s="235" t="s">
        <v>263</v>
      </c>
      <c r="B66" s="235"/>
      <c r="C66" s="235"/>
      <c r="D66" s="235"/>
      <c r="E66" s="235"/>
      <c r="F66" s="235"/>
      <c r="G66" s="235"/>
    </row>
    <row r="67" spans="1:7" x14ac:dyDescent="0.3">
      <c r="A67" s="3" t="s">
        <v>264</v>
      </c>
      <c r="B67" s="3" t="s">
        <v>63</v>
      </c>
      <c r="C67" s="136"/>
      <c r="D67" s="3"/>
      <c r="E67" s="234"/>
      <c r="F67" s="234"/>
      <c r="G67" s="234"/>
    </row>
    <row r="68" spans="1:7" x14ac:dyDescent="0.3">
      <c r="A68" s="235" t="s">
        <v>265</v>
      </c>
      <c r="B68" s="235"/>
      <c r="C68" s="235"/>
      <c r="D68" s="235"/>
      <c r="E68" s="235"/>
      <c r="F68" s="235"/>
      <c r="G68" s="235"/>
    </row>
    <row r="69" spans="1:7" x14ac:dyDescent="0.3">
      <c r="A69" s="3" t="s">
        <v>266</v>
      </c>
      <c r="B69" s="12">
        <f>IF(I4="yes",0.2,0.25)</f>
        <v>0.25</v>
      </c>
      <c r="C69" s="137"/>
      <c r="D69" s="3">
        <f t="shared" ref="D69:D75" si="4">SUM(B69*C69)</f>
        <v>0</v>
      </c>
      <c r="E69" s="236" t="str">
        <f>IF(I4="yes","Title 24: CO2 Sensor required","")</f>
        <v/>
      </c>
      <c r="F69" s="236"/>
      <c r="G69" s="236"/>
    </row>
    <row r="70" spans="1:7" x14ac:dyDescent="0.3">
      <c r="A70" s="3" t="s">
        <v>267</v>
      </c>
      <c r="B70" s="12">
        <f>IF(I4="yes",0.15,0.25)</f>
        <v>0.25</v>
      </c>
      <c r="C70" s="137"/>
      <c r="D70" s="3">
        <f t="shared" si="4"/>
        <v>0</v>
      </c>
      <c r="E70" s="236" t="str">
        <f>IF(I4="yes","Title 24: CO2 Sensor required","")</f>
        <v/>
      </c>
      <c r="F70" s="236"/>
      <c r="G70" s="236"/>
    </row>
    <row r="71" spans="1:7" x14ac:dyDescent="0.3">
      <c r="A71" s="3" t="s">
        <v>268</v>
      </c>
      <c r="B71" s="12">
        <v>0.4</v>
      </c>
      <c r="C71" s="137"/>
      <c r="D71" s="3">
        <f t="shared" si="4"/>
        <v>0</v>
      </c>
      <c r="E71" s="234"/>
      <c r="F71" s="234"/>
      <c r="G71" s="234"/>
    </row>
    <row r="72" spans="1:7" x14ac:dyDescent="0.3">
      <c r="A72" s="3" t="s">
        <v>269</v>
      </c>
      <c r="B72" s="12">
        <v>0.4</v>
      </c>
      <c r="C72" s="137"/>
      <c r="D72" s="3">
        <f t="shared" si="4"/>
        <v>0</v>
      </c>
      <c r="E72" s="234"/>
      <c r="F72" s="234"/>
      <c r="G72" s="234"/>
    </row>
    <row r="73" spans="1:7" x14ac:dyDescent="0.3">
      <c r="A73" s="3" t="s">
        <v>270</v>
      </c>
      <c r="B73" s="12">
        <f>IF(I4="yes",0.15,0.25)</f>
        <v>0.25</v>
      </c>
      <c r="C73" s="137"/>
      <c r="D73" s="3">
        <f t="shared" si="4"/>
        <v>0</v>
      </c>
      <c r="E73" s="236" t="str">
        <f>IF(I4="yes","Title 24: CO2 Sensor required","")</f>
        <v/>
      </c>
      <c r="F73" s="236"/>
      <c r="G73" s="236"/>
    </row>
    <row r="74" spans="1:7" x14ac:dyDescent="0.3">
      <c r="A74" s="3" t="s">
        <v>271</v>
      </c>
      <c r="B74" s="12">
        <f>IF(I4="yes",0.2,0.25)</f>
        <v>0.25</v>
      </c>
      <c r="C74" s="137"/>
      <c r="D74" s="3">
        <f t="shared" si="4"/>
        <v>0</v>
      </c>
      <c r="E74" s="236" t="str">
        <f>IF(I4="yes","Title 24: CO2 Sensor required","")</f>
        <v/>
      </c>
      <c r="F74" s="236"/>
      <c r="G74" s="236"/>
    </row>
    <row r="75" spans="1:7" x14ac:dyDescent="0.3">
      <c r="A75" s="3" t="s">
        <v>272</v>
      </c>
      <c r="B75" s="12">
        <v>0.3</v>
      </c>
      <c r="C75" s="137"/>
      <c r="D75" s="3">
        <f t="shared" si="4"/>
        <v>0</v>
      </c>
      <c r="E75" s="234"/>
      <c r="F75" s="234"/>
      <c r="G75" s="234"/>
    </row>
    <row r="76" spans="1:7" x14ac:dyDescent="0.3">
      <c r="A76" s="235" t="s">
        <v>273</v>
      </c>
      <c r="B76" s="235"/>
      <c r="C76" s="235"/>
      <c r="D76" s="235"/>
      <c r="E76" s="235"/>
      <c r="F76" s="235"/>
      <c r="G76" s="235"/>
    </row>
    <row r="77" spans="1:7" x14ac:dyDescent="0.3">
      <c r="A77" s="3" t="s">
        <v>274</v>
      </c>
      <c r="B77" s="12">
        <f>IF(I4="yes",0.15,0.5)</f>
        <v>0.5</v>
      </c>
      <c r="C77" s="137"/>
      <c r="D77" s="3">
        <f t="shared" ref="D77:D87" si="5">SUM(B77*C77)</f>
        <v>0</v>
      </c>
      <c r="E77" s="236" t="str">
        <f>IF(I4="yes","Title 24: CO2 Sensor required","")</f>
        <v/>
      </c>
      <c r="F77" s="236"/>
      <c r="G77" s="236"/>
    </row>
    <row r="78" spans="1:7" x14ac:dyDescent="0.3">
      <c r="A78" s="3" t="s">
        <v>275</v>
      </c>
      <c r="B78" s="12">
        <f>IF(I4="yes",0.15,0.5)</f>
        <v>0.5</v>
      </c>
      <c r="C78" s="137"/>
      <c r="D78" s="3">
        <f t="shared" si="5"/>
        <v>0</v>
      </c>
      <c r="E78" s="236" t="str">
        <f>IF(I4="yes","Title 24: CO2 Sensor required","")</f>
        <v/>
      </c>
      <c r="F78" s="236"/>
      <c r="G78" s="236"/>
    </row>
    <row r="79" spans="1:7" x14ac:dyDescent="0.3">
      <c r="A79" s="3" t="s">
        <v>276</v>
      </c>
      <c r="B79" s="12">
        <v>0.15</v>
      </c>
      <c r="C79" s="137"/>
      <c r="D79" s="3">
        <f t="shared" si="5"/>
        <v>0</v>
      </c>
      <c r="E79" s="234"/>
      <c r="F79" s="234"/>
      <c r="G79" s="234"/>
    </row>
    <row r="80" spans="1:7" x14ac:dyDescent="0.3">
      <c r="A80" s="3" t="s">
        <v>277</v>
      </c>
      <c r="B80" s="12">
        <f>IF(I4="yes",0.15,0.5)</f>
        <v>0.5</v>
      </c>
      <c r="C80" s="137"/>
      <c r="D80" s="3">
        <f t="shared" si="5"/>
        <v>0</v>
      </c>
      <c r="E80" s="236" t="str">
        <f>IF(I4="yes","Title 24: CO2 Sensor required","")</f>
        <v/>
      </c>
      <c r="F80" s="236"/>
      <c r="G80" s="236"/>
    </row>
    <row r="81" spans="1:7" x14ac:dyDescent="0.3">
      <c r="A81" s="3" t="s">
        <v>278</v>
      </c>
      <c r="B81" s="12">
        <f>IF(I4="yes",0.15,1.5)</f>
        <v>1.5</v>
      </c>
      <c r="C81" s="137"/>
      <c r="D81" s="3">
        <f t="shared" si="5"/>
        <v>0</v>
      </c>
      <c r="E81" s="236" t="str">
        <f>IF(I4="yes","Title 24: CO2 Sensor required","")</f>
        <v/>
      </c>
      <c r="F81" s="236"/>
      <c r="G81" s="236"/>
    </row>
    <row r="82" spans="1:7" x14ac:dyDescent="0.3">
      <c r="A82" s="3" t="s">
        <v>279</v>
      </c>
      <c r="B82" s="12">
        <v>0.15</v>
      </c>
      <c r="C82" s="137"/>
      <c r="D82" s="3">
        <f t="shared" si="5"/>
        <v>0</v>
      </c>
      <c r="E82" s="234"/>
      <c r="F82" s="234"/>
      <c r="G82" s="234"/>
    </row>
    <row r="83" spans="1:7" x14ac:dyDescent="0.3">
      <c r="A83" s="3" t="s">
        <v>280</v>
      </c>
      <c r="B83" s="12">
        <v>0.15</v>
      </c>
      <c r="C83" s="137"/>
      <c r="D83" s="3">
        <f t="shared" si="5"/>
        <v>0</v>
      </c>
      <c r="E83" s="234"/>
      <c r="F83" s="234"/>
      <c r="G83" s="234"/>
    </row>
    <row r="84" spans="1:7" x14ac:dyDescent="0.3">
      <c r="A84" s="3" t="s">
        <v>281</v>
      </c>
      <c r="B84" s="12">
        <f>IF(I4="yes",0.15,1.07)</f>
        <v>1.07</v>
      </c>
      <c r="C84" s="137"/>
      <c r="D84" s="3">
        <f t="shared" si="5"/>
        <v>0</v>
      </c>
      <c r="E84" s="236" t="str">
        <f>IF(I4="yes","Title 24: CO2 Sensor required","")</f>
        <v/>
      </c>
      <c r="F84" s="236"/>
      <c r="G84" s="236"/>
    </row>
    <row r="85" spans="1:7" x14ac:dyDescent="0.3">
      <c r="A85" s="3" t="s">
        <v>282</v>
      </c>
      <c r="B85" s="12">
        <f>IF(I4="yes",0.15,0.68)</f>
        <v>0.68</v>
      </c>
      <c r="C85" s="137"/>
      <c r="D85" s="3">
        <f t="shared" si="5"/>
        <v>0</v>
      </c>
      <c r="E85" s="82" t="str">
        <f>IF(I4="yes","Title 24: CO2 Sensor required","")</f>
        <v/>
      </c>
      <c r="F85" s="82"/>
      <c r="G85" s="82"/>
    </row>
    <row r="86" spans="1:7" x14ac:dyDescent="0.3">
      <c r="A86" s="3" t="s">
        <v>283</v>
      </c>
      <c r="B86" s="12">
        <f>IF(I4="yes",0.15,0.68)</f>
        <v>0.68</v>
      </c>
      <c r="C86" s="137"/>
      <c r="D86" s="3">
        <f t="shared" si="5"/>
        <v>0</v>
      </c>
      <c r="E86" s="236" t="str">
        <f>IF(I4="yes","Title 24: CO2 Sensor required","")</f>
        <v/>
      </c>
      <c r="F86" s="236"/>
      <c r="G86" s="236"/>
    </row>
    <row r="87" spans="1:7" x14ac:dyDescent="0.3">
      <c r="A87" s="3" t="s">
        <v>284</v>
      </c>
      <c r="B87" s="12">
        <f>IF(I4="yes",0.15,0.5)</f>
        <v>0.5</v>
      </c>
      <c r="C87" s="137"/>
      <c r="D87" s="3">
        <f t="shared" si="5"/>
        <v>0</v>
      </c>
      <c r="E87" s="237" t="str">
        <f>IF(I4="yes","Title 24: CO2 Sensor required","")</f>
        <v/>
      </c>
      <c r="F87" s="237"/>
      <c r="G87" s="237"/>
    </row>
    <row r="88" spans="1:7" ht="15" thickBot="1" x14ac:dyDescent="0.35"/>
    <row r="89" spans="1:7" ht="15" thickBot="1" x14ac:dyDescent="0.35">
      <c r="C89" s="20" t="s">
        <v>285</v>
      </c>
      <c r="D89" s="166">
        <f>SUM(D4+D5+D6+D7+D8+D10+D11+D12+D13+D14+D15+D16+D17+D19+D20+D21+D22+D24+D25+D26+D27+D28+D30+D31+D32+D33+D34+D35+D37+D38+D39+D40+D41+D42+D44+D45+D46+D48+D49+D50+D51+D52+D53+D54+D55+D56+D58+D59+D60+D61+D62+D63+D64+D65+D69+D70+D71+D72+D73+D74+D75+D77+D78+D79+D80+D81+D82+D83+D84+D85+D86+D87)</f>
        <v>0</v>
      </c>
    </row>
  </sheetData>
  <mergeCells count="86">
    <mergeCell ref="A1:D1"/>
    <mergeCell ref="A29:G29"/>
    <mergeCell ref="A23:G23"/>
    <mergeCell ref="A3:G3"/>
    <mergeCell ref="E2:G2"/>
    <mergeCell ref="E4:G4"/>
    <mergeCell ref="E6:G6"/>
    <mergeCell ref="E5:G5"/>
    <mergeCell ref="E19:G19"/>
    <mergeCell ref="E15:G15"/>
    <mergeCell ref="A18:G18"/>
    <mergeCell ref="E14:G14"/>
    <mergeCell ref="E10:G10"/>
    <mergeCell ref="E11:G11"/>
    <mergeCell ref="E12:G12"/>
    <mergeCell ref="E13:G13"/>
    <mergeCell ref="E7:G7"/>
    <mergeCell ref="E8:G8"/>
    <mergeCell ref="E9:G9"/>
    <mergeCell ref="E16:G16"/>
    <mergeCell ref="E17:G17"/>
    <mergeCell ref="E87:G87"/>
    <mergeCell ref="E86:G86"/>
    <mergeCell ref="E84:G84"/>
    <mergeCell ref="E81:G81"/>
    <mergeCell ref="E80:G80"/>
    <mergeCell ref="E27:G27"/>
    <mergeCell ref="E28:G28"/>
    <mergeCell ref="E40:G40"/>
    <mergeCell ref="A36:G36"/>
    <mergeCell ref="E58:G58"/>
    <mergeCell ref="E54:G54"/>
    <mergeCell ref="E38:G38"/>
    <mergeCell ref="E37:G37"/>
    <mergeCell ref="E30:G30"/>
    <mergeCell ref="E31:G31"/>
    <mergeCell ref="E32:G32"/>
    <mergeCell ref="E33:G33"/>
    <mergeCell ref="E35:G35"/>
    <mergeCell ref="E39:G39"/>
    <mergeCell ref="E34:G34"/>
    <mergeCell ref="E53:G53"/>
    <mergeCell ref="E20:G20"/>
    <mergeCell ref="E21:G21"/>
    <mergeCell ref="E24:G24"/>
    <mergeCell ref="E25:G25"/>
    <mergeCell ref="E26:G26"/>
    <mergeCell ref="E22:G22"/>
    <mergeCell ref="E41:G41"/>
    <mergeCell ref="E42:G42"/>
    <mergeCell ref="E44:G44"/>
    <mergeCell ref="E45:G45"/>
    <mergeCell ref="E46:G46"/>
    <mergeCell ref="E47:G47"/>
    <mergeCell ref="A43:G43"/>
    <mergeCell ref="E48:G48"/>
    <mergeCell ref="E49:G49"/>
    <mergeCell ref="E50:G50"/>
    <mergeCell ref="E51:G51"/>
    <mergeCell ref="E52:G52"/>
    <mergeCell ref="A66:G66"/>
    <mergeCell ref="E55:G55"/>
    <mergeCell ref="E56:G56"/>
    <mergeCell ref="E62:G62"/>
    <mergeCell ref="E67:G67"/>
    <mergeCell ref="A57:G57"/>
    <mergeCell ref="E59:G59"/>
    <mergeCell ref="E65:G65"/>
    <mergeCell ref="E64:G64"/>
    <mergeCell ref="E63:G63"/>
    <mergeCell ref="E61:G61"/>
    <mergeCell ref="E60:G60"/>
    <mergeCell ref="E79:G79"/>
    <mergeCell ref="E82:G82"/>
    <mergeCell ref="E83:G83"/>
    <mergeCell ref="A76:G76"/>
    <mergeCell ref="A68:G68"/>
    <mergeCell ref="E71:G71"/>
    <mergeCell ref="E72:G72"/>
    <mergeCell ref="E78:G78"/>
    <mergeCell ref="E77:G77"/>
    <mergeCell ref="E74:G74"/>
    <mergeCell ref="E73:G73"/>
    <mergeCell ref="E70:G70"/>
    <mergeCell ref="E69:G69"/>
    <mergeCell ref="E75:G75"/>
  </mergeCells>
  <dataValidations count="1">
    <dataValidation type="list" allowBlank="1" showInputMessage="1" showErrorMessage="1" sqref="I4" xr:uid="{00000000-0002-0000-0400-000000000000}">
      <formula1>"Yes, No"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workbookViewId="0">
      <selection activeCell="E11" sqref="E11"/>
    </sheetView>
  </sheetViews>
  <sheetFormatPr defaultRowHeight="14.4" x14ac:dyDescent="0.3"/>
  <cols>
    <col min="4" max="4" width="12.5546875" customWidth="1"/>
  </cols>
  <sheetData>
    <row r="1" spans="1:12" ht="15" customHeight="1" x14ac:dyDescent="0.3">
      <c r="A1" s="250" t="s">
        <v>286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2"/>
    </row>
    <row r="2" spans="1:12" ht="45" customHeight="1" thickBot="1" x14ac:dyDescent="0.35">
      <c r="A2" s="183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253"/>
    </row>
    <row r="4" spans="1:12" ht="15" thickBot="1" x14ac:dyDescent="0.35"/>
    <row r="5" spans="1:12" ht="14.4" customHeight="1" x14ac:dyDescent="0.3">
      <c r="A5" s="260" t="s">
        <v>287</v>
      </c>
      <c r="B5" s="261"/>
      <c r="C5" s="261"/>
      <c r="D5" s="261"/>
      <c r="E5" s="262"/>
    </row>
    <row r="6" spans="1:12" x14ac:dyDescent="0.3">
      <c r="A6" s="254" t="s">
        <v>288</v>
      </c>
      <c r="B6" s="255"/>
      <c r="C6" s="255"/>
      <c r="D6" s="255"/>
      <c r="E6" s="256"/>
      <c r="F6" s="39"/>
      <c r="G6" s="39"/>
      <c r="H6" s="39"/>
      <c r="I6" s="39"/>
    </row>
    <row r="7" spans="1:12" x14ac:dyDescent="0.3">
      <c r="A7" s="254"/>
      <c r="B7" s="255"/>
      <c r="C7" s="255"/>
      <c r="D7" s="255"/>
      <c r="E7" s="256"/>
      <c r="F7" s="35"/>
      <c r="G7" s="35"/>
      <c r="H7" s="35"/>
      <c r="I7" s="35"/>
      <c r="J7" s="35"/>
      <c r="K7" s="35"/>
      <c r="L7" s="35"/>
    </row>
    <row r="8" spans="1:12" ht="15.75" customHeight="1" thickBot="1" x14ac:dyDescent="0.35">
      <c r="A8" s="257"/>
      <c r="B8" s="258"/>
      <c r="C8" s="258"/>
      <c r="D8" s="258"/>
      <c r="E8" s="259"/>
      <c r="F8" s="35"/>
      <c r="G8" s="35"/>
      <c r="H8" s="35"/>
      <c r="I8" s="35"/>
      <c r="J8" s="35"/>
      <c r="K8" s="35"/>
      <c r="L8" s="35"/>
    </row>
    <row r="9" spans="1:12" x14ac:dyDescent="0.3">
      <c r="F9" s="35"/>
      <c r="G9" s="35"/>
      <c r="H9" s="35"/>
      <c r="I9" s="35"/>
      <c r="J9" s="35"/>
      <c r="K9" s="35"/>
      <c r="L9" s="35"/>
    </row>
    <row r="10" spans="1:12" ht="15" thickBot="1" x14ac:dyDescent="0.35"/>
    <row r="11" spans="1:12" ht="14.4" customHeight="1" thickBot="1" x14ac:dyDescent="0.35">
      <c r="A11" s="263" t="s">
        <v>289</v>
      </c>
      <c r="B11" s="264"/>
      <c r="C11" s="264"/>
      <c r="D11" s="265"/>
      <c r="E11" s="33">
        <v>0</v>
      </c>
      <c r="F11" s="35"/>
      <c r="L11" s="35"/>
    </row>
    <row r="12" spans="1:12" ht="14.4" customHeight="1" thickBot="1" x14ac:dyDescent="0.35">
      <c r="A12" s="1"/>
      <c r="B12" s="1"/>
      <c r="C12" s="1"/>
      <c r="D12" s="1"/>
      <c r="E12" s="1"/>
    </row>
    <row r="13" spans="1:12" ht="15" thickBot="1" x14ac:dyDescent="0.35">
      <c r="A13" s="246" t="s">
        <v>290</v>
      </c>
      <c r="B13" s="247"/>
      <c r="C13" s="247"/>
      <c r="D13" s="248"/>
      <c r="E13" s="34">
        <f>SUM('Occupant Calculator'!D26)</f>
        <v>333.40000000000003</v>
      </c>
      <c r="F13" s="249" t="s">
        <v>291</v>
      </c>
      <c r="G13" s="249"/>
      <c r="H13" s="249"/>
      <c r="I13" s="249"/>
      <c r="J13" s="249"/>
      <c r="K13" s="249"/>
      <c r="L13" s="249"/>
    </row>
    <row r="14" spans="1:12" x14ac:dyDescent="0.3">
      <c r="A14" s="1"/>
      <c r="B14" s="1"/>
      <c r="C14" s="1"/>
      <c r="D14" s="1"/>
      <c r="E14" s="36"/>
      <c r="F14" s="249"/>
      <c r="G14" s="249"/>
      <c r="H14" s="249"/>
      <c r="I14" s="249"/>
      <c r="J14" s="249"/>
      <c r="K14" s="249"/>
      <c r="L14" s="249"/>
    </row>
    <row r="15" spans="1:12" ht="18.600000000000001" customHeight="1" thickBot="1" x14ac:dyDescent="0.35">
      <c r="A15" s="1"/>
      <c r="B15" s="1"/>
      <c r="C15" s="1"/>
      <c r="D15" s="1"/>
      <c r="F15" s="35"/>
      <c r="L15" s="35"/>
    </row>
    <row r="16" spans="1:12" ht="18.600000000000001" thickBot="1" x14ac:dyDescent="0.35">
      <c r="A16" s="246" t="s">
        <v>292</v>
      </c>
      <c r="B16" s="247"/>
      <c r="C16" s="247"/>
      <c r="D16" s="248"/>
      <c r="E16" s="37">
        <f>SUM(E11*0.15)</f>
        <v>0</v>
      </c>
    </row>
    <row r="17" spans="1:5" ht="18.600000000000001" thickBot="1" x14ac:dyDescent="0.35">
      <c r="A17" s="246" t="s">
        <v>293</v>
      </c>
      <c r="B17" s="247"/>
      <c r="C17" s="247"/>
      <c r="D17" s="248"/>
      <c r="E17" s="37">
        <f>SUM(E13*15)</f>
        <v>5001.0000000000009</v>
      </c>
    </row>
  </sheetData>
  <mergeCells count="8">
    <mergeCell ref="A16:D16"/>
    <mergeCell ref="A17:D17"/>
    <mergeCell ref="F13:L14"/>
    <mergeCell ref="A1:L2"/>
    <mergeCell ref="A6:E8"/>
    <mergeCell ref="A5:E5"/>
    <mergeCell ref="A13:D13"/>
    <mergeCell ref="A11:D11"/>
  </mergeCells>
  <conditionalFormatting sqref="E16">
    <cfRule type="cellIs" dxfId="17" priority="35" operator="equal">
      <formula>$E$17</formula>
    </cfRule>
    <cfRule type="cellIs" dxfId="16" priority="36" operator="lessThan">
      <formula>$E$17</formula>
    </cfRule>
    <cfRule type="cellIs" dxfId="15" priority="37" operator="greaterThan">
      <formula>$E$17</formula>
    </cfRule>
  </conditionalFormatting>
  <conditionalFormatting sqref="E16:E17">
    <cfRule type="cellIs" dxfId="14" priority="1" operator="lessThan">
      <formula>#REF!</formula>
    </cfRule>
  </conditionalFormatting>
  <conditionalFormatting sqref="E17">
    <cfRule type="cellIs" dxfId="13" priority="46" operator="lessThan">
      <formula>$E$16</formula>
    </cfRule>
    <cfRule type="cellIs" dxfId="12" priority="47" operator="lessThan">
      <formula>#REF!</formula>
    </cfRule>
    <cfRule type="cellIs" dxfId="11" priority="48" operator="greaterThan">
      <formula>#REF!</formula>
    </cfRule>
    <cfRule type="cellIs" dxfId="10" priority="49" operator="lessThan">
      <formula>$E$16</formula>
    </cfRule>
    <cfRule type="cellIs" dxfId="9" priority="50" operator="lessThan">
      <formula>#REF!</formula>
    </cfRule>
    <cfRule type="cellIs" dxfId="8" priority="51" operator="equal">
      <formula>#REF!</formula>
    </cfRule>
    <cfRule type="cellIs" dxfId="7" priority="52" operator="lessThan">
      <formula>$E$16</formula>
    </cfRule>
    <cfRule type="cellIs" dxfId="6" priority="53" operator="equal">
      <formula>$E$17</formula>
    </cfRule>
    <cfRule type="cellIs" dxfId="5" priority="54" operator="lessThan">
      <formula>$E$16</formula>
    </cfRule>
    <cfRule type="cellIs" dxfId="4" priority="55" operator="greaterThan">
      <formula>$E$16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8"/>
  <sheetViews>
    <sheetView workbookViewId="0">
      <selection activeCell="A3" sqref="A3"/>
    </sheetView>
  </sheetViews>
  <sheetFormatPr defaultRowHeight="14.4" x14ac:dyDescent="0.3"/>
  <cols>
    <col min="1" max="1" width="10.88671875" customWidth="1"/>
    <col min="3" max="3" width="19.6640625" customWidth="1"/>
    <col min="4" max="4" width="14.44140625" customWidth="1"/>
    <col min="5" max="5" width="13.33203125" customWidth="1"/>
    <col min="7" max="7" width="13.33203125" customWidth="1"/>
    <col min="9" max="9" width="14.33203125" customWidth="1"/>
    <col min="15" max="15" width="12.88671875" customWidth="1"/>
    <col min="16" max="16" width="10.109375" customWidth="1"/>
    <col min="17" max="17" width="10.44140625" customWidth="1"/>
    <col min="18" max="18" width="16.109375" customWidth="1"/>
    <col min="24" max="24" width="0" hidden="1" customWidth="1"/>
  </cols>
  <sheetData>
    <row r="1" spans="1:24" ht="16.2" thickBot="1" x14ac:dyDescent="0.35">
      <c r="A1" s="169" t="s">
        <v>106</v>
      </c>
      <c r="B1" s="170"/>
      <c r="C1" s="170"/>
      <c r="D1" s="170"/>
      <c r="E1" s="171"/>
      <c r="K1" s="272" t="s">
        <v>294</v>
      </c>
      <c r="L1" s="273"/>
      <c r="M1" s="273"/>
      <c r="N1" s="273"/>
      <c r="O1" s="273"/>
      <c r="P1" s="274"/>
    </row>
    <row r="2" spans="1:24" ht="29.4" thickBot="1" x14ac:dyDescent="0.35">
      <c r="A2" s="13" t="s">
        <v>116</v>
      </c>
      <c r="B2" s="68" t="s">
        <v>117</v>
      </c>
      <c r="C2" s="13" t="s">
        <v>118</v>
      </c>
      <c r="D2" s="13" t="s">
        <v>119</v>
      </c>
      <c r="E2" s="68" t="s">
        <v>120</v>
      </c>
      <c r="G2" s="275" t="s">
        <v>295</v>
      </c>
      <c r="H2" s="276"/>
      <c r="I2" s="277"/>
      <c r="K2" s="13" t="s">
        <v>121</v>
      </c>
      <c r="L2" s="13" t="s">
        <v>296</v>
      </c>
      <c r="M2" s="13" t="s">
        <v>123</v>
      </c>
      <c r="N2" s="13" t="s">
        <v>124</v>
      </c>
      <c r="O2" s="13" t="s">
        <v>125</v>
      </c>
      <c r="P2" s="13" t="s">
        <v>297</v>
      </c>
      <c r="R2" s="206" t="s">
        <v>126</v>
      </c>
      <c r="S2" s="207"/>
      <c r="X2">
        <f>IF(C3="F.A.D.",(B3*E3),0)+IF(C3="C.R.V.",((B3*(E3/2)))+IF(C3="ECONOMIZER",((B3*(-E3))),0))+IF(C4="F.A.D.",(B4*E4),0)+IF(C4="C.R.V.",((B4*(E4/2)))+IF(C4="ECONOMIZER",((B4*(-E4))),0))+IF(C5="F.A.D.",(B5*E5),0)+IF(C5="C.R.V.",((B5*(E5/2)))+IF(C5="ECONOMIZER",((B5*(-E5))),0))+IF(C6="F.A.D.",(B6*E6),0)+IF(C6="C.R.V.",((B6*(E6/2)))+IF(C6="ECONOMIZER",((B6*(-E6))),0))+IF(C7="F.A.D.",(B7*E7),0)+IF(C7="C.R.V.",((B7*(E7/2)))+IF(C7="ECONOMIZER",((B7*(-E7))),0))+IF(C3="ERV",(B3*(E3-12000)),0)+IF(AND(C3="ERV",(OR(A3="1.5 TON",A3="2 TON"))),B3*(E3-7500),IF(AND(C3="ERV",(OR(A3="2.5 TON",A3="3 TON"))),B3*(E3-12000),IF(AND(C3="ERV",(OR(A3="3.5 TON",A3="4 TON",A3="5 TON"))),B3*(E3-13500),0)))+IF(AND(C4="ERV",(OR(A4="1.5 TON",A4="2 TON"))),B4*(E4-7500),IF(AND(C4="ERV",(OR(A4="2.5 TON",A4="3 TON"))),B4*(E4-12000),IF(AND(C4="ERV",(OR(A4="3.5 TON",A4="4 TON",A4="5 TON"))),B4*(E4-13500),0)))+IF(AND(C5="ERV",(OR(A5="1.5 TON",A5="2 TON"))),B5*(E5-7500),IF(AND(C5="ERV",(OR(A5="2.5 TON",A5="3 TON"))),B5*(E5-12000),IF(AND(C5="ERV",(OR(A5="3.5 TON",A5="4 TON",A5="5 TON"))),B5*(E5-13500),0)))+IF(AND(C6="ERV",(OR(A6="1.5 TON",A6="2 TON"))),B6*(E6-7500),IF(AND(C6="ERV",(OR(A6="2.5 TON",A6="3 TON"))),B6*(E6-12000),IF(AND(C6="ERV",(OR(A6="3.5 TON",A6="4 TON",A6="5 TON"))),B6*(E6-13500),0)))+IF(AND(C7="ERV",(OR(A7="1.5 TON",A7="2 TON"))),B7*(E7-7500),IF(AND(C7="ERV",(OR(A7="2.5 TON",A7="3 TON"))),B7*(E7-12000),IF(AND(C7="ERV",(OR(A7="3.5 TON",A7="4 TON",A7="5 TON"))),B7*(E7-13500),0)))</f>
        <v>0</v>
      </c>
    </row>
    <row r="3" spans="1:24" ht="15" thickBot="1" x14ac:dyDescent="0.35">
      <c r="A3" s="152" t="s">
        <v>149</v>
      </c>
      <c r="B3" s="144">
        <v>0</v>
      </c>
      <c r="C3" s="153" t="s">
        <v>123</v>
      </c>
      <c r="D3" s="43">
        <f>INDEX(M3:P10,MATCH(A3,HVACsizeUMC,0),MATCH(C3,M2:P2,0))*B3</f>
        <v>0</v>
      </c>
      <c r="E3" s="57">
        <f>IF(AND(B3&gt;0,A3="1 TON"),"12,000",IF(AND(B3&gt;0,A3="1.5 TON"),"18,000",IF(AND(B3&gt;0,A3="2 TON"),"24,000",IF(AND(B3&gt;0,A3="2.5 TON"),"30,000",IF(AND(B3&gt;0,A3="3 TON"),"36,000",IF(AND(B3&gt;0,A3="3.5 TON"),"42,000",IF(AND(B3&gt;0,A3="4 TON"),"48,000",IF(AND(B3&gt;0,A3="5 TON"),"60,000",0))))))))</f>
        <v>0</v>
      </c>
      <c r="G3" s="65" t="s">
        <v>298</v>
      </c>
      <c r="H3" s="278" t="s">
        <v>299</v>
      </c>
      <c r="I3" s="279"/>
      <c r="K3" s="17" t="s">
        <v>131</v>
      </c>
      <c r="L3" s="42">
        <v>0</v>
      </c>
      <c r="M3" s="43">
        <v>0</v>
      </c>
      <c r="N3" s="43">
        <v>0</v>
      </c>
      <c r="O3" s="43">
        <v>0</v>
      </c>
      <c r="P3" s="44">
        <v>0</v>
      </c>
      <c r="R3" s="51" t="s">
        <v>132</v>
      </c>
      <c r="S3" s="159">
        <v>0</v>
      </c>
    </row>
    <row r="4" spans="1:24" ht="15" thickBot="1" x14ac:dyDescent="0.35">
      <c r="A4" s="154" t="s">
        <v>131</v>
      </c>
      <c r="B4" s="145">
        <v>0</v>
      </c>
      <c r="C4" s="137" t="s">
        <v>123</v>
      </c>
      <c r="D4" s="46">
        <f>INDEX(M3:P10,MATCH(A4,HVACsizeUMC,0),MATCH(C4,M2:P2,0))*B4</f>
        <v>0</v>
      </c>
      <c r="E4" s="57">
        <f>IF(AND(B4&gt;0,A4="1 TON"),"12,000",IF(AND(B4&gt;0,A4="1.5 TON"),"18,000",IF(AND(B4&gt;0,A4="2 TON"),"24,000",IF(AND(B4&gt;0,A4="2.5 TON"),"30,000",IF(AND(B4&gt;0,A4="3 TON"),"36,000",IF(AND(B4&gt;0,A4="3.5 TON"),"42,000",IF(AND(B4&gt;0,A4="4 TON"),"48,000",IF(AND(B4&gt;0,A4="5 TON"),"60,000",0))))))))</f>
        <v>0</v>
      </c>
      <c r="G4" s="266" t="s">
        <v>300</v>
      </c>
      <c r="H4" s="267"/>
      <c r="I4" s="268"/>
      <c r="K4" s="16" t="s">
        <v>130</v>
      </c>
      <c r="L4" s="45">
        <v>600</v>
      </c>
      <c r="M4" s="46">
        <f t="shared" ref="M4:M10" si="0">SUM(L4*0.25)</f>
        <v>150</v>
      </c>
      <c r="N4" s="46">
        <f t="shared" ref="N4:N10" si="1">SUM(L4*0.5)</f>
        <v>300</v>
      </c>
      <c r="O4" s="46">
        <f t="shared" ref="O4:O10" si="2">SUM(L4*1)</f>
        <v>600</v>
      </c>
      <c r="P4" s="141">
        <v>250</v>
      </c>
      <c r="R4" s="50" t="s">
        <v>136</v>
      </c>
      <c r="S4" s="63">
        <f>SUM( S3*3.412142)</f>
        <v>0</v>
      </c>
    </row>
    <row r="5" spans="1:24" ht="15" thickBot="1" x14ac:dyDescent="0.35">
      <c r="A5" s="154" t="s">
        <v>131</v>
      </c>
      <c r="B5" s="145">
        <v>0</v>
      </c>
      <c r="C5" s="137" t="s">
        <v>123</v>
      </c>
      <c r="D5" s="46">
        <f>INDEX(M3:P10,MATCH(A5,HVACsizeUMC,0),MATCH(C5,M2:P2,0))*B5</f>
        <v>0</v>
      </c>
      <c r="E5" s="57">
        <f>IF(AND(B5&gt;0,A5="1 TON"),"12,000",IF(AND(B5&gt;0,A5="1.5 TON"),"18,000",IF(AND(B5&gt;0,A5="2 TON"),"24,000",IF(AND(B5&gt;0,A5="2.5 TON"),"30,000",IF(AND(B5&gt;0,A5="3 TON"),"36,000",IF(AND(B5&gt;0,A5="3.5 TON"),"42,000",IF(AND(B5&gt;0,A5="4 TON"),"48,000",IF(AND(B5&gt;0,A5="5 TON"),"60,000",0))))))))</f>
        <v>0</v>
      </c>
      <c r="G5" s="269"/>
      <c r="H5" s="270"/>
      <c r="I5" s="271"/>
      <c r="K5" s="16" t="s">
        <v>142</v>
      </c>
      <c r="L5" s="45">
        <v>800</v>
      </c>
      <c r="M5" s="46">
        <f t="shared" si="0"/>
        <v>200</v>
      </c>
      <c r="N5" s="46">
        <f t="shared" si="1"/>
        <v>400</v>
      </c>
      <c r="O5" s="46">
        <f t="shared" si="2"/>
        <v>800</v>
      </c>
      <c r="P5" s="141">
        <v>250</v>
      </c>
    </row>
    <row r="6" spans="1:24" x14ac:dyDescent="0.3">
      <c r="A6" s="154" t="s">
        <v>131</v>
      </c>
      <c r="B6" s="145">
        <v>0</v>
      </c>
      <c r="C6" s="137" t="s">
        <v>123</v>
      </c>
      <c r="D6" s="46">
        <f>INDEX(M3:P10,MATCH(A6,HVACsizeUMC,0),MATCH(C6,M2:P2,0))*B6</f>
        <v>0</v>
      </c>
      <c r="E6" s="57">
        <f>IF(AND(B6&gt;0,A6="1 TON"),"12,000",IF(AND(B6&gt;0,A6="1.5 TON"),"18,000",IF(AND(B6&gt;0,A6="2 TON"),"24,000",IF(AND(B6&gt;0,A6="2.5 TON"),"30,000",IF(AND(B6&gt;0,A6="3 TON"),"36,000",IF(AND(B6&gt;0,A6="3.5 TON"),"42,000",IF(AND(B6&gt;0,A6="4 TON"),"48,000",IF(AND(B6&gt;0,A6="5 TON"),"60,000",0))))))))</f>
        <v>0</v>
      </c>
      <c r="K6" s="16" t="s">
        <v>145</v>
      </c>
      <c r="L6" s="45">
        <v>950</v>
      </c>
      <c r="M6" s="46">
        <f t="shared" si="0"/>
        <v>237.5</v>
      </c>
      <c r="N6" s="46">
        <f t="shared" si="1"/>
        <v>475</v>
      </c>
      <c r="O6" s="46">
        <f t="shared" si="2"/>
        <v>950</v>
      </c>
      <c r="P6" s="141">
        <v>400</v>
      </c>
    </row>
    <row r="7" spans="1:24" ht="15" thickBot="1" x14ac:dyDescent="0.35">
      <c r="A7" s="155" t="s">
        <v>131</v>
      </c>
      <c r="B7" s="147">
        <v>0</v>
      </c>
      <c r="C7" s="156" t="s">
        <v>123</v>
      </c>
      <c r="D7" s="41">
        <f>INDEX(M3:P10,MATCH(A7,HVACsizeUMC,0),MATCH(C7,M2:P2,0))*B7</f>
        <v>0</v>
      </c>
      <c r="E7" s="58">
        <f>IF(AND(B7&gt;0,A7="1 TON"),"12,000",IF(AND(B7&gt;0,A7="1.5 TON"),"18,000",IF(AND(B7&gt;0,A7="2 TON"),"24,000",IF(AND(B7&gt;0,A7="2.5 TON"),"30,000",IF(AND(B7&gt;0,A7="3 TON"),"36,000",IF(AND(B7&gt;0,A7="3.5 TON"),"42,000",IF(AND(B7&gt;0,A7="4 TON"),"48,000",IF(AND(B7&gt;0,A7="5 TON"),"60000",0))))))))</f>
        <v>0</v>
      </c>
      <c r="K7" s="16" t="s">
        <v>149</v>
      </c>
      <c r="L7" s="45">
        <v>1150</v>
      </c>
      <c r="M7" s="46">
        <f t="shared" si="0"/>
        <v>287.5</v>
      </c>
      <c r="N7" s="46">
        <f t="shared" si="1"/>
        <v>575</v>
      </c>
      <c r="O7" s="46">
        <f t="shared" si="2"/>
        <v>1150</v>
      </c>
      <c r="P7" s="141">
        <v>400</v>
      </c>
    </row>
    <row r="8" spans="1:24" x14ac:dyDescent="0.3">
      <c r="C8" t="str">
        <f>IF(AND(B3&gt;0,A3="5 TON"),"ECONOMIZER REQUIRED @ 5 TON",IF(AND(B4&gt;0,A4="5 TON"),"ECONOMIZER REQUIRED @ 5 TON",IF(AND(B5&gt;0,A5="5 TON"),"ECONOMIZER REQUIRED @ 5 TON",IF(AND(B6&gt;0,A6="5 TON"),"ECONOMIZER REQUIRED @ 5 TON",IF(AND(B7&gt;0,A7="5 TON"),"ECONOMIZER REQUIRED @ 5 TON","NO ADD'L VENTILATION REQUIRED")))))</f>
        <v>NO ADD'L VENTILATION REQUIRED</v>
      </c>
      <c r="K8" s="16" t="s">
        <v>153</v>
      </c>
      <c r="L8" s="45">
        <v>1350</v>
      </c>
      <c r="M8" s="46">
        <f t="shared" si="0"/>
        <v>337.5</v>
      </c>
      <c r="N8" s="46">
        <f t="shared" si="1"/>
        <v>675</v>
      </c>
      <c r="O8" s="46">
        <f t="shared" si="2"/>
        <v>1350</v>
      </c>
      <c r="P8" s="141">
        <v>450</v>
      </c>
    </row>
    <row r="9" spans="1:24" ht="14.4" customHeight="1" x14ac:dyDescent="0.3">
      <c r="K9" s="16" t="s">
        <v>157</v>
      </c>
      <c r="L9" s="45">
        <v>1550</v>
      </c>
      <c r="M9" s="46">
        <f t="shared" si="0"/>
        <v>387.5</v>
      </c>
      <c r="N9" s="46">
        <f t="shared" si="1"/>
        <v>775</v>
      </c>
      <c r="O9" s="46">
        <f t="shared" si="2"/>
        <v>1550</v>
      </c>
      <c r="P9" s="141">
        <v>450</v>
      </c>
    </row>
    <row r="10" spans="1:24" ht="15" thickBot="1" x14ac:dyDescent="0.35">
      <c r="K10" s="30" t="s">
        <v>160</v>
      </c>
      <c r="L10" s="48">
        <v>1750</v>
      </c>
      <c r="M10" s="41">
        <f t="shared" si="0"/>
        <v>437.5</v>
      </c>
      <c r="N10" s="41">
        <f t="shared" si="1"/>
        <v>875</v>
      </c>
      <c r="O10" s="41">
        <f t="shared" si="2"/>
        <v>1750</v>
      </c>
      <c r="P10" s="142">
        <v>450</v>
      </c>
    </row>
    <row r="11" spans="1:24" ht="15" customHeight="1" x14ac:dyDescent="0.3">
      <c r="K11" s="225" t="s">
        <v>301</v>
      </c>
      <c r="L11" s="225"/>
      <c r="M11" s="225"/>
      <c r="N11" s="225"/>
      <c r="O11" s="225"/>
      <c r="P11" s="225"/>
      <c r="Q11" s="36"/>
      <c r="R11" s="66"/>
      <c r="S11" s="66"/>
    </row>
    <row r="12" spans="1:24" ht="15" thickBot="1" x14ac:dyDescent="0.35">
      <c r="A12" s="53"/>
      <c r="B12" s="53"/>
      <c r="C12" s="54"/>
      <c r="D12" s="55"/>
      <c r="E12" s="56"/>
      <c r="F12" s="56"/>
      <c r="G12" s="56"/>
      <c r="K12" s="226"/>
      <c r="L12" s="226"/>
      <c r="M12" s="226"/>
      <c r="N12" s="226"/>
      <c r="O12" s="226"/>
      <c r="P12" s="226"/>
    </row>
    <row r="13" spans="1:24" ht="28.2" customHeight="1" thickBot="1" x14ac:dyDescent="0.35">
      <c r="A13" s="68" t="s">
        <v>164</v>
      </c>
      <c r="B13" s="68" t="s">
        <v>165</v>
      </c>
      <c r="C13" s="13" t="s">
        <v>166</v>
      </c>
      <c r="D13" s="85" t="s">
        <v>167</v>
      </c>
      <c r="E13" s="206" t="s">
        <v>169</v>
      </c>
      <c r="F13" s="219"/>
      <c r="G13" s="219"/>
      <c r="H13" s="207"/>
      <c r="I13" s="35"/>
      <c r="J13" s="35"/>
      <c r="K13" s="35"/>
      <c r="L13" s="35"/>
      <c r="M13" s="35"/>
      <c r="N13" s="35"/>
    </row>
    <row r="14" spans="1:24" ht="29.4" customHeight="1" thickBot="1" x14ac:dyDescent="0.35">
      <c r="A14" s="67">
        <f>SUM(D3:D7)</f>
        <v>0</v>
      </c>
      <c r="B14" s="69">
        <f>'CA Outisde Air'!D89</f>
        <v>0</v>
      </c>
      <c r="C14" s="70" t="str">
        <f>IF(A14&gt;B14,"NO ADD'L NEEDED",IF(A14&lt;B14,(B14-A14),""))</f>
        <v/>
      </c>
      <c r="D14" s="143">
        <f>IF(B3&gt;0,(E3*B3),0)+IF(B4&gt;0,(E4*B4),0)+IF(B5&gt;0,(E5*B5),0)+IF(B6&gt;0,(E6*B6),0)+IF(B7&gt;0,(E7*B7),0)</f>
        <v>0</v>
      </c>
      <c r="E14" s="169" t="str">
        <f>IF(AND(B3&gt;0,A3="5 TON"),"ECONOMIZER REQUIRED @ 5 TON",IF(AND(B4&gt;0,A4="5 TON"),"ECONOMIZER REQUIRED @ 5 TON",IF(AND(B5&gt;0,A5="5 TON"),"ECONOMIZER REQUIRED @ 5 TON",IF(AND(B6&gt;0,A6="5 TON"),"ECONOMIZER REQUIRED @ 5 TON",IF(AND(B7&gt;0,A7="5 TON"),"ECONOMIZER REQUIRED @ 5 TON",IF(AND(AND(B3&gt;0),(C3="F.A.D."),(OR(A3="3 TON",A3="3.5 TON",A3="4 TON",A3="5 TON"))),"ECONOMIZER REQUIRED @ UNIT(S) W/O ERV",IF(AND(AND(B3&gt;0),(C3="C.R.V."),(OR(A3="3 TON",A3="3.5 TON",A3="4 TON",A3="5 TON"))),"ECONOMIZER REQUIRED @ UNIT(S) W/O ERV",IF(AND(AND(B3&gt;0),(C3="ERV"),A3="5 TON"),"ECONOMIZER REQUIRED @ 5 TON",IF(AND(AND(B4&gt;0),(C4="F.A.D."),(OR(A4="3 TON",A4="3.5 TON",A4="4 TON",A4="5 TON"))),"ECONOMIZER REQUIRED @ UNIT(S) W/O ERV",IF(AND(AND(B4&gt;0),(C4="C.R.V."),(OR(A4="3 TON",A4="3.5 TON",A4="4 TON",A4="5 TON"))),"ECONOMIZER REQUIRED @ UNIT(S) W/O ERV",IF(AND(AND(B4&gt;0),(C4="ERV"),A4="5 TON"),"ECONOMIZER REQUIRED @ 5 TON",IF(AND(AND(B5&gt;0),(C5="F.A.D."),(OR(A5="3 TON",A5="3.5 TON",A5="4 TON",A5="5 TON"))),"ECONOMIZER REQUIRED @ UNIT(S) W/O ERV",IF(AND(AND(B5&gt;0),(C5="C.R.V."),(OR(A5="3 TON",A5="3.5 TON",A5="4 TON",A5="5 TON"))),"ECONOMIZER REQUIRED @ UNIT(S) W/O ERV",IF(AND(AND(B5&gt;0),(C5="ERV"),A5="5 TON"),"ECONOMIZER REQUIRED @ 5 TON",IF(AND(AND(B6&gt;0),(C6="F.A.D."),(OR(A6="3 TON",A6="3.5 TON",A6="4 TON",A6="5 TON"))),"ECONOMIZER REQUIRED @ UNIT(S) W/O ERV",IF(AND(AND(B6&gt;0),(C6="C.R.V."),(OR(A6="3 TON",A6="3.5 TON",A6="4 TON",A6="5 TON"))),"ECONOMIZER REQUIRED @ UNIT(S) W/O ERV",IF(AND(AND(B6&gt;0),(C6="ERV"),A6="5 TON"),"ECONOMIZER REQUIRED @ 5 TON",IF(AND(AND(B7&gt;0),(C7="F.A.D."),(OR(A7="3 TON",A7="3.5 TON",A7="4 TON",A7="5 TON"))),"ECONOMIZER REQUIRED @ UNIT(S) W/O ERV",IF(AND(AND(B7&gt;0),(C7="C.R.V."),(OR(A7="3 TON",A7="3.5 TON",A7="4 TON",A7="5 TON"))),"ECONOMIZER REQUIRED @ UNIT(S) W/O ERV",IF(AND(AND(B7&gt;0),(C7="ERV"),A7="5 TON"),"ECONOMIZER REQUIRED @ 5 TON","NO ADD'L VENTILATION REQUIRED"))))))))))))))))))))</f>
        <v>NO ADD'L VENTILATION REQUIRED</v>
      </c>
      <c r="F14" s="170"/>
      <c r="G14" s="170"/>
      <c r="H14" s="171"/>
    </row>
    <row r="15" spans="1:24" x14ac:dyDescent="0.3">
      <c r="K15" s="15"/>
      <c r="L15" s="15"/>
      <c r="M15" s="15"/>
    </row>
    <row r="16" spans="1:24" ht="15" thickBot="1" x14ac:dyDescent="0.35">
      <c r="A16" s="15" t="s">
        <v>174</v>
      </c>
      <c r="B16" s="15"/>
      <c r="C16" s="15"/>
      <c r="D16" s="15"/>
      <c r="E16" s="15"/>
      <c r="F16" s="15"/>
      <c r="G16" s="15"/>
      <c r="H16" s="15"/>
      <c r="I16" s="15"/>
      <c r="J16" s="15"/>
      <c r="K16" s="1"/>
      <c r="L16" s="1"/>
      <c r="M16" s="1"/>
    </row>
    <row r="17" spans="1:13" x14ac:dyDescent="0.3">
      <c r="A17" s="172" t="s">
        <v>302</v>
      </c>
      <c r="B17" s="173"/>
      <c r="C17" s="173"/>
      <c r="D17" s="173"/>
      <c r="E17" s="173"/>
      <c r="F17" s="173"/>
      <c r="G17" s="173"/>
      <c r="H17" s="173"/>
      <c r="I17" s="173"/>
      <c r="J17" s="174"/>
      <c r="K17" s="1"/>
      <c r="L17" s="1"/>
      <c r="M17" s="1"/>
    </row>
    <row r="18" spans="1:13" ht="15" thickBot="1" x14ac:dyDescent="0.35">
      <c r="A18" s="180" t="s">
        <v>303</v>
      </c>
      <c r="B18" s="181"/>
      <c r="C18" s="181"/>
      <c r="D18" s="181"/>
      <c r="E18" s="181"/>
      <c r="F18" s="181"/>
      <c r="G18" s="181"/>
      <c r="H18" s="181"/>
      <c r="I18" s="181"/>
      <c r="J18" s="182"/>
    </row>
  </sheetData>
  <mergeCells count="11">
    <mergeCell ref="A1:E1"/>
    <mergeCell ref="R2:S2"/>
    <mergeCell ref="E14:H14"/>
    <mergeCell ref="A17:J17"/>
    <mergeCell ref="A18:J18"/>
    <mergeCell ref="E13:H13"/>
    <mergeCell ref="G4:I5"/>
    <mergeCell ref="K1:P1"/>
    <mergeCell ref="K11:P12"/>
    <mergeCell ref="G2:I2"/>
    <mergeCell ref="H3:I3"/>
  </mergeCells>
  <conditionalFormatting sqref="C14">
    <cfRule type="cellIs" dxfId="3" priority="1" operator="greaterThan">
      <formula>$B$14&gt;$A$14</formula>
    </cfRule>
  </conditionalFormatting>
  <conditionalFormatting sqref="E14">
    <cfRule type="cellIs" dxfId="2" priority="2" operator="greaterThan">
      <formula>$D$14&gt;300000</formula>
    </cfRule>
  </conditionalFormatting>
  <dataValidations count="2">
    <dataValidation type="list" allowBlank="1" showInputMessage="1" showErrorMessage="1" sqref="C3:C7" xr:uid="{00000000-0002-0000-0600-000000000000}">
      <formula1>$M$2:$P$2</formula1>
    </dataValidation>
    <dataValidation type="list" allowBlank="1" showInputMessage="1" showErrorMessage="1" sqref="A3:A7" xr:uid="{00000000-0002-0000-0600-000001000000}">
      <formula1>$K$3:$K$10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8"/>
  <sheetViews>
    <sheetView workbookViewId="0">
      <selection activeCell="A3" sqref="A3"/>
    </sheetView>
  </sheetViews>
  <sheetFormatPr defaultRowHeight="14.4" x14ac:dyDescent="0.3"/>
  <cols>
    <col min="1" max="1" width="12.88671875" customWidth="1"/>
    <col min="3" max="3" width="19.6640625" customWidth="1"/>
    <col min="4" max="4" width="12.88671875" customWidth="1"/>
    <col min="5" max="5" width="13" customWidth="1"/>
    <col min="7" max="7" width="13.33203125" customWidth="1"/>
    <col min="12" max="12" width="13.44140625" customWidth="1"/>
    <col min="14" max="14" width="10.6640625" customWidth="1"/>
    <col min="16" max="16" width="17.5546875" customWidth="1"/>
    <col min="17" max="17" width="13" customWidth="1"/>
    <col min="18" max="18" width="13.33203125" customWidth="1"/>
  </cols>
  <sheetData>
    <row r="1" spans="1:18" ht="16.2" thickBot="1" x14ac:dyDescent="0.35">
      <c r="A1" s="169" t="s">
        <v>192</v>
      </c>
      <c r="B1" s="170"/>
      <c r="C1" s="170"/>
      <c r="D1" s="170"/>
      <c r="E1" s="171"/>
      <c r="H1" s="231" t="s">
        <v>193</v>
      </c>
      <c r="I1" s="232"/>
      <c r="J1" s="232"/>
      <c r="K1" s="232"/>
      <c r="L1" s="233"/>
    </row>
    <row r="2" spans="1:18" ht="45.75" customHeight="1" thickBot="1" x14ac:dyDescent="0.35">
      <c r="A2" s="13" t="s">
        <v>116</v>
      </c>
      <c r="B2" s="68" t="s">
        <v>117</v>
      </c>
      <c r="C2" s="13" t="s">
        <v>304</v>
      </c>
      <c r="D2" s="13" t="s">
        <v>119</v>
      </c>
      <c r="E2" s="68" t="s">
        <v>120</v>
      </c>
      <c r="H2" s="13" t="s">
        <v>121</v>
      </c>
      <c r="I2" s="13" t="s">
        <v>296</v>
      </c>
      <c r="J2" s="13" t="s">
        <v>123</v>
      </c>
      <c r="K2" s="13" t="s">
        <v>124</v>
      </c>
      <c r="L2" s="13" t="s">
        <v>125</v>
      </c>
      <c r="N2" s="206" t="s">
        <v>126</v>
      </c>
      <c r="O2" s="207"/>
      <c r="P2" s="1"/>
      <c r="Q2" s="35"/>
      <c r="R2" s="1"/>
    </row>
    <row r="3" spans="1:18" x14ac:dyDescent="0.3">
      <c r="A3" s="160" t="s">
        <v>149</v>
      </c>
      <c r="B3" s="144">
        <v>1</v>
      </c>
      <c r="C3" s="161" t="s">
        <v>123</v>
      </c>
      <c r="D3" s="43">
        <f>INDEX(CFMtableDaikinUMC,MATCH(A3,HVACsizeDaikinUMC,0),MATCH(C3,VENTtypeDaikinUMC,0))*B3</f>
        <v>298.75</v>
      </c>
      <c r="E3" s="89" t="str">
        <f>IF(AND(B3&gt;0,A3="1 TON"),"12,000",IF(AND(B3&gt;0,A3="1.5 TON"),"18,000",IF(AND(B3&gt;0,A3="2 TON"),"24,000",IF(AND(B3&gt;0,A3="2.5 TON"),"30,000",IF(AND(B3&gt;0,A3="3 TON"),"36,000",IF(AND(B3&gt;0,A3="3.5 TON"),"42,000",IF(AND(B3&gt;0,A3="4 TON"),"48,000",IF(AND(B3&gt;0,A3="5 TON"),"60,000",0))))))))</f>
        <v>36,000</v>
      </c>
      <c r="H3" s="17" t="s">
        <v>131</v>
      </c>
      <c r="I3" s="18">
        <v>0</v>
      </c>
      <c r="J3" s="18">
        <v>0</v>
      </c>
      <c r="K3" s="18">
        <v>0</v>
      </c>
      <c r="L3" s="52">
        <v>0</v>
      </c>
      <c r="N3" s="51" t="s">
        <v>132</v>
      </c>
      <c r="O3" s="164">
        <v>0</v>
      </c>
      <c r="P3" s="1"/>
      <c r="Q3" s="87"/>
      <c r="R3" s="1"/>
    </row>
    <row r="4" spans="1:18" ht="15" thickBot="1" x14ac:dyDescent="0.35">
      <c r="A4" s="162" t="s">
        <v>131</v>
      </c>
      <c r="B4" s="145">
        <v>0</v>
      </c>
      <c r="C4" s="145" t="s">
        <v>123</v>
      </c>
      <c r="D4" s="43">
        <f>INDEX(CFMtableDaikinUMC,MATCH(A4,HVACsizeDaikinUMC,0),MATCH(C4,VENTtypeDaikinUMC,0))*B4</f>
        <v>0</v>
      </c>
      <c r="E4" s="57">
        <f>IF(AND(B4&gt;0,A4="1 TON"),"12,000",IF(AND(B4&gt;0,A4="1.5 TON"),"18,000",IF(AND(B4&gt;0,A4="2 TON"),"24,000",IF(AND(B4&gt;0,A4="2.5 TON"),"30,000",IF(AND(B4&gt;0,A4="3 TON"),"36,000",IF(AND(B4&gt;0,A4="3.5 TON"),"42,000",IF(AND(B4&gt;0,A4="4 TON"),"48,000",IF(AND(B4&gt;0,A4="5 TON"),"60,000",0))))))))</f>
        <v>0</v>
      </c>
      <c r="H4" s="16" t="s">
        <v>142</v>
      </c>
      <c r="I4" s="27">
        <v>780</v>
      </c>
      <c r="J4" s="28">
        <f t="shared" ref="J4:J9" si="0">SUM(I4*0.25)</f>
        <v>195</v>
      </c>
      <c r="K4" s="28">
        <f t="shared" ref="K4:K9" si="1">SUM(I4*0.5)</f>
        <v>390</v>
      </c>
      <c r="L4" s="29">
        <f t="shared" ref="L4:L9" si="2">SUM(I4*1)</f>
        <v>780</v>
      </c>
      <c r="N4" s="50" t="s">
        <v>136</v>
      </c>
      <c r="O4" s="64">
        <f>SUM( O3*3.412142)</f>
        <v>0</v>
      </c>
      <c r="P4" s="1"/>
      <c r="Q4" s="88"/>
      <c r="R4" s="1"/>
    </row>
    <row r="5" spans="1:18" ht="15" thickBot="1" x14ac:dyDescent="0.35">
      <c r="A5" s="162" t="s">
        <v>131</v>
      </c>
      <c r="B5" s="145">
        <v>0</v>
      </c>
      <c r="C5" s="145" t="s">
        <v>123</v>
      </c>
      <c r="D5" s="43">
        <f>INDEX(CFMtableDaikinUMC,MATCH(A5,HVACsizeDaikinUMC,0),MATCH(C5,VENTtypeDaikinUMC,0))*B5</f>
        <v>0</v>
      </c>
      <c r="E5" s="57">
        <f>IF(AND(B5&gt;0,A5="1 TON"),"12,000",IF(AND(B5&gt;0,A5="1.5 TON"),"18,000",IF(AND(B5&gt;0,A5="2 TON"),"24,000",IF(AND(B5&gt;0,A5="2.5 TON"),"30,000",IF(AND(B5&gt;0,A5="3 TON"),"36,000",IF(AND(B5&gt;0,A5="3.5 TON"),"42,000",IF(AND(B5&gt;0,A5="4 TON"),"48,000",IF(AND(B5&gt;0,A5="5 TON"),"60,000",0))))))))</f>
        <v>0</v>
      </c>
      <c r="H5" s="16" t="s">
        <v>145</v>
      </c>
      <c r="I5" s="27">
        <v>900</v>
      </c>
      <c r="J5" s="28">
        <f t="shared" si="0"/>
        <v>225</v>
      </c>
      <c r="K5" s="28">
        <f t="shared" si="1"/>
        <v>450</v>
      </c>
      <c r="L5" s="29">
        <f t="shared" si="2"/>
        <v>900</v>
      </c>
      <c r="N5" s="1"/>
      <c r="O5" s="1"/>
      <c r="P5" s="1"/>
      <c r="Q5" s="1"/>
      <c r="R5" s="1"/>
    </row>
    <row r="6" spans="1:18" x14ac:dyDescent="0.3">
      <c r="A6" s="162" t="s">
        <v>131</v>
      </c>
      <c r="B6" s="145">
        <v>0</v>
      </c>
      <c r="C6" s="145" t="s">
        <v>123</v>
      </c>
      <c r="D6" s="43">
        <f>INDEX(CFMtableDaikinUMC,MATCH(A6,HVACsizeDaikinUMC,0),MATCH(C6,VENTtypeDaikinUMC,0))*B6</f>
        <v>0</v>
      </c>
      <c r="E6" s="57">
        <f>IF(AND(B6&gt;0,A6="1 TON"),"12,000",IF(AND(B6&gt;0,A6="1.5 TON"),"18,000",IF(AND(B6&gt;0,A6="2 TON"),"24,000",IF(AND(B6&gt;0,A6="2.5 TON"),"30,000",IF(AND(B6&gt;0,A6="3 TON"),"36,000",IF(AND(B6&gt;0,A6="3.5 TON"),"42,000",IF(AND(B6&gt;0,A6="4 TON"),"48,000",IF(AND(B6&gt;0,A6="5 TON"),"60,000",0))))))))</f>
        <v>0</v>
      </c>
      <c r="H6" s="16" t="s">
        <v>149</v>
      </c>
      <c r="I6" s="27">
        <v>1195</v>
      </c>
      <c r="J6" s="28">
        <f t="shared" si="0"/>
        <v>298.75</v>
      </c>
      <c r="K6" s="28">
        <f t="shared" si="1"/>
        <v>597.5</v>
      </c>
      <c r="L6" s="29">
        <f t="shared" si="2"/>
        <v>1195</v>
      </c>
      <c r="N6" s="275" t="s">
        <v>305</v>
      </c>
      <c r="O6" s="276"/>
      <c r="P6" s="277"/>
      <c r="Q6" s="1"/>
      <c r="R6" s="1"/>
    </row>
    <row r="7" spans="1:18" ht="15" thickBot="1" x14ac:dyDescent="0.35">
      <c r="A7" s="163" t="s">
        <v>131</v>
      </c>
      <c r="B7" s="147">
        <v>0</v>
      </c>
      <c r="C7" s="147" t="s">
        <v>123</v>
      </c>
      <c r="D7" s="41">
        <f>INDEX(CFMtableDaikinUMC,MATCH(A7,HVACsizeDaikinUMC,0),MATCH(C7,VENTtypeDaikinUMC,0))*B7</f>
        <v>0</v>
      </c>
      <c r="E7" s="58">
        <f>IF(AND(B7&gt;0,A7="1 TON"),"12,000",IF(AND(B7&gt;0,A7="1.5 TON"),"18,000",IF(AND(B7&gt;0,A7="2 TON"),"24,000",IF(AND(B7&gt;0,A7="2.5 TON"),"30,000",IF(AND(B7&gt;0,A7="3 TON"),"36,000",IF(AND(B7&gt;0,A7="3.5 TON"),"42,000",IF(AND(B7&gt;0,A7="4 TON"),"48,000",IF(AND(B7&gt;0,A7="5 TON"),"60000",0))))))))</f>
        <v>0</v>
      </c>
      <c r="H7" s="16" t="s">
        <v>153</v>
      </c>
      <c r="I7" s="27">
        <v>1420</v>
      </c>
      <c r="J7" s="28">
        <f t="shared" si="0"/>
        <v>355</v>
      </c>
      <c r="K7" s="28">
        <f t="shared" si="1"/>
        <v>710</v>
      </c>
      <c r="L7" s="29">
        <f t="shared" si="2"/>
        <v>1420</v>
      </c>
      <c r="N7" s="65" t="s">
        <v>298</v>
      </c>
      <c r="O7" s="278" t="s">
        <v>306</v>
      </c>
      <c r="P7" s="279"/>
    </row>
    <row r="8" spans="1:18" x14ac:dyDescent="0.3">
      <c r="H8" s="16" t="s">
        <v>157</v>
      </c>
      <c r="I8" s="27">
        <v>1605</v>
      </c>
      <c r="J8" s="28">
        <f t="shared" si="0"/>
        <v>401.25</v>
      </c>
      <c r="K8" s="28">
        <f t="shared" si="1"/>
        <v>802.5</v>
      </c>
      <c r="L8" s="29">
        <f t="shared" si="2"/>
        <v>1605</v>
      </c>
      <c r="N8" s="36"/>
      <c r="O8" s="66"/>
      <c r="P8" s="66"/>
    </row>
    <row r="9" spans="1:18" x14ac:dyDescent="0.3">
      <c r="H9" s="16" t="s">
        <v>160</v>
      </c>
      <c r="I9" s="27">
        <v>1800</v>
      </c>
      <c r="J9" s="28">
        <f t="shared" si="0"/>
        <v>450</v>
      </c>
      <c r="K9" s="28">
        <f t="shared" si="1"/>
        <v>900</v>
      </c>
      <c r="L9" s="29">
        <f t="shared" si="2"/>
        <v>1800</v>
      </c>
      <c r="N9" s="36"/>
      <c r="O9" s="66"/>
      <c r="P9" s="66"/>
      <c r="Q9" s="66"/>
      <c r="R9" s="66"/>
    </row>
    <row r="10" spans="1:18" ht="15" customHeight="1" thickBot="1" x14ac:dyDescent="0.35">
      <c r="H10" s="71" t="s">
        <v>160</v>
      </c>
      <c r="I10" s="72">
        <v>1700</v>
      </c>
      <c r="J10" s="69">
        <f>SUM(I10*0.25)</f>
        <v>425</v>
      </c>
      <c r="K10" s="69">
        <f>SUM(I10*0.5)</f>
        <v>850</v>
      </c>
      <c r="L10" s="73">
        <f>SUM(I10*1)</f>
        <v>1700</v>
      </c>
      <c r="N10" s="36"/>
      <c r="O10" s="66"/>
      <c r="P10" s="66"/>
      <c r="Q10" s="66"/>
      <c r="R10" s="66"/>
    </row>
    <row r="11" spans="1:18" ht="15.75" customHeight="1" x14ac:dyDescent="0.3">
      <c r="H11" s="225" t="s">
        <v>194</v>
      </c>
      <c r="I11" s="225"/>
      <c r="J11" s="225"/>
      <c r="K11" s="225"/>
      <c r="L11" s="225"/>
      <c r="N11" s="36"/>
      <c r="O11" s="66"/>
      <c r="P11" s="66"/>
      <c r="Q11" s="66"/>
      <c r="R11" s="66"/>
    </row>
    <row r="12" spans="1:18" ht="30.75" customHeight="1" thickBot="1" x14ac:dyDescent="0.35">
      <c r="A12" s="53"/>
      <c r="B12" s="53"/>
      <c r="C12" s="54"/>
      <c r="D12" s="55"/>
      <c r="E12" s="56"/>
      <c r="F12" s="56"/>
      <c r="G12" s="56"/>
      <c r="H12" s="226"/>
      <c r="I12" s="226"/>
      <c r="J12" s="226"/>
      <c r="K12" s="226"/>
      <c r="L12" s="226"/>
    </row>
    <row r="13" spans="1:18" ht="42" customHeight="1" thickBot="1" x14ac:dyDescent="0.35">
      <c r="A13" s="68" t="s">
        <v>164</v>
      </c>
      <c r="B13" s="68" t="s">
        <v>165</v>
      </c>
      <c r="C13" s="13" t="s">
        <v>166</v>
      </c>
      <c r="D13" s="85" t="s">
        <v>167</v>
      </c>
      <c r="E13" s="227" t="s">
        <v>168</v>
      </c>
      <c r="F13" s="228"/>
      <c r="G13" s="206" t="s">
        <v>169</v>
      </c>
      <c r="H13" s="219"/>
      <c r="I13" s="219"/>
      <c r="J13" s="207"/>
    </row>
    <row r="14" spans="1:18" ht="15" thickBot="1" x14ac:dyDescent="0.35">
      <c r="A14" s="67">
        <f>SUM(D3:D7)</f>
        <v>298.75</v>
      </c>
      <c r="B14" s="69">
        <f>'CA Outisde Air'!D89</f>
        <v>0</v>
      </c>
      <c r="C14" s="70" t="str">
        <f>IF(A14&gt;B14,"NO ADD'L NEEDED",IF(A14&lt;B14,(B14-A14),""))</f>
        <v>NO ADD'L NEEDED</v>
      </c>
      <c r="D14" s="86">
        <f>IF(B3&gt;0,(E3*B3),0)+IF(B4&gt;0,(E4*B4),0)+IF(B5&gt;0,(E5*B5),0)+IF(B6&gt;0,(E6*B6),0)+IF(B7&gt;0,(E7*B7),0)</f>
        <v>36000</v>
      </c>
      <c r="E14" s="229">
        <f>IF(C3="F.A.D.",(B3*E3),0)+IF(C3="C.R.V.",((B3*(E3/2)))+IF(C3="ECONOMIZER",((B3*(-E3))),0))+IF(C4="F.A.D.",(B4*E4),0)+IF(C4="C.R.V.",((B4*(E4/2)))+IF(C4="ECONOMIZER",((B4*(-E4))),0))+IF(C5="F.A.D.",(B5*E5),0)+IF(C5="C.R.V.",((B5*(E5/2)))+IF(C5="ECONOMIZER",((B5*(-E5))),0))+IF(C6="F.A.D.",(B6*E6),0)+IF(C6="C.R.V.",((B6*(E6/2)))+IF(C6="ECONOMIZER",((B6*(-E6))),0))+IF(C7="F.A.D.",(B7*E7),0)+IF(C7="C.R.V.",((B7*(E7/2)))+IF(C7="ECONOMIZER",((B7*(-E7))),0))</f>
        <v>36000</v>
      </c>
      <c r="F14" s="230"/>
      <c r="G14" s="169" t="str">
        <f>IF((((OR(A3="5 TON",A4="5 TON",A5="5 TON",A6="5 TON",A7="5 TON")))),"ECONOMIZERS REQUIRED @ 5 TON","NO ADD'L VENTILATION REQUIRED")</f>
        <v>NO ADD'L VENTILATION REQUIRED</v>
      </c>
      <c r="H14" s="170"/>
      <c r="I14" s="170"/>
      <c r="J14" s="171"/>
    </row>
    <row r="16" spans="1:18" ht="15" thickBot="1" x14ac:dyDescent="0.35">
      <c r="A16" s="15" t="s">
        <v>174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3">
      <c r="A17" s="172" t="s">
        <v>302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4"/>
    </row>
    <row r="18" spans="1:13" ht="15" thickBot="1" x14ac:dyDescent="0.35">
      <c r="A18" s="180" t="s">
        <v>179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2"/>
    </row>
  </sheetData>
  <mergeCells count="12">
    <mergeCell ref="N6:P6"/>
    <mergeCell ref="O7:P7"/>
    <mergeCell ref="A1:E1"/>
    <mergeCell ref="H1:L1"/>
    <mergeCell ref="N2:O2"/>
    <mergeCell ref="A18:M18"/>
    <mergeCell ref="A17:M17"/>
    <mergeCell ref="H11:L12"/>
    <mergeCell ref="E13:F13"/>
    <mergeCell ref="G13:J13"/>
    <mergeCell ref="E14:F14"/>
    <mergeCell ref="G14:J14"/>
  </mergeCells>
  <conditionalFormatting sqref="C14">
    <cfRule type="cellIs" dxfId="1" priority="1" operator="greaterThan">
      <formula>$B$14&gt;$A$14</formula>
    </cfRule>
  </conditionalFormatting>
  <conditionalFormatting sqref="G14">
    <cfRule type="cellIs" dxfId="0" priority="2" operator="greaterThan">
      <formula>$D$14&gt;300000</formula>
    </cfRule>
  </conditionalFormatting>
  <dataValidations count="2">
    <dataValidation type="list" allowBlank="1" showInputMessage="1" showErrorMessage="1" sqref="A3:A7" xr:uid="{00000000-0002-0000-0700-000000000000}">
      <formula1>RTUsizes</formula1>
    </dataValidation>
    <dataValidation type="list" allowBlank="1" showInputMessage="1" showErrorMessage="1" sqref="C3:C7" xr:uid="{00000000-0002-0000-0700-000001000000}">
      <formula1>VENTtypeDaikin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6"/>
  <sheetViews>
    <sheetView workbookViewId="0">
      <selection activeCell="C65" sqref="C65"/>
    </sheetView>
  </sheetViews>
  <sheetFormatPr defaultRowHeight="14.4" x14ac:dyDescent="0.3"/>
  <cols>
    <col min="1" max="1" width="10.33203125" customWidth="1"/>
    <col min="2" max="2" width="2.6640625" customWidth="1"/>
    <col min="4" max="4" width="2.6640625" customWidth="1"/>
    <col min="6" max="6" width="2.6640625" customWidth="1"/>
    <col min="8" max="8" width="2.6640625" customWidth="1"/>
    <col min="11" max="15" width="0" hidden="1" customWidth="1"/>
  </cols>
  <sheetData>
    <row r="1" spans="1:15" ht="18" x14ac:dyDescent="0.3">
      <c r="A1" s="281" t="s">
        <v>307</v>
      </c>
      <c r="B1" s="281"/>
      <c r="C1" s="281"/>
      <c r="D1" s="281"/>
      <c r="E1" s="281"/>
      <c r="F1" s="281"/>
      <c r="G1" s="281"/>
      <c r="H1" s="281"/>
      <c r="I1" s="281"/>
      <c r="J1" s="281"/>
    </row>
    <row r="2" spans="1:15" x14ac:dyDescent="0.3">
      <c r="K2" s="59" t="s">
        <v>308</v>
      </c>
      <c r="L2" s="59" t="s">
        <v>309</v>
      </c>
      <c r="M2" s="59" t="s">
        <v>310</v>
      </c>
      <c r="N2" s="59" t="s">
        <v>311</v>
      </c>
      <c r="O2" s="59" t="s">
        <v>312</v>
      </c>
    </row>
    <row r="3" spans="1:15" x14ac:dyDescent="0.3">
      <c r="A3" s="59" t="s">
        <v>308</v>
      </c>
      <c r="C3" s="59" t="s">
        <v>309</v>
      </c>
      <c r="E3" s="59" t="s">
        <v>310</v>
      </c>
      <c r="G3" s="59" t="s">
        <v>311</v>
      </c>
      <c r="I3" s="59" t="s">
        <v>312</v>
      </c>
      <c r="K3" s="59">
        <v>35</v>
      </c>
      <c r="L3" s="59">
        <v>40</v>
      </c>
      <c r="M3" s="59">
        <v>45</v>
      </c>
      <c r="N3" s="59">
        <v>50</v>
      </c>
      <c r="O3" s="59">
        <v>60</v>
      </c>
    </row>
    <row r="4" spans="1:15" x14ac:dyDescent="0.3">
      <c r="A4" s="226" t="s">
        <v>313</v>
      </c>
      <c r="C4" s="226" t="s">
        <v>314</v>
      </c>
      <c r="E4" s="226" t="s">
        <v>315</v>
      </c>
      <c r="G4" s="226" t="s">
        <v>316</v>
      </c>
      <c r="I4" s="226" t="s">
        <v>317</v>
      </c>
    </row>
    <row r="5" spans="1:15" ht="30" customHeight="1" x14ac:dyDescent="0.3">
      <c r="A5" s="226"/>
      <c r="C5" s="226"/>
      <c r="E5" s="226"/>
      <c r="G5" s="226"/>
      <c r="I5" s="226"/>
    </row>
    <row r="8" spans="1:15" x14ac:dyDescent="0.3">
      <c r="A8" t="s">
        <v>318</v>
      </c>
      <c r="B8" s="280" t="s">
        <v>312</v>
      </c>
      <c r="C8" s="280"/>
    </row>
    <row r="10" spans="1:15" x14ac:dyDescent="0.3">
      <c r="A10" s="59" t="s">
        <v>319</v>
      </c>
      <c r="B10" s="59"/>
      <c r="C10" s="59" t="s">
        <v>320</v>
      </c>
      <c r="D10" s="59"/>
    </row>
    <row r="11" spans="1:15" x14ac:dyDescent="0.3">
      <c r="A11" s="165">
        <v>2000</v>
      </c>
      <c r="B11" s="59" t="s">
        <v>321</v>
      </c>
      <c r="C11" s="59">
        <f>INDEX(K3:O3,MATCH(B8,K2:O2,0))</f>
        <v>60</v>
      </c>
      <c r="D11" s="59" t="s">
        <v>322</v>
      </c>
      <c r="E11" s="74">
        <f>SUM(A11*C11)*0.0002931</f>
        <v>35.172000000000004</v>
      </c>
      <c r="F11" t="s">
        <v>323</v>
      </c>
    </row>
    <row r="14" spans="1:15" x14ac:dyDescent="0.3">
      <c r="A14" t="s">
        <v>324</v>
      </c>
    </row>
    <row r="15" spans="1:15" x14ac:dyDescent="0.3">
      <c r="A15" t="s">
        <v>325</v>
      </c>
    </row>
    <row r="16" spans="1:15" x14ac:dyDescent="0.3">
      <c r="A16" t="s">
        <v>326</v>
      </c>
    </row>
  </sheetData>
  <mergeCells count="7">
    <mergeCell ref="B8:C8"/>
    <mergeCell ref="A1:J1"/>
    <mergeCell ref="A4:A5"/>
    <mergeCell ref="C4:C5"/>
    <mergeCell ref="E4:E5"/>
    <mergeCell ref="G4:G5"/>
    <mergeCell ref="I4:I5"/>
  </mergeCells>
  <dataValidations count="1">
    <dataValidation type="list" allowBlank="1" showInputMessage="1" showErrorMessage="1" sqref="B8" xr:uid="{00000000-0002-0000-0800-000000000000}">
      <formula1>$K$2:$O$2</formula1>
    </dataValidation>
  </dataValidation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HeadingPairs>
  <TitlesOfParts>
    <vt:vector size="29" baseType="lpstr">
      <vt:lpstr>Occupant Calculator</vt:lpstr>
      <vt:lpstr>IMC-UMC Vent. Rate</vt:lpstr>
      <vt:lpstr>IMC-UMC Endmount HVAC Calc</vt:lpstr>
      <vt:lpstr>IMC-UMC Rooftop HVAC Calc</vt:lpstr>
      <vt:lpstr>CA Outisde Air</vt:lpstr>
      <vt:lpstr> CA Vent Rate</vt:lpstr>
      <vt:lpstr>CA Endmount Calc</vt:lpstr>
      <vt:lpstr>CA Rooftop Calc</vt:lpstr>
      <vt:lpstr>Heating Climate Zones</vt:lpstr>
      <vt:lpstr>CFMBardUMC</vt:lpstr>
      <vt:lpstr>CFMtable</vt:lpstr>
      <vt:lpstr>CFMtableDaikin</vt:lpstr>
      <vt:lpstr>CFMtableDaikinUMC</vt:lpstr>
      <vt:lpstr>ClimateZone09</vt:lpstr>
      <vt:lpstr>EerEquipment</vt:lpstr>
      <vt:lpstr>EerHVACsize</vt:lpstr>
      <vt:lpstr>EerTable</vt:lpstr>
      <vt:lpstr>Exceptions09</vt:lpstr>
      <vt:lpstr>FreshAirType</vt:lpstr>
      <vt:lpstr>FRESHairtypeUMC</vt:lpstr>
      <vt:lpstr>HVACsize</vt:lpstr>
      <vt:lpstr>HVACsizeDaikinUMC</vt:lpstr>
      <vt:lpstr>HVACsizeUMC</vt:lpstr>
      <vt:lpstr>RTUsizes</vt:lpstr>
      <vt:lpstr>SeerEquipment</vt:lpstr>
      <vt:lpstr>SeerHVACsize</vt:lpstr>
      <vt:lpstr>SeerTable</vt:lpstr>
      <vt:lpstr>VENTtypeDaikin</vt:lpstr>
      <vt:lpstr>VENTtypeDaikinUMC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Schneider</dc:creator>
  <cp:keywords/>
  <dc:description/>
  <cp:lastModifiedBy>Mitch Quintana</cp:lastModifiedBy>
  <cp:revision/>
  <dcterms:created xsi:type="dcterms:W3CDTF">2019-08-02T13:46:33Z</dcterms:created>
  <dcterms:modified xsi:type="dcterms:W3CDTF">2025-12-09T17:51:52Z</dcterms:modified>
  <cp:category/>
  <cp:contentStatus/>
</cp:coreProperties>
</file>