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E38D477-6F6D-435A-9DBF-A883A95A1E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vian Automative" sheetId="1" r:id="rId1"/>
    <sheet name="Tesla" sheetId="3" r:id="rId2"/>
    <sheet name="Fiscer Inc." sheetId="2" r:id="rId3"/>
    <sheet name="Lucid Group Inc. (LCID)" sheetId="4" r:id="rId4"/>
    <sheet name="Comparis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E93" i="1"/>
  <c r="E92" i="1"/>
  <c r="E91" i="1"/>
  <c r="E90" i="1"/>
  <c r="D93" i="1"/>
  <c r="D91" i="1"/>
  <c r="D90" i="1"/>
  <c r="C93" i="1"/>
  <c r="C92" i="1"/>
  <c r="C90" i="1"/>
  <c r="C91" i="1"/>
  <c r="B92" i="1"/>
  <c r="B91" i="1"/>
  <c r="B90" i="1"/>
  <c r="C85" i="1" l="1"/>
  <c r="D85" i="1"/>
  <c r="B85" i="1"/>
  <c r="D8" i="5" s="1"/>
  <c r="B29" i="1"/>
  <c r="B82" i="1" s="1"/>
  <c r="L21" i="4"/>
  <c r="M21" i="4"/>
  <c r="G8" i="5" s="1"/>
  <c r="K21" i="4"/>
  <c r="L20" i="4"/>
  <c r="C114" i="4"/>
  <c r="D114" i="4"/>
  <c r="E89" i="1" s="1"/>
  <c r="B114" i="4"/>
  <c r="L19" i="4"/>
  <c r="M19" i="4"/>
  <c r="G6" i="5" s="1"/>
  <c r="K19" i="4"/>
  <c r="L18" i="4"/>
  <c r="M18" i="4"/>
  <c r="G5" i="5" s="1"/>
  <c r="G9" i="5" s="1"/>
  <c r="K18" i="4"/>
  <c r="K20" i="4" s="1"/>
  <c r="K19" i="3"/>
  <c r="L19" i="3"/>
  <c r="E8" i="5" s="1"/>
  <c r="J19" i="3"/>
  <c r="L18" i="3"/>
  <c r="E7" i="5" s="1"/>
  <c r="C145" i="3"/>
  <c r="D145" i="3"/>
  <c r="C89" i="1" s="1"/>
  <c r="B145" i="3"/>
  <c r="L17" i="3"/>
  <c r="J17" i="3"/>
  <c r="K16" i="3"/>
  <c r="K17" i="3" s="1"/>
  <c r="L16" i="3"/>
  <c r="E5" i="5" s="1"/>
  <c r="E9" i="5" s="1"/>
  <c r="J16" i="3"/>
  <c r="J18" i="3" s="1"/>
  <c r="E6" i="5" s="1"/>
  <c r="K18" i="3" l="1"/>
  <c r="D5" i="5"/>
  <c r="B86" i="1"/>
  <c r="D9" i="5" s="1"/>
  <c r="M20" i="4"/>
  <c r="G7" i="5" s="1"/>
  <c r="B83" i="1"/>
  <c r="D6" i="5" s="1"/>
  <c r="C29" i="1"/>
  <c r="C82" i="1" l="1"/>
  <c r="D29" i="1"/>
  <c r="D82" i="1" l="1"/>
  <c r="E29" i="1"/>
  <c r="F29" i="1" s="1"/>
  <c r="G29" i="1" s="1"/>
  <c r="H29" i="1" s="1"/>
  <c r="I29" i="1" s="1"/>
  <c r="C83" i="1"/>
  <c r="D83" i="1" l="1"/>
  <c r="B80" i="1" l="1"/>
  <c r="B74" i="1"/>
  <c r="B73" i="1"/>
  <c r="B68" i="1"/>
  <c r="C66" i="1"/>
  <c r="D66" i="1"/>
  <c r="E66" i="1"/>
  <c r="F66" i="1"/>
  <c r="B66" i="1"/>
  <c r="B65" i="1"/>
  <c r="I12" i="2"/>
  <c r="F8" i="5" s="1"/>
  <c r="H12" i="2"/>
  <c r="G12" i="2"/>
  <c r="H100" i="2"/>
  <c r="I100" i="2"/>
  <c r="D89" i="1" s="1"/>
  <c r="H9" i="2"/>
  <c r="H11" i="2" s="1"/>
  <c r="I9" i="2"/>
  <c r="G9" i="2"/>
  <c r="G11" i="2" s="1"/>
  <c r="I99" i="2"/>
  <c r="G100" i="2"/>
  <c r="G10" i="2" l="1"/>
  <c r="H10" i="2"/>
  <c r="B75" i="1"/>
  <c r="C73" i="1" s="1"/>
  <c r="C74" i="1" s="1"/>
  <c r="F5" i="5"/>
  <c r="F9" i="5"/>
  <c r="I10" i="2"/>
  <c r="F6" i="5" s="1"/>
  <c r="I11" i="2"/>
  <c r="F7" i="5" s="1"/>
  <c r="B81" i="1" l="1"/>
  <c r="B70" i="1" s="1"/>
  <c r="E70" i="1" l="1"/>
  <c r="F70" i="1"/>
  <c r="D70" i="1"/>
  <c r="C70" i="1"/>
  <c r="E57" i="1"/>
  <c r="F57" i="1" s="1"/>
  <c r="G57" i="1" s="1"/>
  <c r="H57" i="1" s="1"/>
  <c r="I57" i="1" s="1"/>
  <c r="E56" i="1"/>
  <c r="F56" i="1" s="1"/>
  <c r="G56" i="1" s="1"/>
  <c r="H56" i="1" s="1"/>
  <c r="I56" i="1" s="1"/>
  <c r="E10" i="1"/>
  <c r="F10" i="1" s="1"/>
  <c r="G10" i="1" s="1"/>
  <c r="H10" i="1" s="1"/>
  <c r="I10" i="1" s="1"/>
  <c r="E54" i="1"/>
  <c r="F54" i="1" s="1"/>
  <c r="G54" i="1" s="1"/>
  <c r="H54" i="1" s="1"/>
  <c r="I54" i="1" s="1"/>
  <c r="E53" i="1"/>
  <c r="F53" i="1" s="1"/>
  <c r="G53" i="1" s="1"/>
  <c r="H53" i="1" s="1"/>
  <c r="I53" i="1" s="1"/>
  <c r="E52" i="1"/>
  <c r="F52" i="1" s="1"/>
  <c r="G52" i="1" s="1"/>
  <c r="H52" i="1" s="1"/>
  <c r="I52" i="1" s="1"/>
  <c r="E51" i="1"/>
  <c r="F51" i="1" s="1"/>
  <c r="G51" i="1" s="1"/>
  <c r="H51" i="1" s="1"/>
  <c r="I51" i="1" s="1"/>
  <c r="E50" i="1"/>
  <c r="F50" i="1" s="1"/>
  <c r="G50" i="1" s="1"/>
  <c r="H50" i="1" s="1"/>
  <c r="I50" i="1" s="1"/>
  <c r="D45" i="1"/>
  <c r="C45" i="1"/>
  <c r="C84" i="1" s="1"/>
  <c r="B45" i="1"/>
  <c r="B84" i="1" s="1"/>
  <c r="D7" i="5" s="1"/>
  <c r="F9" i="1"/>
  <c r="E44" i="1"/>
  <c r="B64" i="1" s="1"/>
  <c r="E40" i="1"/>
  <c r="F40" i="1" s="1"/>
  <c r="G40" i="1" s="1"/>
  <c r="H40" i="1" s="1"/>
  <c r="I40" i="1" s="1"/>
  <c r="E38" i="1"/>
  <c r="E39" i="1" s="1"/>
  <c r="F36" i="1"/>
  <c r="G36" i="1" s="1"/>
  <c r="H36" i="1" s="1"/>
  <c r="I36" i="1" s="1"/>
  <c r="E35" i="1"/>
  <c r="E37" i="1" s="1"/>
  <c r="F34" i="1"/>
  <c r="G34" i="1" s="1"/>
  <c r="H34" i="1" s="1"/>
  <c r="I34" i="1" s="1"/>
  <c r="F32" i="1"/>
  <c r="D84" i="1" l="1"/>
  <c r="B89" i="1"/>
  <c r="I55" i="1"/>
  <c r="F67" i="1" s="1"/>
  <c r="E45" i="1"/>
  <c r="E55" i="1"/>
  <c r="B67" i="1" s="1"/>
  <c r="B69" i="1" s="1"/>
  <c r="B71" i="1" s="1"/>
  <c r="G9" i="1"/>
  <c r="C65" i="1"/>
  <c r="G32" i="1"/>
  <c r="D68" i="1" s="1"/>
  <c r="C68" i="1"/>
  <c r="E60" i="1"/>
  <c r="F60" i="1"/>
  <c r="E41" i="1"/>
  <c r="E43" i="1" s="1"/>
  <c r="F44" i="1"/>
  <c r="F35" i="1"/>
  <c r="F37" i="1" s="1"/>
  <c r="F38" i="1"/>
  <c r="E7" i="1"/>
  <c r="F7" i="1" s="1"/>
  <c r="G7" i="1" s="1"/>
  <c r="H7" i="1" s="1"/>
  <c r="I7" i="1" s="1"/>
  <c r="E26" i="1"/>
  <c r="F26" i="1" s="1"/>
  <c r="G26" i="1" s="1"/>
  <c r="H26" i="1" s="1"/>
  <c r="I26" i="1" s="1"/>
  <c r="E25" i="1"/>
  <c r="F25" i="1" s="1"/>
  <c r="G25" i="1" s="1"/>
  <c r="H25" i="1" s="1"/>
  <c r="I25" i="1" s="1"/>
  <c r="E24" i="1"/>
  <c r="F24" i="1" s="1"/>
  <c r="G24" i="1" s="1"/>
  <c r="H24" i="1" s="1"/>
  <c r="I24" i="1" s="1"/>
  <c r="E23" i="1"/>
  <c r="F23" i="1" s="1"/>
  <c r="G23" i="1" s="1"/>
  <c r="H23" i="1" s="1"/>
  <c r="I23" i="1" s="1"/>
  <c r="E19" i="1"/>
  <c r="F19" i="1" s="1"/>
  <c r="G19" i="1" s="1"/>
  <c r="H19" i="1" s="1"/>
  <c r="I19" i="1" s="1"/>
  <c r="E17" i="1"/>
  <c r="E16" i="1"/>
  <c r="F16" i="1" s="1"/>
  <c r="G16" i="1" s="1"/>
  <c r="H16" i="1" s="1"/>
  <c r="I16" i="1" s="1"/>
  <c r="E3" i="1"/>
  <c r="E13" i="1"/>
  <c r="F13" i="1" s="1"/>
  <c r="G13" i="1" s="1"/>
  <c r="H13" i="1" s="1"/>
  <c r="I13" i="1" s="1"/>
  <c r="E12" i="1"/>
  <c r="F12" i="1" s="1"/>
  <c r="E8" i="1"/>
  <c r="F8" i="1" s="1"/>
  <c r="G8" i="1" s="1"/>
  <c r="H8" i="1" s="1"/>
  <c r="I8" i="1" s="1"/>
  <c r="E6" i="1"/>
  <c r="F6" i="1" s="1"/>
  <c r="G6" i="1" s="1"/>
  <c r="H6" i="1" s="1"/>
  <c r="I6" i="1" s="1"/>
  <c r="E5" i="1"/>
  <c r="F5" i="1" s="1"/>
  <c r="E4" i="1"/>
  <c r="F4" i="1" s="1"/>
  <c r="G4" i="1" s="1"/>
  <c r="H4" i="1" s="1"/>
  <c r="I4" i="1" s="1"/>
  <c r="B93" i="1" l="1"/>
  <c r="F43" i="1"/>
  <c r="G43" i="1" s="1"/>
  <c r="H43" i="1" s="1"/>
  <c r="I43" i="1" s="1"/>
  <c r="G44" i="1"/>
  <c r="G45" i="1" s="1"/>
  <c r="H9" i="1"/>
  <c r="D65" i="1"/>
  <c r="F17" i="1"/>
  <c r="G17" i="1" s="1"/>
  <c r="H17" i="1" s="1"/>
  <c r="H22" i="1" s="1"/>
  <c r="E82" i="1"/>
  <c r="E85" i="1"/>
  <c r="G60" i="1"/>
  <c r="D64" i="1"/>
  <c r="G35" i="1"/>
  <c r="G37" i="1" s="1"/>
  <c r="F55" i="1"/>
  <c r="C67" i="1" s="1"/>
  <c r="H32" i="1"/>
  <c r="E68" i="1" s="1"/>
  <c r="F45" i="1"/>
  <c r="C64" i="1"/>
  <c r="C69" i="1" s="1"/>
  <c r="C71" i="1" s="1"/>
  <c r="F39" i="1"/>
  <c r="F41" i="1" s="1"/>
  <c r="G38" i="1"/>
  <c r="E22" i="1"/>
  <c r="F22" i="1"/>
  <c r="E11" i="1"/>
  <c r="F11" i="1" s="1"/>
  <c r="G11" i="1" s="1"/>
  <c r="H11" i="1" s="1"/>
  <c r="I11" i="1" s="1"/>
  <c r="F3" i="1"/>
  <c r="G3" i="1" s="1"/>
  <c r="H3" i="1" s="1"/>
  <c r="I3" i="1" s="1"/>
  <c r="E14" i="1"/>
  <c r="G5" i="1"/>
  <c r="F21" i="1"/>
  <c r="G12" i="1"/>
  <c r="F14" i="1"/>
  <c r="E21" i="1"/>
  <c r="E49" i="1" s="1"/>
  <c r="E18" i="1"/>
  <c r="E20" i="1"/>
  <c r="E15" i="1"/>
  <c r="H44" i="1" l="1"/>
  <c r="H60" i="1"/>
  <c r="E83" i="1"/>
  <c r="E84" i="1"/>
  <c r="H45" i="1"/>
  <c r="E64" i="1"/>
  <c r="H35" i="1"/>
  <c r="H37" i="1" s="1"/>
  <c r="F82" i="1"/>
  <c r="F85" i="1"/>
  <c r="I32" i="1"/>
  <c r="I35" i="1" s="1"/>
  <c r="I37" i="1" s="1"/>
  <c r="I9" i="1"/>
  <c r="E65" i="1"/>
  <c r="G55" i="1"/>
  <c r="D67" i="1" s="1"/>
  <c r="D69" i="1" s="1"/>
  <c r="D71" i="1" s="1"/>
  <c r="F49" i="1"/>
  <c r="H38" i="1"/>
  <c r="G39" i="1"/>
  <c r="G41" i="1" s="1"/>
  <c r="G22" i="1"/>
  <c r="I17" i="1"/>
  <c r="I22" i="1" s="1"/>
  <c r="F20" i="1"/>
  <c r="F15" i="1"/>
  <c r="F18" i="1"/>
  <c r="H12" i="1"/>
  <c r="G14" i="1"/>
  <c r="G15" i="1"/>
  <c r="G18" i="1"/>
  <c r="G20" i="1"/>
  <c r="H5" i="1"/>
  <c r="G21" i="1"/>
  <c r="G49" i="1" s="1"/>
  <c r="I44" i="1" l="1"/>
  <c r="F64" i="1" s="1"/>
  <c r="F65" i="1"/>
  <c r="H55" i="1"/>
  <c r="E67" i="1" s="1"/>
  <c r="E69" i="1" s="1"/>
  <c r="E71" i="1" s="1"/>
  <c r="F84" i="1"/>
  <c r="F83" i="1"/>
  <c r="I60" i="1"/>
  <c r="F68" i="1"/>
  <c r="I38" i="1"/>
  <c r="I39" i="1" s="1"/>
  <c r="I41" i="1" s="1"/>
  <c r="H39" i="1"/>
  <c r="H41" i="1" s="1"/>
  <c r="I5" i="1"/>
  <c r="I21" i="1" s="1"/>
  <c r="H21" i="1"/>
  <c r="H49" i="1" s="1"/>
  <c r="I12" i="1"/>
  <c r="H14" i="1"/>
  <c r="H15" i="1"/>
  <c r="H18" i="1"/>
  <c r="H20" i="1"/>
  <c r="I45" i="1" l="1"/>
  <c r="I49" i="1"/>
  <c r="F69" i="1"/>
  <c r="F71" i="1" s="1"/>
  <c r="I15" i="1"/>
  <c r="I14" i="1"/>
  <c r="I18" i="1"/>
  <c r="I20" i="1"/>
</calcChain>
</file>

<file path=xl/sharedStrings.xml><?xml version="1.0" encoding="utf-8"?>
<sst xmlns="http://schemas.openxmlformats.org/spreadsheetml/2006/main" count="616" uniqueCount="228">
  <si>
    <t>Breakdown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</si>
  <si>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</si>
  <si>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</si>
  <si>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</si>
  <si>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</si>
  <si>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</si>
  <si>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</si>
  <si>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</si>
  <si>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</si>
  <si>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</si>
  <si>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</si>
  <si>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</si>
  <si>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</si>
  <si>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</si>
  <si>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</si>
  <si>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</si>
  <si>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</si>
  <si>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</si>
  <si>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</si>
  <si>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</si>
  <si>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</si>
  <si>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</si>
  <si>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</si>
  <si>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</si>
  <si>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</si>
  <si>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</si>
  <si>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</si>
  <si>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</si>
  <si>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</si>
  <si>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</si>
  <si>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</si>
  <si>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</si>
  <si>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</si>
  <si>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</si>
  <si>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Total Assets</t>
  </si>
  <si>
    <t>Capital Lease Obligations</t>
  </si>
  <si>
    <t>12/30/2022</t>
  </si>
  <si>
    <t>12/30/2021</t>
  </si>
  <si>
    <t>12/30/2020</t>
  </si>
  <si>
    <t>Total Liabilities Net Minority Interest</t>
  </si>
  <si>
    <t>Total Equity Gross Minority Interest</t>
  </si>
  <si>
    <t>Total Capitalization</t>
  </si>
  <si>
    <t>Common Stock Equity</t>
  </si>
  <si>
    <t>Net Tangible Assets</t>
  </si>
  <si>
    <t>Working Capital</t>
  </si>
  <si>
    <t>Invested Capital</t>
  </si>
  <si>
    <t>Tangible Book Value</t>
  </si>
  <si>
    <t>Total Debt</t>
  </si>
  <si>
    <t>Share Issued</t>
  </si>
  <si>
    <t>Ordinary Shares Number</t>
  </si>
  <si>
    <t>Current Assets</t>
  </si>
  <si>
    <t>Cash, Cash Equivalents &amp; Short Term Investments</t>
  </si>
  <si>
    <t>Receivables</t>
  </si>
  <si>
    <t>Inventory</t>
  </si>
  <si>
    <t>Other Current Assets</t>
  </si>
  <si>
    <t>Total non-current assets</t>
  </si>
  <si>
    <t>Current Liabilities</t>
  </si>
  <si>
    <t>Total Non Current Liabilities Net Minority Interest</t>
  </si>
  <si>
    <t>Stockholders' Equity</t>
  </si>
  <si>
    <t>Balance sheet of Rivian Automative</t>
  </si>
  <si>
    <t>Operating Revenue</t>
  </si>
  <si>
    <t xml:space="preserve">12/30/2022 </t>
  </si>
  <si>
    <t xml:space="preserve">  12/30/2021</t>
  </si>
  <si>
    <t xml:space="preserve">  12/30/2020</t>
  </si>
  <si>
    <t>Income statement of Rivian Automative</t>
  </si>
  <si>
    <t>Operating Cash Flow</t>
  </si>
  <si>
    <t>Investing Cash Flow</t>
  </si>
  <si>
    <t>Financing Cash Flow</t>
  </si>
  <si>
    <t>End Cash Position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</si>
  <si>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</si>
  <si>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</si>
  <si>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</si>
  <si>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</si>
  <si>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</si>
  <si>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</si>
  <si>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</si>
  <si>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 xml:space="preserve">Breakdown                           </t>
  </si>
  <si>
    <t>Cash Flow of Rivian Automative</t>
  </si>
  <si>
    <t>12/30/2023</t>
  </si>
  <si>
    <t>12/30/2024</t>
  </si>
  <si>
    <t>12/30/2025</t>
  </si>
  <si>
    <t>12/30/2026</t>
  </si>
  <si>
    <t>12/30/2027</t>
  </si>
  <si>
    <t>Operating Expenses</t>
  </si>
  <si>
    <t>Income Tax</t>
  </si>
  <si>
    <t>Sales</t>
  </si>
  <si>
    <t>Cost Of Goods</t>
  </si>
  <si>
    <t>Pre-Tax Income</t>
  </si>
  <si>
    <t>NET INCOME</t>
  </si>
  <si>
    <t>$-6,752,000</t>
  </si>
  <si>
    <t>$-4,688,000</t>
  </si>
  <si>
    <t>$-1,018,000</t>
  </si>
  <si>
    <t>Net Income</t>
  </si>
  <si>
    <t>Accumulated Depreciation</t>
  </si>
  <si>
    <t>Depreciation</t>
  </si>
  <si>
    <t>Depreciation and Amortization</t>
  </si>
  <si>
    <t>Net PPE</t>
  </si>
  <si>
    <t>Cash And Cash Equivalents</t>
  </si>
  <si>
    <t>Other Short Term Investments</t>
  </si>
  <si>
    <t>Notes Receivable</t>
  </si>
  <si>
    <t>Taxes Receivable</t>
  </si>
  <si>
    <t>Prepaid Assets</t>
  </si>
  <si>
    <t>Gross PPE</t>
  </si>
  <si>
    <t>Properties</t>
  </si>
  <si>
    <t>Machinery Furniture Equipment</t>
  </si>
  <si>
    <t>Other Properties</t>
  </si>
  <si>
    <t>Construction in Progress</t>
  </si>
  <si>
    <t>Leases</t>
  </si>
  <si>
    <t>Goodwill And Other Intangible Assets</t>
  </si>
  <si>
    <t>Other Intangible Assets</t>
  </si>
  <si>
    <t>Other Non Current Assets</t>
  </si>
  <si>
    <t>Payables And Accrued Expenses</t>
  </si>
  <si>
    <t>Payables</t>
  </si>
  <si>
    <t>Accounts Payable</t>
  </si>
  <si>
    <t>Current Accrued Expenses</t>
  </si>
  <si>
    <t>Interest Payable</t>
  </si>
  <si>
    <t>Current Debt And Capital Lease Obligation</t>
  </si>
  <si>
    <t>Current Debt</t>
  </si>
  <si>
    <t>Current Notes Payable</t>
  </si>
  <si>
    <t>Current Capital Lease Obligation</t>
  </si>
  <si>
    <t>Other Current Liabilities</t>
  </si>
  <si>
    <t>Long Term Debt And Capital Lease Obligation</t>
  </si>
  <si>
    <t>Long Term Debt</t>
  </si>
  <si>
    <t>Long Term Capital Lease Obligation</t>
  </si>
  <si>
    <t>Non Current Deferred Liabilities</t>
  </si>
  <si>
    <t>Non Current Deferred Revenue</t>
  </si>
  <si>
    <t>Derivative Product Liabilities</t>
  </si>
  <si>
    <t>Other Non Current Liabilities</t>
  </si>
  <si>
    <t>Capital Stock</t>
  </si>
  <si>
    <t>Preferred Stock</t>
  </si>
  <si>
    <t>Common Stock</t>
  </si>
  <si>
    <t>Additional Paid in Capital</t>
  </si>
  <si>
    <t>Retained Earnings</t>
  </si>
  <si>
    <t>Other Equity Interest</t>
  </si>
  <si>
    <t>Preferred Stock Equity</t>
  </si>
  <si>
    <t>Net Debt</t>
  </si>
  <si>
    <t xml:space="preserve">Breakdown                        </t>
  </si>
  <si>
    <t>Selling General and Administrative</t>
  </si>
  <si>
    <t>General &amp; Administrative Expense</t>
  </si>
  <si>
    <t>Other G and A</t>
  </si>
  <si>
    <t>Research &amp; Development</t>
  </si>
  <si>
    <t>Interest Income Non Operating</t>
  </si>
  <si>
    <t>Interest Expense Non Operating</t>
  </si>
  <si>
    <t>Gain on Sale of Security</t>
  </si>
  <si>
    <t>Other Non Operating Income Expenses</t>
  </si>
  <si>
    <t>Net Income Including Non-Controlling Interests</t>
  </si>
  <si>
    <t>Net Income Continuous Operations</t>
  </si>
  <si>
    <t xml:space="preserve">Breakdown                             </t>
  </si>
  <si>
    <t>Depreciation Amortization Depletion</t>
  </si>
  <si>
    <t>Enterprise Value</t>
  </si>
  <si>
    <t>EV/SALES</t>
  </si>
  <si>
    <t>EV/EBIDTA</t>
  </si>
  <si>
    <t>PE RATIO</t>
  </si>
  <si>
    <t>WACC</t>
  </si>
  <si>
    <t>Periods</t>
  </si>
  <si>
    <t>Taxes</t>
  </si>
  <si>
    <t>CAPEX</t>
  </si>
  <si>
    <t>Change in WC</t>
  </si>
  <si>
    <t>FCF</t>
  </si>
  <si>
    <t>WACC=CE*WE+CD*CD*(1-Tx)</t>
  </si>
  <si>
    <t>Total MC+ DEBT</t>
  </si>
  <si>
    <t>Equity MC</t>
  </si>
  <si>
    <t>Weight</t>
  </si>
  <si>
    <t>CD</t>
  </si>
  <si>
    <t>RF</t>
  </si>
  <si>
    <t>RM</t>
  </si>
  <si>
    <t>Beta</t>
  </si>
  <si>
    <t>CE</t>
  </si>
  <si>
    <t>Discount Factor</t>
  </si>
  <si>
    <t>PV</t>
  </si>
  <si>
    <t>Valutations of Rivian Automative</t>
  </si>
  <si>
    <t>Special Income Charges</t>
  </si>
  <si>
    <t>Restructuring &amp; Mergers Acquisition</t>
  </si>
  <si>
    <t>Minority Interests</t>
  </si>
  <si>
    <t>Average Dilution Earnings</t>
  </si>
  <si>
    <t xml:space="preserve">Breakdown      TTM                                      </t>
  </si>
  <si>
    <t>Enterprise value</t>
  </si>
  <si>
    <t>Accounts receivable</t>
  </si>
  <si>
    <t>Raw Materials</t>
  </si>
  <si>
    <t>Work in Process</t>
  </si>
  <si>
    <t>Finished Goods</t>
  </si>
  <si>
    <t>Other Inventories</t>
  </si>
  <si>
    <t>Restricted Cash</t>
  </si>
  <si>
    <t>Land And Improvements</t>
  </si>
  <si>
    <t>Goodwill</t>
  </si>
  <si>
    <t>Non Current Note Receivables</t>
  </si>
  <si>
    <t>Total Tax Payable</t>
  </si>
  <si>
    <t>Current Provisions</t>
  </si>
  <si>
    <t>Other Current Borrowings</t>
  </si>
  <si>
    <t>Current Deferred Liabilities</t>
  </si>
  <si>
    <t>Current Deferred Revenue</t>
  </si>
  <si>
    <t>Long Term Provisions</t>
  </si>
  <si>
    <t>Non Current Deferred Taxes Liabilities</t>
  </si>
  <si>
    <t>Non Current Accrued Expenses</t>
  </si>
  <si>
    <t>Preferred Securities Outside Stock Equity</t>
  </si>
  <si>
    <t>Gains Losses Not Affecting Retained Earnings</t>
  </si>
  <si>
    <t>Other Equity Adjustments</t>
  </si>
  <si>
    <t>Minority Interest</t>
  </si>
  <si>
    <t xml:space="preserve">Breakdown                          </t>
  </si>
  <si>
    <t>Ammortization  &amp; Depreciation</t>
  </si>
  <si>
    <t>Cash</t>
  </si>
  <si>
    <t>Cash Equivalents</t>
  </si>
  <si>
    <t>Buildings And Improvements</t>
  </si>
  <si>
    <t>Investments And Advances</t>
  </si>
  <si>
    <t>Investment in Financial Assets</t>
  </si>
  <si>
    <t>Available for Sale Securities</t>
  </si>
  <si>
    <t>Held To Maturity Securities</t>
  </si>
  <si>
    <t>Pension &amp; Other Post Retirement Benefit Plans Current</t>
  </si>
  <si>
    <t>Line of Credit</t>
  </si>
  <si>
    <t>Treasury Stock</t>
  </si>
  <si>
    <t>Treasury Shares Number</t>
  </si>
  <si>
    <t xml:space="preserve">Breakdown  </t>
  </si>
  <si>
    <t>Income Statement</t>
  </si>
  <si>
    <t>Total Other Finance Cost</t>
  </si>
  <si>
    <t>Preferred Stock Dividends</t>
  </si>
  <si>
    <t xml:space="preserve">Breakdown                    </t>
  </si>
  <si>
    <t>Total  Net Minority Interest</t>
  </si>
  <si>
    <t>Tesla</t>
  </si>
  <si>
    <t>Fiscer Inc.</t>
  </si>
  <si>
    <t>Lucid Group Inc.</t>
  </si>
  <si>
    <t xml:space="preserve">Rivian Automative </t>
  </si>
  <si>
    <t>EBIDTA</t>
  </si>
  <si>
    <t>DEBT</t>
  </si>
  <si>
    <t>Market Capitalization</t>
  </si>
  <si>
    <t>Equity = Enterprise Value - debt</t>
  </si>
  <si>
    <t>Rivian Automotive</t>
  </si>
  <si>
    <t>Equity Value= Enterprise Value -Debt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</si>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</sst>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.5"/>
      <color rgb="FFFF0000"/>
      <name val="Arial"/>
      <family val="2"/>
    </font>
    <font>
      <sz val="12.5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32A3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/>
    <xf numFmtId="0" fontId="3" fillId="7" borderId="1" xfId="0" applyFont="1" applyFill="1" applyBorder="1"/>
    <xf numFmtId="0" fontId="4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1" applyNumberFormat="1" applyFont="1" applyBorder="1"/>
    <xf numFmtId="3" fontId="5" fillId="0" borderId="1" xfId="0" applyNumberFormat="1" applyFont="1" applyBorder="1"/>
    <xf numFmtId="3" fontId="5" fillId="0" borderId="0" xfId="0" applyNumberFormat="1" applyFont="1"/>
    <xf numFmtId="3" fontId="6" fillId="0" borderId="1" xfId="0" applyNumberFormat="1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/>
    <xf numFmtId="3" fontId="5" fillId="0" borderId="1" xfId="0" applyNumberFormat="1" applyFont="1" applyBorder="1" applyAlignment="1">
      <alignment horizontal="right"/>
    </xf>
    <xf numFmtId="2" fontId="5" fillId="2" borderId="1" xfId="0" applyNumberFormat="1" applyFont="1" applyFill="1" applyBorder="1"/>
    <xf numFmtId="2" fontId="5" fillId="0" borderId="1" xfId="0" applyNumberFormat="1" applyFont="1" applyBorder="1"/>
    <xf numFmtId="9" fontId="5" fillId="0" borderId="1" xfId="0" applyNumberFormat="1" applyFont="1" applyBorder="1"/>
    <xf numFmtId="10" fontId="5" fillId="0" borderId="1" xfId="0" applyNumberFormat="1" applyFont="1" applyBorder="1"/>
    <xf numFmtId="3" fontId="5" fillId="2" borderId="1" xfId="0" applyNumberFormat="1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"/>
  <sheetViews>
    <sheetView tabSelected="1" zoomScale="79" zoomScaleNormal="134" workbookViewId="0">
      <selection activeCell="A81" sqref="A81"/>
    </sheetView>
  </sheetViews>
  <sheetFormatPr defaultRowHeight="15" x14ac:dyDescent="0.2"/>
  <cols>
    <col min="1" max="1" width="46" style="18" bestFit="1" customWidth="1"/>
    <col min="2" max="2" width="19.7109375" style="18" bestFit="1" customWidth="1"/>
    <col min="3" max="3" width="16" style="18" bestFit="1" customWidth="1"/>
    <col min="4" max="4" width="16" style="18" customWidth="1"/>
    <col min="5" max="5" width="17.5703125" style="18" bestFit="1" customWidth="1"/>
    <col min="6" max="8" width="15.28515625" style="18" customWidth="1"/>
    <col min="9" max="9" width="17.140625" style="18" customWidth="1"/>
    <col min="10" max="10" width="19.42578125" style="18" customWidth="1"/>
    <col min="11" max="11" width="23.7109375" style="18" customWidth="1"/>
    <col min="12" max="12" width="19.85546875" style="18" customWidth="1"/>
    <col min="13" max="13" width="14.5703125" style="18" customWidth="1"/>
    <col min="14" max="14" width="11.5703125" style="18" customWidth="1"/>
    <col min="15" max="15" width="13.7109375" style="18" customWidth="1"/>
    <col min="16" max="17" width="11.7109375" style="18" customWidth="1"/>
    <col min="18" max="18" width="37.7109375" style="18" customWidth="1"/>
    <col min="19" max="19" width="27" style="18" customWidth="1"/>
    <col min="20" max="20" width="20.42578125" style="18" customWidth="1"/>
    <col min="21" max="21" width="18.42578125" style="18" customWidth="1"/>
    <col min="22" max="22" width="16.5703125" style="18" customWidth="1"/>
    <col min="23" max="23" width="12.28515625" style="18" customWidth="1"/>
    <col min="24" max="24" width="12.85546875" style="18" customWidth="1"/>
    <col min="25" max="25" width="13.140625" style="18" customWidth="1"/>
    <col min="26" max="26" width="14.140625" style="18" customWidth="1"/>
    <col min="27" max="16384" width="9.140625" style="18"/>
  </cols>
  <sheetData>
    <row r="1" spans="1:9" ht="15.75" x14ac:dyDescent="0.25">
      <c r="A1" s="16" t="s">
        <v>59</v>
      </c>
      <c r="B1" s="17"/>
      <c r="C1" s="17"/>
      <c r="D1" s="17"/>
      <c r="E1" s="17"/>
      <c r="F1" s="17"/>
      <c r="G1" s="17"/>
      <c r="H1" s="17"/>
      <c r="I1" s="17"/>
    </row>
    <row r="2" spans="1:9" x14ac:dyDescent="0.2">
      <c r="A2" s="19" t="s">
        <v>0</v>
      </c>
      <c r="B2" s="17" t="s">
        <v>38</v>
      </c>
      <c r="C2" s="17" t="s">
        <v>37</v>
      </c>
      <c r="D2" s="17" t="s">
        <v>36</v>
      </c>
      <c r="E2" s="17" t="s">
        <v>78</v>
      </c>
      <c r="F2" s="17" t="s">
        <v>79</v>
      </c>
      <c r="G2" s="17" t="s">
        <v>80</v>
      </c>
      <c r="H2" s="17" t="s">
        <v>81</v>
      </c>
      <c r="I2" s="17" t="s">
        <v>82</v>
      </c>
    </row>
    <row r="3" spans="1:9" ht="15.75" x14ac:dyDescent="0.2">
      <c r="A3" s="20" t="s">
        <v>34</v>
      </c>
      <c r="B3" s="21">
        <v>4602000</v>
      </c>
      <c r="C3" s="21">
        <v>22294000</v>
      </c>
      <c r="D3" s="21">
        <v>17876000</v>
      </c>
      <c r="E3" s="22">
        <f>D3*1.1</f>
        <v>19663600</v>
      </c>
      <c r="F3" s="22">
        <f>E3*1.1</f>
        <v>21629960</v>
      </c>
      <c r="G3" s="22">
        <f t="shared" ref="G3:I3" si="0">F3*1.1</f>
        <v>23792956.000000004</v>
      </c>
      <c r="H3" s="22">
        <f t="shared" si="0"/>
        <v>26172251.600000005</v>
      </c>
      <c r="I3" s="22">
        <f t="shared" si="0"/>
        <v>28789476.760000009</v>
      </c>
    </row>
    <row r="4" spans="1:9" x14ac:dyDescent="0.2">
      <c r="A4" s="19" t="s">
        <v>50</v>
      </c>
      <c r="B4" s="21">
        <v>3016000</v>
      </c>
      <c r="C4" s="21">
        <v>18559000</v>
      </c>
      <c r="D4" s="21">
        <v>13130000</v>
      </c>
      <c r="E4" s="17">
        <f>D4*1.1</f>
        <v>14443000.000000002</v>
      </c>
      <c r="F4" s="17">
        <f t="shared" ref="F4:I4" si="1">E4*1.1</f>
        <v>15887300.000000004</v>
      </c>
      <c r="G4" s="17">
        <f t="shared" si="1"/>
        <v>17476030.000000004</v>
      </c>
      <c r="H4" s="17">
        <f t="shared" si="1"/>
        <v>19223633.000000007</v>
      </c>
      <c r="I4" s="17">
        <f t="shared" si="1"/>
        <v>21145996.300000008</v>
      </c>
    </row>
    <row r="5" spans="1:9" x14ac:dyDescent="0.2">
      <c r="A5" s="19" t="s">
        <v>51</v>
      </c>
      <c r="B5" s="21">
        <v>2979000</v>
      </c>
      <c r="C5" s="21">
        <v>18133000</v>
      </c>
      <c r="D5" s="21">
        <v>11568000</v>
      </c>
      <c r="E5" s="17">
        <f>D5*1.1</f>
        <v>12724800.000000002</v>
      </c>
      <c r="F5" s="17">
        <f t="shared" ref="F5:I5" si="2">E5*1.1</f>
        <v>13997280.000000004</v>
      </c>
      <c r="G5" s="17">
        <f t="shared" si="2"/>
        <v>15397008.000000006</v>
      </c>
      <c r="H5" s="17">
        <f t="shared" si="2"/>
        <v>16936708.800000008</v>
      </c>
      <c r="I5" s="17">
        <f t="shared" si="2"/>
        <v>18630379.680000011</v>
      </c>
    </row>
    <row r="6" spans="1:9" x14ac:dyDescent="0.2">
      <c r="A6" s="19" t="s">
        <v>52</v>
      </c>
      <c r="B6" s="19">
        <v>0</v>
      </c>
      <c r="C6" s="21">
        <v>26000</v>
      </c>
      <c r="D6" s="21">
        <v>102000</v>
      </c>
      <c r="E6" s="17">
        <f>D6*1.1</f>
        <v>112200.00000000001</v>
      </c>
      <c r="F6" s="17">
        <f t="shared" ref="F6:I6" si="3">E6*1.1</f>
        <v>123420.00000000003</v>
      </c>
      <c r="G6" s="17">
        <f t="shared" si="3"/>
        <v>135762.00000000003</v>
      </c>
      <c r="H6" s="17">
        <f t="shared" si="3"/>
        <v>149338.20000000004</v>
      </c>
      <c r="I6" s="17">
        <f t="shared" si="3"/>
        <v>164272.02000000005</v>
      </c>
    </row>
    <row r="7" spans="1:9" x14ac:dyDescent="0.2">
      <c r="A7" s="19" t="s">
        <v>53</v>
      </c>
      <c r="B7" s="19">
        <v>0</v>
      </c>
      <c r="C7" s="21">
        <v>274000</v>
      </c>
      <c r="D7" s="21">
        <v>1348000</v>
      </c>
      <c r="E7" s="17">
        <f>D7*1.1</f>
        <v>1482800.0000000002</v>
      </c>
      <c r="F7" s="17">
        <f t="shared" ref="F7:I7" si="4">E7*1.1</f>
        <v>1631080.0000000005</v>
      </c>
      <c r="G7" s="17">
        <f t="shared" si="4"/>
        <v>1794188.0000000007</v>
      </c>
      <c r="H7" s="17">
        <f t="shared" si="4"/>
        <v>1973606.800000001</v>
      </c>
      <c r="I7" s="17">
        <f t="shared" si="4"/>
        <v>2170967.4800000014</v>
      </c>
    </row>
    <row r="8" spans="1:9" x14ac:dyDescent="0.2">
      <c r="A8" s="19" t="s">
        <v>54</v>
      </c>
      <c r="B8" s="21">
        <v>37000</v>
      </c>
      <c r="C8" s="21">
        <v>126000</v>
      </c>
      <c r="D8" s="21">
        <v>112000</v>
      </c>
      <c r="E8" s="17">
        <f>D8*1.1</f>
        <v>123200.00000000001</v>
      </c>
      <c r="F8" s="17">
        <f t="shared" ref="F8:I10" si="5">E8*1.1</f>
        <v>135520.00000000003</v>
      </c>
      <c r="G8" s="17">
        <f t="shared" si="5"/>
        <v>149072.00000000006</v>
      </c>
      <c r="H8" s="17">
        <f t="shared" si="5"/>
        <v>163979.20000000007</v>
      </c>
      <c r="I8" s="17">
        <f t="shared" si="5"/>
        <v>180377.12000000008</v>
      </c>
    </row>
    <row r="9" spans="1:9" x14ac:dyDescent="0.2">
      <c r="A9" s="17" t="s">
        <v>93</v>
      </c>
      <c r="B9" s="23">
        <v>-883000</v>
      </c>
      <c r="C9" s="23">
        <v>-233000</v>
      </c>
      <c r="D9" s="23">
        <v>-38000</v>
      </c>
      <c r="E9" s="23">
        <v>-10000</v>
      </c>
      <c r="F9" s="17">
        <f>E9*1.2</f>
        <v>-12000</v>
      </c>
      <c r="G9" s="17">
        <f t="shared" si="5"/>
        <v>-13200.000000000002</v>
      </c>
      <c r="H9" s="17">
        <f t="shared" si="5"/>
        <v>-14520.000000000004</v>
      </c>
      <c r="I9" s="17">
        <f t="shared" si="5"/>
        <v>-15972.000000000005</v>
      </c>
    </row>
    <row r="10" spans="1:9" x14ac:dyDescent="0.2">
      <c r="A10" s="19" t="s">
        <v>96</v>
      </c>
      <c r="B10" s="23">
        <v>1525000</v>
      </c>
      <c r="C10" s="23">
        <v>3411000</v>
      </c>
      <c r="D10" s="23">
        <v>4088000</v>
      </c>
      <c r="E10" s="17">
        <f>D10*1.1</f>
        <v>4496800</v>
      </c>
      <c r="F10" s="17">
        <f t="shared" ref="F10" si="6">E10*1.1</f>
        <v>4946480</v>
      </c>
      <c r="G10" s="17">
        <f t="shared" si="5"/>
        <v>5441128</v>
      </c>
      <c r="H10" s="17">
        <f t="shared" si="5"/>
        <v>5985240.8000000007</v>
      </c>
      <c r="I10" s="17">
        <f t="shared" si="5"/>
        <v>6583764.8800000018</v>
      </c>
    </row>
    <row r="11" spans="1:9" x14ac:dyDescent="0.2">
      <c r="A11" s="19" t="s">
        <v>55</v>
      </c>
      <c r="B11" s="21">
        <v>1586000</v>
      </c>
      <c r="C11" s="21">
        <v>3735000</v>
      </c>
      <c r="D11" s="21">
        <v>4746000</v>
      </c>
      <c r="E11" s="17">
        <f>E3-E4</f>
        <v>5220599.9999999981</v>
      </c>
      <c r="F11" s="17">
        <f t="shared" ref="F11:I11" si="7">E11*1.1</f>
        <v>5742659.9999999981</v>
      </c>
      <c r="G11" s="17">
        <f t="shared" si="7"/>
        <v>6316925.9999999981</v>
      </c>
      <c r="H11" s="17">
        <f t="shared" si="7"/>
        <v>6948618.5999999987</v>
      </c>
      <c r="I11" s="17">
        <f t="shared" si="7"/>
        <v>7643480.459999999</v>
      </c>
    </row>
    <row r="12" spans="1:9" ht="15.75" x14ac:dyDescent="0.2">
      <c r="A12" s="20" t="s">
        <v>39</v>
      </c>
      <c r="B12" s="21">
        <v>5986000</v>
      </c>
      <c r="C12" s="21">
        <v>2780000</v>
      </c>
      <c r="D12" s="21">
        <v>4077000</v>
      </c>
      <c r="E12" s="17">
        <f>D12*1.05</f>
        <v>4280850</v>
      </c>
      <c r="F12" s="17">
        <f t="shared" ref="F12:I12" si="8">E12*1.05</f>
        <v>4494892.5</v>
      </c>
      <c r="G12" s="17">
        <f t="shared" si="8"/>
        <v>4719637.125</v>
      </c>
      <c r="H12" s="17">
        <f t="shared" si="8"/>
        <v>4955618.9812500002</v>
      </c>
      <c r="I12" s="17">
        <f t="shared" si="8"/>
        <v>5203399.9303125003</v>
      </c>
    </row>
    <row r="13" spans="1:9" x14ac:dyDescent="0.2">
      <c r="A13" s="19" t="s">
        <v>56</v>
      </c>
      <c r="B13" s="21">
        <v>611000</v>
      </c>
      <c r="C13" s="21">
        <v>1313000</v>
      </c>
      <c r="D13" s="21">
        <v>2424000</v>
      </c>
      <c r="E13" s="17">
        <f>D13*1.05</f>
        <v>2545200</v>
      </c>
      <c r="F13" s="17">
        <f t="shared" ref="F13:I13" si="9">E13*1.05</f>
        <v>2672460</v>
      </c>
      <c r="G13" s="17">
        <f t="shared" si="9"/>
        <v>2806083</v>
      </c>
      <c r="H13" s="17">
        <f t="shared" si="9"/>
        <v>2946387.15</v>
      </c>
      <c r="I13" s="17">
        <f t="shared" si="9"/>
        <v>3093706.5074999998</v>
      </c>
    </row>
    <row r="14" spans="1:9" x14ac:dyDescent="0.2">
      <c r="A14" s="19" t="s">
        <v>57</v>
      </c>
      <c r="B14" s="21">
        <v>5375000</v>
      </c>
      <c r="C14" s="21">
        <v>1467000</v>
      </c>
      <c r="D14" s="21">
        <v>1653000</v>
      </c>
      <c r="E14" s="17">
        <f>E12-E13</f>
        <v>1735650</v>
      </c>
      <c r="F14" s="17">
        <f t="shared" ref="F14:I14" si="10">F12-F13</f>
        <v>1822432.5</v>
      </c>
      <c r="G14" s="17">
        <f t="shared" si="10"/>
        <v>1913554.125</v>
      </c>
      <c r="H14" s="17">
        <f t="shared" si="10"/>
        <v>2009231.8312500003</v>
      </c>
      <c r="I14" s="17">
        <f t="shared" si="10"/>
        <v>2109693.4228125005</v>
      </c>
    </row>
    <row r="15" spans="1:9" x14ac:dyDescent="0.2">
      <c r="A15" s="19" t="s">
        <v>40</v>
      </c>
      <c r="B15" s="21">
        <v>-1384000</v>
      </c>
      <c r="C15" s="21">
        <v>19514000</v>
      </c>
      <c r="D15" s="21">
        <v>13799000</v>
      </c>
      <c r="E15" s="17">
        <f>E3-E12</f>
        <v>15382750</v>
      </c>
      <c r="F15" s="17">
        <f>F3-F12</f>
        <v>17135067.5</v>
      </c>
      <c r="G15" s="17">
        <f>G3-G12</f>
        <v>19073318.875000004</v>
      </c>
      <c r="H15" s="17">
        <f>H3-H12</f>
        <v>21216632.618750006</v>
      </c>
      <c r="I15" s="17">
        <f>I3-I12</f>
        <v>23586076.82968751</v>
      </c>
    </row>
    <row r="16" spans="1:9" x14ac:dyDescent="0.2">
      <c r="A16" s="19" t="s">
        <v>58</v>
      </c>
      <c r="B16" s="21">
        <v>-1384000</v>
      </c>
      <c r="C16" s="21">
        <v>19514000</v>
      </c>
      <c r="D16" s="21">
        <v>13799000</v>
      </c>
      <c r="E16" s="17">
        <f>D16*1.1</f>
        <v>15178900.000000002</v>
      </c>
      <c r="F16" s="17">
        <f t="shared" ref="F16:I16" si="11">E16*1.1</f>
        <v>16696790.000000004</v>
      </c>
      <c r="G16" s="17">
        <f t="shared" si="11"/>
        <v>18366469.000000004</v>
      </c>
      <c r="H16" s="17">
        <f t="shared" si="11"/>
        <v>20203115.900000006</v>
      </c>
      <c r="I16" s="17">
        <f t="shared" si="11"/>
        <v>22223427.49000001</v>
      </c>
    </row>
    <row r="17" spans="1:18" x14ac:dyDescent="0.2">
      <c r="A17" s="19" t="s">
        <v>41</v>
      </c>
      <c r="B17" s="21">
        <v>-1337000</v>
      </c>
      <c r="C17" s="21">
        <v>20740000</v>
      </c>
      <c r="D17" s="21">
        <v>15030000</v>
      </c>
      <c r="E17" s="17">
        <f>D17*1.1</f>
        <v>16533000.000000002</v>
      </c>
      <c r="F17" s="17">
        <f>E17*1.1</f>
        <v>18186300.000000004</v>
      </c>
      <c r="G17" s="17">
        <f>F17*1.1</f>
        <v>20004930.000000007</v>
      </c>
      <c r="H17" s="17">
        <f>G17*1.1</f>
        <v>22005423.000000011</v>
      </c>
      <c r="I17" s="17">
        <f>H17*1.1</f>
        <v>24205965.300000016</v>
      </c>
    </row>
    <row r="18" spans="1:18" x14ac:dyDescent="0.2">
      <c r="A18" s="19" t="s">
        <v>42</v>
      </c>
      <c r="B18" s="21">
        <v>-1384000</v>
      </c>
      <c r="C18" s="21">
        <v>19514000</v>
      </c>
      <c r="D18" s="21">
        <v>13799000</v>
      </c>
      <c r="E18" s="17">
        <f>E3-E12</f>
        <v>15382750</v>
      </c>
      <c r="F18" s="17">
        <f>F3-F12</f>
        <v>17135067.5</v>
      </c>
      <c r="G18" s="17">
        <f>G3-G12</f>
        <v>19073318.875000004</v>
      </c>
      <c r="H18" s="17">
        <f>H3-H12</f>
        <v>21216632.618750006</v>
      </c>
      <c r="I18" s="17">
        <f>I3-I12</f>
        <v>23586076.82968751</v>
      </c>
    </row>
    <row r="19" spans="1:18" x14ac:dyDescent="0.2">
      <c r="A19" s="19" t="s">
        <v>35</v>
      </c>
      <c r="B19" s="21">
        <v>105000</v>
      </c>
      <c r="C19" s="21">
        <v>307000</v>
      </c>
      <c r="D19" s="21">
        <v>581000</v>
      </c>
      <c r="E19" s="17">
        <f>D19*(1+1.405)</f>
        <v>1397305.0000000002</v>
      </c>
      <c r="F19" s="17">
        <f t="shared" ref="F19:I19" si="12">E19*(1+1.405)</f>
        <v>3360518.5250000008</v>
      </c>
      <c r="G19" s="17">
        <f t="shared" si="12"/>
        <v>8082047.0526250033</v>
      </c>
      <c r="H19" s="17">
        <f t="shared" si="12"/>
        <v>19437323.161563136</v>
      </c>
      <c r="I19" s="17">
        <f t="shared" si="12"/>
        <v>46746762.203559346</v>
      </c>
    </row>
    <row r="20" spans="1:18" x14ac:dyDescent="0.2">
      <c r="A20" s="19" t="s">
        <v>43</v>
      </c>
      <c r="B20" s="21">
        <v>-1384000</v>
      </c>
      <c r="C20" s="21">
        <v>19514000</v>
      </c>
      <c r="D20" s="21">
        <v>13799000</v>
      </c>
      <c r="E20" s="17">
        <f>E3-E12</f>
        <v>15382750</v>
      </c>
      <c r="F20" s="17">
        <f>F3-F12</f>
        <v>17135067.5</v>
      </c>
      <c r="G20" s="17">
        <f>G3-G12</f>
        <v>19073318.875000004</v>
      </c>
      <c r="H20" s="17">
        <f>H3-H12</f>
        <v>21216632.618750006</v>
      </c>
      <c r="I20" s="17">
        <f>I3-I12</f>
        <v>23586076.82968751</v>
      </c>
    </row>
    <row r="21" spans="1:18" x14ac:dyDescent="0.2">
      <c r="A21" s="19" t="s">
        <v>44</v>
      </c>
      <c r="B21" s="21">
        <v>2405000</v>
      </c>
      <c r="C21" s="21">
        <v>17246000</v>
      </c>
      <c r="D21" s="21">
        <v>10706000</v>
      </c>
      <c r="E21" s="17">
        <f>E5-E13</f>
        <v>10179600.000000002</v>
      </c>
      <c r="F21" s="17">
        <f>F5-F13</f>
        <v>11324820.000000004</v>
      </c>
      <c r="G21" s="17">
        <f>G5-G13</f>
        <v>12590925.000000006</v>
      </c>
      <c r="H21" s="17">
        <f>H5-H13</f>
        <v>13990321.650000008</v>
      </c>
      <c r="I21" s="17">
        <f>I5-I13</f>
        <v>15536673.172500011</v>
      </c>
      <c r="R21" s="24"/>
    </row>
    <row r="22" spans="1:18" x14ac:dyDescent="0.2">
      <c r="A22" s="19" t="s">
        <v>45</v>
      </c>
      <c r="B22" s="21">
        <v>-1309000</v>
      </c>
      <c r="C22" s="21">
        <v>20740000</v>
      </c>
      <c r="D22" s="21">
        <v>15030000</v>
      </c>
      <c r="E22" s="17">
        <f>E17</f>
        <v>16533000.000000002</v>
      </c>
      <c r="F22" s="17">
        <f t="shared" ref="F22:I22" si="13">F17</f>
        <v>18186300.000000004</v>
      </c>
      <c r="G22" s="17">
        <f t="shared" si="13"/>
        <v>20004930.000000007</v>
      </c>
      <c r="H22" s="17">
        <f t="shared" si="13"/>
        <v>22005423.000000011</v>
      </c>
      <c r="I22" s="17">
        <f t="shared" si="13"/>
        <v>24205965.300000016</v>
      </c>
      <c r="R22" s="24"/>
    </row>
    <row r="23" spans="1:18" x14ac:dyDescent="0.2">
      <c r="A23" s="19" t="s">
        <v>46</v>
      </c>
      <c r="B23" s="21">
        <v>-1384000</v>
      </c>
      <c r="C23" s="21">
        <v>19514000</v>
      </c>
      <c r="D23" s="21">
        <v>13799000</v>
      </c>
      <c r="E23" s="17">
        <f>D23*1.1</f>
        <v>15178900.000000002</v>
      </c>
      <c r="F23" s="17">
        <f t="shared" ref="F23:I23" si="14">E23*1.1</f>
        <v>16696790.000000004</v>
      </c>
      <c r="G23" s="17">
        <f t="shared" si="14"/>
        <v>18366469.000000004</v>
      </c>
      <c r="H23" s="17">
        <f t="shared" si="14"/>
        <v>20203115.900000006</v>
      </c>
      <c r="I23" s="17">
        <f t="shared" si="14"/>
        <v>22223427.49000001</v>
      </c>
      <c r="R23" s="24"/>
    </row>
    <row r="24" spans="1:18" x14ac:dyDescent="0.2">
      <c r="A24" s="19" t="s">
        <v>47</v>
      </c>
      <c r="B24" s="21">
        <v>180000</v>
      </c>
      <c r="C24" s="21">
        <v>1533000</v>
      </c>
      <c r="D24" s="21">
        <v>1812000</v>
      </c>
      <c r="E24" s="17">
        <f>D24*1.05</f>
        <v>1902600</v>
      </c>
      <c r="F24" s="17">
        <f t="shared" ref="F24:I24" si="15">E24*1.05</f>
        <v>1997730</v>
      </c>
      <c r="G24" s="17">
        <f t="shared" si="15"/>
        <v>2097616.5</v>
      </c>
      <c r="H24" s="17">
        <f t="shared" si="15"/>
        <v>2202497.3250000002</v>
      </c>
      <c r="I24" s="17">
        <f t="shared" si="15"/>
        <v>2312622.1912500001</v>
      </c>
      <c r="R24" s="24"/>
    </row>
    <row r="25" spans="1:18" x14ac:dyDescent="0.2">
      <c r="A25" s="19" t="s">
        <v>48</v>
      </c>
      <c r="B25" s="21">
        <v>852859</v>
      </c>
      <c r="C25" s="21">
        <v>900000</v>
      </c>
      <c r="D25" s="21">
        <v>926000</v>
      </c>
      <c r="E25" s="17">
        <f>D25*1.02</f>
        <v>944520</v>
      </c>
      <c r="F25" s="17">
        <f t="shared" ref="F25:I25" si="16">E25*1.02</f>
        <v>963410.4</v>
      </c>
      <c r="G25" s="17">
        <f t="shared" si="16"/>
        <v>982678.60800000001</v>
      </c>
      <c r="H25" s="17">
        <f t="shared" si="16"/>
        <v>1002332.18016</v>
      </c>
      <c r="I25" s="17">
        <f t="shared" si="16"/>
        <v>1022378.8237632</v>
      </c>
    </row>
    <row r="26" spans="1:18" x14ac:dyDescent="0.2">
      <c r="A26" s="19" t="s">
        <v>49</v>
      </c>
      <c r="B26" s="21">
        <v>852859</v>
      </c>
      <c r="C26" s="21">
        <v>900000</v>
      </c>
      <c r="D26" s="21">
        <v>926000</v>
      </c>
      <c r="E26" s="17">
        <f>D26*1.02</f>
        <v>944520</v>
      </c>
      <c r="F26" s="17">
        <f t="shared" ref="F26:I26" si="17">E26*1.02</f>
        <v>963410.4</v>
      </c>
      <c r="G26" s="17">
        <f t="shared" si="17"/>
        <v>982678.60800000001</v>
      </c>
      <c r="H26" s="17">
        <f t="shared" si="17"/>
        <v>1002332.18016</v>
      </c>
      <c r="I26" s="17">
        <f t="shared" si="17"/>
        <v>1022378.8237632</v>
      </c>
    </row>
    <row r="27" spans="1:18" x14ac:dyDescent="0.2">
      <c r="A27" s="17" t="s">
        <v>129</v>
      </c>
      <c r="B27" s="23">
        <v>5244000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18" x14ac:dyDescent="0.2">
      <c r="A28" s="19" t="s">
        <v>122</v>
      </c>
      <c r="B28" s="25">
        <v>47000</v>
      </c>
      <c r="C28" s="23">
        <v>1226000</v>
      </c>
      <c r="D28" s="23">
        <v>1231000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</row>
    <row r="29" spans="1:18" x14ac:dyDescent="0.2">
      <c r="A29" s="17" t="s">
        <v>216</v>
      </c>
      <c r="B29" s="23">
        <f>5986000-1384000</f>
        <v>4602000</v>
      </c>
      <c r="C29" s="17">
        <f>B29*1.1</f>
        <v>5062200</v>
      </c>
      <c r="D29" s="17">
        <f>C29*1.1</f>
        <v>5568420</v>
      </c>
      <c r="E29" s="17">
        <f t="shared" ref="E29:I29" si="18">D29*1.1</f>
        <v>6125262.0000000009</v>
      </c>
      <c r="F29" s="17">
        <f t="shared" si="18"/>
        <v>6737788.2000000011</v>
      </c>
      <c r="G29" s="17">
        <f t="shared" si="18"/>
        <v>7411567.0200000014</v>
      </c>
      <c r="H29" s="17">
        <f t="shared" si="18"/>
        <v>8152723.7220000019</v>
      </c>
      <c r="I29" s="17">
        <f t="shared" si="18"/>
        <v>8967996.094200002</v>
      </c>
    </row>
    <row r="31" spans="1:18" ht="15.75" x14ac:dyDescent="0.25">
      <c r="A31" s="16" t="s">
        <v>64</v>
      </c>
      <c r="B31" s="27" t="s">
        <v>63</v>
      </c>
      <c r="C31" s="17" t="s">
        <v>62</v>
      </c>
      <c r="D31" s="17" t="s">
        <v>61</v>
      </c>
      <c r="E31" s="17" t="s">
        <v>78</v>
      </c>
      <c r="F31" s="17" t="s">
        <v>79</v>
      </c>
      <c r="G31" s="17" t="s">
        <v>80</v>
      </c>
      <c r="H31" s="17" t="s">
        <v>81</v>
      </c>
      <c r="I31" s="17" t="s">
        <v>82</v>
      </c>
    </row>
    <row r="32" spans="1:18" x14ac:dyDescent="0.2">
      <c r="A32" s="17" t="s">
        <v>85</v>
      </c>
      <c r="B32" s="17">
        <v>10000</v>
      </c>
      <c r="C32" s="23">
        <v>55000</v>
      </c>
      <c r="D32" s="23">
        <v>1658000</v>
      </c>
      <c r="E32" s="23">
        <v>3500000</v>
      </c>
      <c r="F32" s="23">
        <f>E32*1.5</f>
        <v>5250000</v>
      </c>
      <c r="G32" s="23">
        <f t="shared" ref="G32:I32" si="19">F32*1.5</f>
        <v>7875000</v>
      </c>
      <c r="H32" s="23">
        <f t="shared" si="19"/>
        <v>11812500</v>
      </c>
      <c r="I32" s="23">
        <f t="shared" si="19"/>
        <v>17718750</v>
      </c>
    </row>
    <row r="33" spans="1:9" x14ac:dyDescent="0.2">
      <c r="A33" s="19" t="s">
        <v>1</v>
      </c>
      <c r="B33" s="19">
        <v>10000</v>
      </c>
      <c r="C33" s="21">
        <v>55000</v>
      </c>
      <c r="D33" s="21">
        <v>1658000</v>
      </c>
      <c r="E33" s="23">
        <v>2652800</v>
      </c>
      <c r="F33" s="23">
        <v>3979200</v>
      </c>
      <c r="G33" s="23">
        <v>5570880</v>
      </c>
      <c r="H33" s="23">
        <v>7242144</v>
      </c>
      <c r="I33" s="23">
        <v>8690573</v>
      </c>
    </row>
    <row r="34" spans="1:9" x14ac:dyDescent="0.2">
      <c r="A34" s="17" t="s">
        <v>86</v>
      </c>
      <c r="B34" s="17">
        <v>260000</v>
      </c>
      <c r="C34" s="23">
        <v>520000</v>
      </c>
      <c r="D34" s="23">
        <v>4781000</v>
      </c>
      <c r="E34" s="23">
        <v>2400000</v>
      </c>
      <c r="F34" s="23">
        <f>E34*1.4</f>
        <v>3360000</v>
      </c>
      <c r="G34" s="23">
        <f t="shared" ref="G34:I34" si="20">F34*1.4</f>
        <v>4704000</v>
      </c>
      <c r="H34" s="23">
        <f t="shared" si="20"/>
        <v>6585600</v>
      </c>
      <c r="I34" s="23">
        <f t="shared" si="20"/>
        <v>9219840</v>
      </c>
    </row>
    <row r="35" spans="1:9" x14ac:dyDescent="0.2">
      <c r="A35" s="17" t="s">
        <v>3</v>
      </c>
      <c r="B35" s="23">
        <v>-150000</v>
      </c>
      <c r="C35" s="23">
        <v>-465000</v>
      </c>
      <c r="D35" s="23">
        <v>-3123000</v>
      </c>
      <c r="E35" s="23">
        <f>E32-E34</f>
        <v>1100000</v>
      </c>
      <c r="F35" s="23">
        <f t="shared" ref="F35:I35" si="21">F32-F34</f>
        <v>1890000</v>
      </c>
      <c r="G35" s="23">
        <f t="shared" si="21"/>
        <v>3171000</v>
      </c>
      <c r="H35" s="23">
        <f t="shared" si="21"/>
        <v>5226900</v>
      </c>
      <c r="I35" s="23">
        <f t="shared" si="21"/>
        <v>8498910</v>
      </c>
    </row>
    <row r="36" spans="1:9" x14ac:dyDescent="0.2">
      <c r="A36" s="17" t="s">
        <v>83</v>
      </c>
      <c r="B36" s="23">
        <v>1021000</v>
      </c>
      <c r="C36" s="23">
        <v>3755000</v>
      </c>
      <c r="D36" s="23">
        <v>3733000</v>
      </c>
      <c r="E36" s="23">
        <v>1000000</v>
      </c>
      <c r="F36" s="23">
        <f>E36*1.7</f>
        <v>1700000</v>
      </c>
      <c r="G36" s="23">
        <f t="shared" ref="G36:I36" si="22">F36*1.7</f>
        <v>2890000</v>
      </c>
      <c r="H36" s="23">
        <f t="shared" si="22"/>
        <v>4913000</v>
      </c>
      <c r="I36" s="23">
        <f t="shared" si="22"/>
        <v>8352100</v>
      </c>
    </row>
    <row r="37" spans="1:9" x14ac:dyDescent="0.2">
      <c r="A37" s="17" t="s">
        <v>5</v>
      </c>
      <c r="B37" s="23">
        <v>-1021000</v>
      </c>
      <c r="C37" s="23">
        <v>-4220000</v>
      </c>
      <c r="D37" s="23">
        <v>-6856000</v>
      </c>
      <c r="E37" s="23">
        <f>E35-E36</f>
        <v>100000</v>
      </c>
      <c r="F37" s="23">
        <f t="shared" ref="F37:I37" si="23">F35-F36</f>
        <v>190000</v>
      </c>
      <c r="G37" s="23">
        <f t="shared" si="23"/>
        <v>281000</v>
      </c>
      <c r="H37" s="23">
        <f t="shared" si="23"/>
        <v>313900</v>
      </c>
      <c r="I37" s="23">
        <f t="shared" si="23"/>
        <v>146810</v>
      </c>
    </row>
    <row r="38" spans="1:9" x14ac:dyDescent="0.2">
      <c r="A38" s="19" t="s">
        <v>21</v>
      </c>
      <c r="B38" s="21">
        <v>10000</v>
      </c>
      <c r="C38" s="21">
        <v>3000</v>
      </c>
      <c r="D38" s="21">
        <v>193000</v>
      </c>
      <c r="E38" s="23">
        <f>D38*1.2</f>
        <v>231600</v>
      </c>
      <c r="F38" s="23">
        <f t="shared" ref="F38:I38" si="24">E38*1.2</f>
        <v>277920</v>
      </c>
      <c r="G38" s="23">
        <f t="shared" si="24"/>
        <v>333504</v>
      </c>
      <c r="H38" s="23">
        <f t="shared" si="24"/>
        <v>400204.79999999999</v>
      </c>
      <c r="I38" s="23">
        <f t="shared" si="24"/>
        <v>480245.75999999995</v>
      </c>
    </row>
    <row r="39" spans="1:9" x14ac:dyDescent="0.2">
      <c r="A39" s="19" t="s">
        <v>23</v>
      </c>
      <c r="B39" s="21">
        <v>2000</v>
      </c>
      <c r="C39" s="21">
        <v>-26000</v>
      </c>
      <c r="D39" s="21">
        <v>90000</v>
      </c>
      <c r="E39" s="23">
        <f>E38</f>
        <v>231600</v>
      </c>
      <c r="F39" s="23">
        <f>F38</f>
        <v>277920</v>
      </c>
      <c r="G39" s="23">
        <f t="shared" ref="G39:I39" si="25">G38</f>
        <v>333504</v>
      </c>
      <c r="H39" s="23">
        <f t="shared" si="25"/>
        <v>400204.79999999999</v>
      </c>
      <c r="I39" s="23">
        <f t="shared" si="25"/>
        <v>480245.75999999995</v>
      </c>
    </row>
    <row r="40" spans="1:9" x14ac:dyDescent="0.2">
      <c r="A40" s="17" t="s">
        <v>22</v>
      </c>
      <c r="B40" s="23">
        <v>8000</v>
      </c>
      <c r="C40" s="23">
        <v>29000</v>
      </c>
      <c r="D40" s="23">
        <v>103000</v>
      </c>
      <c r="E40" s="23">
        <f>D40*1.2</f>
        <v>123600</v>
      </c>
      <c r="F40" s="23">
        <f t="shared" ref="F40:I40" si="26">E40*1.2</f>
        <v>148320</v>
      </c>
      <c r="G40" s="23">
        <f t="shared" si="26"/>
        <v>177984</v>
      </c>
      <c r="H40" s="23">
        <f t="shared" si="26"/>
        <v>213580.79999999999</v>
      </c>
      <c r="I40" s="23">
        <f t="shared" si="26"/>
        <v>256296.95999999996</v>
      </c>
    </row>
    <row r="41" spans="1:9" x14ac:dyDescent="0.2">
      <c r="A41" s="17" t="s">
        <v>87</v>
      </c>
      <c r="B41" s="23">
        <v>-1018000</v>
      </c>
      <c r="C41" s="23">
        <v>-4688000</v>
      </c>
      <c r="D41" s="23">
        <v>-6748000</v>
      </c>
      <c r="E41" s="23">
        <f>E37+E39-E40</f>
        <v>208000</v>
      </c>
      <c r="F41" s="23">
        <f t="shared" ref="F41:I41" si="27">F37+F39-F40</f>
        <v>319600</v>
      </c>
      <c r="G41" s="23">
        <f t="shared" si="27"/>
        <v>436520</v>
      </c>
      <c r="H41" s="23">
        <f t="shared" si="27"/>
        <v>500524.00000000006</v>
      </c>
      <c r="I41" s="23">
        <f t="shared" si="27"/>
        <v>370758.80000000005</v>
      </c>
    </row>
    <row r="42" spans="1:9" x14ac:dyDescent="0.2">
      <c r="A42" s="17" t="s">
        <v>84</v>
      </c>
      <c r="B42" s="17">
        <v>1000</v>
      </c>
      <c r="C42" s="17">
        <v>2000</v>
      </c>
      <c r="D42" s="23">
        <v>4000</v>
      </c>
      <c r="E42" s="23">
        <v>4000</v>
      </c>
      <c r="F42" s="23">
        <v>4000</v>
      </c>
      <c r="G42" s="23">
        <v>4000</v>
      </c>
      <c r="H42" s="23">
        <v>4000</v>
      </c>
      <c r="I42" s="23">
        <v>4000</v>
      </c>
    </row>
    <row r="43" spans="1:9" ht="15.75" x14ac:dyDescent="0.25">
      <c r="A43" s="28" t="s">
        <v>88</v>
      </c>
      <c r="B43" s="27" t="s">
        <v>91</v>
      </c>
      <c r="C43" s="27" t="s">
        <v>90</v>
      </c>
      <c r="D43" s="27" t="s">
        <v>89</v>
      </c>
      <c r="E43" s="23">
        <f>E41-E42</f>
        <v>204000</v>
      </c>
      <c r="F43" s="23">
        <f>E43*1.5</f>
        <v>306000</v>
      </c>
      <c r="G43" s="23">
        <f t="shared" ref="G43:I43" si="28">F43*1.5</f>
        <v>459000</v>
      </c>
      <c r="H43" s="23">
        <f t="shared" si="28"/>
        <v>688500</v>
      </c>
      <c r="I43" s="23">
        <f t="shared" si="28"/>
        <v>1032750</v>
      </c>
    </row>
    <row r="44" spans="1:9" x14ac:dyDescent="0.2">
      <c r="A44" s="17" t="s">
        <v>24</v>
      </c>
      <c r="B44" s="25">
        <v>-4659000</v>
      </c>
      <c r="C44" s="25">
        <v>-6645000</v>
      </c>
      <c r="D44" s="23">
        <v>-6645000</v>
      </c>
      <c r="E44" s="23">
        <f>E32-E34-E36</f>
        <v>100000</v>
      </c>
      <c r="F44" s="23">
        <f t="shared" ref="F44:I44" si="29">F32-F34-F36</f>
        <v>190000</v>
      </c>
      <c r="G44" s="23">
        <f t="shared" si="29"/>
        <v>281000</v>
      </c>
      <c r="H44" s="23">
        <f t="shared" si="29"/>
        <v>313900</v>
      </c>
      <c r="I44" s="23">
        <f t="shared" si="29"/>
        <v>146810</v>
      </c>
    </row>
    <row r="45" spans="1:9" x14ac:dyDescent="0.2">
      <c r="A45" s="17" t="s">
        <v>25</v>
      </c>
      <c r="B45" s="29">
        <f t="shared" ref="B45:I45" si="30">B44+B50</f>
        <v>-4630000</v>
      </c>
      <c r="C45" s="29">
        <f t="shared" si="30"/>
        <v>-6448000</v>
      </c>
      <c r="D45" s="29">
        <f t="shared" si="30"/>
        <v>-5993000</v>
      </c>
      <c r="E45" s="29">
        <f t="shared" si="30"/>
        <v>817200</v>
      </c>
      <c r="F45" s="29">
        <f t="shared" si="30"/>
        <v>978920.00000000012</v>
      </c>
      <c r="G45" s="29">
        <f t="shared" si="30"/>
        <v>1148812.0000000002</v>
      </c>
      <c r="H45" s="29">
        <f t="shared" si="30"/>
        <v>1268493.2000000002</v>
      </c>
      <c r="I45" s="29">
        <f t="shared" si="30"/>
        <v>1196862.5200000005</v>
      </c>
    </row>
    <row r="47" spans="1:9" ht="15.75" x14ac:dyDescent="0.25">
      <c r="A47" s="16" t="s">
        <v>77</v>
      </c>
      <c r="B47" s="17"/>
      <c r="C47" s="17"/>
      <c r="D47" s="17"/>
      <c r="E47" s="17"/>
      <c r="F47" s="17"/>
      <c r="G47" s="17"/>
      <c r="H47" s="17"/>
      <c r="I47" s="17"/>
    </row>
    <row r="48" spans="1:9" x14ac:dyDescent="0.2">
      <c r="A48" s="19" t="s">
        <v>76</v>
      </c>
      <c r="B48" s="17" t="s">
        <v>38</v>
      </c>
      <c r="C48" s="17" t="s">
        <v>37</v>
      </c>
      <c r="D48" s="27" t="s">
        <v>36</v>
      </c>
      <c r="E48" s="27" t="s">
        <v>78</v>
      </c>
      <c r="F48" s="27" t="s">
        <v>79</v>
      </c>
      <c r="G48" s="27" t="s">
        <v>80</v>
      </c>
      <c r="H48" s="27" t="s">
        <v>81</v>
      </c>
      <c r="I48" s="27" t="s">
        <v>82</v>
      </c>
    </row>
    <row r="49" spans="1:9" x14ac:dyDescent="0.2">
      <c r="A49" s="19" t="s">
        <v>65</v>
      </c>
      <c r="B49" s="21">
        <v>-848000</v>
      </c>
      <c r="C49" s="21">
        <v>-2622000</v>
      </c>
      <c r="D49" s="21">
        <v>-5052000</v>
      </c>
      <c r="E49" s="23">
        <f>E37+E9-E42+E21-D21</f>
        <v>-440399.99999999814</v>
      </c>
      <c r="F49" s="23">
        <f>F37+F9-F42+F21-E21</f>
        <v>1319220.0000000019</v>
      </c>
      <c r="G49" s="23">
        <f>G37+G9-G42+G21-F21</f>
        <v>1529905.0000000019</v>
      </c>
      <c r="H49" s="23">
        <f>H37+H9-H42+H21-G21</f>
        <v>1694776.6500000022</v>
      </c>
      <c r="I49" s="23">
        <f>I37+I9-I42+I21-H21</f>
        <v>1673189.5225000028</v>
      </c>
    </row>
    <row r="50" spans="1:9" x14ac:dyDescent="0.2">
      <c r="A50" s="17" t="s">
        <v>95</v>
      </c>
      <c r="B50" s="23">
        <v>29000</v>
      </c>
      <c r="C50" s="23">
        <v>197000</v>
      </c>
      <c r="D50" s="23">
        <v>652000</v>
      </c>
      <c r="E50" s="17">
        <f>D50*1.1</f>
        <v>717200</v>
      </c>
      <c r="F50" s="17">
        <f t="shared" ref="F50" si="31">E50*1.1</f>
        <v>788920.00000000012</v>
      </c>
      <c r="G50" s="17">
        <f>F50*1.1</f>
        <v>867812.00000000023</v>
      </c>
      <c r="H50" s="17">
        <f>G50*1.1</f>
        <v>954593.2000000003</v>
      </c>
      <c r="I50" s="17">
        <f>H50*1.1</f>
        <v>1050052.5200000005</v>
      </c>
    </row>
    <row r="51" spans="1:9" x14ac:dyDescent="0.2">
      <c r="A51" s="19" t="s">
        <v>66</v>
      </c>
      <c r="B51" s="21">
        <v>-914000</v>
      </c>
      <c r="C51" s="21">
        <v>-1794000</v>
      </c>
      <c r="D51" s="21">
        <v>-1369000</v>
      </c>
      <c r="E51" s="23">
        <f>D51+1000000</f>
        <v>-369000</v>
      </c>
      <c r="F51" s="23">
        <f t="shared" ref="F51" si="32">E51+1000000</f>
        <v>631000</v>
      </c>
      <c r="G51" s="23">
        <f>F51+1000000</f>
        <v>1631000</v>
      </c>
      <c r="H51" s="23">
        <f>G51+1000000</f>
        <v>2631000</v>
      </c>
      <c r="I51" s="23">
        <f>H51+1000000</f>
        <v>3631000</v>
      </c>
    </row>
    <row r="52" spans="1:9" x14ac:dyDescent="0.2">
      <c r="A52" s="19" t="s">
        <v>67</v>
      </c>
      <c r="B52" s="21">
        <v>2500000</v>
      </c>
      <c r="C52" s="21">
        <v>19828000</v>
      </c>
      <c r="D52" s="21">
        <v>99000</v>
      </c>
      <c r="E52" s="17">
        <f>D52*1.65</f>
        <v>163350</v>
      </c>
      <c r="F52" s="17">
        <f t="shared" ref="F52" si="33">E52*1.15</f>
        <v>187852.5</v>
      </c>
      <c r="G52" s="17">
        <f>F52*1.15</f>
        <v>216030.37499999997</v>
      </c>
      <c r="H52" s="17">
        <f>G52*1.15</f>
        <v>248434.93124999994</v>
      </c>
      <c r="I52" s="17">
        <f>H52*1.15</f>
        <v>285700.1709374999</v>
      </c>
    </row>
    <row r="53" spans="1:9" x14ac:dyDescent="0.2">
      <c r="A53" s="19" t="s">
        <v>68</v>
      </c>
      <c r="B53" s="21">
        <v>3011000</v>
      </c>
      <c r="C53" s="21">
        <v>18423000</v>
      </c>
      <c r="D53" s="21">
        <v>12099000</v>
      </c>
      <c r="E53" s="17">
        <f>D53*1.1</f>
        <v>13308900.000000002</v>
      </c>
      <c r="F53" s="17">
        <f t="shared" ref="F53" si="34">E53*1.1</f>
        <v>14639790.000000004</v>
      </c>
      <c r="G53" s="17">
        <f t="shared" ref="G53:I54" si="35">F53*1.1</f>
        <v>16103769.000000006</v>
      </c>
      <c r="H53" s="17">
        <f t="shared" si="35"/>
        <v>17714145.900000006</v>
      </c>
      <c r="I53" s="17">
        <f t="shared" si="35"/>
        <v>19485560.49000001</v>
      </c>
    </row>
    <row r="54" spans="1:9" x14ac:dyDescent="0.2">
      <c r="A54" s="19" t="s">
        <v>69</v>
      </c>
      <c r="B54" s="21">
        <v>4000</v>
      </c>
      <c r="C54" s="21">
        <v>2000</v>
      </c>
      <c r="D54" s="21">
        <v>88000</v>
      </c>
      <c r="E54" s="17">
        <f>D54*1.1</f>
        <v>96800.000000000015</v>
      </c>
      <c r="F54" s="17">
        <f t="shared" ref="F54" si="36">E54*1.1</f>
        <v>106480.00000000003</v>
      </c>
      <c r="G54" s="17">
        <f t="shared" si="35"/>
        <v>117128.00000000004</v>
      </c>
      <c r="H54" s="17">
        <f t="shared" si="35"/>
        <v>128840.80000000006</v>
      </c>
      <c r="I54" s="17">
        <f t="shared" si="35"/>
        <v>141724.88000000009</v>
      </c>
    </row>
    <row r="55" spans="1:9" x14ac:dyDescent="0.2">
      <c r="A55" s="19" t="s">
        <v>70</v>
      </c>
      <c r="B55" s="21">
        <v>-914000</v>
      </c>
      <c r="C55" s="21">
        <v>-1794000</v>
      </c>
      <c r="D55" s="21">
        <v>-1369000</v>
      </c>
      <c r="E55" s="17">
        <f>F10-E10+F9</f>
        <v>437680</v>
      </c>
      <c r="F55" s="17">
        <f>G10-F10+G9</f>
        <v>481448</v>
      </c>
      <c r="G55" s="17">
        <f>H10-G10+H9</f>
        <v>529592.80000000075</v>
      </c>
      <c r="H55" s="17">
        <f>I10-H10+I9</f>
        <v>582552.08000000101</v>
      </c>
      <c r="I55" s="17">
        <f>R22-I10+R21</f>
        <v>-6583764.8800000018</v>
      </c>
    </row>
    <row r="56" spans="1:9" x14ac:dyDescent="0.2">
      <c r="A56" s="19" t="s">
        <v>71</v>
      </c>
      <c r="B56" s="21">
        <v>2506000</v>
      </c>
      <c r="C56" s="21">
        <v>16188000</v>
      </c>
      <c r="D56" s="21">
        <v>102000</v>
      </c>
      <c r="E56" s="17">
        <f>D56*1.5</f>
        <v>153000</v>
      </c>
      <c r="F56" s="17">
        <f t="shared" ref="F56" si="37">E56*1.5</f>
        <v>229500</v>
      </c>
      <c r="G56" s="17">
        <f t="shared" ref="G56:I57" si="38">F56*1.5</f>
        <v>344250</v>
      </c>
      <c r="H56" s="17">
        <f t="shared" si="38"/>
        <v>516375</v>
      </c>
      <c r="I56" s="17">
        <f t="shared" si="38"/>
        <v>774562.5</v>
      </c>
    </row>
    <row r="57" spans="1:9" x14ac:dyDescent="0.2">
      <c r="A57" s="19" t="s">
        <v>72</v>
      </c>
      <c r="B57" s="19">
        <v>0</v>
      </c>
      <c r="C57" s="21">
        <v>3726000</v>
      </c>
      <c r="D57" s="19">
        <v>0</v>
      </c>
      <c r="E57" s="17">
        <f>D57*1.5</f>
        <v>0</v>
      </c>
      <c r="F57" s="17">
        <f t="shared" ref="F57" si="39">E57*1.5</f>
        <v>0</v>
      </c>
      <c r="G57" s="17">
        <f t="shared" si="38"/>
        <v>0</v>
      </c>
      <c r="H57" s="17">
        <f t="shared" si="38"/>
        <v>0</v>
      </c>
      <c r="I57" s="17">
        <f t="shared" si="38"/>
        <v>0</v>
      </c>
    </row>
    <row r="58" spans="1:9" x14ac:dyDescent="0.2">
      <c r="A58" s="19" t="s">
        <v>73</v>
      </c>
      <c r="B58" s="19" t="s">
        <v>13</v>
      </c>
      <c r="C58" s="21">
        <v>-86000</v>
      </c>
      <c r="D58" s="19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</row>
    <row r="59" spans="1:9" x14ac:dyDescent="0.2">
      <c r="A59" s="19" t="s">
        <v>74</v>
      </c>
      <c r="B59" s="21">
        <v>-6000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</row>
    <row r="60" spans="1:9" x14ac:dyDescent="0.2">
      <c r="A60" s="19" t="s">
        <v>75</v>
      </c>
      <c r="B60" s="21">
        <v>-1762000</v>
      </c>
      <c r="C60" s="21">
        <v>-4416000</v>
      </c>
      <c r="D60" s="21">
        <v>-6421000</v>
      </c>
      <c r="E60" s="23">
        <f>E32-(E36+E42)-E52</f>
        <v>2332650</v>
      </c>
      <c r="F60" s="23">
        <f>F32-(F36+F42)-F52</f>
        <v>3358147.5</v>
      </c>
      <c r="G60" s="23">
        <f>G32-(G36+G42)-G52</f>
        <v>4764969.625</v>
      </c>
      <c r="H60" s="23">
        <f>H32-(H36+H42)-H52</f>
        <v>6647065.0687499996</v>
      </c>
      <c r="I60" s="23">
        <f>I32-(I36+I42)-I52</f>
        <v>9076949.829062501</v>
      </c>
    </row>
    <row r="62" spans="1:9" ht="15.75" x14ac:dyDescent="0.25">
      <c r="A62" s="16" t="s">
        <v>170</v>
      </c>
      <c r="B62" s="17" t="s">
        <v>78</v>
      </c>
      <c r="C62" s="17" t="s">
        <v>79</v>
      </c>
      <c r="D62" s="17" t="s">
        <v>80</v>
      </c>
      <c r="E62" s="17" t="s">
        <v>81</v>
      </c>
      <c r="F62" s="17" t="s">
        <v>82</v>
      </c>
    </row>
    <row r="63" spans="1:9" x14ac:dyDescent="0.2">
      <c r="A63" s="19" t="s">
        <v>154</v>
      </c>
      <c r="B63" s="17">
        <v>1</v>
      </c>
      <c r="C63" s="17">
        <v>2</v>
      </c>
      <c r="D63" s="17">
        <v>3</v>
      </c>
      <c r="E63" s="17">
        <v>4</v>
      </c>
      <c r="F63" s="17">
        <v>5</v>
      </c>
    </row>
    <row r="64" spans="1:9" x14ac:dyDescent="0.2">
      <c r="A64" s="17" t="s">
        <v>24</v>
      </c>
      <c r="B64" s="23">
        <f>E44</f>
        <v>100000</v>
      </c>
      <c r="C64" s="23">
        <f>F44</f>
        <v>190000</v>
      </c>
      <c r="D64" s="23">
        <f>G44</f>
        <v>281000</v>
      </c>
      <c r="E64" s="23">
        <f>H44</f>
        <v>313900</v>
      </c>
      <c r="F64" s="23">
        <f>I44</f>
        <v>146810</v>
      </c>
    </row>
    <row r="65" spans="1:6" x14ac:dyDescent="0.2">
      <c r="A65" s="17" t="s">
        <v>94</v>
      </c>
      <c r="B65" s="23">
        <f>+E9</f>
        <v>-10000</v>
      </c>
      <c r="C65" s="23">
        <f>+F9</f>
        <v>-12000</v>
      </c>
      <c r="D65" s="23">
        <f>+G9</f>
        <v>-13200.000000000002</v>
      </c>
      <c r="E65" s="23">
        <f>+H9</f>
        <v>-14520.000000000004</v>
      </c>
      <c r="F65" s="23">
        <f>+I9</f>
        <v>-15972.000000000005</v>
      </c>
    </row>
    <row r="66" spans="1:6" x14ac:dyDescent="0.2">
      <c r="A66" s="17" t="s">
        <v>155</v>
      </c>
      <c r="B66" s="23">
        <f>+E42</f>
        <v>4000</v>
      </c>
      <c r="C66" s="23">
        <f>+F42</f>
        <v>4000</v>
      </c>
      <c r="D66" s="23">
        <f>+G42</f>
        <v>4000</v>
      </c>
      <c r="E66" s="23">
        <f>+H42</f>
        <v>4000</v>
      </c>
      <c r="F66" s="23">
        <f>+I42</f>
        <v>4000</v>
      </c>
    </row>
    <row r="67" spans="1:6" x14ac:dyDescent="0.2">
      <c r="A67" s="17" t="s">
        <v>156</v>
      </c>
      <c r="B67" s="17">
        <f>+E55</f>
        <v>437680</v>
      </c>
      <c r="C67" s="17">
        <f>+F55</f>
        <v>481448</v>
      </c>
      <c r="D67" s="17">
        <f>+G55</f>
        <v>529592.80000000075</v>
      </c>
      <c r="E67" s="17">
        <f>+H55</f>
        <v>582552.08000000101</v>
      </c>
      <c r="F67" s="17">
        <f>+I55</f>
        <v>-6583764.8800000018</v>
      </c>
    </row>
    <row r="68" spans="1:6" x14ac:dyDescent="0.2">
      <c r="A68" s="17" t="s">
        <v>157</v>
      </c>
      <c r="B68" s="23">
        <f>E32-D32</f>
        <v>1842000</v>
      </c>
      <c r="C68" s="23">
        <f>F32-E32</f>
        <v>1750000</v>
      </c>
      <c r="D68" s="23">
        <f>G32-F32</f>
        <v>2625000</v>
      </c>
      <c r="E68" s="23">
        <f>H32-G32</f>
        <v>3937500</v>
      </c>
      <c r="F68" s="23">
        <f>I32-H32</f>
        <v>5906250</v>
      </c>
    </row>
    <row r="69" spans="1:6" x14ac:dyDescent="0.2">
      <c r="A69" s="17" t="s">
        <v>158</v>
      </c>
      <c r="B69" s="17">
        <f>+B64+B65-B66-B67-B68</f>
        <v>-2193680</v>
      </c>
      <c r="C69" s="17">
        <f t="shared" ref="C69:F69" si="40">+C64+C65-C66-C67-C68</f>
        <v>-2057448</v>
      </c>
      <c r="D69" s="17">
        <f t="shared" si="40"/>
        <v>-2890792.8000000007</v>
      </c>
      <c r="E69" s="17">
        <f t="shared" si="40"/>
        <v>-4224672.080000001</v>
      </c>
      <c r="F69" s="17">
        <f t="shared" si="40"/>
        <v>804352.88000000175</v>
      </c>
    </row>
    <row r="70" spans="1:6" x14ac:dyDescent="0.2">
      <c r="A70" s="26" t="s">
        <v>168</v>
      </c>
      <c r="B70" s="30">
        <f>+(B63+$B$81)^B63</f>
        <v>1.0821900035917928</v>
      </c>
      <c r="C70" s="30">
        <f>+(C63+$B$81)^C63</f>
        <v>4.3355152110575901</v>
      </c>
      <c r="D70" s="30">
        <f>+(D63+$B$81)^D63</f>
        <v>29.280482076832428</v>
      </c>
      <c r="E70" s="30">
        <f>+(E63+$B$81)^E63</f>
        <v>277.69806878870543</v>
      </c>
      <c r="F70" s="30">
        <f>+(F63+$B$81)^F63</f>
        <v>3390.4277040650463</v>
      </c>
    </row>
    <row r="71" spans="1:6" x14ac:dyDescent="0.2">
      <c r="A71" s="17" t="s">
        <v>169</v>
      </c>
      <c r="B71" s="31">
        <f>B69/B70</f>
        <v>-2027074.7213697848</v>
      </c>
      <c r="C71" s="31">
        <f t="shared" ref="C71:F71" si="41">C69/C70</f>
        <v>-474556.74812362459</v>
      </c>
      <c r="D71" s="31">
        <f t="shared" si="41"/>
        <v>-98727.636806474591</v>
      </c>
      <c r="E71" s="31">
        <f t="shared" si="41"/>
        <v>-15213.184947333806</v>
      </c>
      <c r="F71" s="31">
        <f t="shared" si="41"/>
        <v>237.24230398294611</v>
      </c>
    </row>
    <row r="72" spans="1:6" x14ac:dyDescent="0.2">
      <c r="A72" s="26" t="s">
        <v>159</v>
      </c>
      <c r="B72" s="17"/>
      <c r="C72" s="17" t="s">
        <v>162</v>
      </c>
      <c r="D72" s="17"/>
      <c r="E72" s="17"/>
      <c r="F72" s="17"/>
    </row>
    <row r="73" spans="1:6" x14ac:dyDescent="0.2">
      <c r="A73" s="17" t="s">
        <v>161</v>
      </c>
      <c r="B73" s="23">
        <f>+C17</f>
        <v>20740000</v>
      </c>
      <c r="C73" s="17">
        <f>B73/B75</f>
        <v>0.93117227135994252</v>
      </c>
      <c r="D73" s="17"/>
      <c r="E73" s="17"/>
      <c r="F73" s="17"/>
    </row>
    <row r="74" spans="1:6" x14ac:dyDescent="0.2">
      <c r="A74" s="17" t="s">
        <v>47</v>
      </c>
      <c r="B74" s="23">
        <f>C24</f>
        <v>1533000</v>
      </c>
      <c r="C74" s="17">
        <f>1-C73</f>
        <v>6.8827728640057484E-2</v>
      </c>
      <c r="D74" s="17"/>
      <c r="E74" s="17"/>
      <c r="F74" s="17"/>
    </row>
    <row r="75" spans="1:6" x14ac:dyDescent="0.2">
      <c r="A75" s="17" t="s">
        <v>160</v>
      </c>
      <c r="B75" s="23">
        <f>B73+B74</f>
        <v>22273000</v>
      </c>
      <c r="C75" s="17"/>
      <c r="D75" s="17"/>
      <c r="E75" s="17"/>
      <c r="F75" s="17"/>
    </row>
    <row r="76" spans="1:6" x14ac:dyDescent="0.2">
      <c r="A76" s="17" t="s">
        <v>163</v>
      </c>
      <c r="B76" s="32">
        <v>0.05</v>
      </c>
      <c r="C76" s="17"/>
      <c r="D76" s="17"/>
      <c r="E76" s="17"/>
      <c r="F76" s="17"/>
    </row>
    <row r="77" spans="1:6" x14ac:dyDescent="0.2">
      <c r="A77" s="17" t="s">
        <v>164</v>
      </c>
      <c r="B77" s="33">
        <v>3.7999999999999999E-2</v>
      </c>
      <c r="C77" s="17"/>
      <c r="D77" s="17"/>
      <c r="E77" s="17"/>
      <c r="F77" s="17"/>
    </row>
    <row r="78" spans="1:6" x14ac:dyDescent="0.2">
      <c r="A78" s="17" t="s">
        <v>165</v>
      </c>
      <c r="B78" s="33">
        <v>7.5999999999999998E-2</v>
      </c>
      <c r="C78" s="17"/>
      <c r="D78" s="17"/>
      <c r="E78" s="17"/>
      <c r="F78" s="17"/>
    </row>
    <row r="79" spans="1:6" x14ac:dyDescent="0.2">
      <c r="A79" s="17" t="s">
        <v>166</v>
      </c>
      <c r="B79" s="17">
        <v>1.24</v>
      </c>
      <c r="C79" s="17"/>
      <c r="D79" s="17"/>
      <c r="E79" s="17"/>
      <c r="F79" s="17"/>
    </row>
    <row r="80" spans="1:6" x14ac:dyDescent="0.2">
      <c r="A80" s="17" t="s">
        <v>167</v>
      </c>
      <c r="B80" s="33">
        <f>B77+(B79*(B78-B77))</f>
        <v>8.5120000000000001E-2</v>
      </c>
      <c r="C80" s="17"/>
      <c r="D80" s="17"/>
      <c r="E80" s="17"/>
      <c r="F80" s="17"/>
    </row>
    <row r="81" spans="1:20" ht="15.75" x14ac:dyDescent="0.25">
      <c r="A81" s="16" t="s">
        <v>153</v>
      </c>
      <c r="B81" s="26">
        <f>+(C73*B80)+(C74*B76*0.851)</f>
        <v>8.2190003591792751E-2</v>
      </c>
      <c r="C81" s="17"/>
      <c r="D81" s="17"/>
      <c r="E81" s="17"/>
      <c r="F81" s="17"/>
    </row>
    <row r="82" spans="1:20" x14ac:dyDescent="0.2">
      <c r="A82" s="26" t="s">
        <v>149</v>
      </c>
      <c r="B82" s="23">
        <f>B17+B27+B28+B29-B5</f>
        <v>5577000</v>
      </c>
      <c r="C82" s="23">
        <f>C17+C27+C28+C29-C5</f>
        <v>8895200</v>
      </c>
      <c r="D82" s="23">
        <f>D17+D27+D28+D29-D5</f>
        <v>10261420</v>
      </c>
      <c r="E82" s="23">
        <f>E17+E27+E28+E29-E5</f>
        <v>9933462.0000000019</v>
      </c>
      <c r="F82" s="23">
        <f>F17+F27+F28+F29-F5</f>
        <v>10926808.199999999</v>
      </c>
    </row>
    <row r="83" spans="1:20" x14ac:dyDescent="0.2">
      <c r="A83" s="17" t="s">
        <v>150</v>
      </c>
      <c r="B83" s="17">
        <f>B82/B32</f>
        <v>557.70000000000005</v>
      </c>
      <c r="C83" s="17">
        <f>C82/C32</f>
        <v>161.73090909090908</v>
      </c>
      <c r="D83" s="17">
        <f>D82/D32</f>
        <v>6.1890349819059107</v>
      </c>
      <c r="E83" s="17">
        <f>E82/E32</f>
        <v>2.8381320000000003</v>
      </c>
      <c r="F83" s="17">
        <f>F82/F32</f>
        <v>2.0812968000000001</v>
      </c>
      <c r="R83" s="24"/>
      <c r="S83" s="24"/>
      <c r="T83" s="24"/>
    </row>
    <row r="84" spans="1:20" x14ac:dyDescent="0.2">
      <c r="A84" s="17" t="s">
        <v>151</v>
      </c>
      <c r="B84" s="17">
        <f>B82/B45</f>
        <v>-1.2045356371490281</v>
      </c>
      <c r="C84" s="17">
        <f>C82/C45</f>
        <v>-1.3795285359801488</v>
      </c>
      <c r="D84" s="17">
        <f>D82/D45</f>
        <v>-1.712234273318872</v>
      </c>
      <c r="E84" s="17">
        <f>E82/E45</f>
        <v>12.155484581497799</v>
      </c>
      <c r="F84" s="17">
        <f>F82/F45</f>
        <v>11.162105381440769</v>
      </c>
      <c r="R84" s="24"/>
    </row>
    <row r="85" spans="1:20" x14ac:dyDescent="0.2">
      <c r="A85" s="17" t="s">
        <v>152</v>
      </c>
      <c r="B85" s="17">
        <f>B17/B38</f>
        <v>-133.69999999999999</v>
      </c>
      <c r="C85" s="17">
        <f>C17/C38</f>
        <v>6913.333333333333</v>
      </c>
      <c r="D85" s="17">
        <f>D17/D38</f>
        <v>77.875647668393782</v>
      </c>
      <c r="E85" s="17">
        <f>E17/E38</f>
        <v>71.386010362694307</v>
      </c>
      <c r="F85" s="17">
        <f>F17/F38</f>
        <v>65.437176165803123</v>
      </c>
    </row>
    <row r="86" spans="1:20" x14ac:dyDescent="0.2">
      <c r="A86" s="26" t="s">
        <v>224</v>
      </c>
      <c r="B86" s="34">
        <f>B82-D28</f>
        <v>4346000</v>
      </c>
    </row>
    <row r="88" spans="1:20" x14ac:dyDescent="0.2">
      <c r="A88" s="17"/>
      <c r="B88" s="26" t="s">
        <v>220</v>
      </c>
      <c r="C88" s="35" t="s">
        <v>217</v>
      </c>
      <c r="D88" s="36" t="s">
        <v>218</v>
      </c>
      <c r="E88" s="37" t="s">
        <v>219</v>
      </c>
    </row>
    <row r="89" spans="1:20" x14ac:dyDescent="0.2">
      <c r="A89" s="17" t="s">
        <v>221</v>
      </c>
      <c r="B89" s="23">
        <f>D45</f>
        <v>-5993000</v>
      </c>
      <c r="C89" s="23">
        <f>Tesla!D145</f>
        <v>17657000</v>
      </c>
      <c r="D89" s="23">
        <f>'Fiscer Inc.'!I100</f>
        <v>2874</v>
      </c>
      <c r="E89" s="23">
        <f>'Lucid Group Inc. (LCID)'!D114</f>
        <v>-1086902</v>
      </c>
    </row>
    <row r="90" spans="1:20" x14ac:dyDescent="0.2">
      <c r="A90" s="17" t="s">
        <v>222</v>
      </c>
      <c r="B90" s="23">
        <f>D28</f>
        <v>1231000</v>
      </c>
      <c r="C90" s="23">
        <f>Tesla!D51</f>
        <v>1597000</v>
      </c>
      <c r="D90" s="23">
        <f>'Fiscer Inc.'!D60</f>
        <v>695791</v>
      </c>
      <c r="E90" s="23">
        <f>'Lucid Group Inc. (LCID)'!D70</f>
        <v>2083762</v>
      </c>
    </row>
    <row r="91" spans="1:20" x14ac:dyDescent="0.2">
      <c r="A91" s="17" t="s">
        <v>223</v>
      </c>
      <c r="B91" s="23">
        <f>D17</f>
        <v>15030000</v>
      </c>
      <c r="C91" s="23">
        <f>Tesla!D69</f>
        <v>46301000</v>
      </c>
      <c r="D91" s="23">
        <f>'Fiscer Inc.'!D52</f>
        <v>1141327</v>
      </c>
      <c r="E91" s="23">
        <f>'Lucid Group Inc. (LCID)'!D62</f>
        <v>6341541</v>
      </c>
    </row>
    <row r="92" spans="1:20" x14ac:dyDescent="0.2">
      <c r="A92" s="17" t="s">
        <v>85</v>
      </c>
      <c r="B92" s="23">
        <f>D32</f>
        <v>1658000</v>
      </c>
      <c r="C92" s="23">
        <f>Tesla!D109</f>
        <v>81462000</v>
      </c>
      <c r="D92" s="23">
        <v>342000</v>
      </c>
      <c r="E92" s="23">
        <f>'Lucid Group Inc. (LCID)'!D78</f>
        <v>608181</v>
      </c>
    </row>
    <row r="93" spans="1:20" x14ac:dyDescent="0.2">
      <c r="A93" s="17" t="s">
        <v>92</v>
      </c>
      <c r="B93" s="23">
        <f>E43</f>
        <v>204000</v>
      </c>
      <c r="C93" s="23">
        <f>Tesla!B127</f>
        <v>690000</v>
      </c>
      <c r="D93" s="23">
        <f>'Fiscer Inc.'!I84</f>
        <v>-547496</v>
      </c>
      <c r="E93" s="23">
        <f>'Lucid Group Inc. (LCID)'!D96</f>
        <v>-1304460</v>
      </c>
    </row>
  </sheetData>
  <pageMargins left="0.7" right="0.7" top="0.75" bottom="0.75" header="0.3" footer="0.3"/>
  <pageSetup paperSize="9" orientation="portrait" r:id="rId1"/>
  <ignoredErrors>
    <ignoredError sqref="F9 E39:I3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selection activeCell="D20" sqref="D20"/>
    </sheetView>
  </sheetViews>
  <sheetFormatPr defaultRowHeight="15" x14ac:dyDescent="0.25"/>
  <cols>
    <col min="1" max="1" width="55.42578125" customWidth="1"/>
    <col min="2" max="2" width="12.140625" customWidth="1"/>
    <col min="3" max="3" width="11.140625" customWidth="1"/>
    <col min="4" max="4" width="12" customWidth="1"/>
    <col min="5" max="5" width="10.7109375" customWidth="1"/>
    <col min="6" max="6" width="11.7109375" customWidth="1"/>
    <col min="7" max="7" width="12.85546875" customWidth="1"/>
    <col min="9" max="9" width="25.5703125" customWidth="1"/>
    <col min="10" max="10" width="15.28515625" customWidth="1"/>
    <col min="11" max="11" width="12.28515625" customWidth="1"/>
    <col min="12" max="12" width="11.28515625" customWidth="1"/>
  </cols>
  <sheetData>
    <row r="1" spans="1:12" x14ac:dyDescent="0.25">
      <c r="A1" t="s">
        <v>198</v>
      </c>
      <c r="B1" t="s">
        <v>38</v>
      </c>
      <c r="C1" t="s">
        <v>37</v>
      </c>
      <c r="D1" t="s">
        <v>36</v>
      </c>
    </row>
    <row r="2" spans="1:12" x14ac:dyDescent="0.25">
      <c r="A2" t="s">
        <v>34</v>
      </c>
      <c r="B2" s="4">
        <v>52148000</v>
      </c>
      <c r="C2" s="4">
        <v>62131000</v>
      </c>
      <c r="D2" s="4">
        <v>82338000</v>
      </c>
    </row>
    <row r="3" spans="1:12" x14ac:dyDescent="0.25">
      <c r="A3" t="s">
        <v>50</v>
      </c>
      <c r="B3" s="4">
        <v>26717000</v>
      </c>
      <c r="C3" s="4">
        <v>27100000</v>
      </c>
      <c r="D3" s="4">
        <v>40917000</v>
      </c>
    </row>
    <row r="4" spans="1:12" x14ac:dyDescent="0.25">
      <c r="A4" t="s">
        <v>51</v>
      </c>
      <c r="B4" s="4">
        <v>19384000</v>
      </c>
      <c r="C4" s="4">
        <v>17707000</v>
      </c>
      <c r="D4" s="4">
        <v>22185000</v>
      </c>
    </row>
    <row r="5" spans="1:12" x14ac:dyDescent="0.25">
      <c r="A5" t="s">
        <v>97</v>
      </c>
      <c r="B5" s="4">
        <v>19384000</v>
      </c>
      <c r="C5" s="4">
        <v>17576000</v>
      </c>
      <c r="D5" s="4">
        <v>22185000</v>
      </c>
    </row>
    <row r="6" spans="1:12" x14ac:dyDescent="0.25">
      <c r="A6" t="s">
        <v>98</v>
      </c>
      <c r="B6" t="s">
        <v>13</v>
      </c>
      <c r="C6" s="4">
        <v>131000</v>
      </c>
      <c r="D6" s="4">
        <v>5932000</v>
      </c>
    </row>
    <row r="7" spans="1:12" x14ac:dyDescent="0.25">
      <c r="A7" t="s">
        <v>52</v>
      </c>
      <c r="B7" s="4">
        <v>1886000</v>
      </c>
      <c r="C7" s="4">
        <v>1913000</v>
      </c>
      <c r="D7" s="4">
        <v>2952000</v>
      </c>
    </row>
    <row r="8" spans="1:12" x14ac:dyDescent="0.25">
      <c r="A8" t="s">
        <v>177</v>
      </c>
      <c r="B8" s="4">
        <v>1886000</v>
      </c>
      <c r="C8" s="4">
        <v>1913000</v>
      </c>
      <c r="D8" s="4">
        <v>2952000</v>
      </c>
    </row>
    <row r="9" spans="1:12" x14ac:dyDescent="0.25">
      <c r="A9" t="s">
        <v>53</v>
      </c>
      <c r="B9" s="4">
        <v>4101000</v>
      </c>
      <c r="C9" s="4">
        <v>5757000</v>
      </c>
      <c r="D9" s="4">
        <v>12839000</v>
      </c>
    </row>
    <row r="10" spans="1:12" x14ac:dyDescent="0.25">
      <c r="A10" t="s">
        <v>178</v>
      </c>
      <c r="B10" s="4">
        <v>1508000</v>
      </c>
      <c r="C10" s="4">
        <v>2816000</v>
      </c>
      <c r="D10" s="4">
        <v>6137000</v>
      </c>
    </row>
    <row r="11" spans="1:12" x14ac:dyDescent="0.25">
      <c r="A11" t="s">
        <v>179</v>
      </c>
      <c r="B11" s="4">
        <v>493000</v>
      </c>
      <c r="C11" s="4">
        <v>1089000</v>
      </c>
      <c r="D11" s="4">
        <v>2385000</v>
      </c>
    </row>
    <row r="12" spans="1:12" x14ac:dyDescent="0.25">
      <c r="A12" t="s">
        <v>180</v>
      </c>
      <c r="B12" s="4">
        <v>1666000</v>
      </c>
      <c r="C12" s="4">
        <v>1277000</v>
      </c>
      <c r="D12" s="4">
        <v>3475000</v>
      </c>
    </row>
    <row r="13" spans="1:12" x14ac:dyDescent="0.25">
      <c r="A13" t="s">
        <v>181</v>
      </c>
      <c r="B13" s="4">
        <v>434000</v>
      </c>
      <c r="C13" s="4">
        <v>575000</v>
      </c>
      <c r="D13" s="4">
        <v>842000</v>
      </c>
    </row>
    <row r="14" spans="1:12" x14ac:dyDescent="0.25">
      <c r="A14" t="s">
        <v>101</v>
      </c>
      <c r="B14" s="4">
        <v>1346000</v>
      </c>
      <c r="C14" s="4">
        <v>1723000</v>
      </c>
      <c r="D14" t="s">
        <v>13</v>
      </c>
    </row>
    <row r="15" spans="1:12" x14ac:dyDescent="0.25">
      <c r="A15" t="s">
        <v>182</v>
      </c>
      <c r="B15" t="s">
        <v>13</v>
      </c>
      <c r="C15" t="s">
        <v>13</v>
      </c>
      <c r="D15" t="s">
        <v>13</v>
      </c>
      <c r="I15" s="1" t="s">
        <v>217</v>
      </c>
      <c r="J15" s="1" t="s">
        <v>38</v>
      </c>
      <c r="K15" s="1" t="s">
        <v>37</v>
      </c>
      <c r="L15" s="1" t="s">
        <v>36</v>
      </c>
    </row>
    <row r="16" spans="1:12" x14ac:dyDescent="0.25">
      <c r="A16" t="s">
        <v>54</v>
      </c>
      <c r="B16" t="s">
        <v>13</v>
      </c>
      <c r="C16" t="s">
        <v>13</v>
      </c>
      <c r="D16" s="4">
        <v>2941000</v>
      </c>
      <c r="I16" s="2" t="s">
        <v>176</v>
      </c>
      <c r="J16" s="3">
        <f>B69+B62+B51+B68-B4</f>
        <v>23509000</v>
      </c>
      <c r="K16" s="3">
        <f t="shared" ref="K16:L16" si="0">C69+C62+C51+C68-C4</f>
        <v>24366000</v>
      </c>
      <c r="L16" s="3">
        <f t="shared" si="0"/>
        <v>26907000</v>
      </c>
    </row>
    <row r="17" spans="1:12" x14ac:dyDescent="0.25">
      <c r="A17" t="s">
        <v>55</v>
      </c>
      <c r="B17" s="4">
        <v>25431000</v>
      </c>
      <c r="C17" s="4">
        <v>35031000</v>
      </c>
      <c r="D17" s="4">
        <v>41421000</v>
      </c>
      <c r="I17" s="1" t="s">
        <v>150</v>
      </c>
      <c r="J17" s="1">
        <f>J16/B109</f>
        <v>0.7454654997463217</v>
      </c>
      <c r="K17" s="1">
        <f t="shared" ref="K17:L17" si="1">K16/C109</f>
        <v>0.45270609219107072</v>
      </c>
      <c r="L17" s="1">
        <f t="shared" si="1"/>
        <v>0.33030124475215439</v>
      </c>
    </row>
    <row r="18" spans="1:12" x14ac:dyDescent="0.25">
      <c r="A18" t="s">
        <v>96</v>
      </c>
      <c r="B18" s="4">
        <v>23375000</v>
      </c>
      <c r="C18" s="4">
        <v>31176000</v>
      </c>
      <c r="D18" s="4">
        <v>36635000</v>
      </c>
      <c r="I18" s="1" t="s">
        <v>151</v>
      </c>
      <c r="J18" s="1">
        <f>J16/B145</f>
        <v>5.5655776515151514</v>
      </c>
      <c r="K18" s="1">
        <f t="shared" ref="K18:L18" si="2">K16/C145</f>
        <v>2.5315324675324677</v>
      </c>
      <c r="L18" s="1">
        <f t="shared" si="2"/>
        <v>1.5238715523588378</v>
      </c>
    </row>
    <row r="19" spans="1:12" x14ac:dyDescent="0.25">
      <c r="A19" t="s">
        <v>102</v>
      </c>
      <c r="B19" s="4">
        <v>23375000</v>
      </c>
      <c r="C19" s="4">
        <v>31176000</v>
      </c>
      <c r="D19" s="4">
        <v>36635000</v>
      </c>
      <c r="I19" s="1" t="s">
        <v>152</v>
      </c>
      <c r="J19" s="1">
        <f>B69/B127</f>
        <v>46.133333333333333</v>
      </c>
      <c r="K19" s="1">
        <f t="shared" ref="K19:L19" si="3">C69/C127</f>
        <v>6.4203660083348435</v>
      </c>
      <c r="L19" s="1">
        <f t="shared" si="3"/>
        <v>3.6796471429706745</v>
      </c>
    </row>
    <row r="20" spans="1:12" x14ac:dyDescent="0.25">
      <c r="A20" t="s">
        <v>103</v>
      </c>
      <c r="B20" s="4">
        <v>6861000</v>
      </c>
      <c r="C20" s="4">
        <v>6913000</v>
      </c>
      <c r="D20" s="4">
        <v>6889000</v>
      </c>
    </row>
    <row r="21" spans="1:12" x14ac:dyDescent="0.25">
      <c r="A21" t="s">
        <v>183</v>
      </c>
      <c r="B21" s="4">
        <v>3662000</v>
      </c>
      <c r="C21" s="4">
        <v>4675000</v>
      </c>
      <c r="D21" s="4">
        <v>7751000</v>
      </c>
    </row>
    <row r="22" spans="1:12" x14ac:dyDescent="0.25">
      <c r="A22" t="s">
        <v>104</v>
      </c>
      <c r="B22" s="4">
        <v>3091000</v>
      </c>
      <c r="C22" s="4">
        <v>4511000</v>
      </c>
      <c r="D22" s="4">
        <v>5035000</v>
      </c>
    </row>
    <row r="23" spans="1:12" x14ac:dyDescent="0.25">
      <c r="A23" t="s">
        <v>105</v>
      </c>
      <c r="B23" s="4">
        <v>20284000</v>
      </c>
      <c r="C23" s="4">
        <v>26665000</v>
      </c>
      <c r="D23" s="4">
        <v>31600000</v>
      </c>
    </row>
    <row r="24" spans="1:12" x14ac:dyDescent="0.25">
      <c r="A24" t="s">
        <v>106</v>
      </c>
      <c r="B24" s="4">
        <v>1694000</v>
      </c>
      <c r="C24" s="4">
        <v>5598000</v>
      </c>
      <c r="D24" s="4">
        <v>4281000</v>
      </c>
    </row>
    <row r="25" spans="1:12" x14ac:dyDescent="0.25">
      <c r="A25" t="s">
        <v>107</v>
      </c>
      <c r="B25" s="4">
        <v>1421000</v>
      </c>
      <c r="C25" s="4">
        <v>1826000</v>
      </c>
      <c r="D25" s="4">
        <v>2366000</v>
      </c>
    </row>
    <row r="26" spans="1:12" x14ac:dyDescent="0.25">
      <c r="A26" t="s">
        <v>93</v>
      </c>
      <c r="B26" s="4">
        <v>-6072000</v>
      </c>
      <c r="C26" s="4">
        <v>-7918000</v>
      </c>
      <c r="D26" s="4">
        <v>-10459000</v>
      </c>
    </row>
    <row r="27" spans="1:12" x14ac:dyDescent="0.25">
      <c r="A27" t="s">
        <v>108</v>
      </c>
      <c r="B27" s="4">
        <v>520000</v>
      </c>
      <c r="C27" s="4">
        <v>1717000</v>
      </c>
      <c r="D27" s="4">
        <v>593000</v>
      </c>
    </row>
    <row r="28" spans="1:12" x14ac:dyDescent="0.25">
      <c r="A28" t="s">
        <v>184</v>
      </c>
      <c r="B28" s="4">
        <v>207000</v>
      </c>
      <c r="C28" s="4">
        <v>200000</v>
      </c>
      <c r="D28" s="4">
        <v>194000</v>
      </c>
    </row>
    <row r="29" spans="1:12" x14ac:dyDescent="0.25">
      <c r="A29" t="s">
        <v>109</v>
      </c>
      <c r="B29" s="4">
        <v>313000</v>
      </c>
      <c r="C29" s="4">
        <v>1717000</v>
      </c>
      <c r="D29" s="4">
        <v>593000</v>
      </c>
    </row>
    <row r="30" spans="1:12" x14ac:dyDescent="0.25">
      <c r="A30" t="s">
        <v>185</v>
      </c>
      <c r="B30" t="s">
        <v>13</v>
      </c>
      <c r="C30" t="s">
        <v>13</v>
      </c>
      <c r="D30" t="s">
        <v>13</v>
      </c>
    </row>
    <row r="31" spans="1:12" x14ac:dyDescent="0.25">
      <c r="A31" t="s">
        <v>110</v>
      </c>
      <c r="B31" s="4">
        <v>1536000</v>
      </c>
      <c r="C31" s="4">
        <v>2138000</v>
      </c>
      <c r="D31" s="4">
        <v>4193000</v>
      </c>
    </row>
    <row r="32" spans="1:12" x14ac:dyDescent="0.25">
      <c r="A32" t="s">
        <v>39</v>
      </c>
      <c r="B32" s="4">
        <v>28469000</v>
      </c>
      <c r="C32" s="4">
        <v>30548000</v>
      </c>
      <c r="D32" s="4">
        <v>36440000</v>
      </c>
    </row>
    <row r="33" spans="1:4" x14ac:dyDescent="0.25">
      <c r="A33" t="s">
        <v>56</v>
      </c>
      <c r="B33" s="4">
        <v>14248000</v>
      </c>
      <c r="C33" s="4">
        <v>19705000</v>
      </c>
      <c r="D33" s="4">
        <v>26709000</v>
      </c>
    </row>
    <row r="34" spans="1:4" x14ac:dyDescent="0.25">
      <c r="A34" t="s">
        <v>111</v>
      </c>
      <c r="B34" s="4">
        <v>9906000</v>
      </c>
      <c r="C34" s="4">
        <v>15744000</v>
      </c>
      <c r="D34" s="4">
        <v>22397000</v>
      </c>
    </row>
    <row r="35" spans="1:4" x14ac:dyDescent="0.25">
      <c r="A35" t="s">
        <v>112</v>
      </c>
      <c r="B35" s="4">
        <v>6051000</v>
      </c>
      <c r="C35" s="4">
        <v>10025000</v>
      </c>
      <c r="D35" s="4">
        <v>15255000</v>
      </c>
    </row>
    <row r="36" spans="1:4" x14ac:dyDescent="0.25">
      <c r="A36" t="s">
        <v>113</v>
      </c>
      <c r="B36" s="4">
        <v>6051000</v>
      </c>
      <c r="C36" s="4">
        <v>10025000</v>
      </c>
      <c r="D36" s="4">
        <v>15255000</v>
      </c>
    </row>
    <row r="37" spans="1:4" x14ac:dyDescent="0.25">
      <c r="A37" t="s">
        <v>186</v>
      </c>
      <c r="B37" s="4">
        <v>777000</v>
      </c>
      <c r="C37" s="4">
        <v>1122000</v>
      </c>
      <c r="D37" s="4">
        <v>1235000</v>
      </c>
    </row>
    <row r="38" spans="1:4" x14ac:dyDescent="0.25">
      <c r="A38" t="s">
        <v>114</v>
      </c>
      <c r="B38" s="4">
        <v>3855000</v>
      </c>
      <c r="C38" s="4">
        <v>5719000</v>
      </c>
      <c r="D38" s="4">
        <v>7142000</v>
      </c>
    </row>
    <row r="39" spans="1:4" x14ac:dyDescent="0.25">
      <c r="A39" t="s">
        <v>115</v>
      </c>
      <c r="B39" s="4">
        <v>77000</v>
      </c>
      <c r="C39" s="4">
        <v>16000</v>
      </c>
      <c r="D39" t="s">
        <v>13</v>
      </c>
    </row>
    <row r="40" spans="1:4" x14ac:dyDescent="0.25">
      <c r="A40" t="s">
        <v>187</v>
      </c>
      <c r="B40" s="4">
        <v>417000</v>
      </c>
      <c r="C40" s="4">
        <v>265000</v>
      </c>
      <c r="D40" s="4">
        <v>270000</v>
      </c>
    </row>
    <row r="41" spans="1:4" x14ac:dyDescent="0.25">
      <c r="A41" t="s">
        <v>116</v>
      </c>
      <c r="B41" s="4">
        <v>2132000</v>
      </c>
      <c r="C41" s="4">
        <v>1589000</v>
      </c>
      <c r="D41" s="4">
        <v>1502000</v>
      </c>
    </row>
    <row r="42" spans="1:4" x14ac:dyDescent="0.25">
      <c r="A42" t="s">
        <v>117</v>
      </c>
      <c r="B42" s="4">
        <v>2132000</v>
      </c>
      <c r="C42" s="4">
        <v>1589000</v>
      </c>
      <c r="D42" s="4">
        <v>1502000</v>
      </c>
    </row>
    <row r="43" spans="1:4" x14ac:dyDescent="0.25">
      <c r="A43" t="s">
        <v>188</v>
      </c>
      <c r="B43" s="4">
        <v>1758000</v>
      </c>
      <c r="C43" s="4">
        <v>1088000</v>
      </c>
      <c r="D43" s="4">
        <v>1016000</v>
      </c>
    </row>
    <row r="44" spans="1:4" x14ac:dyDescent="0.25">
      <c r="A44" t="s">
        <v>119</v>
      </c>
      <c r="B44" s="4">
        <v>660000</v>
      </c>
      <c r="C44" s="4">
        <v>869000</v>
      </c>
      <c r="D44" s="4">
        <v>971000</v>
      </c>
    </row>
    <row r="45" spans="1:4" x14ac:dyDescent="0.25">
      <c r="A45" t="s">
        <v>189</v>
      </c>
      <c r="B45" s="4">
        <v>2210000</v>
      </c>
      <c r="C45" s="4">
        <v>2372000</v>
      </c>
      <c r="D45" s="4">
        <v>2810000</v>
      </c>
    </row>
    <row r="46" spans="1:4" x14ac:dyDescent="0.25">
      <c r="A46" t="s">
        <v>190</v>
      </c>
      <c r="B46" s="4">
        <v>2210000</v>
      </c>
      <c r="C46" s="4">
        <v>2372000</v>
      </c>
      <c r="D46" s="4">
        <v>2810000</v>
      </c>
    </row>
    <row r="47" spans="1:4" x14ac:dyDescent="0.25">
      <c r="A47" t="s">
        <v>120</v>
      </c>
      <c r="B47" s="4">
        <v>241000</v>
      </c>
      <c r="C47" s="4">
        <v>294000</v>
      </c>
      <c r="D47" s="4">
        <v>354000</v>
      </c>
    </row>
    <row r="48" spans="1:4" x14ac:dyDescent="0.25">
      <c r="A48" t="s">
        <v>57</v>
      </c>
      <c r="B48" s="4">
        <v>14221000</v>
      </c>
      <c r="C48" s="4">
        <v>10843000</v>
      </c>
      <c r="D48" s="4">
        <v>9731000</v>
      </c>
    </row>
    <row r="49" spans="1:4" x14ac:dyDescent="0.25">
      <c r="A49" t="s">
        <v>191</v>
      </c>
      <c r="B49" s="4">
        <v>500000</v>
      </c>
      <c r="C49" s="4">
        <v>133000</v>
      </c>
      <c r="D49" s="4">
        <v>51000</v>
      </c>
    </row>
    <row r="50" spans="1:4" x14ac:dyDescent="0.25">
      <c r="A50" t="s">
        <v>121</v>
      </c>
      <c r="B50" s="4">
        <v>9607000</v>
      </c>
      <c r="C50" s="4">
        <v>5245000</v>
      </c>
      <c r="D50" s="4">
        <v>1597000</v>
      </c>
    </row>
    <row r="51" spans="1:4" x14ac:dyDescent="0.25">
      <c r="A51" t="s">
        <v>122</v>
      </c>
      <c r="B51" s="4">
        <v>9607000</v>
      </c>
      <c r="C51" s="4">
        <v>5245000</v>
      </c>
      <c r="D51" s="4">
        <v>1597000</v>
      </c>
    </row>
    <row r="52" spans="1:4" x14ac:dyDescent="0.25">
      <c r="A52" t="s">
        <v>123</v>
      </c>
      <c r="B52" s="4">
        <v>2348000</v>
      </c>
      <c r="C52" s="4">
        <v>2662000</v>
      </c>
      <c r="D52" s="4">
        <v>2732000</v>
      </c>
    </row>
    <row r="53" spans="1:4" x14ac:dyDescent="0.25">
      <c r="A53" t="s">
        <v>124</v>
      </c>
      <c r="B53" s="4">
        <v>1284000</v>
      </c>
      <c r="C53" s="4">
        <v>2052000</v>
      </c>
      <c r="D53" s="4">
        <v>2804000</v>
      </c>
    </row>
    <row r="54" spans="1:4" x14ac:dyDescent="0.25">
      <c r="A54" t="s">
        <v>192</v>
      </c>
      <c r="B54" s="4">
        <v>151000</v>
      </c>
      <c r="C54" s="4">
        <v>24000</v>
      </c>
      <c r="D54" s="4">
        <v>82000</v>
      </c>
    </row>
    <row r="55" spans="1:4" x14ac:dyDescent="0.25">
      <c r="A55" t="s">
        <v>125</v>
      </c>
      <c r="B55" s="4">
        <v>1284000</v>
      </c>
      <c r="C55" s="4">
        <v>2052000</v>
      </c>
      <c r="D55" s="4">
        <v>2804000</v>
      </c>
    </row>
    <row r="56" spans="1:4" x14ac:dyDescent="0.25">
      <c r="A56" t="s">
        <v>193</v>
      </c>
      <c r="B56" s="4">
        <v>989000</v>
      </c>
      <c r="C56" s="4">
        <v>1398000</v>
      </c>
      <c r="D56" s="4">
        <v>2480000</v>
      </c>
    </row>
    <row r="57" spans="1:4" x14ac:dyDescent="0.25">
      <c r="A57" t="s">
        <v>194</v>
      </c>
      <c r="B57" s="4">
        <v>604000</v>
      </c>
      <c r="C57" s="4">
        <v>568000</v>
      </c>
      <c r="D57" t="s">
        <v>13</v>
      </c>
    </row>
    <row r="58" spans="1:4" x14ac:dyDescent="0.25">
      <c r="A58" t="s">
        <v>127</v>
      </c>
      <c r="B58" s="4">
        <v>3330000</v>
      </c>
      <c r="C58" s="4">
        <v>3546000</v>
      </c>
      <c r="D58" s="4">
        <v>5330000</v>
      </c>
    </row>
    <row r="59" spans="1:4" x14ac:dyDescent="0.25">
      <c r="A59" t="s">
        <v>40</v>
      </c>
      <c r="B59" s="4">
        <v>23679000</v>
      </c>
      <c r="C59" s="4">
        <v>31583000</v>
      </c>
      <c r="D59" s="4">
        <v>45898000</v>
      </c>
    </row>
    <row r="60" spans="1:4" x14ac:dyDescent="0.25">
      <c r="A60" t="s">
        <v>58</v>
      </c>
      <c r="B60" s="4">
        <v>22225000</v>
      </c>
      <c r="C60" s="4">
        <v>30189000</v>
      </c>
      <c r="D60" s="4">
        <v>44704000</v>
      </c>
    </row>
    <row r="61" spans="1:4" x14ac:dyDescent="0.25">
      <c r="A61" t="s">
        <v>128</v>
      </c>
      <c r="B61" s="4">
        <v>1000</v>
      </c>
      <c r="C61" s="4">
        <v>1000</v>
      </c>
      <c r="D61" s="4">
        <v>3000</v>
      </c>
    </row>
    <row r="62" spans="1:4" x14ac:dyDescent="0.25">
      <c r="A62" t="s">
        <v>129</v>
      </c>
      <c r="B62">
        <v>0</v>
      </c>
      <c r="C62">
        <v>0</v>
      </c>
      <c r="D62">
        <v>0</v>
      </c>
    </row>
    <row r="63" spans="1:4" x14ac:dyDescent="0.25">
      <c r="A63" t="s">
        <v>130</v>
      </c>
      <c r="B63" s="4">
        <v>1000</v>
      </c>
      <c r="C63" s="4">
        <v>1000</v>
      </c>
      <c r="D63" s="4">
        <v>3000</v>
      </c>
    </row>
    <row r="64" spans="1:4" x14ac:dyDescent="0.25">
      <c r="A64" t="s">
        <v>131</v>
      </c>
      <c r="B64" s="4">
        <v>27260000</v>
      </c>
      <c r="C64" s="4">
        <v>29803000</v>
      </c>
      <c r="D64" s="4">
        <v>32177000</v>
      </c>
    </row>
    <row r="65" spans="1:4" x14ac:dyDescent="0.25">
      <c r="A65" t="s">
        <v>132</v>
      </c>
      <c r="B65" s="4">
        <v>-5399000</v>
      </c>
      <c r="C65" s="4">
        <v>331000</v>
      </c>
      <c r="D65" s="4">
        <v>12885000</v>
      </c>
    </row>
    <row r="66" spans="1:4" x14ac:dyDescent="0.25">
      <c r="A66" t="s">
        <v>195</v>
      </c>
      <c r="B66" s="4">
        <v>363000</v>
      </c>
      <c r="C66" s="4">
        <v>54000</v>
      </c>
      <c r="D66" s="4">
        <v>-361000</v>
      </c>
    </row>
    <row r="67" spans="1:4" x14ac:dyDescent="0.25">
      <c r="A67" t="s">
        <v>196</v>
      </c>
      <c r="B67" s="4">
        <v>363000</v>
      </c>
      <c r="C67" s="4">
        <v>54000</v>
      </c>
      <c r="D67" s="4">
        <v>-361000</v>
      </c>
    </row>
    <row r="68" spans="1:4" x14ac:dyDescent="0.25">
      <c r="A68" t="s">
        <v>197</v>
      </c>
      <c r="B68" s="4">
        <v>1454000</v>
      </c>
      <c r="C68" s="4">
        <v>1394000</v>
      </c>
      <c r="D68" s="4">
        <v>1194000</v>
      </c>
    </row>
    <row r="69" spans="1:4" x14ac:dyDescent="0.25">
      <c r="A69" t="s">
        <v>41</v>
      </c>
      <c r="B69" s="4">
        <v>31832000</v>
      </c>
      <c r="C69" s="4">
        <v>35434000</v>
      </c>
      <c r="D69" s="4">
        <v>46301000</v>
      </c>
    </row>
    <row r="70" spans="1:4" x14ac:dyDescent="0.25">
      <c r="A70" t="s">
        <v>42</v>
      </c>
      <c r="B70" s="4">
        <v>22225000</v>
      </c>
      <c r="C70" s="4">
        <v>30189000</v>
      </c>
      <c r="D70" s="4">
        <v>44704000</v>
      </c>
    </row>
    <row r="71" spans="1:4" x14ac:dyDescent="0.25">
      <c r="A71" t="s">
        <v>35</v>
      </c>
      <c r="B71" s="4">
        <v>3008000</v>
      </c>
      <c r="C71" s="4">
        <v>3531000</v>
      </c>
      <c r="D71" s="4">
        <v>3703000</v>
      </c>
    </row>
    <row r="72" spans="1:4" x14ac:dyDescent="0.25">
      <c r="A72" t="s">
        <v>43</v>
      </c>
      <c r="B72" s="4">
        <v>21705000</v>
      </c>
      <c r="C72" s="4">
        <v>28472000</v>
      </c>
      <c r="D72" s="4">
        <v>44111000</v>
      </c>
    </row>
    <row r="73" spans="1:4" x14ac:dyDescent="0.25">
      <c r="A73" t="s">
        <v>44</v>
      </c>
      <c r="B73" s="4">
        <v>12469000</v>
      </c>
      <c r="C73" s="4">
        <v>7395000</v>
      </c>
      <c r="D73" s="4">
        <v>14208000</v>
      </c>
    </row>
    <row r="74" spans="1:4" x14ac:dyDescent="0.25">
      <c r="A74" t="s">
        <v>45</v>
      </c>
      <c r="B74" s="4">
        <v>33964000</v>
      </c>
      <c r="C74" s="4">
        <v>37023000</v>
      </c>
      <c r="D74" s="4">
        <v>47803000</v>
      </c>
    </row>
    <row r="75" spans="1:4" x14ac:dyDescent="0.25">
      <c r="A75" t="s">
        <v>46</v>
      </c>
      <c r="B75" s="4">
        <v>21705000</v>
      </c>
      <c r="C75" s="4">
        <v>28472000</v>
      </c>
      <c r="D75" s="4">
        <v>44111000</v>
      </c>
    </row>
    <row r="76" spans="1:4" x14ac:dyDescent="0.25">
      <c r="A76" t="s">
        <v>47</v>
      </c>
      <c r="B76" s="4">
        <v>11739000</v>
      </c>
      <c r="C76" s="4">
        <v>6834000</v>
      </c>
      <c r="D76" s="4">
        <v>3099000</v>
      </c>
    </row>
    <row r="77" spans="1:4" x14ac:dyDescent="0.25">
      <c r="A77" t="s">
        <v>135</v>
      </c>
      <c r="B77" t="s">
        <v>13</v>
      </c>
      <c r="C77" t="s">
        <v>13</v>
      </c>
      <c r="D77" t="s">
        <v>13</v>
      </c>
    </row>
    <row r="78" spans="1:4" x14ac:dyDescent="0.25">
      <c r="A78" t="s">
        <v>48</v>
      </c>
      <c r="B78" s="4">
        <v>2880000</v>
      </c>
      <c r="C78" s="4">
        <v>3099000</v>
      </c>
      <c r="D78" s="4">
        <v>3164000</v>
      </c>
    </row>
    <row r="79" spans="1:4" x14ac:dyDescent="0.25">
      <c r="A79" t="s">
        <v>49</v>
      </c>
      <c r="B79" s="4">
        <v>2880000</v>
      </c>
      <c r="C79" s="4">
        <v>3099000</v>
      </c>
      <c r="D79" s="4">
        <v>3164000</v>
      </c>
    </row>
    <row r="108" spans="1:4" x14ac:dyDescent="0.25">
      <c r="A108" t="s">
        <v>175</v>
      </c>
      <c r="B108" t="s">
        <v>38</v>
      </c>
      <c r="C108" t="s">
        <v>37</v>
      </c>
      <c r="D108" t="s">
        <v>36</v>
      </c>
    </row>
    <row r="109" spans="1:4" x14ac:dyDescent="0.25">
      <c r="A109" t="s">
        <v>1</v>
      </c>
      <c r="B109" s="4">
        <v>31536000</v>
      </c>
      <c r="C109" s="4">
        <v>53823000</v>
      </c>
      <c r="D109" s="4">
        <v>81462000</v>
      </c>
    </row>
    <row r="110" spans="1:4" x14ac:dyDescent="0.25">
      <c r="A110" t="s">
        <v>60</v>
      </c>
      <c r="B110" s="4">
        <v>31536000</v>
      </c>
      <c r="C110" s="4">
        <v>53823000</v>
      </c>
      <c r="D110" s="4">
        <v>81462000</v>
      </c>
    </row>
    <row r="111" spans="1:4" x14ac:dyDescent="0.25">
      <c r="A111" t="s">
        <v>2</v>
      </c>
      <c r="B111" s="4">
        <v>24906000</v>
      </c>
      <c r="C111" s="4">
        <v>40217000</v>
      </c>
      <c r="D111" s="4">
        <v>60609000</v>
      </c>
    </row>
    <row r="112" spans="1:4" x14ac:dyDescent="0.25">
      <c r="A112" t="s">
        <v>3</v>
      </c>
      <c r="B112" s="4">
        <v>6630000</v>
      </c>
      <c r="C112" s="4">
        <v>13606000</v>
      </c>
      <c r="D112" s="4">
        <v>20853000</v>
      </c>
    </row>
    <row r="113" spans="1:4" x14ac:dyDescent="0.25">
      <c r="A113" t="s">
        <v>4</v>
      </c>
      <c r="B113" s="4">
        <v>4636000</v>
      </c>
      <c r="C113" s="4">
        <v>7110000</v>
      </c>
      <c r="D113" s="4">
        <v>7021000</v>
      </c>
    </row>
    <row r="114" spans="1:4" x14ac:dyDescent="0.25">
      <c r="A114" t="s">
        <v>137</v>
      </c>
      <c r="B114" s="4">
        <v>3145000</v>
      </c>
      <c r="C114" s="4">
        <v>4517000</v>
      </c>
      <c r="D114" s="4">
        <v>3946000</v>
      </c>
    </row>
    <row r="115" spans="1:4" x14ac:dyDescent="0.25">
      <c r="A115" t="s">
        <v>140</v>
      </c>
      <c r="B115" s="4">
        <v>1491000</v>
      </c>
      <c r="C115" s="4">
        <v>2593000</v>
      </c>
      <c r="D115" s="4">
        <v>3075000</v>
      </c>
    </row>
    <row r="116" spans="1:4" x14ac:dyDescent="0.25">
      <c r="A116" t="s">
        <v>5</v>
      </c>
      <c r="B116" s="4">
        <v>1994000</v>
      </c>
      <c r="C116" s="4">
        <v>6496000</v>
      </c>
      <c r="D116" s="4">
        <v>13832000</v>
      </c>
    </row>
    <row r="117" spans="1:4" x14ac:dyDescent="0.25">
      <c r="A117" t="s">
        <v>6</v>
      </c>
      <c r="B117" s="4">
        <v>-718000</v>
      </c>
      <c r="C117" s="4">
        <v>-315000</v>
      </c>
      <c r="D117" s="4">
        <v>106000</v>
      </c>
    </row>
    <row r="118" spans="1:4" x14ac:dyDescent="0.25">
      <c r="A118" t="s">
        <v>141</v>
      </c>
      <c r="B118" s="4">
        <v>30000</v>
      </c>
      <c r="C118" s="4">
        <v>56000</v>
      </c>
      <c r="D118" s="4">
        <v>297000</v>
      </c>
    </row>
    <row r="119" spans="1:4" x14ac:dyDescent="0.25">
      <c r="A119" t="s">
        <v>142</v>
      </c>
      <c r="B119" s="4">
        <v>748000</v>
      </c>
      <c r="C119" s="4">
        <v>371000</v>
      </c>
      <c r="D119" s="4">
        <v>191000</v>
      </c>
    </row>
    <row r="120" spans="1:4" x14ac:dyDescent="0.25">
      <c r="A120" t="s">
        <v>7</v>
      </c>
      <c r="B120" s="4">
        <v>-122000</v>
      </c>
      <c r="C120" s="4">
        <v>162000</v>
      </c>
      <c r="D120" s="4">
        <v>-219000</v>
      </c>
    </row>
    <row r="121" spans="1:4" x14ac:dyDescent="0.25">
      <c r="A121" t="s">
        <v>171</v>
      </c>
      <c r="B121">
        <v>0</v>
      </c>
      <c r="C121" s="4">
        <v>27000</v>
      </c>
      <c r="D121" s="4">
        <v>-176000</v>
      </c>
    </row>
    <row r="122" spans="1:4" x14ac:dyDescent="0.25">
      <c r="A122" t="s">
        <v>172</v>
      </c>
      <c r="B122">
        <v>0</v>
      </c>
      <c r="C122" s="4">
        <v>-27000</v>
      </c>
      <c r="D122" s="4">
        <v>176000</v>
      </c>
    </row>
    <row r="123" spans="1:4" x14ac:dyDescent="0.25">
      <c r="A123" t="s">
        <v>144</v>
      </c>
      <c r="B123" s="4">
        <v>-122000</v>
      </c>
      <c r="C123" s="4">
        <v>135000</v>
      </c>
      <c r="D123" s="4">
        <v>-43000</v>
      </c>
    </row>
    <row r="124" spans="1:4" x14ac:dyDescent="0.25">
      <c r="A124" t="s">
        <v>8</v>
      </c>
      <c r="B124" s="4">
        <v>1154000</v>
      </c>
      <c r="C124" s="4">
        <v>6343000</v>
      </c>
      <c r="D124" s="4">
        <v>13719000</v>
      </c>
    </row>
    <row r="125" spans="1:4" x14ac:dyDescent="0.25">
      <c r="A125" t="s">
        <v>9</v>
      </c>
      <c r="B125" s="4">
        <v>292000</v>
      </c>
      <c r="C125" s="4">
        <v>699000</v>
      </c>
      <c r="D125" s="4">
        <v>1132000</v>
      </c>
    </row>
    <row r="126" spans="1:4" x14ac:dyDescent="0.25">
      <c r="A126" t="s">
        <v>10</v>
      </c>
      <c r="B126" s="4">
        <v>690000</v>
      </c>
      <c r="C126" s="4">
        <v>5519000</v>
      </c>
      <c r="D126" s="4">
        <v>12583000</v>
      </c>
    </row>
    <row r="127" spans="1:4" x14ac:dyDescent="0.25">
      <c r="A127" t="s">
        <v>92</v>
      </c>
      <c r="B127" s="4">
        <v>690000</v>
      </c>
      <c r="C127" s="4">
        <v>5519000</v>
      </c>
      <c r="D127" s="4">
        <v>12583000</v>
      </c>
    </row>
    <row r="128" spans="1:4" x14ac:dyDescent="0.25">
      <c r="A128" t="s">
        <v>145</v>
      </c>
      <c r="B128" s="4">
        <v>862000</v>
      </c>
      <c r="C128" s="4">
        <v>5644000</v>
      </c>
      <c r="D128" s="4">
        <v>12587000</v>
      </c>
    </row>
    <row r="129" spans="1:4" x14ac:dyDescent="0.25">
      <c r="A129" t="s">
        <v>146</v>
      </c>
      <c r="B129" s="4">
        <v>862000</v>
      </c>
      <c r="C129" s="4">
        <v>5644000</v>
      </c>
      <c r="D129" s="4">
        <v>12587000</v>
      </c>
    </row>
    <row r="130" spans="1:4" x14ac:dyDescent="0.25">
      <c r="A130" t="s">
        <v>173</v>
      </c>
      <c r="B130" s="4">
        <v>-172000</v>
      </c>
      <c r="C130" s="4">
        <v>-125000</v>
      </c>
      <c r="D130" s="4">
        <v>-4000</v>
      </c>
    </row>
    <row r="131" spans="1:4" x14ac:dyDescent="0.25">
      <c r="A131" t="s">
        <v>174</v>
      </c>
      <c r="B131" t="s">
        <v>13</v>
      </c>
      <c r="C131" t="s">
        <v>13</v>
      </c>
      <c r="D131" s="4">
        <v>1000</v>
      </c>
    </row>
    <row r="132" spans="1:4" x14ac:dyDescent="0.25">
      <c r="A132" t="s">
        <v>11</v>
      </c>
      <c r="B132" s="4">
        <v>690000</v>
      </c>
      <c r="C132" s="4">
        <v>5519000</v>
      </c>
      <c r="D132" s="4">
        <v>12584000</v>
      </c>
    </row>
    <row r="133" spans="1:4" x14ac:dyDescent="0.25">
      <c r="A133" t="s">
        <v>12</v>
      </c>
      <c r="B133">
        <v>0.25</v>
      </c>
      <c r="C133">
        <v>1.87</v>
      </c>
      <c r="D133">
        <v>4.0199999999999996</v>
      </c>
    </row>
    <row r="134" spans="1:4" x14ac:dyDescent="0.25">
      <c r="A134" t="s">
        <v>14</v>
      </c>
      <c r="B134">
        <v>0.21</v>
      </c>
      <c r="C134">
        <v>1.63</v>
      </c>
      <c r="D134">
        <v>3.62</v>
      </c>
    </row>
    <row r="135" spans="1:4" x14ac:dyDescent="0.25">
      <c r="A135" t="s">
        <v>15</v>
      </c>
      <c r="B135" s="4">
        <v>2799000</v>
      </c>
      <c r="C135" s="4">
        <v>2958000</v>
      </c>
      <c r="D135" s="4">
        <v>3130000</v>
      </c>
    </row>
    <row r="136" spans="1:4" x14ac:dyDescent="0.25">
      <c r="A136" t="s">
        <v>16</v>
      </c>
      <c r="B136" s="4">
        <v>3249000</v>
      </c>
      <c r="C136" s="4">
        <v>3387000</v>
      </c>
      <c r="D136" s="4">
        <v>3475000</v>
      </c>
    </row>
    <row r="137" spans="1:4" x14ac:dyDescent="0.25">
      <c r="A137" t="s">
        <v>17</v>
      </c>
      <c r="B137" s="4">
        <v>1994000</v>
      </c>
      <c r="C137" s="4">
        <v>-6523000</v>
      </c>
      <c r="D137" s="4">
        <v>13656000</v>
      </c>
    </row>
    <row r="138" spans="1:4" x14ac:dyDescent="0.25">
      <c r="A138" t="s">
        <v>18</v>
      </c>
      <c r="B138" s="4">
        <v>29542000</v>
      </c>
      <c r="C138" s="4">
        <v>47327000</v>
      </c>
      <c r="D138" s="4">
        <v>67630000</v>
      </c>
    </row>
    <row r="139" spans="1:4" x14ac:dyDescent="0.25">
      <c r="A139" t="s">
        <v>19</v>
      </c>
      <c r="B139" s="4">
        <v>690000</v>
      </c>
      <c r="C139" s="4">
        <v>5519000</v>
      </c>
      <c r="D139" s="4">
        <v>12583000</v>
      </c>
    </row>
    <row r="140" spans="1:4" x14ac:dyDescent="0.25">
      <c r="A140" t="s">
        <v>20</v>
      </c>
      <c r="B140" s="4">
        <v>690000</v>
      </c>
      <c r="C140" s="4">
        <v>5494970</v>
      </c>
      <c r="D140" s="4">
        <v>12744920</v>
      </c>
    </row>
    <row r="141" spans="1:4" x14ac:dyDescent="0.25">
      <c r="A141" t="s">
        <v>21</v>
      </c>
      <c r="B141" s="4">
        <v>30000</v>
      </c>
      <c r="C141" s="4">
        <v>56000</v>
      </c>
      <c r="D141" s="4">
        <v>297000</v>
      </c>
    </row>
    <row r="142" spans="1:4" x14ac:dyDescent="0.25">
      <c r="A142" t="s">
        <v>22</v>
      </c>
      <c r="B142" s="4">
        <v>748000</v>
      </c>
      <c r="C142" s="4">
        <v>371000</v>
      </c>
      <c r="D142" s="4">
        <v>191000</v>
      </c>
    </row>
    <row r="143" spans="1:4" x14ac:dyDescent="0.25">
      <c r="A143" t="s">
        <v>23</v>
      </c>
      <c r="B143" s="4">
        <v>-718000</v>
      </c>
      <c r="C143" s="4">
        <v>-315000</v>
      </c>
      <c r="D143" s="4">
        <v>106000</v>
      </c>
    </row>
    <row r="144" spans="1:4" x14ac:dyDescent="0.25">
      <c r="A144" t="s">
        <v>24</v>
      </c>
      <c r="B144" s="4">
        <v>1902000</v>
      </c>
      <c r="C144" s="4">
        <v>6714000</v>
      </c>
      <c r="D144" s="4">
        <v>13910000</v>
      </c>
    </row>
    <row r="145" spans="1:4" x14ac:dyDescent="0.25">
      <c r="A145" t="s">
        <v>25</v>
      </c>
      <c r="B145" s="4">
        <f>B144+B154</f>
        <v>4224000</v>
      </c>
      <c r="C145" s="4">
        <f t="shared" ref="C145:D145" si="4">C144+C154</f>
        <v>9625000</v>
      </c>
      <c r="D145" s="4">
        <f t="shared" si="4"/>
        <v>17657000</v>
      </c>
    </row>
    <row r="146" spans="1:4" x14ac:dyDescent="0.25">
      <c r="A146" t="s">
        <v>26</v>
      </c>
      <c r="B146" s="4">
        <v>24906000</v>
      </c>
      <c r="C146" s="4">
        <v>40217000</v>
      </c>
      <c r="D146" s="4">
        <v>60609000</v>
      </c>
    </row>
    <row r="147" spans="1:4" x14ac:dyDescent="0.25">
      <c r="A147" t="s">
        <v>27</v>
      </c>
      <c r="B147" s="4">
        <v>2322000</v>
      </c>
      <c r="C147" s="4">
        <v>2911000</v>
      </c>
      <c r="D147" s="4">
        <v>3747000</v>
      </c>
    </row>
    <row r="148" spans="1:4" x14ac:dyDescent="0.25">
      <c r="A148" t="s">
        <v>28</v>
      </c>
      <c r="B148" s="4">
        <v>690000</v>
      </c>
      <c r="C148" s="4">
        <v>5519000</v>
      </c>
      <c r="D148" s="4">
        <v>12583000</v>
      </c>
    </row>
    <row r="149" spans="1:4" x14ac:dyDescent="0.25">
      <c r="A149" t="s">
        <v>29</v>
      </c>
      <c r="B149">
        <v>0</v>
      </c>
      <c r="C149" s="4">
        <v>27000</v>
      </c>
      <c r="D149" s="4">
        <v>-176000</v>
      </c>
    </row>
    <row r="150" spans="1:4" x14ac:dyDescent="0.25">
      <c r="A150" t="s">
        <v>30</v>
      </c>
      <c r="B150">
        <v>0</v>
      </c>
      <c r="C150" s="4">
        <v>27000</v>
      </c>
      <c r="D150" s="4">
        <v>-176000</v>
      </c>
    </row>
    <row r="151" spans="1:4" x14ac:dyDescent="0.25">
      <c r="A151" t="s">
        <v>31</v>
      </c>
      <c r="B151" s="4">
        <v>4224000</v>
      </c>
      <c r="C151" s="4">
        <v>9598000</v>
      </c>
      <c r="D151" s="4">
        <v>17833000</v>
      </c>
    </row>
    <row r="152" spans="1:4" x14ac:dyDescent="0.25">
      <c r="A152" t="s">
        <v>32</v>
      </c>
      <c r="B152">
        <v>0</v>
      </c>
      <c r="C152">
        <v>0</v>
      </c>
      <c r="D152">
        <v>0</v>
      </c>
    </row>
    <row r="153" spans="1:4" x14ac:dyDescent="0.25">
      <c r="A153" t="s">
        <v>33</v>
      </c>
      <c r="B153">
        <v>0</v>
      </c>
      <c r="C153" s="4">
        <v>2970</v>
      </c>
      <c r="D153" s="4">
        <v>-14080</v>
      </c>
    </row>
    <row r="154" spans="1:4" x14ac:dyDescent="0.25">
      <c r="A154" t="s">
        <v>199</v>
      </c>
      <c r="B154" s="4">
        <v>2322000</v>
      </c>
      <c r="C154" s="4">
        <v>2911000</v>
      </c>
      <c r="D154" s="4">
        <v>3747000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9"/>
  <sheetViews>
    <sheetView zoomScale="130" workbookViewId="0">
      <selection activeCell="G12" sqref="G12"/>
    </sheetView>
  </sheetViews>
  <sheetFormatPr defaultRowHeight="15" x14ac:dyDescent="0.25"/>
  <cols>
    <col min="1" max="1" width="43" customWidth="1"/>
    <col min="2" max="2" width="10.85546875" customWidth="1"/>
    <col min="3" max="3" width="11" customWidth="1"/>
    <col min="4" max="4" width="11.7109375" customWidth="1"/>
    <col min="6" max="6" width="36.140625" customWidth="1"/>
    <col min="7" max="8" width="11.7109375" customWidth="1"/>
    <col min="9" max="9" width="10.7109375" customWidth="1"/>
  </cols>
  <sheetData>
    <row r="1" spans="1:9" x14ac:dyDescent="0.25">
      <c r="A1" t="s">
        <v>136</v>
      </c>
      <c r="B1" t="s">
        <v>38</v>
      </c>
      <c r="C1" t="s">
        <v>37</v>
      </c>
      <c r="D1" t="s">
        <v>36</v>
      </c>
    </row>
    <row r="2" spans="1:9" x14ac:dyDescent="0.25">
      <c r="A2" t="s">
        <v>34</v>
      </c>
      <c r="B2" s="4">
        <v>1063891</v>
      </c>
      <c r="C2" s="4">
        <v>1592952</v>
      </c>
      <c r="D2" s="4">
        <v>1515426</v>
      </c>
    </row>
    <row r="3" spans="1:9" x14ac:dyDescent="0.25">
      <c r="A3" t="s">
        <v>50</v>
      </c>
      <c r="B3" s="4">
        <v>1001029</v>
      </c>
      <c r="C3" s="4">
        <v>1232862</v>
      </c>
      <c r="D3" s="4">
        <v>831454</v>
      </c>
    </row>
    <row r="4" spans="1:9" x14ac:dyDescent="0.25">
      <c r="A4" t="s">
        <v>51</v>
      </c>
      <c r="B4" s="4">
        <v>991158</v>
      </c>
      <c r="C4" s="4">
        <v>1202439</v>
      </c>
      <c r="D4" s="4">
        <v>739689</v>
      </c>
    </row>
    <row r="5" spans="1:9" x14ac:dyDescent="0.25">
      <c r="A5" t="s">
        <v>97</v>
      </c>
      <c r="B5" s="4">
        <v>991158</v>
      </c>
      <c r="C5" s="4">
        <v>1202439</v>
      </c>
      <c r="D5" s="4">
        <v>736549</v>
      </c>
    </row>
    <row r="6" spans="1:9" x14ac:dyDescent="0.25">
      <c r="A6" t="s">
        <v>98</v>
      </c>
      <c r="B6" t="s">
        <v>13</v>
      </c>
      <c r="C6" t="s">
        <v>13</v>
      </c>
      <c r="D6" s="4">
        <v>3140</v>
      </c>
    </row>
    <row r="7" spans="1:9" x14ac:dyDescent="0.25">
      <c r="A7" t="s">
        <v>52</v>
      </c>
      <c r="B7">
        <v>795</v>
      </c>
      <c r="C7">
        <v>0</v>
      </c>
      <c r="D7" s="4">
        <v>27928</v>
      </c>
    </row>
    <row r="8" spans="1:9" x14ac:dyDescent="0.25">
      <c r="A8" t="s">
        <v>99</v>
      </c>
      <c r="B8">
        <v>795</v>
      </c>
      <c r="C8">
        <v>0</v>
      </c>
      <c r="D8" t="s">
        <v>13</v>
      </c>
      <c r="F8" s="1" t="s">
        <v>218</v>
      </c>
      <c r="G8" s="1" t="s">
        <v>38</v>
      </c>
      <c r="H8" s="1" t="s">
        <v>37</v>
      </c>
      <c r="I8" s="1" t="s">
        <v>36</v>
      </c>
    </row>
    <row r="9" spans="1:9" x14ac:dyDescent="0.25">
      <c r="A9" t="s">
        <v>100</v>
      </c>
      <c r="B9" t="s">
        <v>13</v>
      </c>
      <c r="C9" t="s">
        <v>13</v>
      </c>
      <c r="D9" s="4">
        <v>27928</v>
      </c>
      <c r="F9" s="2" t="s">
        <v>149</v>
      </c>
      <c r="G9" s="1">
        <f>B52+B47+G97*(1-G107)+B24-B4</f>
        <v>74343</v>
      </c>
      <c r="H9" s="1">
        <f t="shared" ref="H9:I9" si="0">C52+C47+H97*(1-H107)+C24-C4</f>
        <v>1056407</v>
      </c>
      <c r="I9" s="1">
        <f t="shared" si="0"/>
        <v>1454985</v>
      </c>
    </row>
    <row r="10" spans="1:9" x14ac:dyDescent="0.25">
      <c r="A10" t="s">
        <v>101</v>
      </c>
      <c r="B10" s="4">
        <v>9872</v>
      </c>
      <c r="C10" s="4">
        <v>30423</v>
      </c>
      <c r="D10" s="4">
        <v>63837</v>
      </c>
      <c r="F10" s="1" t="s">
        <v>150</v>
      </c>
      <c r="G10" s="1">
        <f>G9/20</f>
        <v>3717.15</v>
      </c>
      <c r="H10" s="1">
        <f t="shared" ref="H10:I10" si="1">H9/20</f>
        <v>52820.35</v>
      </c>
      <c r="I10" s="1">
        <f t="shared" si="1"/>
        <v>72749.25</v>
      </c>
    </row>
    <row r="11" spans="1:9" x14ac:dyDescent="0.25">
      <c r="A11" t="s">
        <v>54</v>
      </c>
      <c r="B11">
        <v>-1</v>
      </c>
      <c r="C11" s="4">
        <v>13199</v>
      </c>
      <c r="D11" s="4">
        <v>60886</v>
      </c>
      <c r="F11" s="1" t="s">
        <v>151</v>
      </c>
      <c r="G11" s="1">
        <f>G9/G100</f>
        <v>-1.4039166068663369</v>
      </c>
      <c r="H11" s="1">
        <f>H9/H100</f>
        <v>-2.276263367356393</v>
      </c>
      <c r="I11" s="1">
        <f>I9/I100</f>
        <v>506.2578288100209</v>
      </c>
    </row>
    <row r="12" spans="1:9" x14ac:dyDescent="0.25">
      <c r="A12" t="s">
        <v>55</v>
      </c>
      <c r="B12" s="4">
        <v>62862</v>
      </c>
      <c r="C12" s="4">
        <v>360090</v>
      </c>
      <c r="D12" s="4">
        <v>683972</v>
      </c>
      <c r="F12" s="1" t="s">
        <v>152</v>
      </c>
      <c r="G12" s="1">
        <f>B52/G84</f>
        <v>-19.129078896799108</v>
      </c>
      <c r="H12" s="1">
        <f>C52/H84</f>
        <v>-3.0962443406274001</v>
      </c>
      <c r="I12" s="1">
        <f>D52/I84</f>
        <v>-2.0846307552931895</v>
      </c>
    </row>
    <row r="13" spans="1:9" x14ac:dyDescent="0.25">
      <c r="A13" t="s">
        <v>96</v>
      </c>
      <c r="B13" s="4">
        <v>3493</v>
      </c>
      <c r="C13" s="4">
        <v>103928</v>
      </c>
      <c r="D13" s="4">
        <v>420561</v>
      </c>
    </row>
    <row r="14" spans="1:9" x14ac:dyDescent="0.25">
      <c r="A14" t="s">
        <v>102</v>
      </c>
      <c r="B14" s="4">
        <v>3493</v>
      </c>
      <c r="C14" s="4">
        <v>103928</v>
      </c>
      <c r="D14" s="4">
        <v>423042</v>
      </c>
    </row>
    <row r="15" spans="1:9" x14ac:dyDescent="0.25">
      <c r="A15" t="s">
        <v>103</v>
      </c>
      <c r="B15">
        <v>0</v>
      </c>
      <c r="C15">
        <v>0</v>
      </c>
      <c r="D15">
        <v>0</v>
      </c>
    </row>
    <row r="16" spans="1:9" x14ac:dyDescent="0.25">
      <c r="A16" t="s">
        <v>104</v>
      </c>
      <c r="B16" s="4">
        <v>1017</v>
      </c>
      <c r="C16" s="4">
        <v>5259</v>
      </c>
      <c r="D16" s="4">
        <v>49195</v>
      </c>
    </row>
    <row r="17" spans="1:4" x14ac:dyDescent="0.25">
      <c r="A17" t="s">
        <v>105</v>
      </c>
      <c r="B17" s="4">
        <v>3493</v>
      </c>
      <c r="C17" s="4">
        <v>103928</v>
      </c>
      <c r="D17" s="4">
        <v>33424</v>
      </c>
    </row>
    <row r="18" spans="1:4" x14ac:dyDescent="0.25">
      <c r="A18" t="s">
        <v>106</v>
      </c>
      <c r="B18" t="s">
        <v>13</v>
      </c>
      <c r="C18" s="4">
        <v>81161</v>
      </c>
      <c r="D18" s="4">
        <v>339789</v>
      </c>
    </row>
    <row r="19" spans="1:4" x14ac:dyDescent="0.25">
      <c r="A19" t="s">
        <v>107</v>
      </c>
      <c r="B19">
        <v>26</v>
      </c>
      <c r="C19">
        <v>20</v>
      </c>
      <c r="D19">
        <v>634</v>
      </c>
    </row>
    <row r="20" spans="1:4" x14ac:dyDescent="0.25">
      <c r="A20" t="s">
        <v>93</v>
      </c>
      <c r="B20">
        <v>-98</v>
      </c>
      <c r="C20">
        <v>-796</v>
      </c>
      <c r="D20" s="4">
        <v>-2481</v>
      </c>
    </row>
    <row r="21" spans="1:4" x14ac:dyDescent="0.25">
      <c r="A21" t="s">
        <v>108</v>
      </c>
      <c r="B21" s="4">
        <v>58041</v>
      </c>
      <c r="C21" s="4">
        <v>231525</v>
      </c>
      <c r="D21" s="4">
        <v>246922</v>
      </c>
    </row>
    <row r="22" spans="1:4" x14ac:dyDescent="0.25">
      <c r="A22" t="s">
        <v>109</v>
      </c>
      <c r="B22" s="4">
        <v>58041</v>
      </c>
      <c r="C22" s="4">
        <v>231525</v>
      </c>
      <c r="D22" s="4">
        <v>246922</v>
      </c>
    </row>
    <row r="23" spans="1:4" x14ac:dyDescent="0.25">
      <c r="A23" t="s">
        <v>110</v>
      </c>
      <c r="B23" s="4">
        <v>1328</v>
      </c>
      <c r="C23" s="4">
        <v>24637</v>
      </c>
      <c r="D23" s="4">
        <v>16489</v>
      </c>
    </row>
    <row r="24" spans="1:4" x14ac:dyDescent="0.25">
      <c r="A24" t="s">
        <v>39</v>
      </c>
      <c r="B24" s="4">
        <v>18659</v>
      </c>
      <c r="C24" s="4">
        <v>792910</v>
      </c>
      <c r="D24" s="4">
        <v>1034921</v>
      </c>
    </row>
    <row r="25" spans="1:4" x14ac:dyDescent="0.25">
      <c r="A25" t="s">
        <v>56</v>
      </c>
      <c r="B25" s="4">
        <v>13220</v>
      </c>
      <c r="C25" s="4">
        <v>112329</v>
      </c>
      <c r="D25" s="4">
        <v>330881</v>
      </c>
    </row>
    <row r="26" spans="1:4" x14ac:dyDescent="0.25">
      <c r="A26" t="s">
        <v>111</v>
      </c>
      <c r="B26" s="4">
        <v>12566</v>
      </c>
      <c r="C26" s="4">
        <v>107777</v>
      </c>
      <c r="D26" s="4">
        <v>318936</v>
      </c>
    </row>
    <row r="27" spans="1:4" x14ac:dyDescent="0.25">
      <c r="A27" t="s">
        <v>112</v>
      </c>
      <c r="B27" s="4">
        <v>5158</v>
      </c>
      <c r="C27" s="4">
        <v>28143</v>
      </c>
      <c r="D27" s="4">
        <v>58871</v>
      </c>
    </row>
    <row r="28" spans="1:4" x14ac:dyDescent="0.25">
      <c r="A28" t="s">
        <v>113</v>
      </c>
      <c r="B28" s="4">
        <v>5158</v>
      </c>
      <c r="C28" s="4">
        <v>28143</v>
      </c>
      <c r="D28" s="4">
        <v>58871</v>
      </c>
    </row>
    <row r="29" spans="1:4" x14ac:dyDescent="0.25">
      <c r="A29" t="s">
        <v>114</v>
      </c>
      <c r="B29" s="4">
        <v>7408</v>
      </c>
      <c r="C29" s="4">
        <v>79634</v>
      </c>
      <c r="D29" s="4">
        <v>260065</v>
      </c>
    </row>
    <row r="30" spans="1:4" x14ac:dyDescent="0.25">
      <c r="A30" t="s">
        <v>115</v>
      </c>
      <c r="B30" t="s">
        <v>13</v>
      </c>
      <c r="C30" s="4">
        <v>6165</v>
      </c>
      <c r="D30" s="4">
        <v>4867</v>
      </c>
    </row>
    <row r="31" spans="1:4" x14ac:dyDescent="0.25">
      <c r="A31" t="s">
        <v>116</v>
      </c>
      <c r="B31">
        <v>655</v>
      </c>
      <c r="C31" s="4">
        <v>4552</v>
      </c>
      <c r="D31" s="4">
        <v>7085</v>
      </c>
    </row>
    <row r="32" spans="1:4" x14ac:dyDescent="0.25">
      <c r="A32" t="s">
        <v>117</v>
      </c>
      <c r="B32" t="s">
        <v>13</v>
      </c>
      <c r="C32" t="s">
        <v>13</v>
      </c>
      <c r="D32" t="s">
        <v>13</v>
      </c>
    </row>
    <row r="33" spans="1:4" x14ac:dyDescent="0.25">
      <c r="A33" t="s">
        <v>118</v>
      </c>
      <c r="B33">
        <v>0</v>
      </c>
      <c r="C33" t="s">
        <v>13</v>
      </c>
      <c r="D33" t="s">
        <v>13</v>
      </c>
    </row>
    <row r="34" spans="1:4" x14ac:dyDescent="0.25">
      <c r="A34" t="s">
        <v>119</v>
      </c>
      <c r="B34">
        <v>655</v>
      </c>
      <c r="C34" s="4">
        <v>4552</v>
      </c>
      <c r="D34" s="4">
        <v>7085</v>
      </c>
    </row>
    <row r="35" spans="1:4" x14ac:dyDescent="0.25">
      <c r="A35" t="s">
        <v>120</v>
      </c>
      <c r="B35">
        <v>-1</v>
      </c>
      <c r="C35" t="s">
        <v>13</v>
      </c>
      <c r="D35" s="4">
        <v>4860</v>
      </c>
    </row>
    <row r="36" spans="1:4" x14ac:dyDescent="0.25">
      <c r="A36" t="s">
        <v>57</v>
      </c>
      <c r="B36" s="4">
        <v>5439</v>
      </c>
      <c r="C36" s="4">
        <v>680581</v>
      </c>
      <c r="D36" s="4">
        <v>704040</v>
      </c>
    </row>
    <row r="37" spans="1:4" x14ac:dyDescent="0.25">
      <c r="A37" t="s">
        <v>121</v>
      </c>
      <c r="B37" s="4">
        <v>1912</v>
      </c>
      <c r="C37" s="4">
        <v>674281</v>
      </c>
      <c r="D37" s="4">
        <v>688706</v>
      </c>
    </row>
    <row r="38" spans="1:4" x14ac:dyDescent="0.25">
      <c r="A38" t="s">
        <v>122</v>
      </c>
      <c r="B38" t="s">
        <v>13</v>
      </c>
      <c r="C38" s="4">
        <v>659348</v>
      </c>
      <c r="D38" s="4">
        <v>660822</v>
      </c>
    </row>
    <row r="39" spans="1:4" x14ac:dyDescent="0.25">
      <c r="A39" t="s">
        <v>123</v>
      </c>
      <c r="B39" s="4">
        <v>1912</v>
      </c>
      <c r="C39" s="4">
        <v>14933</v>
      </c>
      <c r="D39" s="4">
        <v>27884</v>
      </c>
    </row>
    <row r="40" spans="1:4" x14ac:dyDescent="0.25">
      <c r="A40" t="s">
        <v>124</v>
      </c>
      <c r="B40" s="4">
        <v>3527</v>
      </c>
      <c r="C40" s="4">
        <v>6300</v>
      </c>
      <c r="D40" s="4">
        <v>15334</v>
      </c>
    </row>
    <row r="41" spans="1:4" x14ac:dyDescent="0.25">
      <c r="A41" t="s">
        <v>125</v>
      </c>
      <c r="B41" s="4">
        <v>3527</v>
      </c>
      <c r="C41" s="4">
        <v>6300</v>
      </c>
      <c r="D41" s="4">
        <v>15334</v>
      </c>
    </row>
    <row r="42" spans="1:4" x14ac:dyDescent="0.25">
      <c r="A42" t="s">
        <v>126</v>
      </c>
      <c r="B42" t="s">
        <v>13</v>
      </c>
      <c r="C42">
        <v>0</v>
      </c>
      <c r="D42" t="s">
        <v>13</v>
      </c>
    </row>
    <row r="43" spans="1:4" x14ac:dyDescent="0.25">
      <c r="A43" t="s">
        <v>127</v>
      </c>
      <c r="B43">
        <v>1</v>
      </c>
      <c r="C43">
        <v>-1</v>
      </c>
      <c r="D43" t="s">
        <v>13</v>
      </c>
    </row>
    <row r="44" spans="1:4" x14ac:dyDescent="0.25">
      <c r="A44" t="s">
        <v>40</v>
      </c>
      <c r="B44" s="4">
        <v>1045232</v>
      </c>
      <c r="C44" s="4">
        <v>800042</v>
      </c>
      <c r="D44" s="4">
        <v>480505</v>
      </c>
    </row>
    <row r="45" spans="1:4" x14ac:dyDescent="0.25">
      <c r="A45" t="s">
        <v>58</v>
      </c>
      <c r="B45" s="4">
        <v>1045232</v>
      </c>
      <c r="C45" s="4">
        <v>800042</v>
      </c>
      <c r="D45" s="4">
        <v>480505</v>
      </c>
    </row>
    <row r="46" spans="1:4" x14ac:dyDescent="0.25">
      <c r="A46" t="s">
        <v>128</v>
      </c>
      <c r="B46">
        <v>2</v>
      </c>
      <c r="C46">
        <v>3</v>
      </c>
      <c r="D46">
        <v>3</v>
      </c>
    </row>
    <row r="47" spans="1:4" x14ac:dyDescent="0.25">
      <c r="A47" t="s">
        <v>129</v>
      </c>
      <c r="B47">
        <v>0</v>
      </c>
      <c r="C47">
        <v>0</v>
      </c>
      <c r="D47">
        <v>0</v>
      </c>
    </row>
    <row r="48" spans="1:4" x14ac:dyDescent="0.25">
      <c r="A48" t="s">
        <v>130</v>
      </c>
      <c r="B48">
        <v>2</v>
      </c>
      <c r="C48">
        <v>3</v>
      </c>
      <c r="D48">
        <v>3</v>
      </c>
    </row>
    <row r="49" spans="1:9" x14ac:dyDescent="0.25">
      <c r="A49" t="s">
        <v>131</v>
      </c>
      <c r="B49" s="4">
        <v>1117867</v>
      </c>
      <c r="C49" s="4">
        <v>1419284</v>
      </c>
      <c r="D49" s="4">
        <v>1650196</v>
      </c>
    </row>
    <row r="50" spans="1:9" x14ac:dyDescent="0.25">
      <c r="A50" t="s">
        <v>132</v>
      </c>
      <c r="B50" s="4">
        <v>-72541</v>
      </c>
      <c r="C50" s="4">
        <v>-619245</v>
      </c>
      <c r="D50" s="4">
        <v>-1166741</v>
      </c>
    </row>
    <row r="51" spans="1:9" x14ac:dyDescent="0.25">
      <c r="A51" t="s">
        <v>133</v>
      </c>
      <c r="B51">
        <v>-96</v>
      </c>
      <c r="C51" t="s">
        <v>13</v>
      </c>
      <c r="D51" s="4">
        <v>-2953</v>
      </c>
    </row>
    <row r="52" spans="1:9" x14ac:dyDescent="0.25">
      <c r="A52" t="s">
        <v>41</v>
      </c>
      <c r="B52" s="4">
        <v>1045232</v>
      </c>
      <c r="C52" s="4">
        <v>1459390</v>
      </c>
      <c r="D52" s="4">
        <v>1141327</v>
      </c>
    </row>
    <row r="53" spans="1:9" x14ac:dyDescent="0.25">
      <c r="A53" t="s">
        <v>134</v>
      </c>
      <c r="B53" t="s">
        <v>13</v>
      </c>
      <c r="C53" t="s">
        <v>13</v>
      </c>
      <c r="D53" t="s">
        <v>13</v>
      </c>
    </row>
    <row r="54" spans="1:9" x14ac:dyDescent="0.25">
      <c r="A54" t="s">
        <v>42</v>
      </c>
      <c r="B54" s="4">
        <v>1045232</v>
      </c>
      <c r="C54" s="4">
        <v>800042</v>
      </c>
      <c r="D54" s="4">
        <v>480505</v>
      </c>
    </row>
    <row r="55" spans="1:9" x14ac:dyDescent="0.25">
      <c r="A55" t="s">
        <v>35</v>
      </c>
      <c r="B55" s="4">
        <v>2567</v>
      </c>
      <c r="C55" s="4">
        <v>19485</v>
      </c>
      <c r="D55" s="4">
        <v>34969</v>
      </c>
    </row>
    <row r="56" spans="1:9" x14ac:dyDescent="0.25">
      <c r="A56" t="s">
        <v>43</v>
      </c>
      <c r="B56" s="4">
        <v>987191</v>
      </c>
      <c r="C56" s="4">
        <v>568517</v>
      </c>
      <c r="D56" s="4">
        <v>233583</v>
      </c>
    </row>
    <row r="57" spans="1:9" x14ac:dyDescent="0.25">
      <c r="A57" t="s">
        <v>44</v>
      </c>
      <c r="B57" s="4">
        <v>987809</v>
      </c>
      <c r="C57" s="4">
        <v>1120533</v>
      </c>
      <c r="D57" s="4">
        <v>500573</v>
      </c>
    </row>
    <row r="58" spans="1:9" x14ac:dyDescent="0.25">
      <c r="A58" t="s">
        <v>45</v>
      </c>
      <c r="B58" s="4">
        <v>1045232</v>
      </c>
      <c r="C58" s="4">
        <v>659348</v>
      </c>
      <c r="D58" s="4">
        <v>1141327</v>
      </c>
    </row>
    <row r="59" spans="1:9" x14ac:dyDescent="0.25">
      <c r="A59" t="s">
        <v>46</v>
      </c>
      <c r="B59" s="4">
        <v>987191</v>
      </c>
      <c r="C59" s="4">
        <v>568517</v>
      </c>
      <c r="D59" s="4">
        <v>233583</v>
      </c>
    </row>
    <row r="60" spans="1:9" x14ac:dyDescent="0.25">
      <c r="A60" t="s">
        <v>47</v>
      </c>
      <c r="B60" s="4">
        <v>2567</v>
      </c>
      <c r="C60" s="4">
        <v>678833</v>
      </c>
      <c r="D60" s="4">
        <v>695791</v>
      </c>
    </row>
    <row r="61" spans="1:9" x14ac:dyDescent="0.25">
      <c r="A61" t="s">
        <v>135</v>
      </c>
      <c r="B61" t="s">
        <v>13</v>
      </c>
      <c r="C61" t="s">
        <v>13</v>
      </c>
      <c r="D61" t="s">
        <v>13</v>
      </c>
    </row>
    <row r="62" spans="1:9" x14ac:dyDescent="0.25">
      <c r="A62" t="s">
        <v>48</v>
      </c>
      <c r="B62" s="4">
        <v>277266</v>
      </c>
      <c r="C62" s="4">
        <v>296731</v>
      </c>
      <c r="D62" s="4">
        <v>319954</v>
      </c>
    </row>
    <row r="63" spans="1:9" x14ac:dyDescent="0.25">
      <c r="A63" t="s">
        <v>49</v>
      </c>
      <c r="B63" s="4">
        <v>277266</v>
      </c>
      <c r="C63" s="4">
        <v>296731</v>
      </c>
      <c r="D63" s="4">
        <v>319954</v>
      </c>
    </row>
    <row r="64" spans="1:9" x14ac:dyDescent="0.25">
      <c r="F64" s="5" t="s">
        <v>147</v>
      </c>
      <c r="G64" t="s">
        <v>38</v>
      </c>
      <c r="H64" t="s">
        <v>37</v>
      </c>
      <c r="I64" t="s">
        <v>36</v>
      </c>
    </row>
    <row r="65" spans="6:9" x14ac:dyDescent="0.25">
      <c r="F65" s="5" t="s">
        <v>1</v>
      </c>
      <c r="G65" s="5">
        <v>20</v>
      </c>
      <c r="H65" s="5">
        <v>106</v>
      </c>
      <c r="I65" s="5">
        <v>342</v>
      </c>
    </row>
    <row r="66" spans="6:9" x14ac:dyDescent="0.25">
      <c r="F66" s="5" t="s">
        <v>60</v>
      </c>
      <c r="G66" s="5">
        <v>0</v>
      </c>
      <c r="H66" s="5">
        <v>106</v>
      </c>
      <c r="I66" s="5">
        <v>342</v>
      </c>
    </row>
    <row r="67" spans="6:9" x14ac:dyDescent="0.25">
      <c r="F67" s="5" t="s">
        <v>2</v>
      </c>
      <c r="G67" s="5" t="s">
        <v>13</v>
      </c>
      <c r="H67" s="5">
        <v>87</v>
      </c>
      <c r="I67" s="5">
        <v>263</v>
      </c>
    </row>
    <row r="68" spans="6:9" x14ac:dyDescent="0.25">
      <c r="F68" s="5" t="s">
        <v>3</v>
      </c>
      <c r="G68" s="5" t="s">
        <v>13</v>
      </c>
      <c r="H68" s="5">
        <v>19</v>
      </c>
      <c r="I68" s="5">
        <v>79</v>
      </c>
    </row>
    <row r="69" spans="6:9" x14ac:dyDescent="0.25">
      <c r="F69" s="5" t="s">
        <v>4</v>
      </c>
      <c r="G69" s="6">
        <v>43324</v>
      </c>
      <c r="H69" s="6">
        <v>329270</v>
      </c>
      <c r="I69" s="6">
        <v>530324</v>
      </c>
    </row>
    <row r="70" spans="6:9" x14ac:dyDescent="0.25">
      <c r="F70" s="5" t="s">
        <v>137</v>
      </c>
      <c r="G70" s="6">
        <v>22272</v>
      </c>
      <c r="H70" s="6">
        <v>42413</v>
      </c>
      <c r="I70" s="6">
        <v>106417</v>
      </c>
    </row>
    <row r="71" spans="6:9" x14ac:dyDescent="0.25">
      <c r="F71" s="5" t="s">
        <v>138</v>
      </c>
      <c r="G71" s="6">
        <v>22272</v>
      </c>
      <c r="H71" s="6">
        <v>42413</v>
      </c>
      <c r="I71" s="5" t="s">
        <v>13</v>
      </c>
    </row>
    <row r="72" spans="6:9" x14ac:dyDescent="0.25">
      <c r="F72" s="5" t="s">
        <v>139</v>
      </c>
      <c r="G72" s="6">
        <v>22272</v>
      </c>
      <c r="H72" s="6">
        <v>42413</v>
      </c>
      <c r="I72" s="5" t="s">
        <v>13</v>
      </c>
    </row>
    <row r="73" spans="6:9" x14ac:dyDescent="0.25">
      <c r="F73" s="5" t="s">
        <v>140</v>
      </c>
      <c r="G73" s="6">
        <v>21052</v>
      </c>
      <c r="H73" s="6">
        <v>286857</v>
      </c>
      <c r="I73" s="6">
        <v>423907</v>
      </c>
    </row>
    <row r="74" spans="6:9" x14ac:dyDescent="0.25">
      <c r="F74" s="5" t="s">
        <v>5</v>
      </c>
      <c r="G74" s="6">
        <v>-43324</v>
      </c>
      <c r="H74" s="6">
        <v>-329251</v>
      </c>
      <c r="I74" s="6">
        <v>-530245</v>
      </c>
    </row>
    <row r="75" spans="6:9" x14ac:dyDescent="0.25">
      <c r="F75" s="5" t="s">
        <v>6</v>
      </c>
      <c r="G75" s="6">
        <v>-1610</v>
      </c>
      <c r="H75" s="6">
        <v>-5919</v>
      </c>
      <c r="I75" s="6">
        <v>-8048</v>
      </c>
    </row>
    <row r="76" spans="6:9" x14ac:dyDescent="0.25">
      <c r="F76" s="5" t="s">
        <v>141</v>
      </c>
      <c r="G76" s="5">
        <v>79</v>
      </c>
      <c r="H76" s="5">
        <v>627</v>
      </c>
      <c r="I76" s="6">
        <v>10378</v>
      </c>
    </row>
    <row r="77" spans="6:9" x14ac:dyDescent="0.25">
      <c r="F77" s="5" t="s">
        <v>142</v>
      </c>
      <c r="G77" s="6">
        <v>1610</v>
      </c>
      <c r="H77" s="6">
        <v>6546</v>
      </c>
      <c r="I77" s="6">
        <v>18426</v>
      </c>
    </row>
    <row r="78" spans="6:9" x14ac:dyDescent="0.25">
      <c r="F78" s="5" t="s">
        <v>7</v>
      </c>
      <c r="G78" s="6">
        <v>-9707</v>
      </c>
      <c r="H78" s="6">
        <v>-136172</v>
      </c>
      <c r="I78" s="6">
        <v>-9018</v>
      </c>
    </row>
    <row r="79" spans="6:9" x14ac:dyDescent="0.25">
      <c r="F79" s="5" t="s">
        <v>143</v>
      </c>
      <c r="G79" s="6">
        <v>-10053</v>
      </c>
      <c r="H79" s="6">
        <v>-135770</v>
      </c>
      <c r="I79" s="6">
        <v>-8899</v>
      </c>
    </row>
    <row r="80" spans="6:9" x14ac:dyDescent="0.25">
      <c r="F80" s="5" t="s">
        <v>144</v>
      </c>
      <c r="G80" s="5">
        <v>346</v>
      </c>
      <c r="H80" s="5">
        <v>-402</v>
      </c>
      <c r="I80" s="5">
        <v>-119</v>
      </c>
    </row>
    <row r="81" spans="6:9" x14ac:dyDescent="0.25">
      <c r="F81" s="5" t="s">
        <v>8</v>
      </c>
      <c r="G81" s="6">
        <v>-54641</v>
      </c>
      <c r="H81" s="6">
        <v>-471342</v>
      </c>
      <c r="I81" s="6">
        <v>-547311</v>
      </c>
    </row>
    <row r="82" spans="6:9" x14ac:dyDescent="0.25">
      <c r="F82" s="5" t="s">
        <v>9</v>
      </c>
      <c r="G82" s="5" t="s">
        <v>13</v>
      </c>
      <c r="H82" s="5" t="s">
        <v>13</v>
      </c>
      <c r="I82" s="5">
        <v>185</v>
      </c>
    </row>
    <row r="83" spans="6:9" x14ac:dyDescent="0.25">
      <c r="F83" s="5" t="s">
        <v>10</v>
      </c>
      <c r="G83" s="6">
        <v>-54641</v>
      </c>
      <c r="H83" s="6">
        <v>-471342</v>
      </c>
      <c r="I83" s="6">
        <v>-547496</v>
      </c>
    </row>
    <row r="84" spans="6:9" x14ac:dyDescent="0.25">
      <c r="F84" s="5" t="s">
        <v>92</v>
      </c>
      <c r="G84" s="6">
        <v>-54641</v>
      </c>
      <c r="H84" s="6">
        <v>-471342</v>
      </c>
      <c r="I84" s="6">
        <v>-547496</v>
      </c>
    </row>
    <row r="85" spans="6:9" x14ac:dyDescent="0.25">
      <c r="F85" s="5" t="s">
        <v>145</v>
      </c>
      <c r="G85" s="6">
        <v>-54641</v>
      </c>
      <c r="H85" s="6">
        <v>-471342</v>
      </c>
      <c r="I85" s="6">
        <v>-547496</v>
      </c>
    </row>
    <row r="86" spans="6:9" x14ac:dyDescent="0.25">
      <c r="F86" s="5" t="s">
        <v>146</v>
      </c>
      <c r="G86" s="6">
        <v>-54641</v>
      </c>
      <c r="H86" s="6">
        <v>-471342</v>
      </c>
      <c r="I86" s="6">
        <v>-547496</v>
      </c>
    </row>
    <row r="87" spans="6:9" x14ac:dyDescent="0.25">
      <c r="F87" s="5" t="s">
        <v>11</v>
      </c>
      <c r="G87" s="6">
        <v>-54641</v>
      </c>
      <c r="H87" s="6">
        <v>-471342</v>
      </c>
      <c r="I87" s="6">
        <v>-547496</v>
      </c>
    </row>
    <row r="88" spans="6:9" x14ac:dyDescent="0.25">
      <c r="F88" s="5" t="s">
        <v>12</v>
      </c>
      <c r="G88" s="5">
        <v>-0.96</v>
      </c>
      <c r="H88" s="5">
        <v>-1.61</v>
      </c>
      <c r="I88" s="5">
        <v>-1.8</v>
      </c>
    </row>
    <row r="89" spans="6:9" x14ac:dyDescent="0.25">
      <c r="F89" s="5" t="s">
        <v>14</v>
      </c>
      <c r="G89" s="5">
        <v>-0.96</v>
      </c>
      <c r="H89" s="5">
        <v>-1.61</v>
      </c>
      <c r="I89" s="5">
        <v>-1.8</v>
      </c>
    </row>
    <row r="90" spans="6:9" x14ac:dyDescent="0.25">
      <c r="F90" s="5" t="s">
        <v>15</v>
      </c>
      <c r="G90" s="6">
        <v>135035</v>
      </c>
      <c r="H90" s="6">
        <v>292004</v>
      </c>
      <c r="I90" s="6">
        <v>303366</v>
      </c>
    </row>
    <row r="91" spans="6:9" x14ac:dyDescent="0.25">
      <c r="F91" s="5" t="s">
        <v>16</v>
      </c>
      <c r="G91" s="6">
        <v>135035</v>
      </c>
      <c r="H91" s="6">
        <v>292004</v>
      </c>
      <c r="I91" s="6">
        <v>303366</v>
      </c>
    </row>
    <row r="92" spans="6:9" x14ac:dyDescent="0.25">
      <c r="F92" s="5" t="s">
        <v>17</v>
      </c>
      <c r="G92" s="6">
        <v>-43324</v>
      </c>
      <c r="H92" s="6">
        <v>-329251</v>
      </c>
      <c r="I92" s="6">
        <v>-530245</v>
      </c>
    </row>
    <row r="93" spans="6:9" x14ac:dyDescent="0.25">
      <c r="F93" s="5" t="s">
        <v>18</v>
      </c>
      <c r="G93" s="6">
        <v>43324</v>
      </c>
      <c r="H93" s="6">
        <v>329357</v>
      </c>
      <c r="I93" s="6">
        <v>530587</v>
      </c>
    </row>
    <row r="94" spans="6:9" x14ac:dyDescent="0.25">
      <c r="F94" s="5" t="s">
        <v>19</v>
      </c>
      <c r="G94" s="6">
        <v>-54641</v>
      </c>
      <c r="H94" s="6">
        <v>-471342</v>
      </c>
      <c r="I94" s="6">
        <v>-547496</v>
      </c>
    </row>
    <row r="95" spans="6:9" x14ac:dyDescent="0.25">
      <c r="F95" s="5" t="s">
        <v>20</v>
      </c>
      <c r="G95" s="6">
        <v>-44588</v>
      </c>
      <c r="H95" s="6">
        <v>-335572</v>
      </c>
      <c r="I95" s="6">
        <v>-538597</v>
      </c>
    </row>
    <row r="96" spans="6:9" x14ac:dyDescent="0.25">
      <c r="F96" s="5" t="s">
        <v>21</v>
      </c>
      <c r="G96" s="5">
        <v>79</v>
      </c>
      <c r="H96" s="5">
        <v>627</v>
      </c>
      <c r="I96" s="6">
        <v>10378</v>
      </c>
    </row>
    <row r="97" spans="6:9" x14ac:dyDescent="0.25">
      <c r="F97" s="5" t="s">
        <v>22</v>
      </c>
      <c r="G97" s="6">
        <v>1610</v>
      </c>
      <c r="H97" s="6">
        <v>6546</v>
      </c>
      <c r="I97" s="6">
        <v>18426</v>
      </c>
    </row>
    <row r="98" spans="6:9" x14ac:dyDescent="0.25">
      <c r="F98" s="5" t="s">
        <v>23</v>
      </c>
      <c r="G98" s="6">
        <v>-1610</v>
      </c>
      <c r="H98" s="6">
        <v>-5919</v>
      </c>
      <c r="I98" s="6">
        <v>-8048</v>
      </c>
    </row>
    <row r="99" spans="6:9" x14ac:dyDescent="0.25">
      <c r="F99" s="5" t="s">
        <v>24</v>
      </c>
      <c r="G99" s="6">
        <v>-53031</v>
      </c>
      <c r="H99" s="6">
        <v>-464796</v>
      </c>
      <c r="I99" s="6">
        <f>I98+I109</f>
        <v>-2587</v>
      </c>
    </row>
    <row r="100" spans="6:9" x14ac:dyDescent="0.25">
      <c r="F100" s="5" t="s">
        <v>25</v>
      </c>
      <c r="G100" s="6">
        <f>G99+G109</f>
        <v>-52954</v>
      </c>
      <c r="H100" s="6">
        <f t="shared" ref="H100:I100" si="2">H99+H109</f>
        <v>-464097</v>
      </c>
      <c r="I100" s="6">
        <f t="shared" si="2"/>
        <v>2874</v>
      </c>
    </row>
    <row r="101" spans="6:9" x14ac:dyDescent="0.25">
      <c r="F101" s="5" t="s">
        <v>26</v>
      </c>
      <c r="G101" s="5" t="s">
        <v>13</v>
      </c>
      <c r="H101" s="5">
        <v>87</v>
      </c>
      <c r="I101" s="5">
        <v>263</v>
      </c>
    </row>
    <row r="102" spans="6:9" x14ac:dyDescent="0.25">
      <c r="F102" s="5" t="s">
        <v>27</v>
      </c>
      <c r="G102" s="5">
        <v>77</v>
      </c>
      <c r="H102" s="5">
        <v>699</v>
      </c>
      <c r="I102" s="6">
        <v>11748</v>
      </c>
    </row>
    <row r="103" spans="6:9" x14ac:dyDescent="0.25">
      <c r="F103" s="5" t="s">
        <v>28</v>
      </c>
      <c r="G103" s="6">
        <v>-54641</v>
      </c>
      <c r="H103" s="6">
        <v>-471342</v>
      </c>
      <c r="I103" s="6">
        <v>-547496</v>
      </c>
    </row>
    <row r="104" spans="6:9" x14ac:dyDescent="0.25">
      <c r="F104" s="5" t="s">
        <v>29</v>
      </c>
      <c r="G104" s="6">
        <v>-10053</v>
      </c>
      <c r="H104" s="6">
        <v>-135770</v>
      </c>
      <c r="I104" s="6">
        <v>-8899</v>
      </c>
    </row>
    <row r="105" spans="6:9" x14ac:dyDescent="0.25">
      <c r="F105" s="5" t="s">
        <v>30</v>
      </c>
      <c r="G105" s="6">
        <v>-10053</v>
      </c>
      <c r="H105" s="6">
        <v>-135770</v>
      </c>
      <c r="I105" s="6">
        <v>-8899</v>
      </c>
    </row>
    <row r="106" spans="6:9" x14ac:dyDescent="0.25">
      <c r="F106" s="5" t="s">
        <v>31</v>
      </c>
      <c r="G106" s="6">
        <v>-42901</v>
      </c>
      <c r="H106" s="6">
        <v>-328327</v>
      </c>
      <c r="I106" s="6">
        <v>-508238</v>
      </c>
    </row>
    <row r="107" spans="6:9" x14ac:dyDescent="0.25">
      <c r="F107" s="5" t="s">
        <v>32</v>
      </c>
      <c r="G107" s="5">
        <v>0</v>
      </c>
      <c r="H107" s="5">
        <v>0</v>
      </c>
      <c r="I107" s="5">
        <v>0</v>
      </c>
    </row>
    <row r="108" spans="6:9" x14ac:dyDescent="0.25">
      <c r="F108" s="5" t="s">
        <v>33</v>
      </c>
      <c r="G108" s="5">
        <v>0</v>
      </c>
      <c r="H108" s="5">
        <v>0</v>
      </c>
      <c r="I108" s="5">
        <v>0</v>
      </c>
    </row>
    <row r="109" spans="6:9" x14ac:dyDescent="0.25">
      <c r="F109" t="s">
        <v>148</v>
      </c>
      <c r="G109">
        <v>77</v>
      </c>
      <c r="H109">
        <v>699</v>
      </c>
      <c r="I109" s="4">
        <v>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3"/>
  <sheetViews>
    <sheetView topLeftCell="A37" workbookViewId="0">
      <selection activeCell="F36" sqref="F36"/>
    </sheetView>
  </sheetViews>
  <sheetFormatPr defaultRowHeight="15" x14ac:dyDescent="0.25"/>
  <cols>
    <col min="1" max="1" width="39.42578125" customWidth="1"/>
    <col min="2" max="2" width="19.85546875" customWidth="1"/>
    <col min="3" max="3" width="15" customWidth="1"/>
    <col min="4" max="4" width="15.7109375" customWidth="1"/>
    <col min="10" max="10" width="16.28515625" customWidth="1"/>
    <col min="11" max="11" width="10.140625" bestFit="1" customWidth="1"/>
    <col min="13" max="13" width="13" customWidth="1"/>
  </cols>
  <sheetData>
    <row r="1" spans="1:4" x14ac:dyDescent="0.25">
      <c r="A1" t="s">
        <v>211</v>
      </c>
      <c r="B1" t="s">
        <v>38</v>
      </c>
      <c r="C1" t="s">
        <v>37</v>
      </c>
      <c r="D1" t="s">
        <v>36</v>
      </c>
    </row>
    <row r="2" spans="1:4" x14ac:dyDescent="0.25">
      <c r="A2" t="s">
        <v>34</v>
      </c>
      <c r="B2" s="4">
        <v>1402681</v>
      </c>
      <c r="C2" s="4">
        <v>7881713</v>
      </c>
      <c r="D2" s="4">
        <v>7879238</v>
      </c>
    </row>
    <row r="3" spans="1:4" x14ac:dyDescent="0.25">
      <c r="A3" t="s">
        <v>50</v>
      </c>
      <c r="B3" s="4">
        <v>662556</v>
      </c>
      <c r="C3" s="4">
        <v>6506977</v>
      </c>
      <c r="D3" s="4">
        <v>4912028</v>
      </c>
    </row>
    <row r="4" spans="1:4" x14ac:dyDescent="0.25">
      <c r="A4" t="s">
        <v>51</v>
      </c>
      <c r="B4" s="4">
        <v>614917</v>
      </c>
      <c r="C4" s="4">
        <v>6262905</v>
      </c>
      <c r="D4" s="4">
        <v>3912996</v>
      </c>
    </row>
    <row r="5" spans="1:4" x14ac:dyDescent="0.25">
      <c r="A5" t="s">
        <v>97</v>
      </c>
      <c r="B5" s="4">
        <v>614412</v>
      </c>
      <c r="C5" s="4">
        <v>6262905</v>
      </c>
      <c r="D5" s="4">
        <v>1735765</v>
      </c>
    </row>
    <row r="6" spans="1:4" x14ac:dyDescent="0.25">
      <c r="A6" t="s">
        <v>200</v>
      </c>
      <c r="B6" s="4">
        <v>614412</v>
      </c>
      <c r="C6" s="4">
        <v>6262905</v>
      </c>
      <c r="D6" t="s">
        <v>13</v>
      </c>
    </row>
    <row r="7" spans="1:4" x14ac:dyDescent="0.25">
      <c r="A7" t="s">
        <v>201</v>
      </c>
      <c r="B7" t="s">
        <v>13</v>
      </c>
      <c r="C7" t="s">
        <v>13</v>
      </c>
      <c r="D7" s="4">
        <v>1735765</v>
      </c>
    </row>
    <row r="8" spans="1:4" x14ac:dyDescent="0.25">
      <c r="A8" t="s">
        <v>98</v>
      </c>
      <c r="B8">
        <v>505</v>
      </c>
      <c r="C8">
        <v>0</v>
      </c>
      <c r="D8" s="4">
        <v>2177231</v>
      </c>
    </row>
    <row r="9" spans="1:4" x14ac:dyDescent="0.25">
      <c r="A9" t="s">
        <v>52</v>
      </c>
      <c r="B9">
        <v>260</v>
      </c>
      <c r="C9" s="4">
        <v>3148</v>
      </c>
      <c r="D9" s="4">
        <v>19542</v>
      </c>
    </row>
    <row r="10" spans="1:4" x14ac:dyDescent="0.25">
      <c r="A10" t="s">
        <v>177</v>
      </c>
      <c r="B10">
        <v>260</v>
      </c>
      <c r="C10" s="4">
        <v>3148</v>
      </c>
      <c r="D10" s="4">
        <v>19542</v>
      </c>
    </row>
    <row r="11" spans="1:4" x14ac:dyDescent="0.25">
      <c r="A11" t="s">
        <v>53</v>
      </c>
      <c r="B11" s="4">
        <v>1043</v>
      </c>
      <c r="C11" s="4">
        <v>127250</v>
      </c>
      <c r="D11" s="4">
        <v>834401</v>
      </c>
    </row>
    <row r="12" spans="1:4" x14ac:dyDescent="0.25">
      <c r="A12" t="s">
        <v>178</v>
      </c>
      <c r="B12">
        <v>661</v>
      </c>
      <c r="C12" s="4">
        <v>87646</v>
      </c>
      <c r="D12" s="4">
        <v>464731</v>
      </c>
    </row>
    <row r="13" spans="1:4" x14ac:dyDescent="0.25">
      <c r="A13" t="s">
        <v>179</v>
      </c>
      <c r="B13">
        <v>70</v>
      </c>
      <c r="C13" s="4">
        <v>30641</v>
      </c>
      <c r="D13" s="4">
        <v>34311</v>
      </c>
    </row>
    <row r="14" spans="1:4" x14ac:dyDescent="0.25">
      <c r="A14" t="s">
        <v>180</v>
      </c>
      <c r="B14">
        <v>312</v>
      </c>
      <c r="C14" s="4">
        <v>8963</v>
      </c>
      <c r="D14" s="4">
        <v>335359</v>
      </c>
    </row>
    <row r="15" spans="1:4" x14ac:dyDescent="0.25">
      <c r="A15" t="s">
        <v>101</v>
      </c>
      <c r="B15" s="4">
        <v>21840</v>
      </c>
      <c r="C15" s="4">
        <v>70346</v>
      </c>
      <c r="D15" s="4">
        <v>63548</v>
      </c>
    </row>
    <row r="16" spans="1:4" x14ac:dyDescent="0.25">
      <c r="A16" t="s">
        <v>54</v>
      </c>
      <c r="B16" s="4">
        <v>24496</v>
      </c>
      <c r="C16" s="4">
        <v>43328</v>
      </c>
      <c r="D16" s="4">
        <v>81541</v>
      </c>
    </row>
    <row r="17" spans="1:13" x14ac:dyDescent="0.25">
      <c r="A17" t="s">
        <v>55</v>
      </c>
      <c r="B17" s="4">
        <v>740125</v>
      </c>
      <c r="C17" s="4">
        <v>1374736</v>
      </c>
      <c r="D17" s="4">
        <v>2967210</v>
      </c>
      <c r="J17" s="1" t="s">
        <v>219</v>
      </c>
      <c r="K17" s="1" t="s">
        <v>38</v>
      </c>
      <c r="L17" s="1" t="s">
        <v>37</v>
      </c>
      <c r="M17" s="1" t="s">
        <v>36</v>
      </c>
    </row>
    <row r="18" spans="1:13" x14ac:dyDescent="0.25">
      <c r="A18" t="s">
        <v>96</v>
      </c>
      <c r="B18" s="4">
        <v>713274</v>
      </c>
      <c r="C18" s="4">
        <v>1344127</v>
      </c>
      <c r="D18" s="4">
        <v>2381936</v>
      </c>
      <c r="J18" s="2" t="s">
        <v>149</v>
      </c>
      <c r="K18" s="3">
        <f>B62+B56+B48+B33+B46-B5</f>
        <v>3211892</v>
      </c>
      <c r="L18" s="3">
        <f t="shared" ref="L18:M18" si="0">C62+C56+C48+C33+C46-C5</f>
        <v>9168647</v>
      </c>
      <c r="M18" s="3">
        <f t="shared" si="0"/>
        <v>12719131</v>
      </c>
    </row>
    <row r="19" spans="1:13" x14ac:dyDescent="0.25">
      <c r="A19" t="s">
        <v>102</v>
      </c>
      <c r="B19" s="4">
        <v>738045</v>
      </c>
      <c r="C19" s="4">
        <v>1344127</v>
      </c>
      <c r="D19" s="4">
        <v>2381936</v>
      </c>
      <c r="J19" s="1" t="s">
        <v>150</v>
      </c>
      <c r="K19" s="1">
        <f>K18/B78</f>
        <v>807.81991951710256</v>
      </c>
      <c r="L19" s="1">
        <f t="shared" ref="L19:M19" si="1">L18/C78</f>
        <v>338.18918520157871</v>
      </c>
      <c r="M19" s="1">
        <f t="shared" si="1"/>
        <v>20.913397491865087</v>
      </c>
    </row>
    <row r="20" spans="1:13" x14ac:dyDescent="0.25">
      <c r="A20" t="s">
        <v>103</v>
      </c>
      <c r="B20">
        <v>0</v>
      </c>
      <c r="C20">
        <v>0</v>
      </c>
      <c r="D20">
        <v>0</v>
      </c>
      <c r="J20" s="1" t="s">
        <v>151</v>
      </c>
      <c r="K20" s="1">
        <f>K18/B114</f>
        <v>-4.5283390221447739</v>
      </c>
      <c r="L20" s="1">
        <f t="shared" ref="L20:M20" si="2">L18/C114</f>
        <v>-3.6449606449153245</v>
      </c>
      <c r="M20" s="1">
        <f t="shared" si="2"/>
        <v>-11.702187501725087</v>
      </c>
    </row>
    <row r="21" spans="1:13" x14ac:dyDescent="0.25">
      <c r="A21" t="s">
        <v>183</v>
      </c>
      <c r="B21" s="4">
        <v>1050</v>
      </c>
      <c r="C21" s="4">
        <v>1050</v>
      </c>
      <c r="D21" s="4">
        <v>64677</v>
      </c>
      <c r="J21" s="1" t="s">
        <v>152</v>
      </c>
      <c r="K21" s="1">
        <f>B62/B96</f>
        <v>-1.6337665767744447</v>
      </c>
      <c r="L21" s="1">
        <f t="shared" ref="L21:M21" si="3">C62/C96</f>
        <v>-2.2855396294462937</v>
      </c>
      <c r="M21" s="1">
        <f t="shared" si="3"/>
        <v>-4.8614300170185363</v>
      </c>
    </row>
    <row r="22" spans="1:13" x14ac:dyDescent="0.25">
      <c r="A22" t="s">
        <v>202</v>
      </c>
      <c r="B22">
        <v>0</v>
      </c>
      <c r="C22" s="4">
        <v>195952</v>
      </c>
      <c r="D22" s="4">
        <v>197406</v>
      </c>
    </row>
    <row r="23" spans="1:13" x14ac:dyDescent="0.25">
      <c r="A23" t="s">
        <v>104</v>
      </c>
      <c r="B23" s="4">
        <v>49049</v>
      </c>
      <c r="C23" s="4">
        <v>645111</v>
      </c>
      <c r="D23" s="4">
        <v>819708</v>
      </c>
    </row>
    <row r="24" spans="1:13" x14ac:dyDescent="0.25">
      <c r="A24" t="s">
        <v>105</v>
      </c>
      <c r="B24" s="4">
        <v>3908</v>
      </c>
      <c r="C24" s="4">
        <v>1344127</v>
      </c>
      <c r="D24" s="4">
        <v>2381936</v>
      </c>
    </row>
    <row r="25" spans="1:13" x14ac:dyDescent="0.25">
      <c r="A25" t="s">
        <v>106</v>
      </c>
      <c r="B25" s="4">
        <v>636851</v>
      </c>
      <c r="C25" s="4">
        <v>276919</v>
      </c>
      <c r="D25" s="4">
        <v>1077179</v>
      </c>
    </row>
    <row r="26" spans="1:13" x14ac:dyDescent="0.25">
      <c r="A26" t="s">
        <v>107</v>
      </c>
      <c r="B26" s="4">
        <v>47187</v>
      </c>
      <c r="C26" s="4">
        <v>135533</v>
      </c>
      <c r="D26" s="4">
        <v>182904</v>
      </c>
    </row>
    <row r="27" spans="1:13" x14ac:dyDescent="0.25">
      <c r="A27" t="s">
        <v>93</v>
      </c>
      <c r="B27" s="4">
        <v>-24771</v>
      </c>
      <c r="C27" s="4">
        <v>-86013</v>
      </c>
      <c r="D27" s="4">
        <v>-273090</v>
      </c>
    </row>
    <row r="28" spans="1:13" x14ac:dyDescent="0.25">
      <c r="A28" t="s">
        <v>203</v>
      </c>
      <c r="B28" t="s">
        <v>13</v>
      </c>
      <c r="C28" t="s">
        <v>13</v>
      </c>
      <c r="D28" s="4">
        <v>529974</v>
      </c>
    </row>
    <row r="29" spans="1:13" x14ac:dyDescent="0.25">
      <c r="A29" t="s">
        <v>204</v>
      </c>
      <c r="B29" t="s">
        <v>13</v>
      </c>
      <c r="C29" t="s">
        <v>13</v>
      </c>
      <c r="D29" s="4">
        <v>529974</v>
      </c>
    </row>
    <row r="30" spans="1:13" x14ac:dyDescent="0.25">
      <c r="A30" t="s">
        <v>205</v>
      </c>
      <c r="B30" t="s">
        <v>13</v>
      </c>
      <c r="C30" t="s">
        <v>13</v>
      </c>
      <c r="D30" s="4">
        <v>281578</v>
      </c>
    </row>
    <row r="31" spans="1:13" x14ac:dyDescent="0.25">
      <c r="A31" t="s">
        <v>206</v>
      </c>
      <c r="B31" t="s">
        <v>13</v>
      </c>
      <c r="C31" t="s">
        <v>13</v>
      </c>
      <c r="D31" s="4">
        <v>248396</v>
      </c>
    </row>
    <row r="32" spans="1:13" x14ac:dyDescent="0.25">
      <c r="A32" t="s">
        <v>110</v>
      </c>
      <c r="B32" s="4">
        <v>26851</v>
      </c>
      <c r="C32" s="4">
        <v>30609</v>
      </c>
      <c r="D32" s="4">
        <v>55300</v>
      </c>
    </row>
    <row r="33" spans="1:4" x14ac:dyDescent="0.25">
      <c r="A33" t="s">
        <v>39</v>
      </c>
      <c r="B33" s="4">
        <v>227382</v>
      </c>
      <c r="C33" s="4">
        <v>3972358</v>
      </c>
      <c r="D33" s="4">
        <v>3529537</v>
      </c>
    </row>
    <row r="34" spans="1:4" x14ac:dyDescent="0.25">
      <c r="A34" t="s">
        <v>56</v>
      </c>
      <c r="B34" s="4">
        <v>185283</v>
      </c>
      <c r="C34" s="4">
        <v>396101</v>
      </c>
      <c r="D34" s="4">
        <v>937559</v>
      </c>
    </row>
    <row r="35" spans="1:4" x14ac:dyDescent="0.25">
      <c r="A35" t="s">
        <v>111</v>
      </c>
      <c r="B35" s="4">
        <v>75048</v>
      </c>
      <c r="C35" s="4">
        <v>41342</v>
      </c>
      <c r="D35" s="4">
        <v>229084</v>
      </c>
    </row>
    <row r="36" spans="1:4" x14ac:dyDescent="0.25">
      <c r="A36" t="s">
        <v>112</v>
      </c>
      <c r="B36" s="4">
        <v>17333</v>
      </c>
      <c r="C36" s="4">
        <v>41342</v>
      </c>
      <c r="D36" s="4">
        <v>229084</v>
      </c>
    </row>
    <row r="37" spans="1:4" x14ac:dyDescent="0.25">
      <c r="A37" t="s">
        <v>113</v>
      </c>
      <c r="B37" s="4">
        <v>17333</v>
      </c>
      <c r="C37" s="4">
        <v>41342</v>
      </c>
      <c r="D37" s="4">
        <v>229084</v>
      </c>
    </row>
    <row r="38" spans="1:4" x14ac:dyDescent="0.25">
      <c r="A38" t="s">
        <v>114</v>
      </c>
      <c r="B38" s="4">
        <v>57715</v>
      </c>
      <c r="C38" s="4">
        <v>63690</v>
      </c>
      <c r="D38" s="4">
        <v>229898</v>
      </c>
    </row>
    <row r="39" spans="1:4" x14ac:dyDescent="0.25">
      <c r="A39" t="s">
        <v>207</v>
      </c>
      <c r="B39" s="4">
        <v>16197</v>
      </c>
      <c r="C39" s="4">
        <v>32364</v>
      </c>
      <c r="D39" s="4">
        <v>63322</v>
      </c>
    </row>
    <row r="40" spans="1:4" x14ac:dyDescent="0.25">
      <c r="A40" t="s">
        <v>116</v>
      </c>
      <c r="B40">
        <v>980</v>
      </c>
      <c r="C40" s="4">
        <v>4183</v>
      </c>
      <c r="D40" s="4">
        <v>10586</v>
      </c>
    </row>
    <row r="41" spans="1:4" x14ac:dyDescent="0.25">
      <c r="A41" t="s">
        <v>117</v>
      </c>
      <c r="B41">
        <v>980</v>
      </c>
      <c r="C41" s="4">
        <v>15281</v>
      </c>
      <c r="D41" s="4">
        <v>9595</v>
      </c>
    </row>
    <row r="42" spans="1:4" x14ac:dyDescent="0.25">
      <c r="A42" t="s">
        <v>118</v>
      </c>
      <c r="B42">
        <v>980</v>
      </c>
      <c r="C42" s="4">
        <v>15281</v>
      </c>
      <c r="D42" t="s">
        <v>13</v>
      </c>
    </row>
    <row r="43" spans="1:4" x14ac:dyDescent="0.25">
      <c r="A43" t="s">
        <v>208</v>
      </c>
      <c r="B43" t="s">
        <v>13</v>
      </c>
      <c r="C43" t="s">
        <v>13</v>
      </c>
      <c r="D43" s="4">
        <v>9595</v>
      </c>
    </row>
    <row r="44" spans="1:4" x14ac:dyDescent="0.25">
      <c r="A44" t="s">
        <v>119</v>
      </c>
      <c r="B44">
        <v>0</v>
      </c>
      <c r="C44" s="4">
        <v>4183</v>
      </c>
      <c r="D44" s="4">
        <v>10586</v>
      </c>
    </row>
    <row r="45" spans="1:4" x14ac:dyDescent="0.25">
      <c r="A45" t="s">
        <v>120</v>
      </c>
      <c r="B45" s="4">
        <v>93058</v>
      </c>
      <c r="C45" s="4">
        <v>318212</v>
      </c>
      <c r="D45" s="4">
        <v>634567</v>
      </c>
    </row>
    <row r="46" spans="1:4" x14ac:dyDescent="0.25">
      <c r="A46" t="s">
        <v>57</v>
      </c>
      <c r="B46" s="4">
        <v>42099</v>
      </c>
      <c r="C46" s="4">
        <v>3576257</v>
      </c>
      <c r="D46" s="4">
        <v>2591978</v>
      </c>
    </row>
    <row r="47" spans="1:4" x14ac:dyDescent="0.25">
      <c r="A47" t="s">
        <v>121</v>
      </c>
      <c r="B47">
        <v>0</v>
      </c>
      <c r="C47" s="4">
        <v>1992874</v>
      </c>
      <c r="D47" s="4">
        <v>2073176</v>
      </c>
    </row>
    <row r="48" spans="1:4" x14ac:dyDescent="0.25">
      <c r="A48" t="s">
        <v>122</v>
      </c>
      <c r="B48">
        <v>-112552</v>
      </c>
      <c r="C48" s="4">
        <v>1986791</v>
      </c>
      <c r="D48" s="4">
        <v>1991840</v>
      </c>
    </row>
    <row r="49" spans="1:4" x14ac:dyDescent="0.25">
      <c r="A49" t="s">
        <v>123</v>
      </c>
      <c r="B49">
        <v>0</v>
      </c>
      <c r="C49" s="4">
        <v>6083</v>
      </c>
      <c r="D49" s="4">
        <v>81336</v>
      </c>
    </row>
    <row r="50" spans="1:4" x14ac:dyDescent="0.25">
      <c r="A50" t="s">
        <v>124</v>
      </c>
      <c r="B50" s="4">
        <v>28881</v>
      </c>
      <c r="C50">
        <v>0</v>
      </c>
      <c r="D50" t="s">
        <v>13</v>
      </c>
    </row>
    <row r="51" spans="1:4" x14ac:dyDescent="0.25">
      <c r="A51" t="s">
        <v>126</v>
      </c>
      <c r="B51" s="4">
        <v>2960</v>
      </c>
      <c r="C51" s="4">
        <v>1394808</v>
      </c>
      <c r="D51" s="4">
        <v>140590</v>
      </c>
    </row>
    <row r="52" spans="1:4" x14ac:dyDescent="0.25">
      <c r="A52" t="s">
        <v>127</v>
      </c>
      <c r="B52" s="4">
        <v>10258</v>
      </c>
      <c r="C52" s="4">
        <v>188575</v>
      </c>
      <c r="D52" s="4">
        <v>378212</v>
      </c>
    </row>
    <row r="53" spans="1:4" x14ac:dyDescent="0.25">
      <c r="A53" t="s">
        <v>40</v>
      </c>
      <c r="B53" s="4">
        <v>1175299</v>
      </c>
      <c r="C53" s="4">
        <v>3909355</v>
      </c>
      <c r="D53" s="4">
        <v>4349701</v>
      </c>
    </row>
    <row r="54" spans="1:4" x14ac:dyDescent="0.25">
      <c r="A54" t="s">
        <v>58</v>
      </c>
      <c r="B54" s="4">
        <v>1175299</v>
      </c>
      <c r="C54" s="4">
        <v>3909355</v>
      </c>
      <c r="D54" s="4">
        <v>4349701</v>
      </c>
    </row>
    <row r="55" spans="1:4" x14ac:dyDescent="0.25">
      <c r="A55" t="s">
        <v>128</v>
      </c>
      <c r="B55" s="4">
        <v>2494079</v>
      </c>
      <c r="C55">
        <v>165</v>
      </c>
      <c r="D55">
        <v>183</v>
      </c>
    </row>
    <row r="56" spans="1:4" x14ac:dyDescent="0.25">
      <c r="A56" t="s">
        <v>129</v>
      </c>
      <c r="B56" s="4">
        <v>2494076</v>
      </c>
      <c r="C56">
        <v>0</v>
      </c>
      <c r="D56">
        <v>0</v>
      </c>
    </row>
    <row r="57" spans="1:4" x14ac:dyDescent="0.25">
      <c r="A57" t="s">
        <v>130</v>
      </c>
      <c r="B57">
        <v>3</v>
      </c>
      <c r="C57">
        <v>165</v>
      </c>
      <c r="D57">
        <v>183</v>
      </c>
    </row>
    <row r="58" spans="1:4" x14ac:dyDescent="0.25">
      <c r="A58" t="s">
        <v>131</v>
      </c>
      <c r="B58" s="4">
        <v>38113</v>
      </c>
      <c r="C58" s="4">
        <v>9995778</v>
      </c>
      <c r="D58" s="4">
        <v>11752138</v>
      </c>
    </row>
    <row r="59" spans="1:4" x14ac:dyDescent="0.25">
      <c r="A59" t="s">
        <v>132</v>
      </c>
      <c r="B59" s="4">
        <v>-1356893</v>
      </c>
      <c r="C59" s="4">
        <v>-6065872</v>
      </c>
      <c r="D59" s="4">
        <v>-7370332</v>
      </c>
    </row>
    <row r="60" spans="1:4" x14ac:dyDescent="0.25">
      <c r="A60" t="s">
        <v>209</v>
      </c>
      <c r="B60">
        <v>0</v>
      </c>
      <c r="C60" s="4">
        <v>20716</v>
      </c>
      <c r="D60" s="4">
        <v>20716</v>
      </c>
    </row>
    <row r="61" spans="1:4" x14ac:dyDescent="0.25">
      <c r="A61" t="s">
        <v>195</v>
      </c>
      <c r="B61" t="s">
        <v>13</v>
      </c>
      <c r="C61" t="s">
        <v>13</v>
      </c>
      <c r="D61" s="4">
        <v>-11572</v>
      </c>
    </row>
    <row r="62" spans="1:4" x14ac:dyDescent="0.25">
      <c r="A62" t="s">
        <v>41</v>
      </c>
      <c r="B62" s="4">
        <v>1175299</v>
      </c>
      <c r="C62" s="4">
        <v>5896146</v>
      </c>
      <c r="D62" s="4">
        <v>6341541</v>
      </c>
    </row>
    <row r="63" spans="1:4" x14ac:dyDescent="0.25">
      <c r="A63" t="s">
        <v>134</v>
      </c>
      <c r="B63" s="4">
        <v>2494076</v>
      </c>
      <c r="C63" t="s">
        <v>13</v>
      </c>
      <c r="D63" t="s">
        <v>13</v>
      </c>
    </row>
    <row r="64" spans="1:4" x14ac:dyDescent="0.25">
      <c r="A64" t="s">
        <v>42</v>
      </c>
      <c r="B64" s="4">
        <v>-1318777</v>
      </c>
      <c r="C64" s="4">
        <v>3909355</v>
      </c>
      <c r="D64" s="4">
        <v>4349701</v>
      </c>
    </row>
    <row r="65" spans="1:4" x14ac:dyDescent="0.25">
      <c r="A65" t="s">
        <v>35</v>
      </c>
      <c r="B65">
        <v>0</v>
      </c>
      <c r="C65" s="4">
        <v>10266</v>
      </c>
      <c r="D65" s="4">
        <v>91922</v>
      </c>
    </row>
    <row r="66" spans="1:4" x14ac:dyDescent="0.25">
      <c r="A66" t="s">
        <v>43</v>
      </c>
      <c r="B66" s="4">
        <v>1175299</v>
      </c>
      <c r="C66" s="4">
        <v>3909355</v>
      </c>
      <c r="D66" s="4">
        <v>4349701</v>
      </c>
    </row>
    <row r="67" spans="1:4" x14ac:dyDescent="0.25">
      <c r="A67" t="s">
        <v>44</v>
      </c>
      <c r="B67" s="4">
        <v>477273</v>
      </c>
      <c r="C67" s="4">
        <v>6110876</v>
      </c>
      <c r="D67" s="4">
        <v>3974469</v>
      </c>
    </row>
    <row r="68" spans="1:4" x14ac:dyDescent="0.25">
      <c r="A68" t="s">
        <v>45</v>
      </c>
      <c r="B68" s="4">
        <v>-1317797</v>
      </c>
      <c r="C68" s="4">
        <v>5896146</v>
      </c>
      <c r="D68" s="4">
        <v>6341541</v>
      </c>
    </row>
    <row r="69" spans="1:4" x14ac:dyDescent="0.25">
      <c r="A69" t="s">
        <v>46</v>
      </c>
      <c r="B69" s="4">
        <v>-1318777</v>
      </c>
      <c r="C69" s="4">
        <v>3909355</v>
      </c>
      <c r="D69" s="4">
        <v>4349701</v>
      </c>
    </row>
    <row r="70" spans="1:4" x14ac:dyDescent="0.25">
      <c r="A70" t="s">
        <v>47</v>
      </c>
      <c r="B70">
        <v>980</v>
      </c>
      <c r="C70" s="4">
        <v>1997057</v>
      </c>
      <c r="D70" s="4">
        <v>2083762</v>
      </c>
    </row>
    <row r="71" spans="1:4" x14ac:dyDescent="0.25">
      <c r="A71" t="s">
        <v>135</v>
      </c>
      <c r="B71" t="s">
        <v>13</v>
      </c>
      <c r="C71" t="s">
        <v>13</v>
      </c>
      <c r="D71" s="4">
        <v>256075</v>
      </c>
    </row>
    <row r="72" spans="1:4" x14ac:dyDescent="0.25">
      <c r="A72" t="s">
        <v>48</v>
      </c>
      <c r="B72" s="4">
        <v>1618622</v>
      </c>
      <c r="C72" s="4">
        <v>1648413</v>
      </c>
      <c r="D72" s="4">
        <v>1830173</v>
      </c>
    </row>
    <row r="73" spans="1:4" x14ac:dyDescent="0.25">
      <c r="A73" t="s">
        <v>49</v>
      </c>
      <c r="B73" s="4">
        <v>1618622</v>
      </c>
      <c r="C73" s="4">
        <v>1647556</v>
      </c>
      <c r="D73" s="4">
        <v>1829315</v>
      </c>
    </row>
    <row r="74" spans="1:4" x14ac:dyDescent="0.25">
      <c r="A74" t="s">
        <v>210</v>
      </c>
      <c r="B74" t="s">
        <v>13</v>
      </c>
      <c r="C74">
        <v>857.82500000000005</v>
      </c>
      <c r="D74">
        <v>857.82500000000005</v>
      </c>
    </row>
    <row r="76" spans="1:4" x14ac:dyDescent="0.25">
      <c r="A76" s="7" t="s">
        <v>212</v>
      </c>
    </row>
    <row r="77" spans="1:4" x14ac:dyDescent="0.25">
      <c r="A77" s="5" t="s">
        <v>215</v>
      </c>
      <c r="B77" t="s">
        <v>38</v>
      </c>
      <c r="C77" t="s">
        <v>37</v>
      </c>
      <c r="D77" t="s">
        <v>36</v>
      </c>
    </row>
    <row r="78" spans="1:4" x14ac:dyDescent="0.25">
      <c r="A78" s="5" t="s">
        <v>1</v>
      </c>
      <c r="B78" s="6">
        <v>3976</v>
      </c>
      <c r="C78" s="6">
        <v>27111</v>
      </c>
      <c r="D78" s="6">
        <v>608181</v>
      </c>
    </row>
    <row r="79" spans="1:4" x14ac:dyDescent="0.25">
      <c r="A79" s="5" t="s">
        <v>60</v>
      </c>
      <c r="B79" s="6">
        <v>3976</v>
      </c>
      <c r="C79" s="6">
        <v>27111</v>
      </c>
      <c r="D79" s="6">
        <v>608181</v>
      </c>
    </row>
    <row r="80" spans="1:4" x14ac:dyDescent="0.25">
      <c r="A80" s="5" t="s">
        <v>2</v>
      </c>
      <c r="B80" s="6">
        <v>3070</v>
      </c>
      <c r="C80" s="6">
        <v>154897</v>
      </c>
      <c r="D80" s="6">
        <v>1646086</v>
      </c>
    </row>
    <row r="81" spans="1:4" x14ac:dyDescent="0.25">
      <c r="A81" s="5" t="s">
        <v>3</v>
      </c>
      <c r="B81" s="5">
        <v>906</v>
      </c>
      <c r="C81" s="6">
        <v>-127786</v>
      </c>
      <c r="D81" s="6">
        <v>-1037905</v>
      </c>
    </row>
    <row r="82" spans="1:4" x14ac:dyDescent="0.25">
      <c r="A82" s="5" t="s">
        <v>4</v>
      </c>
      <c r="B82" s="6">
        <v>600133</v>
      </c>
      <c r="C82" s="6">
        <v>1402660</v>
      </c>
      <c r="D82" s="6">
        <v>1556086</v>
      </c>
    </row>
    <row r="83" spans="1:4" x14ac:dyDescent="0.25">
      <c r="A83" s="5" t="s">
        <v>137</v>
      </c>
      <c r="B83" s="6">
        <v>89023</v>
      </c>
      <c r="C83" s="6">
        <v>652475</v>
      </c>
      <c r="D83" s="6">
        <v>734574</v>
      </c>
    </row>
    <row r="84" spans="1:4" x14ac:dyDescent="0.25">
      <c r="A84" s="5" t="s">
        <v>140</v>
      </c>
      <c r="B84" s="6">
        <v>511110</v>
      </c>
      <c r="C84" s="6">
        <v>750185</v>
      </c>
      <c r="D84" s="6">
        <v>821512</v>
      </c>
    </row>
    <row r="85" spans="1:4" x14ac:dyDescent="0.25">
      <c r="A85" s="5" t="s">
        <v>5</v>
      </c>
      <c r="B85" s="6">
        <v>-599227</v>
      </c>
      <c r="C85" s="6">
        <v>-1530446</v>
      </c>
      <c r="D85" s="6">
        <v>-2593991</v>
      </c>
    </row>
    <row r="86" spans="1:4" x14ac:dyDescent="0.25">
      <c r="A86" s="5" t="s">
        <v>6</v>
      </c>
      <c r="B86" s="5">
        <v>-64</v>
      </c>
      <c r="C86" s="6">
        <v>-4091</v>
      </c>
      <c r="D86" s="6">
        <v>26160</v>
      </c>
    </row>
    <row r="87" spans="1:4" x14ac:dyDescent="0.25">
      <c r="A87" s="5" t="s">
        <v>141</v>
      </c>
      <c r="B87" s="5">
        <v>0</v>
      </c>
      <c r="C87" s="5" t="s">
        <v>13</v>
      </c>
      <c r="D87" s="6">
        <v>56756</v>
      </c>
    </row>
    <row r="88" spans="1:4" x14ac:dyDescent="0.25">
      <c r="A88" s="5" t="s">
        <v>142</v>
      </c>
      <c r="B88" s="5">
        <v>64</v>
      </c>
      <c r="C88" s="6">
        <v>1374</v>
      </c>
      <c r="D88" s="6">
        <v>30596</v>
      </c>
    </row>
    <row r="89" spans="1:4" x14ac:dyDescent="0.25">
      <c r="A89" s="5" t="s">
        <v>213</v>
      </c>
      <c r="B89" s="5" t="s">
        <v>13</v>
      </c>
      <c r="C89" s="6">
        <v>2717</v>
      </c>
      <c r="D89" s="5" t="s">
        <v>13</v>
      </c>
    </row>
    <row r="90" spans="1:4" x14ac:dyDescent="0.25">
      <c r="A90" s="5" t="s">
        <v>7</v>
      </c>
      <c r="B90" s="6">
        <v>-120277</v>
      </c>
      <c r="C90" s="6">
        <v>-1045175</v>
      </c>
      <c r="D90" s="6">
        <v>1263750</v>
      </c>
    </row>
    <row r="91" spans="1:4" x14ac:dyDescent="0.25">
      <c r="A91" s="5" t="s">
        <v>143</v>
      </c>
      <c r="B91" s="6">
        <v>-119587</v>
      </c>
      <c r="C91" s="6">
        <v>-1044282</v>
      </c>
      <c r="D91" s="6">
        <v>1254218</v>
      </c>
    </row>
    <row r="92" spans="1:4" x14ac:dyDescent="0.25">
      <c r="A92" s="5" t="s">
        <v>144</v>
      </c>
      <c r="B92" s="5">
        <v>-690</v>
      </c>
      <c r="C92" s="5">
        <v>-893</v>
      </c>
      <c r="D92" s="6">
        <v>9532</v>
      </c>
    </row>
    <row r="93" spans="1:4" x14ac:dyDescent="0.25">
      <c r="A93" s="5" t="s">
        <v>8</v>
      </c>
      <c r="B93" s="6">
        <v>-719568</v>
      </c>
      <c r="C93" s="6">
        <v>-2579712</v>
      </c>
      <c r="D93" s="6">
        <v>-1304081</v>
      </c>
    </row>
    <row r="94" spans="1:4" x14ac:dyDescent="0.25">
      <c r="A94" s="5" t="s">
        <v>9</v>
      </c>
      <c r="B94" s="5">
        <v>-188</v>
      </c>
      <c r="C94" s="5">
        <v>49</v>
      </c>
      <c r="D94" s="5">
        <v>379</v>
      </c>
    </row>
    <row r="95" spans="1:4" x14ac:dyDescent="0.25">
      <c r="A95" s="5" t="s">
        <v>10</v>
      </c>
      <c r="B95" s="6">
        <v>-705596</v>
      </c>
      <c r="C95" s="6">
        <v>-4747093</v>
      </c>
      <c r="D95" s="6">
        <v>-1304460</v>
      </c>
    </row>
    <row r="96" spans="1:4" x14ac:dyDescent="0.25">
      <c r="A96" s="5" t="s">
        <v>92</v>
      </c>
      <c r="B96" s="6">
        <v>-719380</v>
      </c>
      <c r="C96" s="6">
        <v>-2579761</v>
      </c>
      <c r="D96" s="6">
        <v>-1304460</v>
      </c>
    </row>
    <row r="97" spans="1:4" x14ac:dyDescent="0.25">
      <c r="A97" s="5" t="s">
        <v>145</v>
      </c>
      <c r="B97" s="6">
        <v>-719380</v>
      </c>
      <c r="C97" s="6">
        <v>-2579761</v>
      </c>
      <c r="D97" s="6">
        <v>-1304460</v>
      </c>
    </row>
    <row r="98" spans="1:4" x14ac:dyDescent="0.25">
      <c r="A98" s="5" t="s">
        <v>146</v>
      </c>
      <c r="B98" s="6">
        <v>-719380</v>
      </c>
      <c r="C98" s="6">
        <v>-2579761</v>
      </c>
      <c r="D98" s="6">
        <v>-1304460</v>
      </c>
    </row>
    <row r="99" spans="1:4" x14ac:dyDescent="0.25">
      <c r="A99" s="5" t="s">
        <v>214</v>
      </c>
      <c r="B99" s="6">
        <v>-13784</v>
      </c>
      <c r="C99" s="6">
        <v>2167332</v>
      </c>
      <c r="D99" s="5" t="s">
        <v>13</v>
      </c>
    </row>
    <row r="100" spans="1:4" x14ac:dyDescent="0.25">
      <c r="A100" s="5" t="s">
        <v>174</v>
      </c>
      <c r="B100" s="5">
        <v>0</v>
      </c>
      <c r="C100" s="5" t="s">
        <v>13</v>
      </c>
      <c r="D100" s="6">
        <v>-1254218</v>
      </c>
    </row>
    <row r="101" spans="1:4" x14ac:dyDescent="0.25">
      <c r="A101" s="5" t="s">
        <v>11</v>
      </c>
      <c r="B101" s="6">
        <v>-705596</v>
      </c>
      <c r="C101" s="6">
        <v>-4747093</v>
      </c>
      <c r="D101" s="6">
        <v>-2558678</v>
      </c>
    </row>
    <row r="102" spans="1:4" x14ac:dyDescent="0.25">
      <c r="A102" s="5" t="s">
        <v>12</v>
      </c>
      <c r="B102" s="5">
        <v>-28.42</v>
      </c>
      <c r="C102" s="5">
        <v>-6.41</v>
      </c>
      <c r="D102" s="5">
        <v>-0.78</v>
      </c>
    </row>
    <row r="103" spans="1:4" x14ac:dyDescent="0.25">
      <c r="A103" s="5" t="s">
        <v>14</v>
      </c>
      <c r="B103" s="5">
        <v>-28.42</v>
      </c>
      <c r="C103" s="5">
        <v>-6.41</v>
      </c>
      <c r="D103" s="5">
        <v>-1.51</v>
      </c>
    </row>
    <row r="104" spans="1:4" x14ac:dyDescent="0.25">
      <c r="A104" s="5" t="s">
        <v>15</v>
      </c>
      <c r="B104" s="6">
        <v>24826</v>
      </c>
      <c r="C104" s="6">
        <v>740394</v>
      </c>
      <c r="D104" s="6">
        <v>1678346</v>
      </c>
    </row>
    <row r="105" spans="1:4" x14ac:dyDescent="0.25">
      <c r="A105" s="5" t="s">
        <v>16</v>
      </c>
      <c r="B105" s="6">
        <v>24826</v>
      </c>
      <c r="C105" s="6">
        <v>740394</v>
      </c>
      <c r="D105" s="6">
        <v>1693259</v>
      </c>
    </row>
    <row r="106" spans="1:4" x14ac:dyDescent="0.25">
      <c r="A106" s="5" t="s">
        <v>17</v>
      </c>
      <c r="B106" s="6">
        <v>-599227</v>
      </c>
      <c r="C106" s="6">
        <v>-1530446</v>
      </c>
      <c r="D106" s="6">
        <v>-2593991</v>
      </c>
    </row>
    <row r="107" spans="1:4" x14ac:dyDescent="0.25">
      <c r="A107" s="5" t="s">
        <v>18</v>
      </c>
      <c r="B107" s="6">
        <v>603203</v>
      </c>
      <c r="C107" s="6">
        <v>1557557</v>
      </c>
      <c r="D107" s="6">
        <v>3202172</v>
      </c>
    </row>
    <row r="108" spans="1:4" x14ac:dyDescent="0.25">
      <c r="A108" s="5" t="s">
        <v>19</v>
      </c>
      <c r="B108" s="6">
        <v>-719380</v>
      </c>
      <c r="C108" s="6">
        <v>-2579761</v>
      </c>
      <c r="D108" s="6">
        <v>-1304460</v>
      </c>
    </row>
    <row r="109" spans="1:4" x14ac:dyDescent="0.25">
      <c r="A109" s="5" t="s">
        <v>20</v>
      </c>
      <c r="B109" s="6">
        <v>-599824</v>
      </c>
      <c r="C109" s="6">
        <v>-1817435</v>
      </c>
      <c r="D109" s="6">
        <v>-2056991</v>
      </c>
    </row>
    <row r="110" spans="1:4" x14ac:dyDescent="0.25">
      <c r="A110" s="5" t="s">
        <v>21</v>
      </c>
      <c r="B110" s="5">
        <v>0</v>
      </c>
      <c r="C110" s="5" t="s">
        <v>13</v>
      </c>
      <c r="D110" s="6">
        <v>56756</v>
      </c>
    </row>
    <row r="111" spans="1:4" x14ac:dyDescent="0.25">
      <c r="A111" s="5" t="s">
        <v>22</v>
      </c>
      <c r="B111" s="5">
        <v>64</v>
      </c>
      <c r="C111" s="6">
        <v>1374</v>
      </c>
      <c r="D111" s="6">
        <v>30596</v>
      </c>
    </row>
    <row r="112" spans="1:4" x14ac:dyDescent="0.25">
      <c r="A112" s="5" t="s">
        <v>23</v>
      </c>
      <c r="B112" s="5">
        <v>-64</v>
      </c>
      <c r="C112" s="6">
        <v>-4091</v>
      </c>
      <c r="D112" s="6">
        <v>26160</v>
      </c>
    </row>
    <row r="113" spans="1:4" x14ac:dyDescent="0.25">
      <c r="A113" s="5" t="s">
        <v>24</v>
      </c>
      <c r="B113" s="6">
        <v>-719504</v>
      </c>
      <c r="C113" s="6">
        <v>-2578338</v>
      </c>
      <c r="D113" s="6">
        <v>-1273485</v>
      </c>
    </row>
    <row r="114" spans="1:4" x14ac:dyDescent="0.25">
      <c r="A114" s="5" t="s">
        <v>25</v>
      </c>
      <c r="B114" s="6">
        <f>B113+B123</f>
        <v>-709287</v>
      </c>
      <c r="C114" s="6">
        <f t="shared" ref="C114:D114" si="4">C113+C123</f>
        <v>-2515431</v>
      </c>
      <c r="D114" s="6">
        <f t="shared" si="4"/>
        <v>-1086902</v>
      </c>
    </row>
    <row r="115" spans="1:4" x14ac:dyDescent="0.25">
      <c r="A115" s="5" t="s">
        <v>26</v>
      </c>
      <c r="B115" s="6">
        <v>3070</v>
      </c>
      <c r="C115" s="6">
        <v>154897</v>
      </c>
      <c r="D115" s="6">
        <v>1646086</v>
      </c>
    </row>
    <row r="116" spans="1:4" x14ac:dyDescent="0.25">
      <c r="A116" s="5" t="s">
        <v>27</v>
      </c>
      <c r="B116" s="6">
        <v>10217</v>
      </c>
      <c r="C116" s="6">
        <v>62907</v>
      </c>
      <c r="D116" s="6">
        <v>186583</v>
      </c>
    </row>
    <row r="117" spans="1:4" x14ac:dyDescent="0.25">
      <c r="A117" s="5" t="s">
        <v>28</v>
      </c>
      <c r="B117" s="6">
        <v>-719380</v>
      </c>
      <c r="C117" s="6">
        <v>-2579761</v>
      </c>
      <c r="D117" s="6">
        <v>-1304460</v>
      </c>
    </row>
    <row r="118" spans="1:4" x14ac:dyDescent="0.25">
      <c r="A118" s="5" t="s">
        <v>29</v>
      </c>
      <c r="B118" s="6">
        <v>-119587</v>
      </c>
      <c r="C118" s="6">
        <v>-1044282</v>
      </c>
      <c r="D118" s="6">
        <v>1254218</v>
      </c>
    </row>
    <row r="119" spans="1:4" x14ac:dyDescent="0.25">
      <c r="A119" s="5" t="s">
        <v>30</v>
      </c>
      <c r="B119" s="6">
        <v>-119587</v>
      </c>
      <c r="C119" s="6">
        <v>-1044282</v>
      </c>
      <c r="D119" s="6">
        <v>1254218</v>
      </c>
    </row>
    <row r="120" spans="1:4" x14ac:dyDescent="0.25">
      <c r="A120" s="5" t="s">
        <v>31</v>
      </c>
      <c r="B120" s="6">
        <v>-589700</v>
      </c>
      <c r="C120" s="6">
        <v>-1471149</v>
      </c>
      <c r="D120" s="6">
        <v>-2341120</v>
      </c>
    </row>
    <row r="121" spans="1:4" x14ac:dyDescent="0.25">
      <c r="A121" s="5" t="s">
        <v>32</v>
      </c>
      <c r="B121" s="5">
        <v>0</v>
      </c>
      <c r="C121" s="5">
        <v>0</v>
      </c>
      <c r="D121" s="5">
        <v>0</v>
      </c>
    </row>
    <row r="122" spans="1:4" x14ac:dyDescent="0.25">
      <c r="A122" s="5" t="s">
        <v>33</v>
      </c>
      <c r="B122" s="5">
        <v>-31.244199999999999</v>
      </c>
      <c r="C122" s="6">
        <v>-281956</v>
      </c>
      <c r="D122" s="6">
        <v>501687</v>
      </c>
    </row>
    <row r="123" spans="1:4" x14ac:dyDescent="0.25">
      <c r="A123" s="5" t="s">
        <v>95</v>
      </c>
      <c r="B123" s="4">
        <v>10217</v>
      </c>
      <c r="C123" s="4">
        <v>62907</v>
      </c>
      <c r="D123" s="4">
        <v>186583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G17"/>
  <sheetViews>
    <sheetView zoomScale="65" zoomScaleNormal="65" workbookViewId="0">
      <selection activeCell="C12" sqref="C12:G17"/>
    </sheetView>
  </sheetViews>
  <sheetFormatPr defaultRowHeight="15" x14ac:dyDescent="0.25"/>
  <cols>
    <col min="3" max="3" width="43.28515625" customWidth="1"/>
    <col min="4" max="4" width="19" customWidth="1"/>
    <col min="5" max="5" width="13.85546875" customWidth="1"/>
    <col min="6" max="6" width="15.42578125" customWidth="1"/>
    <col min="7" max="7" width="18.42578125" customWidth="1"/>
  </cols>
  <sheetData>
    <row r="4" spans="3:7" ht="16.5" x14ac:dyDescent="0.25">
      <c r="C4" s="8" t="s">
        <v>227</v>
      </c>
      <c r="D4" s="9" t="s">
        <v>225</v>
      </c>
      <c r="E4" s="10" t="s">
        <v>217</v>
      </c>
      <c r="F4" s="11" t="s">
        <v>218</v>
      </c>
      <c r="G4" s="12" t="s">
        <v>219</v>
      </c>
    </row>
    <row r="5" spans="3:7" ht="16.5" x14ac:dyDescent="0.25">
      <c r="C5" s="13" t="str">
        <f>'Rivian Automative'!A82</f>
        <v>Enterprise Value</v>
      </c>
      <c r="D5" s="13">
        <f>'Rivian Automative'!B82</f>
        <v>5577000</v>
      </c>
      <c r="E5" s="14">
        <f>Tesla!L16</f>
        <v>26907000</v>
      </c>
      <c r="F5" s="13">
        <f>'Fiscer Inc.'!I9</f>
        <v>1454985</v>
      </c>
      <c r="G5" s="14">
        <f>'Lucid Group Inc. (LCID)'!M18</f>
        <v>12719131</v>
      </c>
    </row>
    <row r="6" spans="3:7" ht="16.5" x14ac:dyDescent="0.25">
      <c r="C6" s="13" t="str">
        <f>'Rivian Automative'!A83</f>
        <v>EV/SALES</v>
      </c>
      <c r="D6" s="13">
        <f>'Rivian Automative'!B83</f>
        <v>557.70000000000005</v>
      </c>
      <c r="E6" s="13">
        <f>Tesla!J18</f>
        <v>5.5655776515151514</v>
      </c>
      <c r="F6" s="13">
        <f>'Fiscer Inc.'!I10</f>
        <v>72749.25</v>
      </c>
      <c r="G6" s="13">
        <f>'Lucid Group Inc. (LCID)'!M19</f>
        <v>20.913397491865087</v>
      </c>
    </row>
    <row r="7" spans="3:7" ht="16.5" x14ac:dyDescent="0.25">
      <c r="C7" s="13" t="str">
        <f>'Rivian Automative'!A84</f>
        <v>EV/EBIDTA</v>
      </c>
      <c r="D7" s="13">
        <f>'Rivian Automative'!B84</f>
        <v>-1.2045356371490281</v>
      </c>
      <c r="E7" s="13">
        <f>Tesla!L18</f>
        <v>1.5238715523588378</v>
      </c>
      <c r="F7" s="13">
        <f>'Fiscer Inc.'!I11</f>
        <v>506.2578288100209</v>
      </c>
      <c r="G7" s="13">
        <f>'Lucid Group Inc. (LCID)'!M20</f>
        <v>-11.702187501725087</v>
      </c>
    </row>
    <row r="8" spans="3:7" ht="16.5" x14ac:dyDescent="0.25">
      <c r="C8" s="13" t="str">
        <f>'Rivian Automative'!A85</f>
        <v>PE RATIO</v>
      </c>
      <c r="D8" s="13">
        <f>'Rivian Automative'!B85</f>
        <v>-133.69999999999999</v>
      </c>
      <c r="E8" s="13">
        <f>Tesla!L19</f>
        <v>3.6796471429706745</v>
      </c>
      <c r="F8" s="13">
        <f>'Fiscer Inc.'!I12</f>
        <v>-2.0846307552931895</v>
      </c>
      <c r="G8" s="13">
        <f>'Lucid Group Inc. (LCID)'!M21</f>
        <v>-4.8614300170185363</v>
      </c>
    </row>
    <row r="9" spans="3:7" ht="16.5" x14ac:dyDescent="0.25">
      <c r="C9" s="13" t="s">
        <v>226</v>
      </c>
      <c r="D9" s="13">
        <f>'Rivian Automative'!B86</f>
        <v>4346000</v>
      </c>
      <c r="E9" s="14">
        <f>E5-Tesla!D76</f>
        <v>23808000</v>
      </c>
      <c r="F9" s="14">
        <f>'Fiscer Inc.'!I9-'Fiscer Inc.'!D60</f>
        <v>759194</v>
      </c>
      <c r="G9" s="14">
        <f>G5-'Lucid Group Inc. (LCID)'!D70</f>
        <v>10635369</v>
      </c>
    </row>
    <row r="12" spans="3:7" ht="16.5" x14ac:dyDescent="0.25">
      <c r="C12" s="13"/>
      <c r="D12" s="9" t="s">
        <v>220</v>
      </c>
      <c r="E12" s="10" t="s">
        <v>217</v>
      </c>
      <c r="F12" s="15" t="s">
        <v>218</v>
      </c>
      <c r="G12" s="12" t="s">
        <v>219</v>
      </c>
    </row>
    <row r="13" spans="3:7" ht="16.5" x14ac:dyDescent="0.25">
      <c r="C13" s="13" t="s">
        <v>221</v>
      </c>
      <c r="D13" s="13">
        <v>-5993000</v>
      </c>
      <c r="E13" s="13">
        <v>17657000</v>
      </c>
      <c r="F13" s="13">
        <v>2874</v>
      </c>
      <c r="G13" s="13">
        <v>-1086902</v>
      </c>
    </row>
    <row r="14" spans="3:7" ht="16.5" x14ac:dyDescent="0.25">
      <c r="C14" s="13" t="s">
        <v>222</v>
      </c>
      <c r="D14" s="13">
        <v>1231000</v>
      </c>
      <c r="E14" s="13">
        <v>1597000</v>
      </c>
      <c r="F14" s="13">
        <v>695791</v>
      </c>
      <c r="G14" s="13">
        <v>2083762</v>
      </c>
    </row>
    <row r="15" spans="3:7" ht="16.5" x14ac:dyDescent="0.25">
      <c r="C15" s="13" t="s">
        <v>223</v>
      </c>
      <c r="D15" s="13">
        <v>15030000</v>
      </c>
      <c r="E15" s="13">
        <v>46301000</v>
      </c>
      <c r="F15" s="13">
        <v>1141327</v>
      </c>
      <c r="G15" s="13">
        <v>6341541</v>
      </c>
    </row>
    <row r="16" spans="3:7" ht="16.5" x14ac:dyDescent="0.25">
      <c r="C16" s="13" t="s">
        <v>85</v>
      </c>
      <c r="D16" s="13">
        <v>1658000</v>
      </c>
      <c r="E16" s="13">
        <v>81462000</v>
      </c>
      <c r="F16" s="13">
        <v>342000</v>
      </c>
      <c r="G16" s="13">
        <v>608181</v>
      </c>
    </row>
    <row r="17" spans="3:7" ht="16.5" x14ac:dyDescent="0.25">
      <c r="C17" s="13" t="s">
        <v>92</v>
      </c>
      <c r="D17" s="13">
        <v>204000</v>
      </c>
      <c r="E17" s="13">
        <v>690000</v>
      </c>
      <c r="F17" s="13">
        <v>-547496</v>
      </c>
      <c r="G17" s="13">
        <v>-1304460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Rivian Automative</vt:lpstr>
      <vt:lpstr>Tesla</vt:lpstr>
      <vt:lpstr>Fiscer Inc.</vt:lpstr>
      <vt:lpstr>Lucid Group Inc. (LCID)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Rovshan Ahmadov</cp:lastModifiedBy>
  <dcterms:created xsi:type="dcterms:W3CDTF">2023-06-07T11:46:24Z</dcterms:created>
  <dcterms:modified xsi:type="dcterms:W3CDTF">2024-04-03T13:36:15Z</dcterms:modified>
</cp:coreProperties>
</file>