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mc:AlternateContent xmlns:mc="http://schemas.openxmlformats.org/markup-compatibility/2006">
    <mc:Choice Requires="x15">
      <x15ac:absPath xmlns:x15ac="http://schemas.microsoft.com/office/spreadsheetml/2010/11/ac" url="C:\Users\rowan\Desktop\Research\Data\To Scrape\Scraped!\"/>
    </mc:Choice>
  </mc:AlternateContent>
  <xr:revisionPtr revIDLastSave="0" documentId="13_ncr:1_{FBD0F9C8-D0C4-4795-9006-3444587DDD3C}" xr6:coauthVersionLast="47" xr6:coauthVersionMax="47" xr10:uidLastSave="{00000000-0000-0000-0000-000000000000}"/>
  <bookViews>
    <workbookView xWindow="-108" yWindow="-108" windowWidth="23256" windowHeight="12576" tabRatio="602" activeTab="1" xr2:uid="{00000000-000D-0000-FFFF-FFFF00000000}"/>
  </bookViews>
  <sheets>
    <sheet name="S1" sheetId="47" r:id="rId1"/>
    <sheet name="S1 Working" sheetId="54" r:id="rId2"/>
    <sheet name="fixing refs" sheetId="56" r:id="rId3"/>
    <sheet name="fixing lats" sheetId="55" r:id="rId4"/>
    <sheet name="References" sheetId="53" r:id="rId5"/>
  </sheets>
  <externalReferences>
    <externalReference r:id="rId6"/>
    <externalReference r:id="rId7"/>
  </externalReferences>
  <definedNames>
    <definedName name="_xlnm._FilterDatabase" localSheetId="3" hidden="1">'fixing lats'!$A$1:$F$107</definedName>
    <definedName name="_xlnm._FilterDatabase" localSheetId="2" hidden="1">'fixing refs'!$F$1:$J$307</definedName>
    <definedName name="_xlnm._FilterDatabase" localSheetId="1" hidden="1">'S1 Working'!$A$2:$AQ$308</definedName>
    <definedName name="All" localSheetId="0">#REF!</definedName>
    <definedName name="All" localSheetId="1">#REF!</definedName>
    <definedName name="All">#REF!</definedName>
    <definedName name="All.Ph" localSheetId="0">#REF!</definedName>
    <definedName name="All.Ph" localSheetId="1">#REF!</definedName>
    <definedName name="All.Ph">#REF!</definedName>
    <definedName name="AR5_offset">'[1]Data compilation'!$AP$2</definedName>
    <definedName name="BE_offset">'[1]Data compilation'!$AL$2</definedName>
    <definedName name="EPICA_tbase">'[1]Data compilation'!$V$2</definedName>
    <definedName name="EPICA_x">'[1]Data compilation'!$X$2</definedName>
    <definedName name="LR_base">'[1]Data compilation'!$T$2</definedName>
    <definedName name="LR_tbase">'[1]Data compilation'!$P$2</definedName>
    <definedName name="Marcott_tbase">'[1]Data compilation'!$AF$2</definedName>
    <definedName name="NGRIP_base">'[1]Data compilation'!$AC$2</definedName>
    <definedName name="NGRIP_tbase">'[1]Data compilation'!$Z$2</definedName>
    <definedName name="NGRIP_x">'[1]Data compilation'!$AD$2</definedName>
    <definedName name="_xlnm.Print_Area" localSheetId="0">'S1'!$B$1:$AD$160</definedName>
    <definedName name="_xlnm.Print_Area" localSheetId="1">'S1 Working'!$B$1:$AN$160</definedName>
    <definedName name="_xlnm.Print_Titles" localSheetId="0">'S1'!$2:$2</definedName>
    <definedName name="_xlnm.Print_Titles" localSheetId="1">'S1 Working'!$2:$2</definedName>
    <definedName name="Royer_x">'[1]Data compilation'!$B$2</definedName>
    <definedName name="ZH_base" localSheetId="0">'S1'!#REF!</definedName>
    <definedName name="ZH_base" localSheetId="1">'S1 Working'!#REF!</definedName>
    <definedName name="ZH_base">#REF!</definedName>
    <definedName name="ZH_tbase">'[1]Data compilation'!$I$2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6" l="1"/>
  <c r="D4" i="56"/>
  <c r="D5" i="56"/>
  <c r="D6" i="56"/>
  <c r="D7" i="56"/>
  <c r="D8" i="56"/>
  <c r="D9" i="56"/>
  <c r="D10" i="56"/>
  <c r="D11" i="56"/>
  <c r="D12" i="56"/>
  <c r="D13" i="56"/>
  <c r="D14" i="56"/>
  <c r="D15" i="56"/>
  <c r="D16" i="56"/>
  <c r="D17" i="56"/>
  <c r="D18" i="56"/>
  <c r="D19" i="56"/>
  <c r="D20" i="56"/>
  <c r="D21" i="56"/>
  <c r="D22" i="56"/>
  <c r="D23" i="56"/>
  <c r="D24" i="56"/>
  <c r="D25" i="56"/>
  <c r="D26" i="56"/>
  <c r="D27" i="56"/>
  <c r="D28" i="56"/>
  <c r="D29" i="56"/>
  <c r="D30" i="56"/>
  <c r="D31" i="56"/>
  <c r="D32" i="56"/>
  <c r="D33" i="56"/>
  <c r="D34" i="56"/>
  <c r="D35" i="56"/>
  <c r="D36" i="56"/>
  <c r="D37" i="56"/>
  <c r="D38" i="56"/>
  <c r="D39" i="56"/>
  <c r="D40" i="56"/>
  <c r="D41" i="56"/>
  <c r="D42" i="56"/>
  <c r="D43" i="56"/>
  <c r="D44" i="56"/>
  <c r="D45" i="56"/>
  <c r="D46" i="56"/>
  <c r="D47" i="56"/>
  <c r="D48" i="56"/>
  <c r="D49" i="56"/>
  <c r="D50" i="56"/>
  <c r="D51" i="56"/>
  <c r="D52" i="56"/>
  <c r="D53" i="56"/>
  <c r="D54" i="56"/>
  <c r="D55" i="56"/>
  <c r="D56" i="56"/>
  <c r="D57" i="56"/>
  <c r="D58" i="56"/>
  <c r="D59" i="56"/>
  <c r="D60" i="56"/>
  <c r="D61" i="56"/>
  <c r="D62" i="56"/>
  <c r="D63" i="56"/>
  <c r="D64" i="56"/>
  <c r="D65" i="56"/>
  <c r="D66" i="56"/>
  <c r="D67" i="56"/>
  <c r="D68" i="56"/>
  <c r="D69" i="56"/>
  <c r="D70" i="56"/>
  <c r="D71" i="56"/>
  <c r="D72" i="56"/>
  <c r="D73" i="56"/>
  <c r="D74" i="56"/>
  <c r="D75" i="56"/>
  <c r="D76" i="56"/>
  <c r="D77" i="56"/>
  <c r="D78" i="56"/>
  <c r="D79" i="56"/>
  <c r="D80" i="56"/>
  <c r="D81" i="56"/>
  <c r="D82" i="56"/>
  <c r="D83" i="56"/>
  <c r="D84" i="56"/>
  <c r="D85" i="56"/>
  <c r="D86" i="56"/>
  <c r="D87" i="56"/>
  <c r="D88" i="56"/>
  <c r="D89" i="56"/>
  <c r="D90" i="56"/>
  <c r="D91" i="56"/>
  <c r="D92" i="56"/>
  <c r="D93" i="56"/>
  <c r="D94" i="56"/>
  <c r="D95" i="56"/>
  <c r="D96" i="56"/>
  <c r="D97" i="56"/>
  <c r="D98" i="56"/>
  <c r="D99" i="56"/>
  <c r="D100" i="56"/>
  <c r="D101" i="56"/>
  <c r="D102" i="56"/>
  <c r="D103" i="56"/>
  <c r="D104" i="56"/>
  <c r="D105" i="56"/>
  <c r="D106" i="56"/>
  <c r="D107" i="56"/>
  <c r="D108" i="56"/>
  <c r="D109" i="56"/>
  <c r="D110" i="56"/>
  <c r="D111" i="56"/>
  <c r="D112" i="56"/>
  <c r="D113" i="56"/>
  <c r="D114" i="56"/>
  <c r="D115" i="56"/>
  <c r="D116" i="56"/>
  <c r="D117" i="56"/>
  <c r="D118" i="56"/>
  <c r="D119" i="56"/>
  <c r="D120" i="56"/>
  <c r="D121" i="56"/>
  <c r="D122" i="56"/>
  <c r="D123" i="56"/>
  <c r="D124" i="56"/>
  <c r="D125" i="56"/>
  <c r="D126" i="56"/>
  <c r="D127" i="56"/>
  <c r="D128" i="56"/>
  <c r="D129" i="56"/>
  <c r="D130" i="56"/>
  <c r="D131" i="56"/>
  <c r="D132" i="56"/>
  <c r="D133" i="56"/>
  <c r="D134" i="56"/>
  <c r="D135" i="56"/>
  <c r="D136" i="56"/>
  <c r="D137" i="56"/>
  <c r="D138" i="56"/>
  <c r="D139" i="56"/>
  <c r="D140" i="56"/>
  <c r="D141" i="56"/>
  <c r="D142" i="56"/>
  <c r="D143" i="56"/>
  <c r="D144" i="56"/>
  <c r="D145" i="56"/>
  <c r="D146" i="56"/>
  <c r="D147" i="56"/>
  <c r="D148" i="56"/>
  <c r="D149" i="56"/>
  <c r="D150" i="56"/>
  <c r="D151" i="56"/>
  <c r="D152" i="56"/>
  <c r="D153" i="56"/>
  <c r="D154" i="56"/>
  <c r="D155" i="56"/>
  <c r="D156" i="56"/>
  <c r="D157" i="56"/>
  <c r="D158" i="56"/>
  <c r="D159" i="56"/>
  <c r="D160" i="56"/>
  <c r="D161" i="56"/>
  <c r="D162" i="56"/>
  <c r="D163" i="56"/>
  <c r="D164" i="56"/>
  <c r="D165" i="56"/>
  <c r="D166" i="56"/>
  <c r="D167" i="56"/>
  <c r="D168" i="56"/>
  <c r="D169" i="56"/>
  <c r="D170" i="56"/>
  <c r="D171" i="56"/>
  <c r="D172" i="56"/>
  <c r="D173" i="56"/>
  <c r="D174" i="56"/>
  <c r="D175" i="56"/>
  <c r="D176" i="56"/>
  <c r="D177" i="56"/>
  <c r="D178" i="56"/>
  <c r="D179" i="56"/>
  <c r="D180" i="56"/>
  <c r="D181" i="56"/>
  <c r="D182" i="56"/>
  <c r="D183" i="56"/>
  <c r="D184" i="56"/>
  <c r="D185" i="56"/>
  <c r="D186" i="56"/>
  <c r="D187" i="56"/>
  <c r="D188" i="56"/>
  <c r="D189" i="56"/>
  <c r="D190" i="56"/>
  <c r="D191" i="56"/>
  <c r="D192" i="56"/>
  <c r="D193" i="56"/>
  <c r="D194" i="56"/>
  <c r="D195" i="56"/>
  <c r="D196" i="56"/>
  <c r="D197" i="56"/>
  <c r="D198" i="56"/>
  <c r="D199" i="56"/>
  <c r="D200" i="56"/>
  <c r="D201" i="56"/>
  <c r="D202" i="56"/>
  <c r="D203" i="56"/>
  <c r="D204" i="56"/>
  <c r="D205" i="56"/>
  <c r="D206" i="56"/>
  <c r="D207" i="56"/>
  <c r="D208" i="56"/>
  <c r="D209" i="56"/>
  <c r="D210" i="56"/>
  <c r="D211" i="56"/>
  <c r="D212" i="56"/>
  <c r="D213" i="56"/>
  <c r="D214" i="56"/>
  <c r="D215" i="56"/>
  <c r="D216" i="56"/>
  <c r="D217" i="56"/>
  <c r="D218" i="56"/>
  <c r="D219" i="56"/>
  <c r="D220" i="56"/>
  <c r="D221" i="56"/>
  <c r="D222" i="56"/>
  <c r="D223" i="56"/>
  <c r="D224" i="56"/>
  <c r="D225" i="56"/>
  <c r="D226" i="56"/>
  <c r="D227" i="56"/>
  <c r="D228" i="56"/>
  <c r="D229" i="56"/>
  <c r="D230" i="56"/>
  <c r="D231" i="56"/>
  <c r="D232" i="56"/>
  <c r="D233" i="56"/>
  <c r="D234" i="56"/>
  <c r="D235" i="56"/>
  <c r="D236" i="56"/>
  <c r="D237" i="56"/>
  <c r="D238" i="56"/>
  <c r="D239" i="56"/>
  <c r="D240" i="56"/>
  <c r="D241" i="56"/>
  <c r="D242" i="56"/>
  <c r="D243" i="56"/>
  <c r="D244" i="56"/>
  <c r="D245" i="56"/>
  <c r="D246" i="56"/>
  <c r="D247" i="56"/>
  <c r="D248" i="56"/>
  <c r="D249" i="56"/>
  <c r="D250" i="56"/>
  <c r="D251" i="56"/>
  <c r="D252" i="56"/>
  <c r="D253" i="56"/>
  <c r="D254" i="56"/>
  <c r="D255" i="56"/>
  <c r="D256" i="56"/>
  <c r="D257" i="56"/>
  <c r="D258" i="56"/>
  <c r="D259" i="56"/>
  <c r="D260" i="56"/>
  <c r="D261" i="56"/>
  <c r="D262" i="56"/>
  <c r="D263" i="56"/>
  <c r="D264" i="56"/>
  <c r="D265" i="56"/>
  <c r="D266" i="56"/>
  <c r="D267" i="56"/>
  <c r="D268" i="56"/>
  <c r="D269" i="56"/>
  <c r="D270" i="56"/>
  <c r="D271" i="56"/>
  <c r="D272" i="56"/>
  <c r="D273" i="56"/>
  <c r="D274" i="56"/>
  <c r="D275" i="56"/>
  <c r="D276" i="56"/>
  <c r="D277" i="56"/>
  <c r="D278" i="56"/>
  <c r="D279" i="56"/>
  <c r="D280" i="56"/>
  <c r="D281" i="56"/>
  <c r="D282" i="56"/>
  <c r="D283" i="56"/>
  <c r="D284" i="56"/>
  <c r="D285" i="56"/>
  <c r="D286" i="56"/>
  <c r="D287" i="56"/>
  <c r="D288" i="56"/>
  <c r="D289" i="56"/>
  <c r="D290" i="56"/>
  <c r="D291" i="56"/>
  <c r="D292" i="56"/>
  <c r="D293" i="56"/>
  <c r="D294" i="56"/>
  <c r="D295" i="56"/>
  <c r="D296" i="56"/>
  <c r="D297" i="56"/>
  <c r="D298" i="56"/>
  <c r="D299" i="56"/>
  <c r="D300" i="56"/>
  <c r="D301" i="56"/>
  <c r="D302" i="56"/>
  <c r="D303" i="56"/>
  <c r="D304" i="56"/>
  <c r="D305" i="56"/>
  <c r="D306" i="56"/>
  <c r="D307" i="56"/>
  <c r="D2" i="56"/>
  <c r="B3" i="56"/>
  <c r="B4" i="56"/>
  <c r="B5" i="56"/>
  <c r="B6" i="56"/>
  <c r="B7" i="56"/>
  <c r="B8" i="56"/>
  <c r="B9" i="56"/>
  <c r="B10" i="56"/>
  <c r="B11" i="56"/>
  <c r="B12" i="56"/>
  <c r="B13" i="56"/>
  <c r="B14" i="56"/>
  <c r="B15" i="56"/>
  <c r="B16" i="56"/>
  <c r="B17" i="56"/>
  <c r="B18" i="56"/>
  <c r="B19" i="56"/>
  <c r="B20" i="56"/>
  <c r="B21" i="56"/>
  <c r="B22" i="56"/>
  <c r="B23" i="56"/>
  <c r="B24" i="56"/>
  <c r="B25" i="56"/>
  <c r="B26" i="56"/>
  <c r="B27" i="56"/>
  <c r="B28" i="56"/>
  <c r="B29" i="56"/>
  <c r="B30" i="56"/>
  <c r="B31" i="56"/>
  <c r="B32" i="56"/>
  <c r="B33" i="56"/>
  <c r="B34" i="56"/>
  <c r="B35" i="56"/>
  <c r="B36" i="56"/>
  <c r="B37" i="56"/>
  <c r="B38" i="56"/>
  <c r="B39" i="56"/>
  <c r="B40" i="56"/>
  <c r="B41" i="56"/>
  <c r="B42" i="56"/>
  <c r="B43" i="56"/>
  <c r="B44" i="56"/>
  <c r="B45" i="56"/>
  <c r="B46" i="56"/>
  <c r="B47" i="56"/>
  <c r="B48" i="56"/>
  <c r="B49" i="56"/>
  <c r="B50" i="56"/>
  <c r="B51" i="56"/>
  <c r="B52" i="56"/>
  <c r="B53" i="56"/>
  <c r="B54" i="56"/>
  <c r="B55" i="56"/>
  <c r="B56" i="56"/>
  <c r="B57" i="56"/>
  <c r="B58" i="56"/>
  <c r="B59" i="56"/>
  <c r="B60" i="56"/>
  <c r="B61" i="56"/>
  <c r="B62" i="56"/>
  <c r="B63" i="56"/>
  <c r="B64" i="56"/>
  <c r="B65" i="56"/>
  <c r="B66" i="56"/>
  <c r="B67" i="56"/>
  <c r="B68" i="56"/>
  <c r="B69" i="56"/>
  <c r="B70" i="56"/>
  <c r="B71" i="56"/>
  <c r="B72" i="56"/>
  <c r="B73" i="56"/>
  <c r="B74" i="56"/>
  <c r="B75" i="56"/>
  <c r="B76" i="56"/>
  <c r="B77" i="56"/>
  <c r="B78" i="56"/>
  <c r="B79" i="56"/>
  <c r="B80" i="56"/>
  <c r="B81" i="56"/>
  <c r="B82" i="56"/>
  <c r="B83" i="56"/>
  <c r="B84" i="56"/>
  <c r="B85" i="56"/>
  <c r="B86" i="56"/>
  <c r="B87" i="56"/>
  <c r="B88" i="56"/>
  <c r="B89" i="56"/>
  <c r="B90" i="56"/>
  <c r="B91" i="56"/>
  <c r="B92" i="56"/>
  <c r="B93" i="56"/>
  <c r="B94" i="56"/>
  <c r="B95" i="56"/>
  <c r="B96" i="56"/>
  <c r="B97" i="56"/>
  <c r="B98" i="56"/>
  <c r="B99" i="56"/>
  <c r="B100" i="56"/>
  <c r="B101" i="56"/>
  <c r="B102" i="56"/>
  <c r="B103" i="56"/>
  <c r="B104" i="56"/>
  <c r="B105" i="56"/>
  <c r="B106" i="56"/>
  <c r="B107" i="56"/>
  <c r="B108" i="56"/>
  <c r="B109" i="56"/>
  <c r="B110" i="56"/>
  <c r="B111" i="56"/>
  <c r="B112" i="56"/>
  <c r="B113" i="56"/>
  <c r="B114" i="56"/>
  <c r="B115" i="56"/>
  <c r="B116" i="56"/>
  <c r="B117" i="56"/>
  <c r="B118" i="56"/>
  <c r="B119" i="56"/>
  <c r="B120" i="56"/>
  <c r="B121" i="56"/>
  <c r="B122" i="56"/>
  <c r="B123" i="56"/>
  <c r="B124" i="56"/>
  <c r="B125" i="56"/>
  <c r="B126" i="56"/>
  <c r="B127" i="56"/>
  <c r="B128" i="56"/>
  <c r="B129" i="56"/>
  <c r="B130" i="56"/>
  <c r="B131" i="56"/>
  <c r="B132" i="56"/>
  <c r="B133" i="56"/>
  <c r="B134" i="56"/>
  <c r="B135" i="56"/>
  <c r="B136" i="56"/>
  <c r="B137" i="56"/>
  <c r="B138" i="56"/>
  <c r="B139" i="56"/>
  <c r="B140" i="56"/>
  <c r="B141" i="56"/>
  <c r="B142" i="56"/>
  <c r="B143" i="56"/>
  <c r="B144" i="56"/>
  <c r="B145" i="56"/>
  <c r="B146" i="56"/>
  <c r="B147" i="56"/>
  <c r="B148" i="56"/>
  <c r="B149" i="56"/>
  <c r="B150" i="56"/>
  <c r="B151" i="56"/>
  <c r="B152" i="56"/>
  <c r="B153" i="56"/>
  <c r="B154" i="56"/>
  <c r="B155" i="56"/>
  <c r="B156" i="56"/>
  <c r="B157" i="56"/>
  <c r="B158" i="56"/>
  <c r="B159" i="56"/>
  <c r="B160" i="56"/>
  <c r="B161" i="56"/>
  <c r="B162" i="56"/>
  <c r="B163" i="56"/>
  <c r="B164" i="56"/>
  <c r="B165" i="56"/>
  <c r="B166" i="56"/>
  <c r="B167" i="56"/>
  <c r="B168" i="56"/>
  <c r="B169" i="56"/>
  <c r="B170" i="56"/>
  <c r="B171" i="56"/>
  <c r="B172" i="56"/>
  <c r="B173" i="56"/>
  <c r="B174" i="56"/>
  <c r="B175" i="56"/>
  <c r="B176" i="56"/>
  <c r="B177" i="56"/>
  <c r="B178" i="56"/>
  <c r="B179" i="56"/>
  <c r="B180" i="56"/>
  <c r="B181" i="56"/>
  <c r="B182" i="56"/>
  <c r="B183" i="56"/>
  <c r="B184" i="56"/>
  <c r="B185" i="56"/>
  <c r="B186" i="56"/>
  <c r="B187" i="56"/>
  <c r="B188" i="56"/>
  <c r="B189" i="56"/>
  <c r="B190" i="56"/>
  <c r="B191" i="56"/>
  <c r="B192" i="56"/>
  <c r="B193" i="56"/>
  <c r="B194" i="56"/>
  <c r="B195" i="56"/>
  <c r="B196" i="56"/>
  <c r="B197" i="56"/>
  <c r="B198" i="56"/>
  <c r="B199" i="56"/>
  <c r="B200" i="56"/>
  <c r="B201" i="56"/>
  <c r="B202" i="56"/>
  <c r="B203" i="56"/>
  <c r="B204" i="56"/>
  <c r="B205" i="56"/>
  <c r="B206" i="56"/>
  <c r="B207" i="56"/>
  <c r="B208" i="56"/>
  <c r="B209" i="56"/>
  <c r="B210" i="56"/>
  <c r="B211" i="56"/>
  <c r="B212" i="56"/>
  <c r="B213" i="56"/>
  <c r="B214" i="56"/>
  <c r="B215" i="56"/>
  <c r="B216" i="56"/>
  <c r="B217" i="56"/>
  <c r="B218" i="56"/>
  <c r="B219" i="56"/>
  <c r="B220" i="56"/>
  <c r="B221" i="56"/>
  <c r="B222" i="56"/>
  <c r="B223" i="56"/>
  <c r="B224" i="56"/>
  <c r="B225" i="56"/>
  <c r="B226" i="56"/>
  <c r="B227" i="56"/>
  <c r="B228" i="56"/>
  <c r="B229" i="56"/>
  <c r="B230" i="56"/>
  <c r="B231" i="56"/>
  <c r="B232" i="56"/>
  <c r="B233" i="56"/>
  <c r="B234" i="56"/>
  <c r="B235" i="56"/>
  <c r="B236" i="56"/>
  <c r="B237" i="56"/>
  <c r="B238" i="56"/>
  <c r="B239" i="56"/>
  <c r="B240" i="56"/>
  <c r="B241" i="56"/>
  <c r="B242" i="56"/>
  <c r="B243" i="56"/>
  <c r="B244" i="56"/>
  <c r="B245" i="56"/>
  <c r="B246" i="56"/>
  <c r="B247" i="56"/>
  <c r="B248" i="56"/>
  <c r="B249" i="56"/>
  <c r="B250" i="56"/>
  <c r="B251" i="56"/>
  <c r="B252" i="56"/>
  <c r="B253" i="56"/>
  <c r="B254" i="56"/>
  <c r="B255" i="56"/>
  <c r="B256" i="56"/>
  <c r="B257" i="56"/>
  <c r="B258" i="56"/>
  <c r="B259" i="56"/>
  <c r="B260" i="56"/>
  <c r="B261" i="56"/>
  <c r="B262" i="56"/>
  <c r="B263" i="56"/>
  <c r="B264" i="56"/>
  <c r="B265" i="56"/>
  <c r="B266" i="56"/>
  <c r="B267" i="56"/>
  <c r="B268" i="56"/>
  <c r="B269" i="56"/>
  <c r="B270" i="56"/>
  <c r="B271" i="56"/>
  <c r="B272" i="56"/>
  <c r="B273" i="56"/>
  <c r="B274" i="56"/>
  <c r="B275" i="56"/>
  <c r="B276" i="56"/>
  <c r="B277" i="56"/>
  <c r="B278" i="56"/>
  <c r="B279" i="56"/>
  <c r="B280" i="56"/>
  <c r="B281" i="56"/>
  <c r="B282" i="56"/>
  <c r="B283" i="56"/>
  <c r="B284" i="56"/>
  <c r="B285" i="56"/>
  <c r="B286" i="56"/>
  <c r="B287" i="56"/>
  <c r="B288" i="56"/>
  <c r="B289" i="56"/>
  <c r="B290" i="56"/>
  <c r="B291" i="56"/>
  <c r="B292" i="56"/>
  <c r="B293" i="56"/>
  <c r="B294" i="56"/>
  <c r="B295" i="56"/>
  <c r="B296" i="56"/>
  <c r="B297" i="56"/>
  <c r="B298" i="56"/>
  <c r="B299" i="56"/>
  <c r="B300" i="56"/>
  <c r="B301" i="56"/>
  <c r="B302" i="56"/>
  <c r="B303" i="56"/>
  <c r="B304" i="56"/>
  <c r="B305" i="56"/>
  <c r="B306" i="56"/>
  <c r="B307" i="56"/>
  <c r="B2" i="56"/>
  <c r="N4" i="54"/>
  <c r="N5" i="54"/>
  <c r="N6" i="54"/>
  <c r="N7" i="54"/>
  <c r="N8" i="54"/>
  <c r="N9" i="54"/>
  <c r="N10" i="54"/>
  <c r="N11" i="54"/>
  <c r="N12" i="54"/>
  <c r="N13" i="54"/>
  <c r="N14" i="54"/>
  <c r="N15" i="54"/>
  <c r="N16" i="54"/>
  <c r="N17" i="54"/>
  <c r="N18" i="54"/>
  <c r="N19" i="54"/>
  <c r="N20" i="54"/>
  <c r="N21" i="54"/>
  <c r="N22" i="54"/>
  <c r="N23" i="54"/>
  <c r="N24" i="54"/>
  <c r="N25" i="54"/>
  <c r="N26" i="54"/>
  <c r="N27" i="54"/>
  <c r="N28" i="54"/>
  <c r="N29" i="54"/>
  <c r="N30" i="54"/>
  <c r="N31" i="54"/>
  <c r="N32" i="54"/>
  <c r="N33" i="54"/>
  <c r="N34" i="54"/>
  <c r="N35" i="54"/>
  <c r="N36" i="54"/>
  <c r="N37" i="54"/>
  <c r="N38" i="54"/>
  <c r="N39" i="54"/>
  <c r="N40" i="54"/>
  <c r="N41" i="54"/>
  <c r="N42" i="54"/>
  <c r="N43" i="54"/>
  <c r="N44" i="54"/>
  <c r="N45" i="54"/>
  <c r="N46" i="54"/>
  <c r="N47" i="54"/>
  <c r="N48" i="54"/>
  <c r="N49" i="54"/>
  <c r="N50" i="54"/>
  <c r="N51" i="54"/>
  <c r="N52" i="54"/>
  <c r="N53" i="54"/>
  <c r="N54" i="54"/>
  <c r="N55" i="54"/>
  <c r="N56" i="54"/>
  <c r="N57" i="54"/>
  <c r="N58" i="54"/>
  <c r="N59" i="54"/>
  <c r="N60" i="54"/>
  <c r="N61" i="54"/>
  <c r="N62" i="54"/>
  <c r="N63" i="54"/>
  <c r="N64" i="54"/>
  <c r="N65" i="54"/>
  <c r="N66" i="54"/>
  <c r="N67" i="54"/>
  <c r="N68" i="54"/>
  <c r="N69" i="54"/>
  <c r="N70" i="54"/>
  <c r="N71" i="54"/>
  <c r="N72" i="54"/>
  <c r="N73" i="54"/>
  <c r="N74" i="54"/>
  <c r="N75" i="54"/>
  <c r="N76" i="54"/>
  <c r="N77" i="54"/>
  <c r="N78" i="54"/>
  <c r="N79" i="54"/>
  <c r="N80" i="54"/>
  <c r="N81" i="54"/>
  <c r="N82" i="54"/>
  <c r="N83" i="54"/>
  <c r="N84" i="54"/>
  <c r="N85" i="54"/>
  <c r="N86" i="54"/>
  <c r="N87" i="54"/>
  <c r="N88" i="54"/>
  <c r="N89" i="54"/>
  <c r="N90" i="54"/>
  <c r="N91" i="54"/>
  <c r="N92" i="54"/>
  <c r="N93" i="54"/>
  <c r="N94" i="54"/>
  <c r="N95" i="54"/>
  <c r="N96" i="54"/>
  <c r="N97" i="54"/>
  <c r="N98" i="54"/>
  <c r="N99" i="54"/>
  <c r="N100" i="54"/>
  <c r="N101" i="54"/>
  <c r="N102" i="54"/>
  <c r="N103" i="54"/>
  <c r="N104" i="54"/>
  <c r="N105" i="54"/>
  <c r="N106" i="54"/>
  <c r="N107" i="54"/>
  <c r="N108" i="54"/>
  <c r="N109" i="54"/>
  <c r="N110" i="54"/>
  <c r="N111" i="54"/>
  <c r="N112" i="54"/>
  <c r="N113" i="54"/>
  <c r="N114" i="54"/>
  <c r="N115" i="54"/>
  <c r="N116" i="54"/>
  <c r="N117" i="54"/>
  <c r="N118" i="54"/>
  <c r="N119" i="54"/>
  <c r="N120" i="54"/>
  <c r="N121" i="54"/>
  <c r="N122" i="54"/>
  <c r="N123" i="54"/>
  <c r="N124" i="54"/>
  <c r="N125" i="54"/>
  <c r="N126" i="54"/>
  <c r="N127" i="54"/>
  <c r="N128" i="54"/>
  <c r="N129" i="54"/>
  <c r="N130" i="54"/>
  <c r="N131" i="54"/>
  <c r="N132" i="54"/>
  <c r="N133" i="54"/>
  <c r="N134" i="54"/>
  <c r="N135" i="54"/>
  <c r="N136" i="54"/>
  <c r="N137" i="54"/>
  <c r="N138" i="54"/>
  <c r="N139" i="54"/>
  <c r="N140" i="54"/>
  <c r="N141" i="54"/>
  <c r="N142" i="54"/>
  <c r="N143" i="54"/>
  <c r="N144" i="54"/>
  <c r="N145" i="54"/>
  <c r="N146" i="54"/>
  <c r="N147" i="54"/>
  <c r="N148" i="54"/>
  <c r="N149" i="54"/>
  <c r="N150" i="54"/>
  <c r="N151" i="54"/>
  <c r="N152" i="54"/>
  <c r="N153" i="54"/>
  <c r="N154" i="54"/>
  <c r="N155" i="54"/>
  <c r="N156" i="54"/>
  <c r="N157" i="54"/>
  <c r="N158" i="54"/>
  <c r="N159" i="54"/>
  <c r="N160" i="54"/>
  <c r="N161" i="54"/>
  <c r="N162" i="54"/>
  <c r="N163" i="54"/>
  <c r="N164" i="54"/>
  <c r="N165" i="54"/>
  <c r="N166" i="54"/>
  <c r="N167" i="54"/>
  <c r="N168" i="54"/>
  <c r="N169" i="54"/>
  <c r="N170" i="54"/>
  <c r="N171" i="54"/>
  <c r="N172" i="54"/>
  <c r="N173" i="54"/>
  <c r="N174" i="54"/>
  <c r="N175" i="54"/>
  <c r="N176" i="54"/>
  <c r="N177" i="54"/>
  <c r="N178" i="54"/>
  <c r="N179" i="54"/>
  <c r="N180" i="54"/>
  <c r="N181" i="54"/>
  <c r="N182" i="54"/>
  <c r="N183" i="54"/>
  <c r="N184" i="54"/>
  <c r="N185" i="54"/>
  <c r="N186" i="54"/>
  <c r="N187" i="54"/>
  <c r="N188" i="54"/>
  <c r="N189" i="54"/>
  <c r="N190" i="54"/>
  <c r="N191" i="54"/>
  <c r="N192" i="54"/>
  <c r="N193" i="54"/>
  <c r="N194" i="54"/>
  <c r="N195" i="54"/>
  <c r="N196" i="54"/>
  <c r="N197" i="54"/>
  <c r="N198" i="54"/>
  <c r="N199" i="54"/>
  <c r="N200" i="54"/>
  <c r="N201" i="54"/>
  <c r="N202" i="54"/>
  <c r="N203" i="54"/>
  <c r="N204" i="54"/>
  <c r="N205" i="54"/>
  <c r="N206" i="54"/>
  <c r="N207" i="54"/>
  <c r="N208" i="54"/>
  <c r="N209" i="54"/>
  <c r="N210" i="54"/>
  <c r="N211" i="54"/>
  <c r="N212" i="54"/>
  <c r="N213" i="54"/>
  <c r="N214" i="54"/>
  <c r="N215" i="54"/>
  <c r="N216" i="54"/>
  <c r="N217" i="54"/>
  <c r="N218" i="54"/>
  <c r="N219" i="54"/>
  <c r="N220" i="54"/>
  <c r="N221" i="54"/>
  <c r="N222" i="54"/>
  <c r="N223" i="54"/>
  <c r="N224" i="54"/>
  <c r="N225" i="54"/>
  <c r="N226" i="54"/>
  <c r="N227" i="54"/>
  <c r="N228" i="54"/>
  <c r="N229" i="54"/>
  <c r="N230" i="54"/>
  <c r="N231" i="54"/>
  <c r="N232" i="54"/>
  <c r="N233" i="54"/>
  <c r="N234" i="54"/>
  <c r="N235" i="54"/>
  <c r="N236" i="54"/>
  <c r="N237" i="54"/>
  <c r="N238" i="54"/>
  <c r="N239" i="54"/>
  <c r="N240" i="54"/>
  <c r="N241" i="54"/>
  <c r="N242" i="54"/>
  <c r="N243" i="54"/>
  <c r="N244" i="54"/>
  <c r="N245" i="54"/>
  <c r="N246" i="54"/>
  <c r="N247" i="54"/>
  <c r="N248" i="54"/>
  <c r="N249" i="54"/>
  <c r="N250" i="54"/>
  <c r="N251" i="54"/>
  <c r="N252" i="54"/>
  <c r="N253" i="54"/>
  <c r="N254" i="54"/>
  <c r="N255" i="54"/>
  <c r="N256" i="54"/>
  <c r="N257" i="54"/>
  <c r="N258" i="54"/>
  <c r="N259" i="54"/>
  <c r="N260" i="54"/>
  <c r="N261" i="54"/>
  <c r="N262" i="54"/>
  <c r="N263" i="54"/>
  <c r="N264" i="54"/>
  <c r="N265" i="54"/>
  <c r="N266" i="54"/>
  <c r="N267" i="54"/>
  <c r="N268" i="54"/>
  <c r="N269" i="54"/>
  <c r="N270" i="54"/>
  <c r="N271" i="54"/>
  <c r="N272" i="54"/>
  <c r="N273" i="54"/>
  <c r="N274" i="54"/>
  <c r="N275" i="54"/>
  <c r="N276" i="54"/>
  <c r="N277" i="54"/>
  <c r="N278" i="54"/>
  <c r="N279" i="54"/>
  <c r="N280" i="54"/>
  <c r="N281" i="54"/>
  <c r="N282" i="54"/>
  <c r="N283" i="54"/>
  <c r="N284" i="54"/>
  <c r="N285" i="54"/>
  <c r="N286" i="54"/>
  <c r="N287" i="54"/>
  <c r="N288" i="54"/>
  <c r="N289" i="54"/>
  <c r="N290" i="54"/>
  <c r="N291" i="54"/>
  <c r="N292" i="54"/>
  <c r="N293" i="54"/>
  <c r="N294" i="54"/>
  <c r="N295" i="54"/>
  <c r="N296" i="54"/>
  <c r="N297" i="54"/>
  <c r="N298" i="54"/>
  <c r="N299" i="54"/>
  <c r="N300" i="54"/>
  <c r="N301" i="54"/>
  <c r="N302" i="54"/>
  <c r="N303" i="54"/>
  <c r="N304" i="54"/>
  <c r="N305" i="54"/>
  <c r="N306" i="54"/>
  <c r="N307" i="54"/>
  <c r="N308" i="54"/>
  <c r="N3" i="54"/>
  <c r="AI308" i="54" l="1"/>
  <c r="AI307" i="54"/>
  <c r="AI306" i="54"/>
  <c r="AI305" i="54"/>
  <c r="AI304" i="54"/>
  <c r="AI303" i="54"/>
  <c r="AI302" i="54"/>
  <c r="AI301" i="54"/>
  <c r="AI300" i="54"/>
  <c r="AI299" i="54"/>
  <c r="AI298" i="54"/>
  <c r="AI297" i="54"/>
  <c r="AI296" i="54"/>
  <c r="AI295" i="54"/>
  <c r="AI294" i="54"/>
  <c r="AI293" i="54"/>
  <c r="AI292" i="54"/>
  <c r="AI291" i="54"/>
  <c r="AI290" i="54"/>
  <c r="AI289" i="54"/>
  <c r="AI263" i="54"/>
  <c r="AI260" i="54"/>
  <c r="AI259" i="54"/>
  <c r="AI258" i="54"/>
  <c r="AI257" i="54"/>
  <c r="AI256" i="54"/>
  <c r="AI255" i="54"/>
  <c r="AI254" i="54"/>
  <c r="AI252" i="54"/>
  <c r="AI197" i="54"/>
  <c r="AI196" i="54"/>
  <c r="AI195" i="54"/>
  <c r="AI194" i="54"/>
  <c r="AI193" i="54"/>
  <c r="AI192" i="54"/>
  <c r="AI191" i="54"/>
  <c r="AI189" i="54"/>
  <c r="AI188" i="54"/>
  <c r="AI186" i="54"/>
  <c r="AI185" i="54"/>
  <c r="AI184" i="54"/>
  <c r="AI183" i="54"/>
  <c r="AI180" i="54"/>
  <c r="AI179" i="54"/>
  <c r="AI176" i="54"/>
  <c r="AI175" i="54"/>
  <c r="AI169" i="54"/>
  <c r="AI163" i="54"/>
  <c r="AI162" i="54"/>
  <c r="AI156" i="54"/>
  <c r="AI155" i="54"/>
  <c r="AI147" i="54"/>
  <c r="AI146" i="54"/>
  <c r="AI138" i="54"/>
  <c r="AI137" i="54"/>
  <c r="AI122" i="54"/>
  <c r="AI121" i="54"/>
  <c r="AI114" i="54"/>
  <c r="AI112" i="54"/>
  <c r="AI62" i="54"/>
  <c r="AI56" i="54"/>
  <c r="AI52" i="54"/>
  <c r="AI49" i="54"/>
  <c r="AI45" i="54"/>
  <c r="AI44" i="54"/>
  <c r="AI43" i="54"/>
  <c r="AI42" i="54"/>
  <c r="AI40" i="54"/>
  <c r="AI39" i="54"/>
  <c r="AI38" i="54"/>
  <c r="AI33" i="54"/>
  <c r="AI31" i="54"/>
  <c r="AI30" i="54"/>
  <c r="AI29" i="54"/>
  <c r="AI28" i="54"/>
  <c r="AI27" i="54"/>
  <c r="AI26" i="54"/>
  <c r="AI23" i="54"/>
  <c r="AI22" i="54"/>
  <c r="AI21" i="54"/>
  <c r="AI20" i="54"/>
  <c r="AI19" i="54"/>
  <c r="AI18" i="54"/>
  <c r="AI17" i="54"/>
  <c r="AI16" i="54"/>
  <c r="AI15" i="54"/>
  <c r="AI14" i="54"/>
  <c r="AI13" i="54"/>
  <c r="AI12" i="54"/>
  <c r="AI11" i="54"/>
  <c r="AI10" i="54"/>
  <c r="AI9" i="54"/>
  <c r="AI8" i="54"/>
  <c r="AI7" i="54"/>
  <c r="AI6" i="54"/>
  <c r="AI5" i="54"/>
  <c r="AI4" i="54"/>
  <c r="AI3" i="54"/>
  <c r="AG308" i="54"/>
  <c r="AG307" i="54"/>
  <c r="AG306" i="54"/>
  <c r="AG305" i="54"/>
  <c r="AG304" i="54"/>
  <c r="AG303" i="54"/>
  <c r="AG302" i="54"/>
  <c r="AG301" i="54"/>
  <c r="AG300" i="54"/>
  <c r="AG299" i="54"/>
  <c r="AG298" i="54"/>
  <c r="AG297" i="54"/>
  <c r="AG296" i="54"/>
  <c r="AG295" i="54"/>
  <c r="AG294" i="54"/>
  <c r="AG293" i="54"/>
  <c r="AG292" i="54"/>
  <c r="AG291" i="54"/>
  <c r="AG290" i="54"/>
  <c r="AG289" i="54"/>
  <c r="AG263" i="54"/>
  <c r="AG260" i="54"/>
  <c r="AG259" i="54"/>
  <c r="AG258" i="54"/>
  <c r="AG257" i="54"/>
  <c r="AG256" i="54"/>
  <c r="AG255" i="54"/>
  <c r="AG254" i="54"/>
  <c r="AG252" i="54"/>
  <c r="AG197" i="54"/>
  <c r="AG196" i="54"/>
  <c r="AG195" i="54"/>
  <c r="AG194" i="54"/>
  <c r="AG193" i="54"/>
  <c r="AG192" i="54"/>
  <c r="AG191" i="54"/>
  <c r="AG189" i="54"/>
  <c r="AG188" i="54"/>
  <c r="AG186" i="54"/>
  <c r="AG185" i="54"/>
  <c r="AG184" i="54"/>
  <c r="AG183" i="54"/>
  <c r="AG180" i="54"/>
  <c r="AG179" i="54"/>
  <c r="AG176" i="54"/>
  <c r="AG175" i="54"/>
  <c r="AG169" i="54"/>
  <c r="AG163" i="54"/>
  <c r="AG162" i="54"/>
  <c r="AG156" i="54"/>
  <c r="AG155" i="54"/>
  <c r="AG147" i="54"/>
  <c r="AG146" i="54"/>
  <c r="AG138" i="54"/>
  <c r="AG137" i="54"/>
  <c r="AG122" i="54"/>
  <c r="AG121" i="54"/>
  <c r="AG114" i="54"/>
  <c r="AG112" i="54"/>
  <c r="AG62" i="54"/>
  <c r="AG56" i="54"/>
  <c r="AG52" i="54"/>
  <c r="AG49" i="54"/>
  <c r="AG45" i="54"/>
  <c r="AG44" i="54"/>
  <c r="AG43" i="54"/>
  <c r="AG42" i="54"/>
  <c r="AG40" i="54"/>
  <c r="AG39" i="54"/>
  <c r="AG38" i="54"/>
  <c r="AG33" i="54"/>
  <c r="AG31" i="54"/>
  <c r="AG30" i="54"/>
  <c r="AG29" i="54"/>
  <c r="AG28" i="54"/>
  <c r="AG27" i="54"/>
  <c r="AG26" i="54"/>
  <c r="AG23" i="54"/>
  <c r="AG22" i="54"/>
  <c r="AG21" i="54"/>
  <c r="AG20" i="54"/>
  <c r="AG19" i="54"/>
  <c r="AG18" i="54"/>
  <c r="AG17" i="54"/>
  <c r="AG16" i="54"/>
  <c r="AG15" i="54"/>
  <c r="AG14" i="54"/>
  <c r="AG13" i="54"/>
  <c r="AG12" i="54"/>
  <c r="AG11" i="54"/>
  <c r="AG10" i="54"/>
  <c r="AG9" i="54"/>
  <c r="AG8" i="54"/>
  <c r="AG7" i="54"/>
  <c r="AG6" i="54"/>
  <c r="AG5" i="54"/>
  <c r="AG4" i="54"/>
  <c r="AG3" i="54"/>
  <c r="AA308" i="54"/>
  <c r="Y308" i="54" s="1"/>
  <c r="AC308" i="54" s="1"/>
  <c r="S308" i="54"/>
  <c r="D308" i="54"/>
  <c r="C308" i="54"/>
  <c r="AA307" i="54"/>
  <c r="Y307" i="54" s="1"/>
  <c r="AC307" i="54" s="1"/>
  <c r="V307" i="54" s="1"/>
  <c r="W307" i="54" s="1"/>
  <c r="S307" i="54"/>
  <c r="D307" i="54"/>
  <c r="C307" i="54"/>
  <c r="G307" i="54" s="1"/>
  <c r="AA306" i="54"/>
  <c r="Y306" i="54" s="1"/>
  <c r="AC306" i="54" s="1"/>
  <c r="S306" i="54"/>
  <c r="D306" i="54"/>
  <c r="C306" i="54"/>
  <c r="AA305" i="54"/>
  <c r="Y305" i="54" s="1"/>
  <c r="AC305" i="54" s="1"/>
  <c r="AP305" i="54" s="1"/>
  <c r="S305" i="54"/>
  <c r="D305" i="54"/>
  <c r="C305" i="54"/>
  <c r="G305" i="54" s="1"/>
  <c r="AA304" i="54"/>
  <c r="Y304" i="54" s="1"/>
  <c r="AC304" i="54" s="1"/>
  <c r="S304" i="54"/>
  <c r="D304" i="54"/>
  <c r="C304" i="54"/>
  <c r="AA303" i="54"/>
  <c r="Y303" i="54" s="1"/>
  <c r="AC303" i="54" s="1"/>
  <c r="V303" i="54" s="1"/>
  <c r="W303" i="54" s="1"/>
  <c r="S303" i="54"/>
  <c r="D303" i="54"/>
  <c r="C303" i="54"/>
  <c r="G303" i="54" s="1"/>
  <c r="AA302" i="54"/>
  <c r="Y302" i="54" s="1"/>
  <c r="AC302" i="54" s="1"/>
  <c r="S302" i="54"/>
  <c r="D302" i="54"/>
  <c r="C302" i="54"/>
  <c r="AA301" i="54"/>
  <c r="Y301" i="54" s="1"/>
  <c r="AC301" i="54" s="1"/>
  <c r="S301" i="54"/>
  <c r="D301" i="54"/>
  <c r="C301" i="54"/>
  <c r="G301" i="54" s="1"/>
  <c r="AA300" i="54"/>
  <c r="Y300" i="54" s="1"/>
  <c r="AC300" i="54" s="1"/>
  <c r="S300" i="54"/>
  <c r="D300" i="54"/>
  <c r="C300" i="54"/>
  <c r="AA299" i="54"/>
  <c r="Y299" i="54" s="1"/>
  <c r="AC299" i="54" s="1"/>
  <c r="S299" i="54"/>
  <c r="D299" i="54"/>
  <c r="C299" i="54"/>
  <c r="G299" i="54" s="1"/>
  <c r="AA298" i="54"/>
  <c r="Y298" i="54" s="1"/>
  <c r="AC298" i="54" s="1"/>
  <c r="S298" i="54"/>
  <c r="D298" i="54"/>
  <c r="C298" i="54"/>
  <c r="AA297" i="54"/>
  <c r="Y297" i="54" s="1"/>
  <c r="AC297" i="54" s="1"/>
  <c r="S297" i="54"/>
  <c r="D297" i="54"/>
  <c r="C297" i="54"/>
  <c r="G297" i="54" s="1"/>
  <c r="AA296" i="54"/>
  <c r="Y296" i="54" s="1"/>
  <c r="AC296" i="54" s="1"/>
  <c r="S296" i="54"/>
  <c r="D296" i="54"/>
  <c r="C296" i="54"/>
  <c r="AA295" i="54"/>
  <c r="Y295" i="54" s="1"/>
  <c r="AC295" i="54" s="1"/>
  <c r="V295" i="54" s="1"/>
  <c r="W295" i="54" s="1"/>
  <c r="S295" i="54"/>
  <c r="D295" i="54"/>
  <c r="C295" i="54"/>
  <c r="G295" i="54" s="1"/>
  <c r="AA294" i="54"/>
  <c r="Y294" i="54" s="1"/>
  <c r="AC294" i="54" s="1"/>
  <c r="S294" i="54"/>
  <c r="D294" i="54"/>
  <c r="C294" i="54"/>
  <c r="AA293" i="54"/>
  <c r="Y293" i="54" s="1"/>
  <c r="AC293" i="54" s="1"/>
  <c r="S293" i="54"/>
  <c r="D293" i="54"/>
  <c r="C293" i="54"/>
  <c r="G293" i="54" s="1"/>
  <c r="AA292" i="54"/>
  <c r="Y292" i="54" s="1"/>
  <c r="AC292" i="54" s="1"/>
  <c r="S292" i="54"/>
  <c r="D292" i="54"/>
  <c r="C292" i="54"/>
  <c r="AA291" i="54"/>
  <c r="Y291" i="54" s="1"/>
  <c r="AC291" i="54" s="1"/>
  <c r="S291" i="54"/>
  <c r="D291" i="54"/>
  <c r="C291" i="54"/>
  <c r="G291" i="54" s="1"/>
  <c r="AA290" i="54"/>
  <c r="Y290" i="54" s="1"/>
  <c r="AC290" i="54" s="1"/>
  <c r="S290" i="54"/>
  <c r="D290" i="54"/>
  <c r="C290" i="54"/>
  <c r="AA289" i="54"/>
  <c r="Y289" i="54" s="1"/>
  <c r="AC289" i="54" s="1"/>
  <c r="S289" i="54"/>
  <c r="D289" i="54"/>
  <c r="C289" i="54"/>
  <c r="G289" i="54" s="1"/>
  <c r="AC288" i="54"/>
  <c r="P288" i="54"/>
  <c r="S288" i="54" s="1"/>
  <c r="D288" i="54"/>
  <c r="C288" i="54"/>
  <c r="AC287" i="54"/>
  <c r="V287" i="54" s="1"/>
  <c r="W287" i="54" s="1"/>
  <c r="S287" i="54"/>
  <c r="B287" i="54"/>
  <c r="D287" i="54" s="1"/>
  <c r="AC286" i="54"/>
  <c r="AP286" i="54" s="1"/>
  <c r="S286" i="54"/>
  <c r="B286" i="54"/>
  <c r="D286" i="54" s="1"/>
  <c r="AC285" i="54"/>
  <c r="V285" i="54" s="1"/>
  <c r="W285" i="54" s="1"/>
  <c r="S285" i="54"/>
  <c r="D285" i="54"/>
  <c r="C285" i="54"/>
  <c r="G285" i="54" s="1"/>
  <c r="AC284" i="54"/>
  <c r="V284" i="54" s="1"/>
  <c r="W284" i="54" s="1"/>
  <c r="S284" i="54"/>
  <c r="D284" i="54"/>
  <c r="C284" i="54"/>
  <c r="AC283" i="54"/>
  <c r="AP283" i="54" s="1"/>
  <c r="S283" i="54"/>
  <c r="D283" i="54"/>
  <c r="C283" i="54"/>
  <c r="G283" i="54" s="1"/>
  <c r="AC282" i="54"/>
  <c r="AP282" i="54" s="1"/>
  <c r="S282" i="54"/>
  <c r="D282" i="54"/>
  <c r="C282" i="54"/>
  <c r="AC281" i="54"/>
  <c r="V281" i="54" s="1"/>
  <c r="W281" i="54" s="1"/>
  <c r="S281" i="54"/>
  <c r="D281" i="54"/>
  <c r="C281" i="54"/>
  <c r="G281" i="54" s="1"/>
  <c r="AC280" i="54"/>
  <c r="V280" i="54" s="1"/>
  <c r="W280" i="54" s="1"/>
  <c r="S280" i="54"/>
  <c r="D280" i="54"/>
  <c r="C280" i="54"/>
  <c r="AC279" i="54"/>
  <c r="AP279" i="54" s="1"/>
  <c r="S279" i="54"/>
  <c r="D279" i="54"/>
  <c r="C279" i="54"/>
  <c r="G279" i="54" s="1"/>
  <c r="AC278" i="54"/>
  <c r="AP278" i="54" s="1"/>
  <c r="S278" i="54"/>
  <c r="D278" i="54"/>
  <c r="C278" i="54"/>
  <c r="AC277" i="54"/>
  <c r="AP277" i="54" s="1"/>
  <c r="P277" i="54"/>
  <c r="S277" i="54" s="1"/>
  <c r="D277" i="54"/>
  <c r="C277" i="54"/>
  <c r="G277" i="54" s="1"/>
  <c r="AC276" i="54"/>
  <c r="AP276" i="54" s="1"/>
  <c r="S276" i="54"/>
  <c r="D276" i="54"/>
  <c r="C276" i="54"/>
  <c r="AC275" i="54"/>
  <c r="AP275" i="54" s="1"/>
  <c r="S275" i="54"/>
  <c r="D275" i="54"/>
  <c r="C275" i="54"/>
  <c r="G275" i="54" s="1"/>
  <c r="AC274" i="54"/>
  <c r="S274" i="54"/>
  <c r="D274" i="54"/>
  <c r="C274" i="54"/>
  <c r="AC273" i="54"/>
  <c r="S273" i="54"/>
  <c r="D273" i="54"/>
  <c r="C273" i="54"/>
  <c r="G273" i="54" s="1"/>
  <c r="AC272" i="54"/>
  <c r="V272" i="54" s="1"/>
  <c r="W272" i="54" s="1"/>
  <c r="S272" i="54"/>
  <c r="D272" i="54"/>
  <c r="C272" i="54"/>
  <c r="AC271" i="54"/>
  <c r="AP271" i="54" s="1"/>
  <c r="S271" i="54"/>
  <c r="D271" i="54"/>
  <c r="C271" i="54"/>
  <c r="G271" i="54" s="1"/>
  <c r="AC270" i="54"/>
  <c r="S270" i="54"/>
  <c r="D270" i="54"/>
  <c r="C270" i="54"/>
  <c r="AC269" i="54"/>
  <c r="S269" i="54"/>
  <c r="D269" i="54"/>
  <c r="C269" i="54"/>
  <c r="G269" i="54" s="1"/>
  <c r="AC268" i="54"/>
  <c r="AP268" i="54" s="1"/>
  <c r="S268" i="54"/>
  <c r="D268" i="54"/>
  <c r="C268" i="54"/>
  <c r="AC267" i="54"/>
  <c r="V267" i="54" s="1"/>
  <c r="W267" i="54" s="1"/>
  <c r="S267" i="54"/>
  <c r="D267" i="54"/>
  <c r="C267" i="54"/>
  <c r="G267" i="54" s="1"/>
  <c r="AC266" i="54"/>
  <c r="P266" i="54"/>
  <c r="S266" i="54" s="1"/>
  <c r="D266" i="54"/>
  <c r="C266" i="54"/>
  <c r="Y265" i="54"/>
  <c r="AC265" i="54" s="1"/>
  <c r="AP265" i="54" s="1"/>
  <c r="S265" i="54"/>
  <c r="D265" i="54"/>
  <c r="C265" i="54"/>
  <c r="G265" i="54" s="1"/>
  <c r="Y264" i="54"/>
  <c r="AC264" i="54" s="1"/>
  <c r="V264" i="54" s="1"/>
  <c r="W264" i="54" s="1"/>
  <c r="P264" i="54"/>
  <c r="S264" i="54" s="1"/>
  <c r="D264" i="54"/>
  <c r="C264" i="54"/>
  <c r="Y263" i="54"/>
  <c r="AC263" i="54" s="1"/>
  <c r="S263" i="54"/>
  <c r="D263" i="54"/>
  <c r="C263" i="54"/>
  <c r="G263" i="54" s="1"/>
  <c r="AC262" i="54"/>
  <c r="AP262" i="54" s="1"/>
  <c r="P262" i="54"/>
  <c r="S262" i="54" s="1"/>
  <c r="D262" i="54"/>
  <c r="C262" i="54"/>
  <c r="AC261" i="54"/>
  <c r="S261" i="54"/>
  <c r="D261" i="54"/>
  <c r="C261" i="54"/>
  <c r="G261" i="54" s="1"/>
  <c r="AA260" i="54"/>
  <c r="Y260" i="54" s="1"/>
  <c r="AC260" i="54" s="1"/>
  <c r="S260" i="54"/>
  <c r="D260" i="54"/>
  <c r="C260" i="54"/>
  <c r="Y259" i="54"/>
  <c r="AC259" i="54" s="1"/>
  <c r="S259" i="54"/>
  <c r="D259" i="54"/>
  <c r="C259" i="54"/>
  <c r="G259" i="54" s="1"/>
  <c r="Y258" i="54"/>
  <c r="AC258" i="54" s="1"/>
  <c r="S258" i="54"/>
  <c r="D258" i="54"/>
  <c r="C258" i="54"/>
  <c r="Y257" i="54"/>
  <c r="AC257" i="54" s="1"/>
  <c r="S257" i="54"/>
  <c r="D257" i="54"/>
  <c r="C257" i="54"/>
  <c r="G257" i="54" s="1"/>
  <c r="Y256" i="54"/>
  <c r="AC256" i="54" s="1"/>
  <c r="S256" i="54"/>
  <c r="D256" i="54"/>
  <c r="C256" i="54"/>
  <c r="Y255" i="54"/>
  <c r="AC255" i="54" s="1"/>
  <c r="V255" i="54" s="1"/>
  <c r="W255" i="54" s="1"/>
  <c r="S255" i="54"/>
  <c r="D255" i="54"/>
  <c r="C255" i="54"/>
  <c r="G255" i="54" s="1"/>
  <c r="Y254" i="54"/>
  <c r="AC254" i="54" s="1"/>
  <c r="S254" i="54"/>
  <c r="D254" i="54"/>
  <c r="C254" i="54"/>
  <c r="AC253" i="54"/>
  <c r="S253" i="54"/>
  <c r="D253" i="54"/>
  <c r="C253" i="54"/>
  <c r="G253" i="54" s="1"/>
  <c r="Y252" i="54"/>
  <c r="AC252" i="54" s="1"/>
  <c r="S252" i="54"/>
  <c r="D252" i="54"/>
  <c r="C252" i="54"/>
  <c r="Y251" i="54"/>
  <c r="AC251" i="54" s="1"/>
  <c r="AP251" i="54" s="1"/>
  <c r="S251" i="54"/>
  <c r="D251" i="54"/>
  <c r="C251" i="54"/>
  <c r="G251" i="54" s="1"/>
  <c r="Y250" i="54"/>
  <c r="AC250" i="54" s="1"/>
  <c r="S250" i="54"/>
  <c r="D250" i="54"/>
  <c r="C250" i="54"/>
  <c r="Y249" i="54"/>
  <c r="AC249" i="54" s="1"/>
  <c r="AP249" i="54" s="1"/>
  <c r="S249" i="54"/>
  <c r="D249" i="54"/>
  <c r="C249" i="54"/>
  <c r="G249" i="54" s="1"/>
  <c r="AC248" i="54"/>
  <c r="V248" i="54" s="1"/>
  <c r="W248" i="54" s="1"/>
  <c r="P248" i="54"/>
  <c r="S248" i="54" s="1"/>
  <c r="D248" i="54"/>
  <c r="C248" i="54"/>
  <c r="AC247" i="54"/>
  <c r="AP247" i="54" s="1"/>
  <c r="S247" i="54"/>
  <c r="D247" i="54"/>
  <c r="C247" i="54"/>
  <c r="G247" i="54" s="1"/>
  <c r="AC246" i="54"/>
  <c r="V246" i="54" s="1"/>
  <c r="W246" i="54" s="1"/>
  <c r="S246" i="54"/>
  <c r="D246" i="54"/>
  <c r="C246" i="54"/>
  <c r="AC245" i="54"/>
  <c r="AP245" i="54" s="1"/>
  <c r="S245" i="54"/>
  <c r="D245" i="54"/>
  <c r="C245" i="54"/>
  <c r="G245" i="54" s="1"/>
  <c r="AC244" i="54"/>
  <c r="AP244" i="54" s="1"/>
  <c r="P244" i="54"/>
  <c r="S244" i="54" s="1"/>
  <c r="D244" i="54"/>
  <c r="C244" i="54"/>
  <c r="AC243" i="54"/>
  <c r="S243" i="54"/>
  <c r="D243" i="54"/>
  <c r="C243" i="54"/>
  <c r="G243" i="54" s="1"/>
  <c r="AC242" i="54"/>
  <c r="V242" i="54" s="1"/>
  <c r="W242" i="54" s="1"/>
  <c r="S242" i="54"/>
  <c r="D242" i="54"/>
  <c r="C242" i="54"/>
  <c r="AC241" i="54"/>
  <c r="AP241" i="54" s="1"/>
  <c r="S241" i="54"/>
  <c r="D241" i="54"/>
  <c r="C241" i="54"/>
  <c r="G241" i="54" s="1"/>
  <c r="AC240" i="54"/>
  <c r="S240" i="54"/>
  <c r="D240" i="54"/>
  <c r="C240" i="54"/>
  <c r="AC239" i="54"/>
  <c r="S239" i="54"/>
  <c r="D239" i="54"/>
  <c r="C239" i="54"/>
  <c r="G239" i="54" s="1"/>
  <c r="AC238" i="54"/>
  <c r="AP238" i="54" s="1"/>
  <c r="S238" i="54"/>
  <c r="D238" i="54"/>
  <c r="C238" i="54"/>
  <c r="AC237" i="54"/>
  <c r="V237" i="54" s="1"/>
  <c r="W237" i="54" s="1"/>
  <c r="S237" i="54"/>
  <c r="D237" i="54"/>
  <c r="C237" i="54"/>
  <c r="G237" i="54" s="1"/>
  <c r="AC236" i="54"/>
  <c r="S236" i="54"/>
  <c r="D236" i="54"/>
  <c r="C236" i="54"/>
  <c r="AC235" i="54"/>
  <c r="V235" i="54" s="1"/>
  <c r="W235" i="54" s="1"/>
  <c r="S235" i="54"/>
  <c r="D235" i="54"/>
  <c r="C235" i="54"/>
  <c r="G235" i="54" s="1"/>
  <c r="AC234" i="54"/>
  <c r="S234" i="54"/>
  <c r="D234" i="54"/>
  <c r="C234" i="54"/>
  <c r="AC233" i="54"/>
  <c r="AP233" i="54" s="1"/>
  <c r="S233" i="54"/>
  <c r="D233" i="54"/>
  <c r="C233" i="54"/>
  <c r="G233" i="54" s="1"/>
  <c r="AC232" i="54"/>
  <c r="S232" i="54"/>
  <c r="D232" i="54"/>
  <c r="C232" i="54"/>
  <c r="G232" i="54" s="1"/>
  <c r="AC231" i="54"/>
  <c r="V231" i="54" s="1"/>
  <c r="W231" i="54" s="1"/>
  <c r="P231" i="54"/>
  <c r="S231" i="54" s="1"/>
  <c r="D231" i="54"/>
  <c r="C231" i="54"/>
  <c r="G231" i="54" s="1"/>
  <c r="AC230" i="54"/>
  <c r="AP230" i="54" s="1"/>
  <c r="S230" i="54"/>
  <c r="D230" i="54"/>
  <c r="C230" i="54"/>
  <c r="G230" i="54" s="1"/>
  <c r="AC229" i="54"/>
  <c r="S229" i="54"/>
  <c r="D229" i="54"/>
  <c r="C229" i="54"/>
  <c r="G229" i="54" s="1"/>
  <c r="Y228" i="54"/>
  <c r="AC228" i="54" s="1"/>
  <c r="P228" i="54"/>
  <c r="S228" i="54" s="1"/>
  <c r="D228" i="54"/>
  <c r="C228" i="54"/>
  <c r="G228" i="54" s="1"/>
  <c r="Y227" i="54"/>
  <c r="AC227" i="54" s="1"/>
  <c r="P227" i="54"/>
  <c r="S227" i="54" s="1"/>
  <c r="D227" i="54"/>
  <c r="C227" i="54"/>
  <c r="G227" i="54" s="1"/>
  <c r="Y226" i="54"/>
  <c r="AC226" i="54" s="1"/>
  <c r="P226" i="54"/>
  <c r="S226" i="54" s="1"/>
  <c r="D226" i="54"/>
  <c r="C226" i="54"/>
  <c r="G226" i="54" s="1"/>
  <c r="AC225" i="54"/>
  <c r="AP225" i="54" s="1"/>
  <c r="S225" i="54"/>
  <c r="D225" i="54"/>
  <c r="C225" i="54"/>
  <c r="G225" i="54" s="1"/>
  <c r="Y224" i="54"/>
  <c r="AC224" i="54" s="1"/>
  <c r="P224" i="54"/>
  <c r="S224" i="54" s="1"/>
  <c r="B224" i="54"/>
  <c r="D224" i="54" s="1"/>
  <c r="AC223" i="54"/>
  <c r="AP223" i="54" s="1"/>
  <c r="S223" i="54"/>
  <c r="B223" i="54"/>
  <c r="C223" i="54" s="1"/>
  <c r="AC222" i="54"/>
  <c r="AP222" i="54" s="1"/>
  <c r="P222" i="54"/>
  <c r="S222" i="54" s="1"/>
  <c r="B222" i="54"/>
  <c r="AC221" i="54"/>
  <c r="V221" i="54" s="1"/>
  <c r="W221" i="54" s="1"/>
  <c r="P221" i="54"/>
  <c r="S221" i="54" s="1"/>
  <c r="B221" i="54"/>
  <c r="D221" i="54" s="1"/>
  <c r="AC220" i="54"/>
  <c r="AP220" i="54" s="1"/>
  <c r="P220" i="54"/>
  <c r="S220" i="54" s="1"/>
  <c r="B220" i="54"/>
  <c r="C220" i="54" s="1"/>
  <c r="AC219" i="54"/>
  <c r="V219" i="54" s="1"/>
  <c r="W219" i="54" s="1"/>
  <c r="P219" i="54"/>
  <c r="S219" i="54" s="1"/>
  <c r="B219" i="54"/>
  <c r="D219" i="54" s="1"/>
  <c r="AC218" i="54"/>
  <c r="V218" i="54" s="1"/>
  <c r="W218" i="54" s="1"/>
  <c r="P218" i="54"/>
  <c r="S218" i="54" s="1"/>
  <c r="B218" i="54"/>
  <c r="AC217" i="54"/>
  <c r="V217" i="54" s="1"/>
  <c r="W217" i="54" s="1"/>
  <c r="P217" i="54"/>
  <c r="S217" i="54" s="1"/>
  <c r="B217" i="54"/>
  <c r="C217" i="54" s="1"/>
  <c r="AC216" i="54"/>
  <c r="AP216" i="54" s="1"/>
  <c r="P216" i="54"/>
  <c r="S216" i="54" s="1"/>
  <c r="B216" i="54"/>
  <c r="C216" i="54" s="1"/>
  <c r="Y215" i="54"/>
  <c r="AC215" i="54" s="1"/>
  <c r="AP215" i="54" s="1"/>
  <c r="S215" i="54"/>
  <c r="D215" i="54"/>
  <c r="C215" i="54"/>
  <c r="G215" i="54" s="1"/>
  <c r="AC214" i="54"/>
  <c r="AP214" i="54" s="1"/>
  <c r="S214" i="54"/>
  <c r="D214" i="54"/>
  <c r="C214" i="54"/>
  <c r="AC213" i="54"/>
  <c r="AP213" i="54" s="1"/>
  <c r="S213" i="54"/>
  <c r="D213" i="54"/>
  <c r="C213" i="54"/>
  <c r="G213" i="54" s="1"/>
  <c r="AC212" i="54"/>
  <c r="V212" i="54" s="1"/>
  <c r="W212" i="54" s="1"/>
  <c r="S212" i="54"/>
  <c r="D212" i="54"/>
  <c r="C212" i="54"/>
  <c r="AC211" i="54"/>
  <c r="AP211" i="54" s="1"/>
  <c r="S211" i="54"/>
  <c r="D211" i="54"/>
  <c r="C211" i="54"/>
  <c r="G211" i="54" s="1"/>
  <c r="Y210" i="54"/>
  <c r="AC210" i="54" s="1"/>
  <c r="S210" i="54"/>
  <c r="D210" i="54"/>
  <c r="C210" i="54"/>
  <c r="AC209" i="54"/>
  <c r="S209" i="54"/>
  <c r="D209" i="54"/>
  <c r="C209" i="54"/>
  <c r="G209" i="54" s="1"/>
  <c r="AC208" i="54"/>
  <c r="AP208" i="54" s="1"/>
  <c r="S208" i="54"/>
  <c r="D208" i="54"/>
  <c r="C208" i="54"/>
  <c r="AC207" i="54"/>
  <c r="AP207" i="54" s="1"/>
  <c r="S207" i="54"/>
  <c r="D207" i="54"/>
  <c r="C207" i="54"/>
  <c r="G207" i="54" s="1"/>
  <c r="Y206" i="54"/>
  <c r="AC206" i="54" s="1"/>
  <c r="S206" i="54"/>
  <c r="D206" i="54"/>
  <c r="C206" i="54"/>
  <c r="AC205" i="54"/>
  <c r="V205" i="54" s="1"/>
  <c r="W205" i="54" s="1"/>
  <c r="S205" i="54"/>
  <c r="D205" i="54"/>
  <c r="C205" i="54"/>
  <c r="G205" i="54" s="1"/>
  <c r="AC204" i="54"/>
  <c r="AP204" i="54" s="1"/>
  <c r="S204" i="54"/>
  <c r="D204" i="54"/>
  <c r="C204" i="54"/>
  <c r="AC203" i="54"/>
  <c r="AP203" i="54" s="1"/>
  <c r="S203" i="54"/>
  <c r="D203" i="54"/>
  <c r="C203" i="54"/>
  <c r="G203" i="54" s="1"/>
  <c r="AC202" i="54"/>
  <c r="V202" i="54" s="1"/>
  <c r="W202" i="54" s="1"/>
  <c r="S202" i="54"/>
  <c r="D202" i="54"/>
  <c r="C202" i="54"/>
  <c r="AC201" i="54"/>
  <c r="V201" i="54" s="1"/>
  <c r="W201" i="54" s="1"/>
  <c r="P201" i="54"/>
  <c r="S201" i="54" s="1"/>
  <c r="D201" i="54"/>
  <c r="C201" i="54"/>
  <c r="G201" i="54" s="1"/>
  <c r="AC200" i="54"/>
  <c r="AP200" i="54" s="1"/>
  <c r="P200" i="54"/>
  <c r="S200" i="54" s="1"/>
  <c r="D200" i="54"/>
  <c r="C200" i="54"/>
  <c r="AC199" i="54"/>
  <c r="P199" i="54"/>
  <c r="S199" i="54" s="1"/>
  <c r="D199" i="54"/>
  <c r="C199" i="54"/>
  <c r="G199" i="54" s="1"/>
  <c r="Y198" i="54"/>
  <c r="AC198" i="54" s="1"/>
  <c r="S198" i="54"/>
  <c r="D198" i="54"/>
  <c r="C198" i="54"/>
  <c r="AA197" i="54"/>
  <c r="Y197" i="54" s="1"/>
  <c r="AC197" i="54" s="1"/>
  <c r="S197" i="54"/>
  <c r="D197" i="54"/>
  <c r="C197" i="54"/>
  <c r="G197" i="54" s="1"/>
  <c r="AA196" i="54"/>
  <c r="Y196" i="54" s="1"/>
  <c r="AC196" i="54" s="1"/>
  <c r="V196" i="54" s="1"/>
  <c r="W196" i="54" s="1"/>
  <c r="S196" i="54"/>
  <c r="D196" i="54"/>
  <c r="C196" i="54"/>
  <c r="AA195" i="54"/>
  <c r="Z195" i="54"/>
  <c r="S195" i="54"/>
  <c r="D195" i="54"/>
  <c r="C195" i="54"/>
  <c r="G195" i="54" s="1"/>
  <c r="AA194" i="54"/>
  <c r="Z194" i="54"/>
  <c r="S194" i="54"/>
  <c r="D194" i="54"/>
  <c r="C194" i="54"/>
  <c r="G194" i="54" s="1"/>
  <c r="AA193" i="54"/>
  <c r="Y193" i="54" s="1"/>
  <c r="AC193" i="54" s="1"/>
  <c r="S193" i="54"/>
  <c r="D193" i="54"/>
  <c r="C193" i="54"/>
  <c r="AA192" i="54"/>
  <c r="Y192" i="54" s="1"/>
  <c r="AC192" i="54" s="1"/>
  <c r="AP192" i="54" s="1"/>
  <c r="S192" i="54"/>
  <c r="D192" i="54"/>
  <c r="C192" i="54"/>
  <c r="G192" i="54" s="1"/>
  <c r="AA191" i="54"/>
  <c r="Z191" i="54"/>
  <c r="S191" i="54"/>
  <c r="D191" i="54"/>
  <c r="C191" i="54"/>
  <c r="G191" i="54" s="1"/>
  <c r="AC190" i="54"/>
  <c r="AP190" i="54" s="1"/>
  <c r="S190" i="54"/>
  <c r="D190" i="54"/>
  <c r="C190" i="54"/>
  <c r="AA189" i="54"/>
  <c r="Z189" i="54"/>
  <c r="S189" i="54"/>
  <c r="D189" i="54"/>
  <c r="C189" i="54"/>
  <c r="AA188" i="54"/>
  <c r="Z188" i="54"/>
  <c r="S188" i="54"/>
  <c r="D188" i="54"/>
  <c r="C188" i="54"/>
  <c r="G188" i="54" s="1"/>
  <c r="AC187" i="54"/>
  <c r="S187" i="54"/>
  <c r="D187" i="54"/>
  <c r="C187" i="54"/>
  <c r="G187" i="54" s="1"/>
  <c r="AA186" i="54"/>
  <c r="Z186" i="54"/>
  <c r="S186" i="54"/>
  <c r="D186" i="54"/>
  <c r="C186" i="54"/>
  <c r="AA185" i="54"/>
  <c r="Z185" i="54"/>
  <c r="S185" i="54"/>
  <c r="D185" i="54"/>
  <c r="C185" i="54"/>
  <c r="AA184" i="54"/>
  <c r="Z184" i="54"/>
  <c r="S184" i="54"/>
  <c r="D184" i="54"/>
  <c r="C184" i="54"/>
  <c r="AA183" i="54"/>
  <c r="Z183" i="54"/>
  <c r="S183" i="54"/>
  <c r="D183" i="54"/>
  <c r="C183" i="54"/>
  <c r="G183" i="54" s="1"/>
  <c r="AC182" i="54"/>
  <c r="S182" i="54"/>
  <c r="D182" i="54"/>
  <c r="C182" i="54"/>
  <c r="G182" i="54" s="1"/>
  <c r="AC181" i="54"/>
  <c r="V181" i="54" s="1"/>
  <c r="W181" i="54" s="1"/>
  <c r="S181" i="54"/>
  <c r="D181" i="54"/>
  <c r="C181" i="54"/>
  <c r="G181" i="54" s="1"/>
  <c r="AA180" i="54"/>
  <c r="Y180" i="54" s="1"/>
  <c r="AC180" i="54" s="1"/>
  <c r="S180" i="54"/>
  <c r="D180" i="54"/>
  <c r="C180" i="54"/>
  <c r="G180" i="54" s="1"/>
  <c r="AA179" i="54"/>
  <c r="Y179" i="54" s="1"/>
  <c r="AC179" i="54" s="1"/>
  <c r="AP179" i="54" s="1"/>
  <c r="S179" i="54"/>
  <c r="D179" i="54"/>
  <c r="C179" i="54"/>
  <c r="G179" i="54" s="1"/>
  <c r="Y178" i="54"/>
  <c r="AC178" i="54" s="1"/>
  <c r="AP178" i="54" s="1"/>
  <c r="S178" i="54"/>
  <c r="D178" i="54"/>
  <c r="C178" i="54"/>
  <c r="G178" i="54" s="1"/>
  <c r="Y177" i="54"/>
  <c r="AC177" i="54" s="1"/>
  <c r="P177" i="54"/>
  <c r="S177" i="54" s="1"/>
  <c r="D177" i="54"/>
  <c r="C177" i="54"/>
  <c r="G177" i="54" s="1"/>
  <c r="Z176" i="54"/>
  <c r="Y176" i="54" s="1"/>
  <c r="AC176" i="54" s="1"/>
  <c r="AP176" i="54" s="1"/>
  <c r="S176" i="54"/>
  <c r="D176" i="54"/>
  <c r="C176" i="54"/>
  <c r="G176" i="54" s="1"/>
  <c r="Z175" i="54"/>
  <c r="Y175" i="54" s="1"/>
  <c r="AC175" i="54" s="1"/>
  <c r="S175" i="54"/>
  <c r="D175" i="54"/>
  <c r="C175" i="54"/>
  <c r="G175" i="54" s="1"/>
  <c r="AC174" i="54"/>
  <c r="V174" i="54" s="1"/>
  <c r="W174" i="54" s="1"/>
  <c r="S174" i="54"/>
  <c r="D174" i="54"/>
  <c r="C174" i="54"/>
  <c r="G174" i="54" s="1"/>
  <c r="AC173" i="54"/>
  <c r="AP173" i="54" s="1"/>
  <c r="S173" i="54"/>
  <c r="D173" i="54"/>
  <c r="C173" i="54"/>
  <c r="G173" i="54" s="1"/>
  <c r="AC172" i="54"/>
  <c r="S172" i="54"/>
  <c r="D172" i="54"/>
  <c r="C172" i="54"/>
  <c r="G172" i="54" s="1"/>
  <c r="AC171" i="54"/>
  <c r="AP171" i="54" s="1"/>
  <c r="S171" i="54"/>
  <c r="D171" i="54"/>
  <c r="C171" i="54"/>
  <c r="G171" i="54" s="1"/>
  <c r="AC170" i="54"/>
  <c r="V170" i="54" s="1"/>
  <c r="W170" i="54" s="1"/>
  <c r="S170" i="54"/>
  <c r="D170" i="54"/>
  <c r="C170" i="54"/>
  <c r="G170" i="54" s="1"/>
  <c r="Y169" i="54"/>
  <c r="AC169" i="54" s="1"/>
  <c r="S169" i="54"/>
  <c r="D169" i="54"/>
  <c r="C169" i="54"/>
  <c r="G169" i="54" s="1"/>
  <c r="AC168" i="54"/>
  <c r="S168" i="54"/>
  <c r="D168" i="54"/>
  <c r="C168" i="54"/>
  <c r="G168" i="54" s="1"/>
  <c r="AC167" i="54"/>
  <c r="V167" i="54" s="1"/>
  <c r="W167" i="54" s="1"/>
  <c r="S167" i="54"/>
  <c r="D167" i="54"/>
  <c r="C167" i="54"/>
  <c r="G167" i="54" s="1"/>
  <c r="AC166" i="54"/>
  <c r="AP166" i="54" s="1"/>
  <c r="S166" i="54"/>
  <c r="D166" i="54"/>
  <c r="C166" i="54"/>
  <c r="G166" i="54" s="1"/>
  <c r="AC165" i="54"/>
  <c r="V165" i="54" s="1"/>
  <c r="W165" i="54" s="1"/>
  <c r="S165" i="54"/>
  <c r="D165" i="54"/>
  <c r="C165" i="54"/>
  <c r="G165" i="54" s="1"/>
  <c r="AC164" i="54"/>
  <c r="AP164" i="54" s="1"/>
  <c r="S164" i="54"/>
  <c r="D164" i="54"/>
  <c r="C164" i="54"/>
  <c r="G164" i="54" s="1"/>
  <c r="Z163" i="54"/>
  <c r="Y163" i="54" s="1"/>
  <c r="AC163" i="54" s="1"/>
  <c r="S163" i="54"/>
  <c r="D163" i="54"/>
  <c r="C163" i="54"/>
  <c r="G163" i="54" s="1"/>
  <c r="Z162" i="54"/>
  <c r="Y162" i="54" s="1"/>
  <c r="AC162" i="54" s="1"/>
  <c r="S162" i="54"/>
  <c r="D162" i="54"/>
  <c r="C162" i="54"/>
  <c r="G162" i="54" s="1"/>
  <c r="AC161" i="54"/>
  <c r="S161" i="54"/>
  <c r="D161" i="54"/>
  <c r="C161" i="54"/>
  <c r="G161" i="54" s="1"/>
  <c r="AC160" i="54"/>
  <c r="V160" i="54" s="1"/>
  <c r="W160" i="54" s="1"/>
  <c r="S160" i="54"/>
  <c r="D160" i="54"/>
  <c r="C160" i="54"/>
  <c r="G160" i="54" s="1"/>
  <c r="AC159" i="54"/>
  <c r="AP159" i="54" s="1"/>
  <c r="S159" i="54"/>
  <c r="D159" i="54"/>
  <c r="C159" i="54"/>
  <c r="G159" i="54" s="1"/>
  <c r="AC158" i="54"/>
  <c r="AP158" i="54" s="1"/>
  <c r="S158" i="54"/>
  <c r="D158" i="54"/>
  <c r="C158" i="54"/>
  <c r="G158" i="54" s="1"/>
  <c r="AC157" i="54"/>
  <c r="S157" i="54"/>
  <c r="D157" i="54"/>
  <c r="C157" i="54"/>
  <c r="G157" i="54" s="1"/>
  <c r="Y156" i="54"/>
  <c r="AC156" i="54" s="1"/>
  <c r="S156" i="54"/>
  <c r="D156" i="54"/>
  <c r="C156" i="54"/>
  <c r="G156" i="54" s="1"/>
  <c r="Y155" i="54"/>
  <c r="AC155" i="54" s="1"/>
  <c r="S155" i="54"/>
  <c r="D155" i="54"/>
  <c r="C155" i="54"/>
  <c r="G155" i="54" s="1"/>
  <c r="AC154" i="54"/>
  <c r="S154" i="54"/>
  <c r="B154" i="54"/>
  <c r="AC153" i="54"/>
  <c r="V153" i="54" s="1"/>
  <c r="W153" i="54" s="1"/>
  <c r="S153" i="54"/>
  <c r="D153" i="54"/>
  <c r="C153" i="54"/>
  <c r="G153" i="54" s="1"/>
  <c r="AC152" i="54"/>
  <c r="AP152" i="54" s="1"/>
  <c r="S152" i="54"/>
  <c r="D152" i="54"/>
  <c r="C152" i="54"/>
  <c r="AC151" i="54"/>
  <c r="V151" i="54" s="1"/>
  <c r="W151" i="54" s="1"/>
  <c r="S151" i="54"/>
  <c r="D151" i="54"/>
  <c r="C151" i="54"/>
  <c r="G151" i="54" s="1"/>
  <c r="AC150" i="54"/>
  <c r="V150" i="54" s="1"/>
  <c r="W150" i="54" s="1"/>
  <c r="S150" i="54"/>
  <c r="D150" i="54"/>
  <c r="C150" i="54"/>
  <c r="AC149" i="54"/>
  <c r="V149" i="54" s="1"/>
  <c r="W149" i="54" s="1"/>
  <c r="S149" i="54"/>
  <c r="D149" i="54"/>
  <c r="C149" i="54"/>
  <c r="G149" i="54" s="1"/>
  <c r="AC148" i="54"/>
  <c r="S148" i="54"/>
  <c r="D148" i="54"/>
  <c r="C148" i="54"/>
  <c r="Z147" i="54"/>
  <c r="Y147" i="54" s="1"/>
  <c r="AC147" i="54" s="1"/>
  <c r="V147" i="54" s="1"/>
  <c r="W147" i="54" s="1"/>
  <c r="S147" i="54"/>
  <c r="D147" i="54"/>
  <c r="C147" i="54"/>
  <c r="G147" i="54" s="1"/>
  <c r="Z146" i="54"/>
  <c r="Y146" i="54" s="1"/>
  <c r="AC146" i="54" s="1"/>
  <c r="V146" i="54" s="1"/>
  <c r="W146" i="54" s="1"/>
  <c r="S146" i="54"/>
  <c r="D146" i="54"/>
  <c r="C146" i="54"/>
  <c r="AC145" i="54"/>
  <c r="AP145" i="54" s="1"/>
  <c r="S145" i="54"/>
  <c r="D145" i="54"/>
  <c r="C145" i="54"/>
  <c r="G145" i="54" s="1"/>
  <c r="AC144" i="54"/>
  <c r="V144" i="54" s="1"/>
  <c r="W144" i="54" s="1"/>
  <c r="S144" i="54"/>
  <c r="D144" i="54"/>
  <c r="C144" i="54"/>
  <c r="AC143" i="54"/>
  <c r="AP143" i="54" s="1"/>
  <c r="S143" i="54"/>
  <c r="D143" i="54"/>
  <c r="C143" i="54"/>
  <c r="G143" i="54" s="1"/>
  <c r="AC142" i="54"/>
  <c r="AP142" i="54" s="1"/>
  <c r="S142" i="54"/>
  <c r="D142" i="54"/>
  <c r="C142" i="54"/>
  <c r="AC141" i="54"/>
  <c r="V141" i="54" s="1"/>
  <c r="W141" i="54" s="1"/>
  <c r="S141" i="54"/>
  <c r="D141" i="54"/>
  <c r="C141" i="54"/>
  <c r="G141" i="54" s="1"/>
  <c r="AC140" i="54"/>
  <c r="V140" i="54" s="1"/>
  <c r="W140" i="54" s="1"/>
  <c r="S140" i="54"/>
  <c r="D140" i="54"/>
  <c r="C140" i="54"/>
  <c r="AC139" i="54"/>
  <c r="AP139" i="54" s="1"/>
  <c r="S139" i="54"/>
  <c r="D139" i="54"/>
  <c r="C139" i="54"/>
  <c r="G139" i="54" s="1"/>
  <c r="Y138" i="54"/>
  <c r="AC138" i="54" s="1"/>
  <c r="S138" i="54"/>
  <c r="D138" i="54"/>
  <c r="C138" i="54"/>
  <c r="Y137" i="54"/>
  <c r="AC137" i="54" s="1"/>
  <c r="S137" i="54"/>
  <c r="D137" i="54"/>
  <c r="C137" i="54"/>
  <c r="G137" i="54" s="1"/>
  <c r="AC136" i="54"/>
  <c r="V136" i="54" s="1"/>
  <c r="W136" i="54" s="1"/>
  <c r="S136" i="54"/>
  <c r="D136" i="54"/>
  <c r="C136" i="54"/>
  <c r="Y135" i="54"/>
  <c r="AC135" i="54" s="1"/>
  <c r="S135" i="54"/>
  <c r="D135" i="54"/>
  <c r="C135" i="54"/>
  <c r="G135" i="54" s="1"/>
  <c r="Y134" i="54"/>
  <c r="AC134" i="54" s="1"/>
  <c r="P134" i="54"/>
  <c r="S134" i="54" s="1"/>
  <c r="D134" i="54"/>
  <c r="C134" i="54"/>
  <c r="Y133" i="54"/>
  <c r="AC133" i="54" s="1"/>
  <c r="AP133" i="54" s="1"/>
  <c r="P133" i="54"/>
  <c r="S133" i="54" s="1"/>
  <c r="D133" i="54"/>
  <c r="C133" i="54"/>
  <c r="G133" i="54" s="1"/>
  <c r="AC132" i="54"/>
  <c r="S132" i="54"/>
  <c r="D132" i="54"/>
  <c r="C132" i="54"/>
  <c r="AC131" i="54"/>
  <c r="AP131" i="54" s="1"/>
  <c r="S131" i="54"/>
  <c r="D131" i="54"/>
  <c r="C131" i="54"/>
  <c r="G131" i="54" s="1"/>
  <c r="AC130" i="54"/>
  <c r="V130" i="54" s="1"/>
  <c r="W130" i="54" s="1"/>
  <c r="S130" i="54"/>
  <c r="D130" i="54"/>
  <c r="C130" i="54"/>
  <c r="AC129" i="54"/>
  <c r="AP129" i="54" s="1"/>
  <c r="S129" i="54"/>
  <c r="D129" i="54"/>
  <c r="C129" i="54"/>
  <c r="G129" i="54" s="1"/>
  <c r="AC128" i="54"/>
  <c r="S128" i="54"/>
  <c r="D128" i="54"/>
  <c r="C128" i="54"/>
  <c r="AC127" i="54"/>
  <c r="V127" i="54" s="1"/>
  <c r="W127" i="54" s="1"/>
  <c r="S127" i="54"/>
  <c r="D127" i="54"/>
  <c r="C127" i="54"/>
  <c r="G127" i="54" s="1"/>
  <c r="AC126" i="54"/>
  <c r="V126" i="54" s="1"/>
  <c r="W126" i="54" s="1"/>
  <c r="S126" i="54"/>
  <c r="D126" i="54"/>
  <c r="C126" i="54"/>
  <c r="AC125" i="54"/>
  <c r="AP125" i="54" s="1"/>
  <c r="S125" i="54"/>
  <c r="D125" i="54"/>
  <c r="C125" i="54"/>
  <c r="G125" i="54" s="1"/>
  <c r="AC124" i="54"/>
  <c r="S124" i="54"/>
  <c r="D124" i="54"/>
  <c r="C124" i="54"/>
  <c r="AC123" i="54"/>
  <c r="AP123" i="54" s="1"/>
  <c r="S123" i="54"/>
  <c r="D123" i="54"/>
  <c r="C123" i="54"/>
  <c r="G123" i="54" s="1"/>
  <c r="AA122" i="54"/>
  <c r="Z122" i="54"/>
  <c r="S122" i="54"/>
  <c r="D122" i="54"/>
  <c r="C122" i="54"/>
  <c r="G122" i="54" s="1"/>
  <c r="AA121" i="54"/>
  <c r="Z121" i="54"/>
  <c r="S121" i="54"/>
  <c r="D121" i="54"/>
  <c r="C121" i="54"/>
  <c r="Y120" i="54"/>
  <c r="AC120" i="54" s="1"/>
  <c r="AP120" i="54" s="1"/>
  <c r="P120" i="54"/>
  <c r="S120" i="54" s="1"/>
  <c r="D120" i="54"/>
  <c r="C120" i="54"/>
  <c r="G120" i="54" s="1"/>
  <c r="Y119" i="54"/>
  <c r="AC119" i="54" s="1"/>
  <c r="V119" i="54" s="1"/>
  <c r="W119" i="54" s="1"/>
  <c r="P119" i="54"/>
  <c r="S119" i="54" s="1"/>
  <c r="D119" i="54"/>
  <c r="C119" i="54"/>
  <c r="Y118" i="54"/>
  <c r="AC118" i="54" s="1"/>
  <c r="AP118" i="54" s="1"/>
  <c r="S118" i="54"/>
  <c r="D118" i="54"/>
  <c r="C118" i="54"/>
  <c r="G118" i="54" s="1"/>
  <c r="Y117" i="54"/>
  <c r="AC117" i="54" s="1"/>
  <c r="S117" i="54"/>
  <c r="D117" i="54"/>
  <c r="C117" i="54"/>
  <c r="Y116" i="54"/>
  <c r="AC116" i="54" s="1"/>
  <c r="S116" i="54"/>
  <c r="D116" i="54"/>
  <c r="C116" i="54"/>
  <c r="G116" i="54" s="1"/>
  <c r="Y115" i="54"/>
  <c r="AC115" i="54" s="1"/>
  <c r="S115" i="54"/>
  <c r="D115" i="54"/>
  <c r="G115" i="54" s="1"/>
  <c r="C115" i="54"/>
  <c r="AA114" i="54"/>
  <c r="Z114" i="54"/>
  <c r="S114" i="54"/>
  <c r="D114" i="54"/>
  <c r="C114" i="54"/>
  <c r="Y113" i="54"/>
  <c r="AC113" i="54" s="1"/>
  <c r="V113" i="54" s="1"/>
  <c r="W113" i="54" s="1"/>
  <c r="P113" i="54"/>
  <c r="S113" i="54" s="1"/>
  <c r="D113" i="54"/>
  <c r="C113" i="54"/>
  <c r="G113" i="54" s="1"/>
  <c r="AA112" i="54"/>
  <c r="Z112" i="54"/>
  <c r="S112" i="54"/>
  <c r="D112" i="54"/>
  <c r="C112" i="54"/>
  <c r="G112" i="54" s="1"/>
  <c r="AC111" i="54"/>
  <c r="AP111" i="54" s="1"/>
  <c r="S111" i="54"/>
  <c r="D111" i="54"/>
  <c r="C111" i="54"/>
  <c r="AC110" i="54"/>
  <c r="AP110" i="54" s="1"/>
  <c r="S110" i="54"/>
  <c r="D110" i="54"/>
  <c r="C110" i="54"/>
  <c r="G110" i="54" s="1"/>
  <c r="AC109" i="54"/>
  <c r="S109" i="54"/>
  <c r="D109" i="54"/>
  <c r="C109" i="54"/>
  <c r="AC108" i="54"/>
  <c r="V108" i="54" s="1"/>
  <c r="W108" i="54" s="1"/>
  <c r="S108" i="54"/>
  <c r="D108" i="54"/>
  <c r="C108" i="54"/>
  <c r="G108" i="54" s="1"/>
  <c r="AC107" i="54"/>
  <c r="S107" i="54"/>
  <c r="D107" i="54"/>
  <c r="C107" i="54"/>
  <c r="G107" i="54" s="1"/>
  <c r="AC106" i="54"/>
  <c r="V106" i="54" s="1"/>
  <c r="W106" i="54" s="1"/>
  <c r="S106" i="54"/>
  <c r="D106" i="54"/>
  <c r="C106" i="54"/>
  <c r="G106" i="54" s="1"/>
  <c r="AC105" i="54"/>
  <c r="S105" i="54"/>
  <c r="D105" i="54"/>
  <c r="C105" i="54"/>
  <c r="AC104" i="54"/>
  <c r="V104" i="54" s="1"/>
  <c r="W104" i="54" s="1"/>
  <c r="S104" i="54"/>
  <c r="D104" i="54"/>
  <c r="C104" i="54"/>
  <c r="G104" i="54" s="1"/>
  <c r="AC103" i="54"/>
  <c r="S103" i="54"/>
  <c r="D103" i="54"/>
  <c r="C103" i="54"/>
  <c r="AC102" i="54"/>
  <c r="V102" i="54" s="1"/>
  <c r="W102" i="54" s="1"/>
  <c r="S102" i="54"/>
  <c r="D102" i="54"/>
  <c r="C102" i="54"/>
  <c r="G102" i="54" s="1"/>
  <c r="AC101" i="54"/>
  <c r="S101" i="54"/>
  <c r="D101" i="54"/>
  <c r="C101" i="54"/>
  <c r="AC100" i="54"/>
  <c r="V100" i="54" s="1"/>
  <c r="W100" i="54" s="1"/>
  <c r="S100" i="54"/>
  <c r="D100" i="54"/>
  <c r="C100" i="54"/>
  <c r="G100" i="54" s="1"/>
  <c r="AC99" i="54"/>
  <c r="V99" i="54" s="1"/>
  <c r="W99" i="54" s="1"/>
  <c r="S99" i="54"/>
  <c r="D99" i="54"/>
  <c r="C99" i="54"/>
  <c r="G99" i="54" s="1"/>
  <c r="AC98" i="54"/>
  <c r="V98" i="54" s="1"/>
  <c r="W98" i="54" s="1"/>
  <c r="S98" i="54"/>
  <c r="D98" i="54"/>
  <c r="C98" i="54"/>
  <c r="G98" i="54" s="1"/>
  <c r="AC97" i="54"/>
  <c r="S97" i="54"/>
  <c r="D97" i="54"/>
  <c r="C97" i="54"/>
  <c r="AC96" i="54"/>
  <c r="S96" i="54"/>
  <c r="D96" i="54"/>
  <c r="C96" i="54"/>
  <c r="G96" i="54" s="1"/>
  <c r="AC95" i="54"/>
  <c r="AP95" i="54" s="1"/>
  <c r="S95" i="54"/>
  <c r="D95" i="54"/>
  <c r="C95" i="54"/>
  <c r="AC94" i="54"/>
  <c r="AP94" i="54" s="1"/>
  <c r="S94" i="54"/>
  <c r="D94" i="54"/>
  <c r="C94" i="54"/>
  <c r="G94" i="54" s="1"/>
  <c r="AC93" i="54"/>
  <c r="S93" i="54"/>
  <c r="D93" i="54"/>
  <c r="C93" i="54"/>
  <c r="AC92" i="54"/>
  <c r="V92" i="54" s="1"/>
  <c r="W92" i="54" s="1"/>
  <c r="S92" i="54"/>
  <c r="D92" i="54"/>
  <c r="C92" i="54"/>
  <c r="G92" i="54" s="1"/>
  <c r="Y91" i="54"/>
  <c r="AC91" i="54" s="1"/>
  <c r="S91" i="54"/>
  <c r="D91" i="54"/>
  <c r="C91" i="54"/>
  <c r="G91" i="54" s="1"/>
  <c r="Y90" i="54"/>
  <c r="AC90" i="54" s="1"/>
  <c r="S90" i="54"/>
  <c r="D90" i="54"/>
  <c r="C90" i="54"/>
  <c r="G90" i="54" s="1"/>
  <c r="Y89" i="54"/>
  <c r="AC89" i="54" s="1"/>
  <c r="S89" i="54"/>
  <c r="D89" i="54"/>
  <c r="C89" i="54"/>
  <c r="Y88" i="54"/>
  <c r="AC88" i="54" s="1"/>
  <c r="S88" i="54"/>
  <c r="D88" i="54"/>
  <c r="C88" i="54"/>
  <c r="G88" i="54" s="1"/>
  <c r="Y87" i="54"/>
  <c r="AC87" i="54" s="1"/>
  <c r="AP87" i="54" s="1"/>
  <c r="S87" i="54"/>
  <c r="D87" i="54"/>
  <c r="C87" i="54"/>
  <c r="Y86" i="54"/>
  <c r="AC86" i="54" s="1"/>
  <c r="V86" i="54" s="1"/>
  <c r="W86" i="54" s="1"/>
  <c r="P86" i="54"/>
  <c r="S86" i="54" s="1"/>
  <c r="D86" i="54"/>
  <c r="C86" i="54"/>
  <c r="G86" i="54" s="1"/>
  <c r="Y85" i="54"/>
  <c r="AC85" i="54" s="1"/>
  <c r="S85" i="54"/>
  <c r="D85" i="54"/>
  <c r="C85" i="54"/>
  <c r="Y84" i="54"/>
  <c r="AC84" i="54" s="1"/>
  <c r="S84" i="54"/>
  <c r="D84" i="54"/>
  <c r="C84" i="54"/>
  <c r="G84" i="54" s="1"/>
  <c r="Y83" i="54"/>
  <c r="AC83" i="54" s="1"/>
  <c r="AP83" i="54" s="1"/>
  <c r="S83" i="54"/>
  <c r="D83" i="54"/>
  <c r="C83" i="54"/>
  <c r="G83" i="54" s="1"/>
  <c r="Y82" i="54"/>
  <c r="AC82" i="54" s="1"/>
  <c r="S82" i="54"/>
  <c r="D82" i="54"/>
  <c r="C82" i="54"/>
  <c r="G82" i="54" s="1"/>
  <c r="Y81" i="54"/>
  <c r="AC81" i="54" s="1"/>
  <c r="S81" i="54"/>
  <c r="D81" i="54"/>
  <c r="C81" i="54"/>
  <c r="Y80" i="54"/>
  <c r="AC80" i="54" s="1"/>
  <c r="AP80" i="54" s="1"/>
  <c r="S80" i="54"/>
  <c r="D80" i="54"/>
  <c r="C80" i="54"/>
  <c r="G80" i="54" s="1"/>
  <c r="Y79" i="54"/>
  <c r="AC79" i="54" s="1"/>
  <c r="S79" i="54"/>
  <c r="D79" i="54"/>
  <c r="C79" i="54"/>
  <c r="Y78" i="54"/>
  <c r="AC78" i="54" s="1"/>
  <c r="AP78" i="54" s="1"/>
  <c r="S78" i="54"/>
  <c r="D78" i="54"/>
  <c r="C78" i="54"/>
  <c r="G78" i="54" s="1"/>
  <c r="Y77" i="54"/>
  <c r="AC77" i="54" s="1"/>
  <c r="S77" i="54"/>
  <c r="D77" i="54"/>
  <c r="C77" i="54"/>
  <c r="Y76" i="54"/>
  <c r="AC76" i="54" s="1"/>
  <c r="V76" i="54" s="1"/>
  <c r="W76" i="54" s="1"/>
  <c r="S76" i="54"/>
  <c r="D76" i="54"/>
  <c r="C76" i="54"/>
  <c r="G76" i="54" s="1"/>
  <c r="AC75" i="54"/>
  <c r="AP75" i="54" s="1"/>
  <c r="S75" i="54"/>
  <c r="D75" i="54"/>
  <c r="C75" i="54"/>
  <c r="G75" i="54" s="1"/>
  <c r="AC74" i="54"/>
  <c r="V74" i="54" s="1"/>
  <c r="W74" i="54" s="1"/>
  <c r="S74" i="54"/>
  <c r="D74" i="54"/>
  <c r="C74" i="54"/>
  <c r="G74" i="54" s="1"/>
  <c r="AC73" i="54"/>
  <c r="V73" i="54" s="1"/>
  <c r="W73" i="54" s="1"/>
  <c r="S73" i="54"/>
  <c r="D73" i="54"/>
  <c r="C73" i="54"/>
  <c r="AC72" i="54"/>
  <c r="AP72" i="54" s="1"/>
  <c r="S72" i="54"/>
  <c r="D72" i="54"/>
  <c r="C72" i="54"/>
  <c r="G72" i="54" s="1"/>
  <c r="AC71" i="54"/>
  <c r="S71" i="54"/>
  <c r="D71" i="54"/>
  <c r="C71" i="54"/>
  <c r="AC70" i="54"/>
  <c r="AP70" i="54" s="1"/>
  <c r="S70" i="54"/>
  <c r="D70" i="54"/>
  <c r="C70" i="54"/>
  <c r="G70" i="54" s="1"/>
  <c r="AC69" i="54"/>
  <c r="V69" i="54" s="1"/>
  <c r="W69" i="54" s="1"/>
  <c r="S69" i="54"/>
  <c r="D69" i="54"/>
  <c r="C69" i="54"/>
  <c r="AC68" i="54"/>
  <c r="V68" i="54" s="1"/>
  <c r="W68" i="54" s="1"/>
  <c r="S68" i="54"/>
  <c r="D68" i="54"/>
  <c r="C68" i="54"/>
  <c r="G68" i="54" s="1"/>
  <c r="AC67" i="54"/>
  <c r="S67" i="54"/>
  <c r="D67" i="54"/>
  <c r="G67" i="54" s="1"/>
  <c r="C67" i="54"/>
  <c r="AC66" i="54"/>
  <c r="V66" i="54" s="1"/>
  <c r="W66" i="54" s="1"/>
  <c r="S66" i="54"/>
  <c r="D66" i="54"/>
  <c r="C66" i="54"/>
  <c r="G66" i="54" s="1"/>
  <c r="AC65" i="54"/>
  <c r="V65" i="54" s="1"/>
  <c r="W65" i="54" s="1"/>
  <c r="S65" i="54"/>
  <c r="D65" i="54"/>
  <c r="C65" i="54"/>
  <c r="AC64" i="54"/>
  <c r="AP64" i="54" s="1"/>
  <c r="S64" i="54"/>
  <c r="D64" i="54"/>
  <c r="C64" i="54"/>
  <c r="G64" i="54" s="1"/>
  <c r="AC63" i="54"/>
  <c r="S63" i="54"/>
  <c r="D63" i="54"/>
  <c r="C63" i="54"/>
  <c r="Y62" i="54"/>
  <c r="AC62" i="54" s="1"/>
  <c r="V62" i="54" s="1"/>
  <c r="W62" i="54" s="1"/>
  <c r="S62" i="54"/>
  <c r="D62" i="54"/>
  <c r="C62" i="54"/>
  <c r="G62" i="54" s="1"/>
  <c r="AC61" i="54"/>
  <c r="AP61" i="54" s="1"/>
  <c r="S61" i="54"/>
  <c r="D61" i="54"/>
  <c r="C61" i="54"/>
  <c r="AC60" i="54"/>
  <c r="AP60" i="54" s="1"/>
  <c r="S60" i="54"/>
  <c r="D60" i="54"/>
  <c r="C60" i="54"/>
  <c r="G60" i="54" s="1"/>
  <c r="AC59" i="54"/>
  <c r="AP59" i="54" s="1"/>
  <c r="S59" i="54"/>
  <c r="D59" i="54"/>
  <c r="C59" i="54"/>
  <c r="G59" i="54" s="1"/>
  <c r="AC58" i="54"/>
  <c r="V58" i="54" s="1"/>
  <c r="W58" i="54" s="1"/>
  <c r="S58" i="54"/>
  <c r="D58" i="54"/>
  <c r="C58" i="54"/>
  <c r="G58" i="54" s="1"/>
  <c r="AC57" i="54"/>
  <c r="AP57" i="54" s="1"/>
  <c r="S57" i="54"/>
  <c r="D57" i="54"/>
  <c r="C57" i="54"/>
  <c r="Y56" i="54"/>
  <c r="AC56" i="54" s="1"/>
  <c r="V56" i="54" s="1"/>
  <c r="W56" i="54" s="1"/>
  <c r="S56" i="54"/>
  <c r="D56" i="54"/>
  <c r="C56" i="54"/>
  <c r="G56" i="54" s="1"/>
  <c r="AC55" i="54"/>
  <c r="V55" i="54" s="1"/>
  <c r="W55" i="54" s="1"/>
  <c r="S55" i="54"/>
  <c r="D55" i="54"/>
  <c r="C55" i="54"/>
  <c r="AC54" i="54"/>
  <c r="V54" i="54" s="1"/>
  <c r="W54" i="54" s="1"/>
  <c r="S54" i="54"/>
  <c r="D54" i="54"/>
  <c r="C54" i="54"/>
  <c r="G54" i="54" s="1"/>
  <c r="AC53" i="54"/>
  <c r="AP53" i="54" s="1"/>
  <c r="S53" i="54"/>
  <c r="D53" i="54"/>
  <c r="C53" i="54"/>
  <c r="Y52" i="54"/>
  <c r="AC52" i="54" s="1"/>
  <c r="S52" i="54"/>
  <c r="D52" i="54"/>
  <c r="C52" i="54"/>
  <c r="G52" i="54" s="1"/>
  <c r="AC51" i="54"/>
  <c r="V51" i="54" s="1"/>
  <c r="W51" i="54" s="1"/>
  <c r="S51" i="54"/>
  <c r="D51" i="54"/>
  <c r="G51" i="54" s="1"/>
  <c r="C51" i="54"/>
  <c r="AC50" i="54"/>
  <c r="AP50" i="54" s="1"/>
  <c r="S50" i="54"/>
  <c r="D50" i="54"/>
  <c r="C50" i="54"/>
  <c r="G50" i="54" s="1"/>
  <c r="Y49" i="54"/>
  <c r="AC49" i="54" s="1"/>
  <c r="V49" i="54" s="1"/>
  <c r="W49" i="54" s="1"/>
  <c r="S49" i="54"/>
  <c r="D49" i="54"/>
  <c r="C49" i="54"/>
  <c r="AC48" i="54"/>
  <c r="AP48" i="54" s="1"/>
  <c r="S48" i="54"/>
  <c r="D48" i="54"/>
  <c r="C48" i="54"/>
  <c r="G48" i="54" s="1"/>
  <c r="AC47" i="54"/>
  <c r="V47" i="54" s="1"/>
  <c r="W47" i="54" s="1"/>
  <c r="S47" i="54"/>
  <c r="D47" i="54"/>
  <c r="C47" i="54"/>
  <c r="AC46" i="54"/>
  <c r="AP46" i="54" s="1"/>
  <c r="S46" i="54"/>
  <c r="D46" i="54"/>
  <c r="C46" i="54"/>
  <c r="G46" i="54" s="1"/>
  <c r="Y45" i="54"/>
  <c r="AC45" i="54" s="1"/>
  <c r="AP45" i="54" s="1"/>
  <c r="S45" i="54"/>
  <c r="D45" i="54"/>
  <c r="C45" i="54"/>
  <c r="Y44" i="54"/>
  <c r="AC44" i="54" s="1"/>
  <c r="S44" i="54"/>
  <c r="D44" i="54"/>
  <c r="C44" i="54"/>
  <c r="G44" i="54" s="1"/>
  <c r="Y43" i="54"/>
  <c r="AC43" i="54" s="1"/>
  <c r="V43" i="54" s="1"/>
  <c r="W43" i="54" s="1"/>
  <c r="S43" i="54"/>
  <c r="D43" i="54"/>
  <c r="C43" i="54"/>
  <c r="G43" i="54" s="1"/>
  <c r="Y42" i="54"/>
  <c r="AC42" i="54" s="1"/>
  <c r="AP42" i="54" s="1"/>
  <c r="S42" i="54"/>
  <c r="D42" i="54"/>
  <c r="C42" i="54"/>
  <c r="G42" i="54" s="1"/>
  <c r="AC41" i="54"/>
  <c r="V41" i="54" s="1"/>
  <c r="W41" i="54" s="1"/>
  <c r="S41" i="54"/>
  <c r="D41" i="54"/>
  <c r="C41" i="54"/>
  <c r="Y40" i="54"/>
  <c r="AC40" i="54" s="1"/>
  <c r="AP40" i="54" s="1"/>
  <c r="S40" i="54"/>
  <c r="D40" i="54"/>
  <c r="C40" i="54"/>
  <c r="G40" i="54" s="1"/>
  <c r="Y39" i="54"/>
  <c r="AC39" i="54" s="1"/>
  <c r="AP39" i="54" s="1"/>
  <c r="S39" i="54"/>
  <c r="D39" i="54"/>
  <c r="C39" i="54"/>
  <c r="Y38" i="54"/>
  <c r="AC38" i="54" s="1"/>
  <c r="S38" i="54"/>
  <c r="D38" i="54"/>
  <c r="C38" i="54"/>
  <c r="G38" i="54" s="1"/>
  <c r="AC37" i="54"/>
  <c r="AP37" i="54" s="1"/>
  <c r="S37" i="54"/>
  <c r="D37" i="54"/>
  <c r="C37" i="54"/>
  <c r="AC36" i="54"/>
  <c r="AP36" i="54" s="1"/>
  <c r="S36" i="54"/>
  <c r="D36" i="54"/>
  <c r="C36" i="54"/>
  <c r="G36" i="54" s="1"/>
  <c r="AC35" i="54"/>
  <c r="V35" i="54" s="1"/>
  <c r="W35" i="54" s="1"/>
  <c r="S35" i="54"/>
  <c r="D35" i="54"/>
  <c r="C35" i="54"/>
  <c r="G35" i="54" s="1"/>
  <c r="Y34" i="54"/>
  <c r="AC34" i="54" s="1"/>
  <c r="P34" i="54"/>
  <c r="S34" i="54" s="1"/>
  <c r="D34" i="54"/>
  <c r="C34" i="54"/>
  <c r="G34" i="54" s="1"/>
  <c r="Y33" i="54"/>
  <c r="AC33" i="54" s="1"/>
  <c r="AP33" i="54" s="1"/>
  <c r="S33" i="54"/>
  <c r="D33" i="54"/>
  <c r="C33" i="54"/>
  <c r="AC32" i="54"/>
  <c r="V32" i="54" s="1"/>
  <c r="W32" i="54" s="1"/>
  <c r="S32" i="54"/>
  <c r="D32" i="54"/>
  <c r="C32" i="54"/>
  <c r="G32" i="54" s="1"/>
  <c r="Y31" i="54"/>
  <c r="AC31" i="54" s="1"/>
  <c r="V31" i="54" s="1"/>
  <c r="W31" i="54" s="1"/>
  <c r="S31" i="54"/>
  <c r="D31" i="54"/>
  <c r="C31" i="54"/>
  <c r="Y30" i="54"/>
  <c r="AC30" i="54" s="1"/>
  <c r="AP30" i="54" s="1"/>
  <c r="S30" i="54"/>
  <c r="D30" i="54"/>
  <c r="C30" i="54"/>
  <c r="G30" i="54" s="1"/>
  <c r="Y29" i="54"/>
  <c r="AC29" i="54" s="1"/>
  <c r="AP29" i="54" s="1"/>
  <c r="S29" i="54"/>
  <c r="D29" i="54"/>
  <c r="C29" i="54"/>
  <c r="Y28" i="54"/>
  <c r="AC28" i="54" s="1"/>
  <c r="V28" i="54" s="1"/>
  <c r="W28" i="54" s="1"/>
  <c r="S28" i="54"/>
  <c r="D28" i="54"/>
  <c r="C28" i="54"/>
  <c r="G28" i="54" s="1"/>
  <c r="Y27" i="54"/>
  <c r="AC27" i="54" s="1"/>
  <c r="V27" i="54" s="1"/>
  <c r="W27" i="54" s="1"/>
  <c r="S27" i="54"/>
  <c r="D27" i="54"/>
  <c r="C27" i="54"/>
  <c r="G27" i="54" s="1"/>
  <c r="Y26" i="54"/>
  <c r="AC26" i="54" s="1"/>
  <c r="S26" i="54"/>
  <c r="D26" i="54"/>
  <c r="C26" i="54"/>
  <c r="G26" i="54" s="1"/>
  <c r="Y25" i="54"/>
  <c r="AC25" i="54" s="1"/>
  <c r="AP25" i="54" s="1"/>
  <c r="S25" i="54"/>
  <c r="D25" i="54"/>
  <c r="C25" i="54"/>
  <c r="Y24" i="54"/>
  <c r="AC24" i="54" s="1"/>
  <c r="S24" i="54"/>
  <c r="D24" i="54"/>
  <c r="C24" i="54"/>
  <c r="G24" i="54" s="1"/>
  <c r="Y23" i="54"/>
  <c r="AC23" i="54" s="1"/>
  <c r="AP23" i="54" s="1"/>
  <c r="S23" i="54"/>
  <c r="D23" i="54"/>
  <c r="C23" i="54"/>
  <c r="Y22" i="54"/>
  <c r="AC22" i="54" s="1"/>
  <c r="AP22" i="54" s="1"/>
  <c r="S22" i="54"/>
  <c r="D22" i="54"/>
  <c r="C22" i="54"/>
  <c r="G22" i="54" s="1"/>
  <c r="Y21" i="54"/>
  <c r="AC21" i="54" s="1"/>
  <c r="S21" i="54"/>
  <c r="D21" i="54"/>
  <c r="C21" i="54"/>
  <c r="Y20" i="54"/>
  <c r="AC20" i="54" s="1"/>
  <c r="V20" i="54" s="1"/>
  <c r="W20" i="54" s="1"/>
  <c r="S20" i="54"/>
  <c r="D20" i="54"/>
  <c r="C20" i="54"/>
  <c r="G20" i="54" s="1"/>
  <c r="Y19" i="54"/>
  <c r="AC19" i="54" s="1"/>
  <c r="V19" i="54" s="1"/>
  <c r="W19" i="54" s="1"/>
  <c r="S19" i="54"/>
  <c r="D19" i="54"/>
  <c r="C19" i="54"/>
  <c r="G19" i="54" s="1"/>
  <c r="Y18" i="54"/>
  <c r="AC18" i="54" s="1"/>
  <c r="S18" i="54"/>
  <c r="D18" i="54"/>
  <c r="C18" i="54"/>
  <c r="G18" i="54" s="1"/>
  <c r="Y17" i="54"/>
  <c r="AC17" i="54" s="1"/>
  <c r="AP17" i="54" s="1"/>
  <c r="S17" i="54"/>
  <c r="D17" i="54"/>
  <c r="C17" i="54"/>
  <c r="Y16" i="54"/>
  <c r="AC16" i="54" s="1"/>
  <c r="S16" i="54"/>
  <c r="D16" i="54"/>
  <c r="C16" i="54"/>
  <c r="G16" i="54" s="1"/>
  <c r="Y15" i="54"/>
  <c r="AC15" i="54" s="1"/>
  <c r="V15" i="54" s="1"/>
  <c r="W15" i="54" s="1"/>
  <c r="S15" i="54"/>
  <c r="D15" i="54"/>
  <c r="C15" i="54"/>
  <c r="Y14" i="54"/>
  <c r="AC14" i="54" s="1"/>
  <c r="AP14" i="54" s="1"/>
  <c r="S14" i="54"/>
  <c r="D14" i="54"/>
  <c r="C14" i="54"/>
  <c r="G14" i="54" s="1"/>
  <c r="Y13" i="54"/>
  <c r="AC13" i="54" s="1"/>
  <c r="AP13" i="54" s="1"/>
  <c r="S13" i="54"/>
  <c r="D13" i="54"/>
  <c r="C13" i="54"/>
  <c r="Y12" i="54"/>
  <c r="AC12" i="54" s="1"/>
  <c r="V12" i="54" s="1"/>
  <c r="W12" i="54" s="1"/>
  <c r="S12" i="54"/>
  <c r="D12" i="54"/>
  <c r="C12" i="54"/>
  <c r="G12" i="54" s="1"/>
  <c r="Y11" i="54"/>
  <c r="AC11" i="54" s="1"/>
  <c r="V11" i="54" s="1"/>
  <c r="W11" i="54" s="1"/>
  <c r="S11" i="54"/>
  <c r="D11" i="54"/>
  <c r="C11" i="54"/>
  <c r="G11" i="54" s="1"/>
  <c r="Y10" i="54"/>
  <c r="AC10" i="54" s="1"/>
  <c r="S10" i="54"/>
  <c r="D10" i="54"/>
  <c r="C10" i="54"/>
  <c r="G10" i="54" s="1"/>
  <c r="Y9" i="54"/>
  <c r="AC9" i="54" s="1"/>
  <c r="AP9" i="54" s="1"/>
  <c r="S9" i="54"/>
  <c r="D9" i="54"/>
  <c r="C9" i="54"/>
  <c r="Y8" i="54"/>
  <c r="AC8" i="54" s="1"/>
  <c r="S8" i="54"/>
  <c r="D8" i="54"/>
  <c r="C8" i="54"/>
  <c r="G8" i="54" s="1"/>
  <c r="Y7" i="54"/>
  <c r="AC7" i="54" s="1"/>
  <c r="AP7" i="54" s="1"/>
  <c r="S7" i="54"/>
  <c r="D7" i="54"/>
  <c r="C7" i="54"/>
  <c r="Y6" i="54"/>
  <c r="AC6" i="54" s="1"/>
  <c r="AP6" i="54" s="1"/>
  <c r="S6" i="54"/>
  <c r="D6" i="54"/>
  <c r="C6" i="54"/>
  <c r="G6" i="54" s="1"/>
  <c r="Y5" i="54"/>
  <c r="AC5" i="54" s="1"/>
  <c r="V5" i="54" s="1"/>
  <c r="W5" i="54" s="1"/>
  <c r="S5" i="54"/>
  <c r="D5" i="54"/>
  <c r="C5" i="54"/>
  <c r="Y4" i="54"/>
  <c r="AC4" i="54" s="1"/>
  <c r="V4" i="54" s="1"/>
  <c r="W4" i="54" s="1"/>
  <c r="S4" i="54"/>
  <c r="D4" i="54"/>
  <c r="C4" i="54"/>
  <c r="G4" i="54" s="1"/>
  <c r="AC3" i="54"/>
  <c r="V3" i="54" s="1"/>
  <c r="W3" i="54" s="1"/>
  <c r="S3" i="54"/>
  <c r="D3" i="54"/>
  <c r="C3" i="54"/>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N35" i="47"/>
  <c r="N36" i="47"/>
  <c r="N37" i="47"/>
  <c r="N38" i="47"/>
  <c r="N39" i="47"/>
  <c r="N40" i="47"/>
  <c r="N41" i="47"/>
  <c r="N42" i="47"/>
  <c r="N43" i="47"/>
  <c r="N44" i="47"/>
  <c r="N45" i="47"/>
  <c r="N46" i="47"/>
  <c r="N47" i="47"/>
  <c r="N48" i="47"/>
  <c r="N49" i="47"/>
  <c r="N50" i="47"/>
  <c r="N51" i="47"/>
  <c r="N52" i="47"/>
  <c r="N53" i="47"/>
  <c r="N54" i="47"/>
  <c r="N55" i="47"/>
  <c r="N56" i="47"/>
  <c r="N57" i="47"/>
  <c r="N58" i="47"/>
  <c r="N59" i="47"/>
  <c r="N60" i="47"/>
  <c r="N61" i="47"/>
  <c r="N62" i="47"/>
  <c r="N63" i="47"/>
  <c r="N64" i="47"/>
  <c r="N65" i="47"/>
  <c r="N66" i="47"/>
  <c r="N67" i="47"/>
  <c r="N68" i="47"/>
  <c r="N69" i="47"/>
  <c r="N70" i="47"/>
  <c r="N71" i="47"/>
  <c r="N72" i="47"/>
  <c r="N73" i="47"/>
  <c r="N74" i="47"/>
  <c r="N75" i="47"/>
  <c r="N76" i="47"/>
  <c r="N77" i="47"/>
  <c r="N78" i="47"/>
  <c r="N79" i="47"/>
  <c r="N80" i="47"/>
  <c r="N81" i="47"/>
  <c r="N82" i="47"/>
  <c r="N83" i="47"/>
  <c r="N84" i="47"/>
  <c r="N85" i="47"/>
  <c r="N87" i="47"/>
  <c r="N88" i="47"/>
  <c r="N89" i="47"/>
  <c r="N90" i="47"/>
  <c r="N91" i="47"/>
  <c r="N92" i="47"/>
  <c r="N93" i="47"/>
  <c r="N94" i="47"/>
  <c r="N95" i="47"/>
  <c r="N96" i="47"/>
  <c r="N97" i="47"/>
  <c r="N98" i="47"/>
  <c r="N99" i="47"/>
  <c r="N100" i="47"/>
  <c r="N101" i="47"/>
  <c r="N102" i="47"/>
  <c r="N103" i="47"/>
  <c r="N104" i="47"/>
  <c r="N105" i="47"/>
  <c r="N106" i="47"/>
  <c r="N107" i="47"/>
  <c r="N108" i="47"/>
  <c r="N109" i="47"/>
  <c r="N110" i="47"/>
  <c r="N111" i="47"/>
  <c r="N112" i="47"/>
  <c r="N114" i="47"/>
  <c r="N115" i="47"/>
  <c r="N116" i="47"/>
  <c r="N117" i="47"/>
  <c r="N118" i="47"/>
  <c r="N121" i="47"/>
  <c r="N122" i="47"/>
  <c r="N123" i="47"/>
  <c r="N124" i="47"/>
  <c r="N125" i="47"/>
  <c r="N126" i="47"/>
  <c r="N127" i="47"/>
  <c r="N128" i="47"/>
  <c r="N129" i="47"/>
  <c r="N130" i="47"/>
  <c r="N131" i="47"/>
  <c r="N132" i="47"/>
  <c r="N135" i="47"/>
  <c r="N136" i="47"/>
  <c r="N137" i="47"/>
  <c r="N138" i="47"/>
  <c r="N139" i="47"/>
  <c r="N140" i="47"/>
  <c r="N141" i="47"/>
  <c r="N142" i="47"/>
  <c r="N143" i="47"/>
  <c r="N144" i="47"/>
  <c r="N145" i="47"/>
  <c r="N146" i="47"/>
  <c r="N147" i="47"/>
  <c r="N148" i="47"/>
  <c r="N149" i="47"/>
  <c r="N150" i="47"/>
  <c r="N151" i="47"/>
  <c r="N152" i="47"/>
  <c r="N153" i="47"/>
  <c r="N154" i="47"/>
  <c r="N155" i="47"/>
  <c r="N156" i="47"/>
  <c r="N157" i="47"/>
  <c r="N158" i="47"/>
  <c r="N159" i="47"/>
  <c r="N160" i="47"/>
  <c r="N161" i="47"/>
  <c r="N162" i="47"/>
  <c r="N163" i="47"/>
  <c r="N164" i="47"/>
  <c r="N165" i="47"/>
  <c r="N166" i="47"/>
  <c r="N167" i="47"/>
  <c r="N168" i="47"/>
  <c r="N169" i="47"/>
  <c r="N170" i="47"/>
  <c r="N171" i="47"/>
  <c r="N172" i="47"/>
  <c r="N173" i="47"/>
  <c r="N174" i="47"/>
  <c r="N175" i="47"/>
  <c r="N176" i="47"/>
  <c r="N178" i="47"/>
  <c r="N179" i="47"/>
  <c r="N180" i="47"/>
  <c r="N181" i="47"/>
  <c r="N182" i="47"/>
  <c r="N183" i="47"/>
  <c r="N184" i="47"/>
  <c r="N185" i="47"/>
  <c r="N186" i="47"/>
  <c r="N187" i="47"/>
  <c r="N188" i="47"/>
  <c r="N189" i="47"/>
  <c r="N190" i="47"/>
  <c r="N191" i="47"/>
  <c r="N192" i="47"/>
  <c r="N193" i="47"/>
  <c r="N194" i="47"/>
  <c r="N195" i="47"/>
  <c r="N196" i="47"/>
  <c r="N197" i="47"/>
  <c r="N198" i="47"/>
  <c r="N202" i="47"/>
  <c r="N203" i="47"/>
  <c r="N204" i="47"/>
  <c r="N205" i="47"/>
  <c r="N206" i="47"/>
  <c r="N207" i="47"/>
  <c r="N208" i="47"/>
  <c r="N209" i="47"/>
  <c r="N210" i="47"/>
  <c r="N211" i="47"/>
  <c r="N212" i="47"/>
  <c r="N213" i="47"/>
  <c r="N214" i="47"/>
  <c r="N215" i="47"/>
  <c r="N223" i="47"/>
  <c r="N225" i="47"/>
  <c r="N229" i="47"/>
  <c r="N230" i="47"/>
  <c r="N232" i="47"/>
  <c r="N233" i="47"/>
  <c r="N234" i="47"/>
  <c r="N235" i="47"/>
  <c r="N236" i="47"/>
  <c r="N237" i="47"/>
  <c r="N238" i="47"/>
  <c r="N239" i="47"/>
  <c r="N240" i="47"/>
  <c r="N241" i="47"/>
  <c r="N242" i="47"/>
  <c r="N243" i="47"/>
  <c r="N245" i="47"/>
  <c r="N246" i="47"/>
  <c r="N247" i="47"/>
  <c r="N249" i="47"/>
  <c r="N250" i="47"/>
  <c r="N251" i="47"/>
  <c r="N252" i="47"/>
  <c r="N253" i="47"/>
  <c r="N254" i="47"/>
  <c r="N255" i="47"/>
  <c r="N256" i="47"/>
  <c r="N257" i="47"/>
  <c r="N258" i="47"/>
  <c r="N259" i="47"/>
  <c r="N260" i="47"/>
  <c r="N261" i="47"/>
  <c r="N263" i="47"/>
  <c r="N265" i="47"/>
  <c r="N267" i="47"/>
  <c r="N268" i="47"/>
  <c r="N269" i="47"/>
  <c r="N270" i="47"/>
  <c r="N271" i="47"/>
  <c r="N272" i="47"/>
  <c r="N273" i="47"/>
  <c r="N274" i="47"/>
  <c r="N275" i="47"/>
  <c r="N276" i="47"/>
  <c r="N278" i="47"/>
  <c r="N279" i="47"/>
  <c r="N280" i="47"/>
  <c r="N281" i="47"/>
  <c r="N282" i="47"/>
  <c r="N283" i="47"/>
  <c r="N284" i="47"/>
  <c r="N285" i="47"/>
  <c r="N286" i="47"/>
  <c r="N287" i="47"/>
  <c r="N289" i="47"/>
  <c r="N290" i="47"/>
  <c r="N291" i="47"/>
  <c r="N292" i="47"/>
  <c r="N293" i="47"/>
  <c r="N294" i="47"/>
  <c r="N295" i="47"/>
  <c r="N296" i="47"/>
  <c r="N297" i="47"/>
  <c r="N298" i="47"/>
  <c r="N299" i="47"/>
  <c r="N300" i="47"/>
  <c r="N301" i="47"/>
  <c r="N302" i="47"/>
  <c r="N303" i="47"/>
  <c r="N304" i="47"/>
  <c r="N305" i="47"/>
  <c r="N306" i="47"/>
  <c r="N307" i="47"/>
  <c r="N308" i="47"/>
  <c r="N3" i="47"/>
  <c r="G117" i="54" l="1"/>
  <c r="G119" i="54"/>
  <c r="G121" i="54"/>
  <c r="G186" i="54"/>
  <c r="G193" i="54"/>
  <c r="G114" i="54"/>
  <c r="G185" i="54"/>
  <c r="G190" i="54"/>
  <c r="G288" i="54"/>
  <c r="G290" i="54"/>
  <c r="G292" i="54"/>
  <c r="G294" i="54"/>
  <c r="G296" i="54"/>
  <c r="G298" i="54"/>
  <c r="G300" i="54"/>
  <c r="G302" i="54"/>
  <c r="G304" i="54"/>
  <c r="G306" i="54"/>
  <c r="G308" i="54"/>
  <c r="G234" i="54"/>
  <c r="G236" i="54"/>
  <c r="G238" i="54"/>
  <c r="G240" i="54"/>
  <c r="G242" i="54"/>
  <c r="G244" i="54"/>
  <c r="G246" i="54"/>
  <c r="G248" i="54"/>
  <c r="G250" i="54"/>
  <c r="G252" i="54"/>
  <c r="G254" i="54"/>
  <c r="G256" i="54"/>
  <c r="G258" i="54"/>
  <c r="G260" i="54"/>
  <c r="G262" i="54"/>
  <c r="G264" i="54"/>
  <c r="G266" i="54"/>
  <c r="G268" i="54"/>
  <c r="G270" i="54"/>
  <c r="G272" i="54"/>
  <c r="G274" i="54"/>
  <c r="G276" i="54"/>
  <c r="G278" i="54"/>
  <c r="G280" i="54"/>
  <c r="G282" i="54"/>
  <c r="G284" i="54"/>
  <c r="G3" i="54"/>
  <c r="G5" i="54"/>
  <c r="G7" i="54"/>
  <c r="G9" i="54"/>
  <c r="G13" i="54"/>
  <c r="G15" i="54"/>
  <c r="G17" i="54"/>
  <c r="G21" i="54"/>
  <c r="G23" i="54"/>
  <c r="G25" i="54"/>
  <c r="G29" i="54"/>
  <c r="G31" i="54"/>
  <c r="G33" i="54"/>
  <c r="G37" i="54"/>
  <c r="G39" i="54"/>
  <c r="G41" i="54"/>
  <c r="G45" i="54"/>
  <c r="G47" i="54"/>
  <c r="G49" i="54"/>
  <c r="G53" i="54"/>
  <c r="G55" i="54"/>
  <c r="G57" i="54"/>
  <c r="G61" i="54"/>
  <c r="G63" i="54"/>
  <c r="G65" i="54"/>
  <c r="G69" i="54"/>
  <c r="G71" i="54"/>
  <c r="G73" i="54"/>
  <c r="G77" i="54"/>
  <c r="G79" i="54"/>
  <c r="G81" i="54"/>
  <c r="G85" i="54"/>
  <c r="G87" i="54"/>
  <c r="G89" i="54"/>
  <c r="G93" i="54"/>
  <c r="G95" i="54"/>
  <c r="G97" i="54"/>
  <c r="G101" i="54"/>
  <c r="G103" i="54"/>
  <c r="G105" i="54"/>
  <c r="G109" i="54"/>
  <c r="G111" i="54"/>
  <c r="G124" i="54"/>
  <c r="G126" i="54"/>
  <c r="G128" i="54"/>
  <c r="G130" i="54"/>
  <c r="G132" i="54"/>
  <c r="G134" i="54"/>
  <c r="G136" i="54"/>
  <c r="G138" i="54"/>
  <c r="G140" i="54"/>
  <c r="G142" i="54"/>
  <c r="G144" i="54"/>
  <c r="G146" i="54"/>
  <c r="G148" i="54"/>
  <c r="G150" i="54"/>
  <c r="G152" i="54"/>
  <c r="G184" i="54"/>
  <c r="G189" i="54"/>
  <c r="G196" i="54"/>
  <c r="G198" i="54"/>
  <c r="G200" i="54"/>
  <c r="G202" i="54"/>
  <c r="G204" i="54"/>
  <c r="G206" i="54"/>
  <c r="G208" i="54"/>
  <c r="G210" i="54"/>
  <c r="G212" i="54"/>
  <c r="G214" i="54"/>
  <c r="X12" i="54"/>
  <c r="AN12" i="54" s="1"/>
  <c r="X20" i="54"/>
  <c r="AN20" i="54" s="1"/>
  <c r="Y188" i="54"/>
  <c r="AC188" i="54" s="1"/>
  <c r="Y114" i="54"/>
  <c r="AC114" i="54" s="1"/>
  <c r="AP114" i="54" s="1"/>
  <c r="V42" i="54"/>
  <c r="W42" i="54" s="1"/>
  <c r="V268" i="54"/>
  <c r="W268" i="54" s="1"/>
  <c r="X268" i="54" s="1"/>
  <c r="AN268" i="54" s="1"/>
  <c r="AQ268" i="54" s="1"/>
  <c r="X47" i="54"/>
  <c r="AN47" i="54" s="1"/>
  <c r="V53" i="54"/>
  <c r="W53" i="54" s="1"/>
  <c r="X53" i="54" s="1"/>
  <c r="AN53" i="54" s="1"/>
  <c r="AQ53" i="54" s="1"/>
  <c r="X100" i="54"/>
  <c r="AN100" i="54" s="1"/>
  <c r="V152" i="54"/>
  <c r="W152" i="54" s="1"/>
  <c r="X152" i="54" s="1"/>
  <c r="AN152" i="54" s="1"/>
  <c r="AQ152" i="54" s="1"/>
  <c r="V178" i="54"/>
  <c r="W178" i="54" s="1"/>
  <c r="X178" i="54" s="1"/>
  <c r="AN178" i="54" s="1"/>
  <c r="AQ178" i="54" s="1"/>
  <c r="X62" i="54"/>
  <c r="AN62" i="54" s="1"/>
  <c r="V64" i="54"/>
  <c r="W64" i="54" s="1"/>
  <c r="X64" i="54" s="1"/>
  <c r="AN64" i="54" s="1"/>
  <c r="AQ64" i="54" s="1"/>
  <c r="AP160" i="54"/>
  <c r="V164" i="54"/>
  <c r="W164" i="54" s="1"/>
  <c r="X164" i="54" s="1"/>
  <c r="AN164" i="54" s="1"/>
  <c r="AQ164" i="54" s="1"/>
  <c r="C221" i="54"/>
  <c r="G221" i="54" s="1"/>
  <c r="V125" i="54"/>
  <c r="W125" i="54" s="1"/>
  <c r="X125" i="54" s="1"/>
  <c r="AN125" i="54" s="1"/>
  <c r="AQ125" i="54" s="1"/>
  <c r="X130" i="54"/>
  <c r="AN130" i="54" s="1"/>
  <c r="AP264" i="54"/>
  <c r="AP99" i="54"/>
  <c r="X86" i="54"/>
  <c r="AN86" i="54" s="1"/>
  <c r="X92" i="54"/>
  <c r="AN92" i="54" s="1"/>
  <c r="V94" i="54"/>
  <c r="W94" i="54" s="1"/>
  <c r="X94" i="54" s="1"/>
  <c r="AN94" i="54" s="1"/>
  <c r="AQ94" i="54" s="1"/>
  <c r="Y122" i="54"/>
  <c r="AC122" i="54" s="1"/>
  <c r="V122" i="54" s="1"/>
  <c r="W122" i="54" s="1"/>
  <c r="X122" i="54" s="1"/>
  <c r="AN122" i="54" s="1"/>
  <c r="AP127" i="54"/>
  <c r="V159" i="54"/>
  <c r="W159" i="54" s="1"/>
  <c r="X159" i="54" s="1"/>
  <c r="AN159" i="54" s="1"/>
  <c r="AQ159" i="54" s="1"/>
  <c r="V262" i="54"/>
  <c r="W262" i="54" s="1"/>
  <c r="X262" i="54" s="1"/>
  <c r="AN262" i="54" s="1"/>
  <c r="AQ262" i="54" s="1"/>
  <c r="AP267" i="54"/>
  <c r="V37" i="54"/>
  <c r="W37" i="54" s="1"/>
  <c r="X37" i="54" s="1"/>
  <c r="AN37" i="54" s="1"/>
  <c r="AQ37" i="54" s="1"/>
  <c r="V75" i="54"/>
  <c r="W75" i="54" s="1"/>
  <c r="X75" i="54" s="1"/>
  <c r="AN75" i="54" s="1"/>
  <c r="AQ75" i="54" s="1"/>
  <c r="V207" i="54"/>
  <c r="W207" i="54" s="1"/>
  <c r="X207" i="54" s="1"/>
  <c r="AN207" i="54" s="1"/>
  <c r="AQ207" i="54" s="1"/>
  <c r="V279" i="54"/>
  <c r="W279" i="54" s="1"/>
  <c r="X279" i="54" s="1"/>
  <c r="AN279" i="54" s="1"/>
  <c r="AQ279" i="54" s="1"/>
  <c r="X65" i="54"/>
  <c r="AN65" i="54" s="1"/>
  <c r="V70" i="54"/>
  <c r="W70" i="54" s="1"/>
  <c r="X70" i="54" s="1"/>
  <c r="AN70" i="54" s="1"/>
  <c r="AQ70" i="54" s="1"/>
  <c r="X167" i="54"/>
  <c r="AN167" i="54" s="1"/>
  <c r="AP285" i="54"/>
  <c r="X255" i="54"/>
  <c r="AN255" i="54" s="1"/>
  <c r="V57" i="54"/>
  <c r="W57" i="54" s="1"/>
  <c r="X57" i="54" s="1"/>
  <c r="AN57" i="54" s="1"/>
  <c r="AQ57" i="54" s="1"/>
  <c r="AP74" i="54"/>
  <c r="V95" i="54"/>
  <c r="W95" i="54" s="1"/>
  <c r="X95" i="54" s="1"/>
  <c r="AN95" i="54" s="1"/>
  <c r="AQ95" i="54" s="1"/>
  <c r="AP100" i="54"/>
  <c r="AQ100" i="54" s="1"/>
  <c r="X104" i="54"/>
  <c r="AN104" i="54" s="1"/>
  <c r="X106" i="54"/>
  <c r="AN106" i="54" s="1"/>
  <c r="Y112" i="54"/>
  <c r="AC112" i="54" s="1"/>
  <c r="AP112" i="54" s="1"/>
  <c r="V123" i="54"/>
  <c r="W123" i="54" s="1"/>
  <c r="X123" i="54" s="1"/>
  <c r="AN123" i="54" s="1"/>
  <c r="AQ123" i="54" s="1"/>
  <c r="AP181" i="54"/>
  <c r="X284" i="54"/>
  <c r="AN284" i="54" s="1"/>
  <c r="X54" i="54"/>
  <c r="AN54" i="54" s="1"/>
  <c r="V143" i="54"/>
  <c r="W143" i="54" s="1"/>
  <c r="X143" i="54" s="1"/>
  <c r="AN143" i="54" s="1"/>
  <c r="AQ143" i="54" s="1"/>
  <c r="X165" i="54"/>
  <c r="AN165" i="54" s="1"/>
  <c r="X174" i="54"/>
  <c r="AN174" i="54" s="1"/>
  <c r="V176" i="54"/>
  <c r="W176" i="54" s="1"/>
  <c r="X176" i="54" s="1"/>
  <c r="AN176" i="54" s="1"/>
  <c r="AQ176" i="54" s="1"/>
  <c r="X202" i="54"/>
  <c r="AN202" i="54" s="1"/>
  <c r="D223" i="54"/>
  <c r="G223" i="54" s="1"/>
  <c r="V230" i="54"/>
  <c r="W230" i="54" s="1"/>
  <c r="X230" i="54" s="1"/>
  <c r="AN230" i="54" s="1"/>
  <c r="AQ230" i="54" s="1"/>
  <c r="V247" i="54"/>
  <c r="W247" i="54" s="1"/>
  <c r="X247" i="54" s="1"/>
  <c r="AN247" i="54" s="1"/>
  <c r="AQ247" i="54" s="1"/>
  <c r="X264" i="54"/>
  <c r="AN264" i="54" s="1"/>
  <c r="V271" i="54"/>
  <c r="W271" i="54" s="1"/>
  <c r="X271" i="54" s="1"/>
  <c r="AN271" i="54" s="1"/>
  <c r="AQ271" i="54" s="1"/>
  <c r="V276" i="54"/>
  <c r="W276" i="54" s="1"/>
  <c r="X276" i="54" s="1"/>
  <c r="AN276" i="54" s="1"/>
  <c r="AQ276" i="54" s="1"/>
  <c r="V283" i="54"/>
  <c r="W283" i="54" s="1"/>
  <c r="X283" i="54" s="1"/>
  <c r="AN283" i="54" s="1"/>
  <c r="AQ283" i="54" s="1"/>
  <c r="AP3" i="54"/>
  <c r="X5" i="54"/>
  <c r="AN5" i="54" s="1"/>
  <c r="X43" i="54"/>
  <c r="AN43" i="54" s="1"/>
  <c r="X58" i="54"/>
  <c r="AN58" i="54" s="1"/>
  <c r="AP106" i="54"/>
  <c r="X108" i="54"/>
  <c r="AN108" i="54" s="1"/>
  <c r="V110" i="54"/>
  <c r="W110" i="54" s="1"/>
  <c r="X110" i="54" s="1"/>
  <c r="AN110" i="54" s="1"/>
  <c r="AQ110" i="54" s="1"/>
  <c r="X126" i="54"/>
  <c r="AN126" i="54" s="1"/>
  <c r="V145" i="54"/>
  <c r="W145" i="54" s="1"/>
  <c r="X145" i="54" s="1"/>
  <c r="AN145" i="54" s="1"/>
  <c r="AQ145" i="54" s="1"/>
  <c r="X160" i="54"/>
  <c r="AN160" i="54" s="1"/>
  <c r="V171" i="54"/>
  <c r="W171" i="54" s="1"/>
  <c r="X171" i="54" s="1"/>
  <c r="AN171" i="54" s="1"/>
  <c r="AQ171" i="54" s="1"/>
  <c r="V208" i="54"/>
  <c r="W208" i="54" s="1"/>
  <c r="X208" i="54" s="1"/>
  <c r="AN208" i="54" s="1"/>
  <c r="AQ208" i="54" s="1"/>
  <c r="X212" i="54"/>
  <c r="AN212" i="54" s="1"/>
  <c r="V223" i="54"/>
  <c r="W223" i="54" s="1"/>
  <c r="X223" i="54" s="1"/>
  <c r="AN223" i="54" s="1"/>
  <c r="AQ223" i="54" s="1"/>
  <c r="V225" i="54"/>
  <c r="W225" i="54" s="1"/>
  <c r="X225" i="54" s="1"/>
  <c r="AN225" i="54" s="1"/>
  <c r="AQ225" i="54" s="1"/>
  <c r="V238" i="54"/>
  <c r="W238" i="54" s="1"/>
  <c r="X238" i="54" s="1"/>
  <c r="AN238" i="54" s="1"/>
  <c r="AQ238" i="54" s="1"/>
  <c r="V275" i="54"/>
  <c r="W275" i="54" s="1"/>
  <c r="X275" i="54" s="1"/>
  <c r="AN275" i="54" s="1"/>
  <c r="AQ275" i="54" s="1"/>
  <c r="X285" i="54"/>
  <c r="AN285" i="54" s="1"/>
  <c r="X295" i="54"/>
  <c r="AN295" i="54" s="1"/>
  <c r="AP130" i="54"/>
  <c r="X140" i="54"/>
  <c r="AN140" i="54" s="1"/>
  <c r="AP246" i="54"/>
  <c r="X280" i="54"/>
  <c r="AN280" i="54" s="1"/>
  <c r="AP31" i="54"/>
  <c r="V83" i="54"/>
  <c r="W83" i="54" s="1"/>
  <c r="X83" i="54" s="1"/>
  <c r="AN83" i="54" s="1"/>
  <c r="AQ83" i="54" s="1"/>
  <c r="X147" i="54"/>
  <c r="AN147" i="54" s="1"/>
  <c r="X149" i="54"/>
  <c r="AN149" i="54" s="1"/>
  <c r="X231" i="54"/>
  <c r="AN231" i="54" s="1"/>
  <c r="V46" i="54"/>
  <c r="W46" i="54" s="1"/>
  <c r="X46" i="54" s="1"/>
  <c r="AN46" i="54" s="1"/>
  <c r="AQ46" i="54" s="1"/>
  <c r="V61" i="54"/>
  <c r="W61" i="54" s="1"/>
  <c r="X61" i="54" s="1"/>
  <c r="AN61" i="54" s="1"/>
  <c r="AQ61" i="54" s="1"/>
  <c r="X98" i="54"/>
  <c r="AN98" i="54" s="1"/>
  <c r="X127" i="54"/>
  <c r="AN127" i="54" s="1"/>
  <c r="AP144" i="54"/>
  <c r="AP170" i="54"/>
  <c r="Y186" i="54"/>
  <c r="AC186" i="54" s="1"/>
  <c r="AP186" i="54" s="1"/>
  <c r="AP231" i="54"/>
  <c r="X237" i="54"/>
  <c r="AN237" i="54" s="1"/>
  <c r="AP272" i="54"/>
  <c r="V286" i="54"/>
  <c r="W286" i="54" s="1"/>
  <c r="X286" i="54" s="1"/>
  <c r="AN286" i="54" s="1"/>
  <c r="AQ286" i="54" s="1"/>
  <c r="AP163" i="54"/>
  <c r="V163" i="54"/>
  <c r="W163" i="54" s="1"/>
  <c r="X163" i="54" s="1"/>
  <c r="AN163" i="54" s="1"/>
  <c r="AP88" i="54"/>
  <c r="V88" i="54"/>
  <c r="W88" i="54" s="1"/>
  <c r="X88" i="54" s="1"/>
  <c r="AN88" i="54" s="1"/>
  <c r="X68" i="54"/>
  <c r="AN68" i="54" s="1"/>
  <c r="D216" i="54"/>
  <c r="G216" i="54" s="1"/>
  <c r="X28" i="54"/>
  <c r="AN28" i="54" s="1"/>
  <c r="X49" i="54"/>
  <c r="AN49" i="54" s="1"/>
  <c r="AP54" i="54"/>
  <c r="X56" i="54"/>
  <c r="AN56" i="54" s="1"/>
  <c r="X113" i="54"/>
  <c r="AN113" i="54" s="1"/>
  <c r="V131" i="54"/>
  <c r="W131" i="54" s="1"/>
  <c r="X131" i="54" s="1"/>
  <c r="AN131" i="54" s="1"/>
  <c r="AQ131" i="54" s="1"/>
  <c r="AP136" i="54"/>
  <c r="X150" i="54"/>
  <c r="AN150" i="54" s="1"/>
  <c r="V166" i="54"/>
  <c r="W166" i="54" s="1"/>
  <c r="X166" i="54" s="1"/>
  <c r="AN166" i="54" s="1"/>
  <c r="AQ166" i="54" s="1"/>
  <c r="Y185" i="54"/>
  <c r="AC185" i="54" s="1"/>
  <c r="V185" i="54" s="1"/>
  <c r="W185" i="54" s="1"/>
  <c r="X185" i="54" s="1"/>
  <c r="AN185" i="54" s="1"/>
  <c r="V200" i="54"/>
  <c r="W200" i="54" s="1"/>
  <c r="X200" i="54" s="1"/>
  <c r="AN200" i="54" s="1"/>
  <c r="AQ200" i="54" s="1"/>
  <c r="AP212" i="54"/>
  <c r="D220" i="54"/>
  <c r="G220" i="54" s="1"/>
  <c r="X281" i="54"/>
  <c r="AN281" i="54" s="1"/>
  <c r="X307" i="54"/>
  <c r="AN307" i="54" s="1"/>
  <c r="AP219" i="54"/>
  <c r="V23" i="54"/>
  <c r="W23" i="54" s="1"/>
  <c r="X23" i="54" s="1"/>
  <c r="AN23" i="54" s="1"/>
  <c r="AQ23" i="54" s="1"/>
  <c r="V39" i="54"/>
  <c r="W39" i="54" s="1"/>
  <c r="X39" i="54" s="1"/>
  <c r="AN39" i="54" s="1"/>
  <c r="AQ39" i="54" s="1"/>
  <c r="AP56" i="54"/>
  <c r="V216" i="54"/>
  <c r="W216" i="54" s="1"/>
  <c r="X216" i="54" s="1"/>
  <c r="AN216" i="54" s="1"/>
  <c r="AQ216" i="54" s="1"/>
  <c r="X246" i="54"/>
  <c r="AN246" i="54" s="1"/>
  <c r="X35" i="54"/>
  <c r="AN35" i="54" s="1"/>
  <c r="AP47" i="54"/>
  <c r="AP153" i="54"/>
  <c r="AP248" i="54"/>
  <c r="AP98" i="54"/>
  <c r="X146" i="54"/>
  <c r="AN146" i="54" s="1"/>
  <c r="V48" i="54"/>
  <c r="W48" i="54" s="1"/>
  <c r="X48" i="54" s="1"/>
  <c r="AN48" i="54" s="1"/>
  <c r="AQ48" i="54" s="1"/>
  <c r="V60" i="54"/>
  <c r="W60" i="54" s="1"/>
  <c r="X60" i="54" s="1"/>
  <c r="AN60" i="54" s="1"/>
  <c r="AQ60" i="54" s="1"/>
  <c r="V158" i="54"/>
  <c r="W158" i="54" s="1"/>
  <c r="X158" i="54" s="1"/>
  <c r="AN158" i="54" s="1"/>
  <c r="AQ158" i="54" s="1"/>
  <c r="X170" i="54"/>
  <c r="AN170" i="54" s="1"/>
  <c r="Y184" i="54"/>
  <c r="AC184" i="54" s="1"/>
  <c r="AP184" i="54" s="1"/>
  <c r="AP202" i="54"/>
  <c r="V204" i="54"/>
  <c r="W204" i="54" s="1"/>
  <c r="X204" i="54" s="1"/>
  <c r="AN204" i="54" s="1"/>
  <c r="AQ204" i="54" s="1"/>
  <c r="V211" i="54"/>
  <c r="W211" i="54" s="1"/>
  <c r="X211" i="54" s="1"/>
  <c r="AN211" i="54" s="1"/>
  <c r="AQ211" i="54" s="1"/>
  <c r="V220" i="54"/>
  <c r="W220" i="54" s="1"/>
  <c r="X220" i="54" s="1"/>
  <c r="AN220" i="54" s="1"/>
  <c r="AQ220" i="54" s="1"/>
  <c r="V249" i="54"/>
  <c r="W249" i="54" s="1"/>
  <c r="X249" i="54" s="1"/>
  <c r="AN249" i="54" s="1"/>
  <c r="AQ249" i="54" s="1"/>
  <c r="X4" i="54"/>
  <c r="AN4" i="54" s="1"/>
  <c r="X15" i="54"/>
  <c r="AN15" i="54" s="1"/>
  <c r="AP126" i="54"/>
  <c r="X303" i="54"/>
  <c r="AN303" i="54" s="1"/>
  <c r="V7" i="54"/>
  <c r="W7" i="54" s="1"/>
  <c r="X7" i="54" s="1"/>
  <c r="AN7" i="54" s="1"/>
  <c r="AQ7" i="54" s="1"/>
  <c r="X196" i="54"/>
  <c r="AN196" i="54" s="1"/>
  <c r="X217" i="54"/>
  <c r="AN217" i="54" s="1"/>
  <c r="V22" i="54"/>
  <c r="W22" i="54" s="1"/>
  <c r="X22" i="54" s="1"/>
  <c r="AN22" i="54" s="1"/>
  <c r="AQ22" i="54" s="1"/>
  <c r="X31" i="54"/>
  <c r="AN31" i="54" s="1"/>
  <c r="X73" i="54"/>
  <c r="AN73" i="54" s="1"/>
  <c r="V111" i="54"/>
  <c r="W111" i="54" s="1"/>
  <c r="X111" i="54" s="1"/>
  <c r="AN111" i="54" s="1"/>
  <c r="AQ111" i="54" s="1"/>
  <c r="V129" i="54"/>
  <c r="W129" i="54" s="1"/>
  <c r="X129" i="54" s="1"/>
  <c r="AN129" i="54" s="1"/>
  <c r="AQ129" i="54" s="1"/>
  <c r="V139" i="54"/>
  <c r="W139" i="54" s="1"/>
  <c r="X139" i="54" s="1"/>
  <c r="AN139" i="54" s="1"/>
  <c r="AQ139" i="54" s="1"/>
  <c r="Y194" i="54"/>
  <c r="AC194" i="54" s="1"/>
  <c r="V194" i="54" s="1"/>
  <c r="W194" i="54" s="1"/>
  <c r="X194" i="54" s="1"/>
  <c r="AN194" i="54" s="1"/>
  <c r="V213" i="54"/>
  <c r="W213" i="54" s="1"/>
  <c r="X213" i="54" s="1"/>
  <c r="AN213" i="54" s="1"/>
  <c r="AQ213" i="54" s="1"/>
  <c r="D217" i="54"/>
  <c r="G217" i="54" s="1"/>
  <c r="V233" i="54"/>
  <c r="W233" i="54" s="1"/>
  <c r="X233" i="54" s="1"/>
  <c r="AN233" i="54" s="1"/>
  <c r="AQ233" i="54" s="1"/>
  <c r="V198" i="54"/>
  <c r="W198" i="54" s="1"/>
  <c r="X198" i="54" s="1"/>
  <c r="AN198" i="54" s="1"/>
  <c r="AP198" i="54"/>
  <c r="AP299" i="54"/>
  <c r="V299" i="54"/>
  <c r="W299" i="54" s="1"/>
  <c r="X299" i="54" s="1"/>
  <c r="AN299" i="54" s="1"/>
  <c r="AP21" i="54"/>
  <c r="V21" i="54"/>
  <c r="W21" i="54" s="1"/>
  <c r="X21" i="54" s="1"/>
  <c r="AN21" i="54" s="1"/>
  <c r="AP227" i="54"/>
  <c r="V227" i="54"/>
  <c r="W227" i="54" s="1"/>
  <c r="X227" i="54" s="1"/>
  <c r="AN227" i="54" s="1"/>
  <c r="V252" i="54"/>
  <c r="W252" i="54" s="1"/>
  <c r="X252" i="54" s="1"/>
  <c r="AN252" i="54" s="1"/>
  <c r="AP252" i="54"/>
  <c r="AP254" i="54"/>
  <c r="V254" i="54"/>
  <c r="W254" i="54" s="1"/>
  <c r="X254" i="54" s="1"/>
  <c r="AN254" i="54" s="1"/>
  <c r="V156" i="54"/>
  <c r="W156" i="54" s="1"/>
  <c r="X156" i="54" s="1"/>
  <c r="AN156" i="54" s="1"/>
  <c r="AP156" i="54"/>
  <c r="V291" i="54"/>
  <c r="W291" i="54" s="1"/>
  <c r="X291" i="54" s="1"/>
  <c r="AN291" i="54" s="1"/>
  <c r="AP291" i="54"/>
  <c r="AP169" i="54"/>
  <c r="V169" i="54"/>
  <c r="W169" i="54" s="1"/>
  <c r="X169" i="54" s="1"/>
  <c r="AN169" i="54" s="1"/>
  <c r="AP135" i="54"/>
  <c r="V135" i="54"/>
  <c r="W135" i="54" s="1"/>
  <c r="X135" i="54" s="1"/>
  <c r="AN135" i="54" s="1"/>
  <c r="AP206" i="54"/>
  <c r="V206" i="54"/>
  <c r="W206" i="54" s="1"/>
  <c r="X206" i="54" s="1"/>
  <c r="AN206" i="54" s="1"/>
  <c r="AP257" i="54"/>
  <c r="V257" i="54"/>
  <c r="W257" i="54" s="1"/>
  <c r="X257" i="54" s="1"/>
  <c r="AN257" i="54" s="1"/>
  <c r="AP52" i="54"/>
  <c r="V52" i="54"/>
  <c r="W52" i="54" s="1"/>
  <c r="X52" i="54" s="1"/>
  <c r="AN52" i="54" s="1"/>
  <c r="V89" i="54"/>
  <c r="W89" i="54" s="1"/>
  <c r="X89" i="54" s="1"/>
  <c r="AN89" i="54" s="1"/>
  <c r="AP89" i="54"/>
  <c r="AP91" i="54"/>
  <c r="V91" i="54"/>
  <c r="W91" i="54" s="1"/>
  <c r="X91" i="54" s="1"/>
  <c r="AN91" i="54" s="1"/>
  <c r="AP226" i="54"/>
  <c r="V226" i="54"/>
  <c r="W226" i="54" s="1"/>
  <c r="X226" i="54" s="1"/>
  <c r="AN226" i="54" s="1"/>
  <c r="V14" i="54"/>
  <c r="W14" i="54" s="1"/>
  <c r="X14" i="54" s="1"/>
  <c r="AN14" i="54" s="1"/>
  <c r="AQ14" i="54" s="1"/>
  <c r="V30" i="54"/>
  <c r="W30" i="54" s="1"/>
  <c r="X30" i="54" s="1"/>
  <c r="AN30" i="54" s="1"/>
  <c r="AQ30" i="54" s="1"/>
  <c r="X41" i="54"/>
  <c r="AN41" i="54" s="1"/>
  <c r="AP68" i="54"/>
  <c r="AP86" i="54"/>
  <c r="AP102" i="54"/>
  <c r="V133" i="54"/>
  <c r="W133" i="54" s="1"/>
  <c r="X133" i="54" s="1"/>
  <c r="AN133" i="54" s="1"/>
  <c r="AQ133" i="54" s="1"/>
  <c r="X141" i="54"/>
  <c r="AN141" i="54" s="1"/>
  <c r="AP165" i="54"/>
  <c r="AP174" i="54"/>
  <c r="V179" i="54"/>
  <c r="W179" i="54" s="1"/>
  <c r="X179" i="54" s="1"/>
  <c r="AN179" i="54" s="1"/>
  <c r="AQ179" i="54" s="1"/>
  <c r="X205" i="54"/>
  <c r="AN205" i="54" s="1"/>
  <c r="V214" i="54"/>
  <c r="W214" i="54" s="1"/>
  <c r="X214" i="54" s="1"/>
  <c r="AN214" i="54" s="1"/>
  <c r="AQ214" i="54" s="1"/>
  <c r="X218" i="54"/>
  <c r="AN218" i="54" s="1"/>
  <c r="C224" i="54"/>
  <c r="G224" i="54" s="1"/>
  <c r="AP237" i="54"/>
  <c r="V245" i="54"/>
  <c r="W245" i="54" s="1"/>
  <c r="X245" i="54" s="1"/>
  <c r="AN245" i="54" s="1"/>
  <c r="AQ245" i="54" s="1"/>
  <c r="V251" i="54"/>
  <c r="W251" i="54" s="1"/>
  <c r="X251" i="54" s="1"/>
  <c r="AN251" i="54" s="1"/>
  <c r="AQ251" i="54" s="1"/>
  <c r="V282" i="54"/>
  <c r="W282" i="54" s="1"/>
  <c r="X282" i="54" s="1"/>
  <c r="AN282" i="54" s="1"/>
  <c r="AQ282" i="54" s="1"/>
  <c r="AP150" i="54"/>
  <c r="X201" i="54"/>
  <c r="AN201" i="54" s="1"/>
  <c r="X221" i="54"/>
  <c r="AN221" i="54" s="1"/>
  <c r="X248" i="54"/>
  <c r="AN248" i="54" s="1"/>
  <c r="X76" i="54"/>
  <c r="AN76" i="54" s="1"/>
  <c r="X32" i="54"/>
  <c r="AN32" i="54" s="1"/>
  <c r="AP43" i="54"/>
  <c r="X55" i="54"/>
  <c r="AN55" i="54" s="1"/>
  <c r="V72" i="54"/>
  <c r="W72" i="54" s="1"/>
  <c r="X72" i="54" s="1"/>
  <c r="AN72" i="54" s="1"/>
  <c r="AQ72" i="54" s="1"/>
  <c r="AP73" i="54"/>
  <c r="V78" i="54"/>
  <c r="W78" i="54" s="1"/>
  <c r="X78" i="54" s="1"/>
  <c r="AN78" i="54" s="1"/>
  <c r="AQ78" i="54" s="1"/>
  <c r="X144" i="54"/>
  <c r="AN144" i="54" s="1"/>
  <c r="AQ144" i="54" s="1"/>
  <c r="AP146" i="54"/>
  <c r="AP149" i="54"/>
  <c r="X181" i="54"/>
  <c r="AN181" i="54" s="1"/>
  <c r="V190" i="54"/>
  <c r="W190" i="54" s="1"/>
  <c r="X190" i="54" s="1"/>
  <c r="AN190" i="54" s="1"/>
  <c r="AQ190" i="54" s="1"/>
  <c r="Y191" i="54"/>
  <c r="AC191" i="54" s="1"/>
  <c r="AP201" i="54"/>
  <c r="AP205" i="54"/>
  <c r="C219" i="54"/>
  <c r="G219" i="54" s="1"/>
  <c r="V241" i="54"/>
  <c r="W241" i="54" s="1"/>
  <c r="X241" i="54" s="1"/>
  <c r="AN241" i="54" s="1"/>
  <c r="AQ241" i="54" s="1"/>
  <c r="AP242" i="54"/>
  <c r="V244" i="54"/>
  <c r="W244" i="54" s="1"/>
  <c r="X244" i="54" s="1"/>
  <c r="AN244" i="54" s="1"/>
  <c r="AQ244" i="54" s="1"/>
  <c r="X272" i="54"/>
  <c r="AN272" i="54" s="1"/>
  <c r="X19" i="54"/>
  <c r="AN19" i="54" s="1"/>
  <c r="X3" i="54"/>
  <c r="AN3" i="54" s="1"/>
  <c r="X42" i="54"/>
  <c r="AN42" i="54" s="1"/>
  <c r="AQ42" i="54" s="1"/>
  <c r="AP49" i="54"/>
  <c r="X51" i="54"/>
  <c r="AN51" i="54" s="1"/>
  <c r="X66" i="54"/>
  <c r="AN66" i="54" s="1"/>
  <c r="X69" i="54"/>
  <c r="AN69" i="54" s="1"/>
  <c r="V118" i="54"/>
  <c r="W118" i="54" s="1"/>
  <c r="X118" i="54" s="1"/>
  <c r="AN118" i="54" s="1"/>
  <c r="AQ118" i="54" s="1"/>
  <c r="AP119" i="54"/>
  <c r="AP140" i="54"/>
  <c r="V142" i="54"/>
  <c r="W142" i="54" s="1"/>
  <c r="X142" i="54" s="1"/>
  <c r="AN142" i="54" s="1"/>
  <c r="AQ142" i="54" s="1"/>
  <c r="AP221" i="54"/>
  <c r="AP255" i="54"/>
  <c r="AP281" i="54"/>
  <c r="X287" i="54"/>
  <c r="AN287" i="54" s="1"/>
  <c r="AP66" i="54"/>
  <c r="AP69" i="54"/>
  <c r="X151" i="54"/>
  <c r="AN151" i="54" s="1"/>
  <c r="AP196" i="54"/>
  <c r="AP217" i="54"/>
  <c r="AP284" i="54"/>
  <c r="C286" i="54"/>
  <c r="G286" i="54" s="1"/>
  <c r="AP287" i="54"/>
  <c r="X11" i="54"/>
  <c r="AN11" i="54" s="1"/>
  <c r="X27" i="54"/>
  <c r="AN27" i="54" s="1"/>
  <c r="AP15" i="54"/>
  <c r="AP20" i="54"/>
  <c r="AQ20" i="54" s="1"/>
  <c r="V33" i="54"/>
  <c r="W33" i="54" s="1"/>
  <c r="X33" i="54" s="1"/>
  <c r="AN33" i="54" s="1"/>
  <c r="AQ33" i="54" s="1"/>
  <c r="V36" i="54"/>
  <c r="W36" i="54" s="1"/>
  <c r="X36" i="54" s="1"/>
  <c r="AN36" i="54" s="1"/>
  <c r="AQ36" i="54" s="1"/>
  <c r="V59" i="54"/>
  <c r="W59" i="54" s="1"/>
  <c r="X59" i="54" s="1"/>
  <c r="AN59" i="54" s="1"/>
  <c r="AQ59" i="54" s="1"/>
  <c r="X74" i="54"/>
  <c r="AN74" i="54" s="1"/>
  <c r="V192" i="54"/>
  <c r="W192" i="54" s="1"/>
  <c r="X192" i="54" s="1"/>
  <c r="AN192" i="54" s="1"/>
  <c r="AQ192" i="54" s="1"/>
  <c r="Y195" i="54"/>
  <c r="AC195" i="54" s="1"/>
  <c r="AP195" i="54" s="1"/>
  <c r="V203" i="54"/>
  <c r="W203" i="54" s="1"/>
  <c r="X203" i="54" s="1"/>
  <c r="AN203" i="54" s="1"/>
  <c r="AQ203" i="54" s="1"/>
  <c r="X219" i="54"/>
  <c r="AN219" i="54" s="1"/>
  <c r="X235" i="54"/>
  <c r="AN235" i="54" s="1"/>
  <c r="AP280" i="54"/>
  <c r="V8" i="54"/>
  <c r="W8" i="54" s="1"/>
  <c r="X8" i="54" s="1"/>
  <c r="AN8" i="54" s="1"/>
  <c r="AP8" i="54"/>
  <c r="AP38" i="54"/>
  <c r="V38" i="54"/>
  <c r="W38" i="54" s="1"/>
  <c r="X38" i="54" s="1"/>
  <c r="AN38" i="54" s="1"/>
  <c r="V84" i="54"/>
  <c r="W84" i="54" s="1"/>
  <c r="X84" i="54" s="1"/>
  <c r="AN84" i="54" s="1"/>
  <c r="AP84" i="54"/>
  <c r="AP4" i="54"/>
  <c r="V13" i="54"/>
  <c r="W13" i="54" s="1"/>
  <c r="X13" i="54" s="1"/>
  <c r="AN13" i="54" s="1"/>
  <c r="AQ13" i="54" s="1"/>
  <c r="V29" i="54"/>
  <c r="W29" i="54" s="1"/>
  <c r="X29" i="54" s="1"/>
  <c r="AN29" i="54" s="1"/>
  <c r="AQ29" i="54" s="1"/>
  <c r="AP32" i="54"/>
  <c r="AP76" i="54"/>
  <c r="V87" i="54"/>
  <c r="W87" i="54" s="1"/>
  <c r="X87" i="54" s="1"/>
  <c r="AN87" i="54" s="1"/>
  <c r="AQ87" i="54" s="1"/>
  <c r="AP5" i="54"/>
  <c r="V9" i="54"/>
  <c r="W9" i="54" s="1"/>
  <c r="X9" i="54" s="1"/>
  <c r="AN9" i="54" s="1"/>
  <c r="AQ9" i="54" s="1"/>
  <c r="AP19" i="54"/>
  <c r="V25" i="54"/>
  <c r="W25" i="54" s="1"/>
  <c r="X25" i="54" s="1"/>
  <c r="AN25" i="54" s="1"/>
  <c r="AQ25" i="54" s="1"/>
  <c r="V40" i="54"/>
  <c r="W40" i="54" s="1"/>
  <c r="X40" i="54" s="1"/>
  <c r="AN40" i="54" s="1"/>
  <c r="AQ40" i="54" s="1"/>
  <c r="V50" i="54"/>
  <c r="W50" i="54" s="1"/>
  <c r="X50" i="54" s="1"/>
  <c r="AN50" i="54" s="1"/>
  <c r="AQ50" i="54" s="1"/>
  <c r="AP55" i="54"/>
  <c r="AP65" i="54"/>
  <c r="V79" i="54"/>
  <c r="W79" i="54" s="1"/>
  <c r="X79" i="54" s="1"/>
  <c r="AN79" i="54" s="1"/>
  <c r="AP79" i="54"/>
  <c r="AP82" i="54"/>
  <c r="V82" i="54"/>
  <c r="W82" i="54" s="1"/>
  <c r="X82" i="54" s="1"/>
  <c r="AN82" i="54" s="1"/>
  <c r="AP103" i="54"/>
  <c r="V103" i="54"/>
  <c r="W103" i="54" s="1"/>
  <c r="X103" i="54" s="1"/>
  <c r="AN103" i="54" s="1"/>
  <c r="AP138" i="54"/>
  <c r="V138" i="54"/>
  <c r="W138" i="54" s="1"/>
  <c r="X138" i="54" s="1"/>
  <c r="AN138" i="54" s="1"/>
  <c r="V18" i="54"/>
  <c r="W18" i="54" s="1"/>
  <c r="X18" i="54" s="1"/>
  <c r="AN18" i="54" s="1"/>
  <c r="AP18" i="54"/>
  <c r="V96" i="54"/>
  <c r="W96" i="54" s="1"/>
  <c r="X96" i="54" s="1"/>
  <c r="AN96" i="54" s="1"/>
  <c r="AP96" i="54"/>
  <c r="AP107" i="54"/>
  <c r="V107" i="54"/>
  <c r="W107" i="54" s="1"/>
  <c r="X107" i="54" s="1"/>
  <c r="AN107" i="54" s="1"/>
  <c r="AP117" i="54"/>
  <c r="V117" i="54"/>
  <c r="W117" i="54" s="1"/>
  <c r="X117" i="54" s="1"/>
  <c r="AN117" i="54" s="1"/>
  <c r="AP157" i="54"/>
  <c r="V157" i="54"/>
  <c r="W157" i="54" s="1"/>
  <c r="X157" i="54" s="1"/>
  <c r="AN157" i="54" s="1"/>
  <c r="AP175" i="54"/>
  <c r="V175" i="54"/>
  <c r="W175" i="54" s="1"/>
  <c r="X175" i="54" s="1"/>
  <c r="AN175" i="54" s="1"/>
  <c r="V44" i="54"/>
  <c r="W44" i="54" s="1"/>
  <c r="X44" i="54" s="1"/>
  <c r="AN44" i="54" s="1"/>
  <c r="AP44" i="54"/>
  <c r="AP63" i="54"/>
  <c r="V63" i="54"/>
  <c r="W63" i="54" s="1"/>
  <c r="X63" i="54" s="1"/>
  <c r="AN63" i="54" s="1"/>
  <c r="V115" i="54"/>
  <c r="W115" i="54" s="1"/>
  <c r="X115" i="54" s="1"/>
  <c r="AN115" i="54" s="1"/>
  <c r="AP115" i="54"/>
  <c r="V10" i="54"/>
  <c r="W10" i="54" s="1"/>
  <c r="X10" i="54" s="1"/>
  <c r="AN10" i="54" s="1"/>
  <c r="AP10" i="54"/>
  <c r="AP12" i="54"/>
  <c r="AQ12" i="54" s="1"/>
  <c r="V24" i="54"/>
  <c r="W24" i="54" s="1"/>
  <c r="X24" i="54" s="1"/>
  <c r="AN24" i="54" s="1"/>
  <c r="AP24" i="54"/>
  <c r="V26" i="54"/>
  <c r="W26" i="54" s="1"/>
  <c r="X26" i="54" s="1"/>
  <c r="AN26" i="54" s="1"/>
  <c r="AP26" i="54"/>
  <c r="AP28" i="54"/>
  <c r="AP41" i="54"/>
  <c r="V81" i="54"/>
  <c r="W81" i="54" s="1"/>
  <c r="X81" i="54" s="1"/>
  <c r="AN81" i="54" s="1"/>
  <c r="AP81" i="54"/>
  <c r="X102" i="54"/>
  <c r="AN102" i="54" s="1"/>
  <c r="V109" i="54"/>
  <c r="W109" i="54" s="1"/>
  <c r="X109" i="54" s="1"/>
  <c r="AN109" i="54" s="1"/>
  <c r="AP109" i="54"/>
  <c r="X119" i="54"/>
  <c r="AN119" i="54" s="1"/>
  <c r="AP147" i="54"/>
  <c r="V93" i="54"/>
  <c r="W93" i="54" s="1"/>
  <c r="X93" i="54" s="1"/>
  <c r="AN93" i="54" s="1"/>
  <c r="AP93" i="54"/>
  <c r="V105" i="54"/>
  <c r="W105" i="54" s="1"/>
  <c r="X105" i="54" s="1"/>
  <c r="AN105" i="54" s="1"/>
  <c r="AP105" i="54"/>
  <c r="V16" i="54"/>
  <c r="W16" i="54" s="1"/>
  <c r="X16" i="54" s="1"/>
  <c r="AN16" i="54" s="1"/>
  <c r="AP16" i="54"/>
  <c r="V273" i="54"/>
  <c r="W273" i="54" s="1"/>
  <c r="X273" i="54" s="1"/>
  <c r="AN273" i="54" s="1"/>
  <c r="AP273" i="54"/>
  <c r="AP67" i="54"/>
  <c r="V67" i="54"/>
  <c r="W67" i="54" s="1"/>
  <c r="X67" i="54" s="1"/>
  <c r="AN67" i="54" s="1"/>
  <c r="AP11" i="54"/>
  <c r="V17" i="54"/>
  <c r="W17" i="54" s="1"/>
  <c r="X17" i="54" s="1"/>
  <c r="AN17" i="54" s="1"/>
  <c r="AQ17" i="54" s="1"/>
  <c r="AP27" i="54"/>
  <c r="V45" i="54"/>
  <c r="W45" i="54" s="1"/>
  <c r="X45" i="54" s="1"/>
  <c r="AN45" i="54" s="1"/>
  <c r="AQ45" i="54" s="1"/>
  <c r="AP62" i="54"/>
  <c r="AQ62" i="54" s="1"/>
  <c r="V85" i="54"/>
  <c r="W85" i="54" s="1"/>
  <c r="X85" i="54" s="1"/>
  <c r="AN85" i="54" s="1"/>
  <c r="AP85" i="54"/>
  <c r="V90" i="54"/>
  <c r="W90" i="54" s="1"/>
  <c r="X90" i="54" s="1"/>
  <c r="AN90" i="54" s="1"/>
  <c r="AP90" i="54"/>
  <c r="V6" i="54"/>
  <c r="W6" i="54" s="1"/>
  <c r="X6" i="54" s="1"/>
  <c r="AN6" i="54" s="1"/>
  <c r="AQ6" i="54" s="1"/>
  <c r="V34" i="54"/>
  <c r="W34" i="54" s="1"/>
  <c r="X34" i="54" s="1"/>
  <c r="AN34" i="54" s="1"/>
  <c r="AP34" i="54"/>
  <c r="AP71" i="54"/>
  <c r="V71" i="54"/>
  <c r="W71" i="54" s="1"/>
  <c r="X71" i="54" s="1"/>
  <c r="AN71" i="54" s="1"/>
  <c r="V77" i="54"/>
  <c r="W77" i="54" s="1"/>
  <c r="X77" i="54" s="1"/>
  <c r="AN77" i="54" s="1"/>
  <c r="AP77" i="54"/>
  <c r="V80" i="54"/>
  <c r="W80" i="54" s="1"/>
  <c r="X80" i="54" s="1"/>
  <c r="AN80" i="54" s="1"/>
  <c r="AQ80" i="54" s="1"/>
  <c r="AP116" i="54"/>
  <c r="V116" i="54"/>
  <c r="W116" i="54" s="1"/>
  <c r="X116" i="54" s="1"/>
  <c r="AN116" i="54" s="1"/>
  <c r="V97" i="54"/>
  <c r="W97" i="54" s="1"/>
  <c r="X97" i="54" s="1"/>
  <c r="AN97" i="54" s="1"/>
  <c r="AP97" i="54"/>
  <c r="AP132" i="54"/>
  <c r="V132" i="54"/>
  <c r="W132" i="54" s="1"/>
  <c r="X132" i="54" s="1"/>
  <c r="AN132" i="54" s="1"/>
  <c r="V162" i="54"/>
  <c r="W162" i="54" s="1"/>
  <c r="X162" i="54" s="1"/>
  <c r="AN162" i="54" s="1"/>
  <c r="AP162" i="54"/>
  <c r="AP124" i="54"/>
  <c r="V124" i="54"/>
  <c r="W124" i="54" s="1"/>
  <c r="X124" i="54" s="1"/>
  <c r="AN124" i="54" s="1"/>
  <c r="AP151" i="54"/>
  <c r="C154" i="54"/>
  <c r="D154" i="54"/>
  <c r="AP161" i="54"/>
  <c r="V161" i="54"/>
  <c r="W161" i="54" s="1"/>
  <c r="X161" i="54" s="1"/>
  <c r="AN161" i="54" s="1"/>
  <c r="AP199" i="54"/>
  <c r="V199" i="54"/>
  <c r="W199" i="54" s="1"/>
  <c r="X199" i="54" s="1"/>
  <c r="AN199" i="54" s="1"/>
  <c r="AP236" i="54"/>
  <c r="V236" i="54"/>
  <c r="W236" i="54" s="1"/>
  <c r="X236" i="54" s="1"/>
  <c r="AN236" i="54" s="1"/>
  <c r="AP155" i="54"/>
  <c r="V155" i="54"/>
  <c r="W155" i="54" s="1"/>
  <c r="X155" i="54" s="1"/>
  <c r="AN155" i="54" s="1"/>
  <c r="V258" i="54"/>
  <c r="W258" i="54" s="1"/>
  <c r="X258" i="54" s="1"/>
  <c r="AN258" i="54" s="1"/>
  <c r="AP258" i="54"/>
  <c r="AP35" i="54"/>
  <c r="AP51" i="54"/>
  <c r="AP58" i="54"/>
  <c r="AP92" i="54"/>
  <c r="AP108" i="54"/>
  <c r="V120" i="54"/>
  <c r="W120" i="54" s="1"/>
  <c r="X120" i="54" s="1"/>
  <c r="AN120" i="54" s="1"/>
  <c r="AQ120" i="54" s="1"/>
  <c r="AP148" i="54"/>
  <c r="V148" i="54"/>
  <c r="W148" i="54" s="1"/>
  <c r="X148" i="54" s="1"/>
  <c r="AN148" i="54" s="1"/>
  <c r="V177" i="54"/>
  <c r="W177" i="54" s="1"/>
  <c r="X177" i="54" s="1"/>
  <c r="AN177" i="54" s="1"/>
  <c r="AP177" i="54"/>
  <c r="V180" i="54"/>
  <c r="W180" i="54" s="1"/>
  <c r="X180" i="54" s="1"/>
  <c r="AN180" i="54" s="1"/>
  <c r="AP180" i="54"/>
  <c r="V172" i="54"/>
  <c r="W172" i="54" s="1"/>
  <c r="X172" i="54" s="1"/>
  <c r="AN172" i="54" s="1"/>
  <c r="AP172" i="54"/>
  <c r="X99" i="54"/>
  <c r="AN99" i="54" s="1"/>
  <c r="AP104" i="54"/>
  <c r="AP128" i="54"/>
  <c r="V128" i="54"/>
  <c r="W128" i="54" s="1"/>
  <c r="X128" i="54" s="1"/>
  <c r="AN128" i="54" s="1"/>
  <c r="AP134" i="54"/>
  <c r="V134" i="54"/>
  <c r="W134" i="54" s="1"/>
  <c r="X134" i="54" s="1"/>
  <c r="AN134" i="54" s="1"/>
  <c r="AP141" i="54"/>
  <c r="V101" i="54"/>
  <c r="W101" i="54" s="1"/>
  <c r="X101" i="54" s="1"/>
  <c r="AN101" i="54" s="1"/>
  <c r="AP101" i="54"/>
  <c r="V193" i="54"/>
  <c r="W193" i="54" s="1"/>
  <c r="X193" i="54" s="1"/>
  <c r="AN193" i="54" s="1"/>
  <c r="AP193" i="54"/>
  <c r="AP197" i="54"/>
  <c r="V197" i="54"/>
  <c r="W197" i="54" s="1"/>
  <c r="X197" i="54" s="1"/>
  <c r="AN197" i="54" s="1"/>
  <c r="AP229" i="54"/>
  <c r="V229" i="54"/>
  <c r="W229" i="54" s="1"/>
  <c r="X229" i="54" s="1"/>
  <c r="AN229" i="54" s="1"/>
  <c r="V243" i="54"/>
  <c r="W243" i="54" s="1"/>
  <c r="X243" i="54" s="1"/>
  <c r="AN243" i="54" s="1"/>
  <c r="AP243" i="54"/>
  <c r="V239" i="54"/>
  <c r="W239" i="54" s="1"/>
  <c r="X239" i="54" s="1"/>
  <c r="AN239" i="54" s="1"/>
  <c r="AP239" i="54"/>
  <c r="V168" i="54"/>
  <c r="W168" i="54" s="1"/>
  <c r="X168" i="54" s="1"/>
  <c r="AN168" i="54" s="1"/>
  <c r="AP168" i="54"/>
  <c r="C218" i="54"/>
  <c r="D218" i="54"/>
  <c r="V228" i="54"/>
  <c r="W228" i="54" s="1"/>
  <c r="X228" i="54" s="1"/>
  <c r="AN228" i="54" s="1"/>
  <c r="AP228" i="54"/>
  <c r="AP232" i="54"/>
  <c r="V232" i="54"/>
  <c r="W232" i="54" s="1"/>
  <c r="X232" i="54" s="1"/>
  <c r="AN232" i="54" s="1"/>
  <c r="X242" i="54"/>
  <c r="AN242" i="54" s="1"/>
  <c r="V300" i="54"/>
  <c r="W300" i="54" s="1"/>
  <c r="X300" i="54" s="1"/>
  <c r="AN300" i="54" s="1"/>
  <c r="AP300" i="54"/>
  <c r="X136" i="54"/>
  <c r="AN136" i="54" s="1"/>
  <c r="AP167" i="54"/>
  <c r="V222" i="54"/>
  <c r="W222" i="54" s="1"/>
  <c r="X222" i="54" s="1"/>
  <c r="AN222" i="54" s="1"/>
  <c r="AQ222" i="54" s="1"/>
  <c r="AP256" i="54"/>
  <c r="V256" i="54"/>
  <c r="W256" i="54" s="1"/>
  <c r="X256" i="54" s="1"/>
  <c r="AN256" i="54" s="1"/>
  <c r="AP260" i="54"/>
  <c r="V260" i="54"/>
  <c r="W260" i="54" s="1"/>
  <c r="X260" i="54" s="1"/>
  <c r="AN260" i="54" s="1"/>
  <c r="V263" i="54"/>
  <c r="W263" i="54" s="1"/>
  <c r="X263" i="54" s="1"/>
  <c r="AN263" i="54" s="1"/>
  <c r="AP263" i="54"/>
  <c r="AP274" i="54"/>
  <c r="V274" i="54"/>
  <c r="W274" i="54" s="1"/>
  <c r="X274" i="54" s="1"/>
  <c r="AN274" i="54" s="1"/>
  <c r="Y121" i="54"/>
  <c r="AC121" i="54" s="1"/>
  <c r="X153" i="54"/>
  <c r="AN153" i="54" s="1"/>
  <c r="V184" i="54"/>
  <c r="W184" i="54" s="1"/>
  <c r="X184" i="54" s="1"/>
  <c r="AN184" i="54" s="1"/>
  <c r="AQ184" i="54" s="1"/>
  <c r="V209" i="54"/>
  <c r="W209" i="54" s="1"/>
  <c r="X209" i="54" s="1"/>
  <c r="AN209" i="54" s="1"/>
  <c r="AP209" i="54"/>
  <c r="AP210" i="54"/>
  <c r="V210" i="54"/>
  <c r="W210" i="54" s="1"/>
  <c r="X210" i="54" s="1"/>
  <c r="AN210" i="54" s="1"/>
  <c r="AP137" i="54"/>
  <c r="V137" i="54"/>
  <c r="W137" i="54" s="1"/>
  <c r="X137" i="54" s="1"/>
  <c r="AN137" i="54" s="1"/>
  <c r="V187" i="54"/>
  <c r="W187" i="54" s="1"/>
  <c r="X187" i="54" s="1"/>
  <c r="AN187" i="54" s="1"/>
  <c r="AP187" i="54"/>
  <c r="AP188" i="54"/>
  <c r="V188" i="54"/>
  <c r="W188" i="54" s="1"/>
  <c r="X188" i="54" s="1"/>
  <c r="AN188" i="54" s="1"/>
  <c r="AP250" i="54"/>
  <c r="V250" i="54"/>
  <c r="W250" i="54" s="1"/>
  <c r="X250" i="54" s="1"/>
  <c r="AN250" i="54" s="1"/>
  <c r="V259" i="54"/>
  <c r="W259" i="54" s="1"/>
  <c r="X259" i="54" s="1"/>
  <c r="AN259" i="54" s="1"/>
  <c r="AP259" i="54"/>
  <c r="V292" i="54"/>
  <c r="W292" i="54" s="1"/>
  <c r="X292" i="54" s="1"/>
  <c r="AN292" i="54" s="1"/>
  <c r="AP292" i="54"/>
  <c r="AP113" i="54"/>
  <c r="AP154" i="54"/>
  <c r="V154" i="54"/>
  <c r="W154" i="54" s="1"/>
  <c r="X154" i="54" s="1"/>
  <c r="AN154" i="54" s="1"/>
  <c r="V173" i="54"/>
  <c r="W173" i="54" s="1"/>
  <c r="X173" i="54" s="1"/>
  <c r="AN173" i="54" s="1"/>
  <c r="AQ173" i="54" s="1"/>
  <c r="AP182" i="54"/>
  <c r="V182" i="54"/>
  <c r="W182" i="54" s="1"/>
  <c r="X182" i="54" s="1"/>
  <c r="AN182" i="54" s="1"/>
  <c r="Y183" i="54"/>
  <c r="AC183" i="54" s="1"/>
  <c r="V215" i="54"/>
  <c r="W215" i="54" s="1"/>
  <c r="X215" i="54" s="1"/>
  <c r="AN215" i="54" s="1"/>
  <c r="AQ215" i="54" s="1"/>
  <c r="AP218" i="54"/>
  <c r="V234" i="54"/>
  <c r="W234" i="54" s="1"/>
  <c r="X234" i="54" s="1"/>
  <c r="AN234" i="54" s="1"/>
  <c r="AP234" i="54"/>
  <c r="AP253" i="54"/>
  <c r="V253" i="54"/>
  <c r="W253" i="54" s="1"/>
  <c r="X253" i="54" s="1"/>
  <c r="AN253" i="54" s="1"/>
  <c r="AP297" i="54"/>
  <c r="V297" i="54"/>
  <c r="W297" i="54" s="1"/>
  <c r="X297" i="54" s="1"/>
  <c r="AN297" i="54" s="1"/>
  <c r="V302" i="54"/>
  <c r="W302" i="54" s="1"/>
  <c r="X302" i="54" s="1"/>
  <c r="AN302" i="54" s="1"/>
  <c r="AP302" i="54"/>
  <c r="C222" i="54"/>
  <c r="D222" i="54"/>
  <c r="X267" i="54"/>
  <c r="AN267" i="54" s="1"/>
  <c r="AQ267" i="54" s="1"/>
  <c r="AP289" i="54"/>
  <c r="V289" i="54"/>
  <c r="W289" i="54" s="1"/>
  <c r="X289" i="54" s="1"/>
  <c r="AN289" i="54" s="1"/>
  <c r="V294" i="54"/>
  <c r="W294" i="54" s="1"/>
  <c r="X294" i="54" s="1"/>
  <c r="AN294" i="54" s="1"/>
  <c r="AP294" i="54"/>
  <c r="AP307" i="54"/>
  <c r="AP261" i="54"/>
  <c r="V261" i="54"/>
  <c r="W261" i="54" s="1"/>
  <c r="X261" i="54" s="1"/>
  <c r="AN261" i="54" s="1"/>
  <c r="V278" i="54"/>
  <c r="W278" i="54" s="1"/>
  <c r="X278" i="54" s="1"/>
  <c r="AN278" i="54" s="1"/>
  <c r="AQ278" i="54" s="1"/>
  <c r="V265" i="54"/>
  <c r="W265" i="54" s="1"/>
  <c r="X265" i="54" s="1"/>
  <c r="AN265" i="54" s="1"/>
  <c r="AQ265" i="54" s="1"/>
  <c r="V277" i="54"/>
  <c r="W277" i="54" s="1"/>
  <c r="X277" i="54" s="1"/>
  <c r="AN277" i="54" s="1"/>
  <c r="AQ277" i="54" s="1"/>
  <c r="V304" i="54"/>
  <c r="W304" i="54" s="1"/>
  <c r="X304" i="54" s="1"/>
  <c r="AN304" i="54" s="1"/>
  <c r="AP304" i="54"/>
  <c r="AP270" i="54"/>
  <c r="V270" i="54"/>
  <c r="W270" i="54" s="1"/>
  <c r="X270" i="54" s="1"/>
  <c r="AN270" i="54" s="1"/>
  <c r="V296" i="54"/>
  <c r="W296" i="54" s="1"/>
  <c r="X296" i="54" s="1"/>
  <c r="AN296" i="54" s="1"/>
  <c r="AP296" i="54"/>
  <c r="V298" i="54"/>
  <c r="W298" i="54" s="1"/>
  <c r="X298" i="54" s="1"/>
  <c r="AN298" i="54" s="1"/>
  <c r="AP298" i="54"/>
  <c r="V301" i="54"/>
  <c r="W301" i="54" s="1"/>
  <c r="X301" i="54" s="1"/>
  <c r="AN301" i="54" s="1"/>
  <c r="AP301" i="54"/>
  <c r="V306" i="54"/>
  <c r="W306" i="54" s="1"/>
  <c r="X306" i="54" s="1"/>
  <c r="AN306" i="54" s="1"/>
  <c r="AP306" i="54"/>
  <c r="V269" i="54"/>
  <c r="W269" i="54" s="1"/>
  <c r="X269" i="54" s="1"/>
  <c r="AN269" i="54" s="1"/>
  <c r="AP269" i="54"/>
  <c r="V290" i="54"/>
  <c r="W290" i="54" s="1"/>
  <c r="X290" i="54" s="1"/>
  <c r="AN290" i="54" s="1"/>
  <c r="AP290" i="54"/>
  <c r="V293" i="54"/>
  <c r="W293" i="54" s="1"/>
  <c r="X293" i="54" s="1"/>
  <c r="AN293" i="54" s="1"/>
  <c r="AP293" i="54"/>
  <c r="Y189" i="54"/>
  <c r="AC189" i="54" s="1"/>
  <c r="V224" i="54"/>
  <c r="W224" i="54" s="1"/>
  <c r="X224" i="54" s="1"/>
  <c r="AN224" i="54" s="1"/>
  <c r="AP224" i="54"/>
  <c r="AP235" i="54"/>
  <c r="V305" i="54"/>
  <c r="W305" i="54" s="1"/>
  <c r="X305" i="54" s="1"/>
  <c r="AN305" i="54" s="1"/>
  <c r="AQ305" i="54" s="1"/>
  <c r="AP288" i="54"/>
  <c r="V288" i="54"/>
  <c r="W288" i="54" s="1"/>
  <c r="X288" i="54" s="1"/>
  <c r="AN288" i="54" s="1"/>
  <c r="AP295" i="54"/>
  <c r="AP303" i="54"/>
  <c r="AP240" i="54"/>
  <c r="V240" i="54"/>
  <c r="W240" i="54" s="1"/>
  <c r="X240" i="54" s="1"/>
  <c r="AN240" i="54" s="1"/>
  <c r="C287" i="54"/>
  <c r="G287" i="54" s="1"/>
  <c r="V308" i="54"/>
  <c r="W308" i="54" s="1"/>
  <c r="X308" i="54" s="1"/>
  <c r="AN308" i="54" s="1"/>
  <c r="AP308" i="54"/>
  <c r="AP266" i="54"/>
  <c r="V266" i="54"/>
  <c r="W266" i="54" s="1"/>
  <c r="X266" i="54" s="1"/>
  <c r="AN266" i="54" s="1"/>
  <c r="C288" i="47"/>
  <c r="D288" i="47"/>
  <c r="C264" i="47"/>
  <c r="D264" i="47"/>
  <c r="C265" i="47"/>
  <c r="D265" i="47"/>
  <c r="C227" i="47"/>
  <c r="D227" i="47"/>
  <c r="C228" i="47"/>
  <c r="D228" i="47"/>
  <c r="C226" i="47"/>
  <c r="D226" i="47"/>
  <c r="C232" i="47"/>
  <c r="D232" i="47"/>
  <c r="C231" i="47"/>
  <c r="D231" i="47"/>
  <c r="C244" i="47"/>
  <c r="D244" i="47"/>
  <c r="C247" i="47"/>
  <c r="D247" i="47"/>
  <c r="C177" i="47"/>
  <c r="D177" i="47"/>
  <c r="C199" i="47"/>
  <c r="D199" i="47"/>
  <c r="C133" i="47"/>
  <c r="D133" i="47"/>
  <c r="C134" i="47"/>
  <c r="D134" i="47"/>
  <c r="C119" i="47"/>
  <c r="D119" i="47"/>
  <c r="C113" i="47"/>
  <c r="D113" i="47"/>
  <c r="C120" i="47"/>
  <c r="D120" i="47"/>
  <c r="D82" i="47"/>
  <c r="C82" i="47"/>
  <c r="D86" i="47"/>
  <c r="C86" i="47"/>
  <c r="D34" i="47"/>
  <c r="C34" i="47"/>
  <c r="C25" i="47"/>
  <c r="D25" i="47"/>
  <c r="D24" i="47"/>
  <c r="C24" i="47"/>
  <c r="G218" i="54" l="1"/>
  <c r="G222" i="54"/>
  <c r="V112" i="54"/>
  <c r="W112" i="54" s="1"/>
  <c r="X112" i="54" s="1"/>
  <c r="AN112" i="54" s="1"/>
  <c r="AQ112" i="54" s="1"/>
  <c r="G154" i="54"/>
  <c r="AQ141" i="54"/>
  <c r="AQ147" i="54"/>
  <c r="AQ255" i="54"/>
  <c r="AQ160" i="54"/>
  <c r="AQ5" i="54"/>
  <c r="AQ92" i="54"/>
  <c r="AQ74" i="54"/>
  <c r="AQ235" i="54"/>
  <c r="AQ284" i="54"/>
  <c r="AQ47" i="54"/>
  <c r="V114" i="54"/>
  <c r="W114" i="54" s="1"/>
  <c r="X114" i="54" s="1"/>
  <c r="AN114" i="54" s="1"/>
  <c r="AQ114" i="54" s="1"/>
  <c r="AQ212" i="54"/>
  <c r="AQ3" i="54"/>
  <c r="AQ86" i="54"/>
  <c r="AQ181" i="54"/>
  <c r="AQ4" i="54"/>
  <c r="AQ217" i="54"/>
  <c r="AQ58" i="54"/>
  <c r="AQ31" i="54"/>
  <c r="AQ202" i="54"/>
  <c r="AQ35" i="54"/>
  <c r="AQ299" i="54"/>
  <c r="AQ134" i="54"/>
  <c r="AQ198" i="54"/>
  <c r="AQ281" i="54"/>
  <c r="AP122" i="54"/>
  <c r="AQ122" i="54" s="1"/>
  <c r="AQ54" i="54"/>
  <c r="AQ149" i="54"/>
  <c r="AQ165" i="54"/>
  <c r="AQ285" i="54"/>
  <c r="AQ130" i="54"/>
  <c r="AQ136" i="54"/>
  <c r="AQ27" i="54"/>
  <c r="AQ15" i="54"/>
  <c r="AQ196" i="54"/>
  <c r="AQ237" i="54"/>
  <c r="AQ106" i="54"/>
  <c r="AQ150" i="54"/>
  <c r="AQ99" i="54"/>
  <c r="AQ132" i="54"/>
  <c r="AQ264" i="54"/>
  <c r="AQ219" i="54"/>
  <c r="AQ266" i="54"/>
  <c r="AQ102" i="54"/>
  <c r="AQ170" i="54"/>
  <c r="AQ56" i="54"/>
  <c r="AQ248" i="54"/>
  <c r="AQ256" i="54"/>
  <c r="AQ232" i="54"/>
  <c r="AQ280" i="54"/>
  <c r="AQ307" i="54"/>
  <c r="AQ174" i="54"/>
  <c r="AQ21" i="54"/>
  <c r="AP194" i="54"/>
  <c r="AQ194" i="54" s="1"/>
  <c r="V195" i="54"/>
  <c r="W195" i="54" s="1"/>
  <c r="X195" i="54" s="1"/>
  <c r="AN195" i="54" s="1"/>
  <c r="AQ195" i="54" s="1"/>
  <c r="AQ127" i="54"/>
  <c r="AQ197" i="54"/>
  <c r="AQ65" i="54"/>
  <c r="AQ272" i="54"/>
  <c r="AQ108" i="54"/>
  <c r="AQ226" i="54"/>
  <c r="AQ291" i="54"/>
  <c r="AQ167" i="54"/>
  <c r="AQ151" i="54"/>
  <c r="AQ140" i="54"/>
  <c r="AQ73" i="54"/>
  <c r="AQ43" i="54"/>
  <c r="AQ231" i="54"/>
  <c r="AQ113" i="54"/>
  <c r="AQ104" i="54"/>
  <c r="V186" i="54"/>
  <c r="W186" i="54" s="1"/>
  <c r="X186" i="54" s="1"/>
  <c r="AN186" i="54" s="1"/>
  <c r="AQ186" i="54" s="1"/>
  <c r="AQ135" i="54"/>
  <c r="AQ303" i="54"/>
  <c r="AQ306" i="54"/>
  <c r="AQ182" i="54"/>
  <c r="AQ153" i="54"/>
  <c r="AQ229" i="54"/>
  <c r="AQ148" i="54"/>
  <c r="AQ161" i="54"/>
  <c r="AQ71" i="54"/>
  <c r="AQ67" i="54"/>
  <c r="AQ55" i="54"/>
  <c r="AQ38" i="54"/>
  <c r="AQ218" i="54"/>
  <c r="AQ126" i="54"/>
  <c r="AQ98" i="54"/>
  <c r="AQ246" i="54"/>
  <c r="AQ88" i="54"/>
  <c r="AQ295" i="54"/>
  <c r="AQ188" i="54"/>
  <c r="AP185" i="54"/>
  <c r="AQ185" i="54" s="1"/>
  <c r="AQ91" i="54"/>
  <c r="AQ206" i="54"/>
  <c r="AQ227" i="54"/>
  <c r="AQ28" i="54"/>
  <c r="AQ19" i="54"/>
  <c r="AQ49" i="54"/>
  <c r="AQ146" i="54"/>
  <c r="AQ68" i="54"/>
  <c r="AQ163" i="54"/>
  <c r="AQ250" i="54"/>
  <c r="AQ103" i="54"/>
  <c r="AQ76" i="54"/>
  <c r="AQ69" i="54"/>
  <c r="AQ10" i="54"/>
  <c r="AQ8" i="54"/>
  <c r="AQ66" i="54"/>
  <c r="AQ89" i="54"/>
  <c r="AQ289" i="54"/>
  <c r="AQ297" i="54"/>
  <c r="AQ157" i="54"/>
  <c r="AQ52" i="54"/>
  <c r="AQ169" i="54"/>
  <c r="AQ254" i="54"/>
  <c r="AQ119" i="54"/>
  <c r="AQ201" i="54"/>
  <c r="AQ292" i="54"/>
  <c r="AQ187" i="54"/>
  <c r="AQ63" i="54"/>
  <c r="AQ117" i="54"/>
  <c r="AQ287" i="54"/>
  <c r="AQ205" i="54"/>
  <c r="AQ156" i="54"/>
  <c r="AQ239" i="54"/>
  <c r="AQ44" i="54"/>
  <c r="AQ252" i="54"/>
  <c r="AQ240" i="54"/>
  <c r="AQ263" i="54"/>
  <c r="AQ124" i="54"/>
  <c r="AQ32" i="54"/>
  <c r="AQ193" i="54"/>
  <c r="AQ253" i="54"/>
  <c r="AQ260" i="54"/>
  <c r="AQ51" i="54"/>
  <c r="AQ41" i="54"/>
  <c r="AQ257" i="54"/>
  <c r="AP191" i="54"/>
  <c r="V191" i="54"/>
  <c r="W191" i="54" s="1"/>
  <c r="X191" i="54" s="1"/>
  <c r="AN191" i="54" s="1"/>
  <c r="AQ234" i="54"/>
  <c r="AQ90" i="54"/>
  <c r="AQ26" i="54"/>
  <c r="AQ242" i="54"/>
  <c r="AQ11" i="54"/>
  <c r="AQ294" i="54"/>
  <c r="AQ274" i="54"/>
  <c r="AQ168" i="54"/>
  <c r="AQ155" i="54"/>
  <c r="AQ138" i="54"/>
  <c r="AQ84" i="54"/>
  <c r="AQ221" i="54"/>
  <c r="AP189" i="54"/>
  <c r="V189" i="54"/>
  <c r="W189" i="54" s="1"/>
  <c r="X189" i="54" s="1"/>
  <c r="AN189" i="54" s="1"/>
  <c r="AQ269" i="54"/>
  <c r="AQ300" i="54"/>
  <c r="AQ105" i="54"/>
  <c r="AQ109" i="54"/>
  <c r="V183" i="54"/>
  <c r="W183" i="54" s="1"/>
  <c r="X183" i="54" s="1"/>
  <c r="AN183" i="54" s="1"/>
  <c r="AP183" i="54"/>
  <c r="AQ288" i="54"/>
  <c r="AQ293" i="54"/>
  <c r="AQ301" i="54"/>
  <c r="AQ304" i="54"/>
  <c r="AQ259" i="54"/>
  <c r="AQ137" i="54"/>
  <c r="AQ243" i="54"/>
  <c r="AQ101" i="54"/>
  <c r="AQ180" i="54"/>
  <c r="AQ236" i="54"/>
  <c r="AQ85" i="54"/>
  <c r="AQ24" i="54"/>
  <c r="AQ18" i="54"/>
  <c r="AQ79" i="54"/>
  <c r="AP121" i="54"/>
  <c r="V121" i="54"/>
  <c r="W121" i="54" s="1"/>
  <c r="X121" i="54" s="1"/>
  <c r="AN121" i="54" s="1"/>
  <c r="AQ296" i="54"/>
  <c r="AQ308" i="54"/>
  <c r="AQ290" i="54"/>
  <c r="AQ298" i="54"/>
  <c r="AQ302" i="54"/>
  <c r="AQ154" i="54"/>
  <c r="AQ210" i="54"/>
  <c r="AQ177" i="54"/>
  <c r="AQ199" i="54"/>
  <c r="AQ97" i="54"/>
  <c r="AQ34" i="54"/>
  <c r="AQ273" i="54"/>
  <c r="AQ93" i="54"/>
  <c r="AQ81" i="54"/>
  <c r="AQ175" i="54"/>
  <c r="AQ107" i="54"/>
  <c r="AQ228" i="54"/>
  <c r="AQ172" i="54"/>
  <c r="AQ162" i="54"/>
  <c r="AQ224" i="54"/>
  <c r="AQ270" i="54"/>
  <c r="AQ261" i="54"/>
  <c r="AQ209" i="54"/>
  <c r="AQ128" i="54"/>
  <c r="AQ258" i="54"/>
  <c r="AQ116" i="54"/>
  <c r="AQ77" i="54"/>
  <c r="AQ16" i="54"/>
  <c r="AQ115" i="54"/>
  <c r="AQ96" i="54"/>
  <c r="AQ82" i="54"/>
  <c r="L34" i="47"/>
  <c r="N34" i="47" s="1"/>
  <c r="L86" i="47"/>
  <c r="N86" i="47" s="1"/>
  <c r="L119" i="47"/>
  <c r="N119" i="47" s="1"/>
  <c r="L113" i="47"/>
  <c r="N113" i="47" s="1"/>
  <c r="L120" i="47"/>
  <c r="N120" i="47" s="1"/>
  <c r="L177" i="47"/>
  <c r="N177" i="47" s="1"/>
  <c r="L199" i="47"/>
  <c r="N199" i="47" s="1"/>
  <c r="L133" i="47"/>
  <c r="N133" i="47" s="1"/>
  <c r="L134" i="47"/>
  <c r="N134" i="47" s="1"/>
  <c r="L200" i="47"/>
  <c r="N200" i="47" s="1"/>
  <c r="L201" i="47"/>
  <c r="N201" i="47" s="1"/>
  <c r="L231" i="47"/>
  <c r="N231" i="47" s="1"/>
  <c r="L244" i="47"/>
  <c r="N244" i="47" s="1"/>
  <c r="L216" i="47"/>
  <c r="N216" i="47" s="1"/>
  <c r="L217" i="47"/>
  <c r="N217" i="47" s="1"/>
  <c r="L218" i="47"/>
  <c r="N218" i="47" s="1"/>
  <c r="L219" i="47"/>
  <c r="N219" i="47" s="1"/>
  <c r="L220" i="47"/>
  <c r="N220" i="47" s="1"/>
  <c r="L221" i="47"/>
  <c r="N221" i="47" s="1"/>
  <c r="L222" i="47"/>
  <c r="N222" i="47" s="1"/>
  <c r="L224" i="47"/>
  <c r="N224" i="47" s="1"/>
  <c r="L227" i="47"/>
  <c r="N227" i="47" s="1"/>
  <c r="L228" i="47"/>
  <c r="N228" i="47" s="1"/>
  <c r="L226" i="47"/>
  <c r="N226" i="47" s="1"/>
  <c r="L248" i="47"/>
  <c r="N248" i="47" s="1"/>
  <c r="L262" i="47"/>
  <c r="N262" i="47" s="1"/>
  <c r="L264" i="47"/>
  <c r="N264" i="47" s="1"/>
  <c r="L266" i="47"/>
  <c r="N266" i="47" s="1"/>
  <c r="L277" i="47"/>
  <c r="N277" i="47" s="1"/>
  <c r="L288" i="47"/>
  <c r="N288" i="47" s="1"/>
  <c r="V308" i="47"/>
  <c r="T308" i="47" s="1"/>
  <c r="X308" i="47" s="1"/>
  <c r="D308" i="47"/>
  <c r="C308" i="47"/>
  <c r="V307" i="47"/>
  <c r="T307" i="47" s="1"/>
  <c r="X307" i="47" s="1"/>
  <c r="D307" i="47"/>
  <c r="C307" i="47"/>
  <c r="V306" i="47"/>
  <c r="T306" i="47" s="1"/>
  <c r="X306" i="47" s="1"/>
  <c r="D306" i="47"/>
  <c r="C306" i="47"/>
  <c r="V305" i="47"/>
  <c r="T305" i="47" s="1"/>
  <c r="X305" i="47" s="1"/>
  <c r="D305" i="47"/>
  <c r="C305" i="47"/>
  <c r="V304" i="47"/>
  <c r="T304" i="47" s="1"/>
  <c r="X304" i="47" s="1"/>
  <c r="Q304" i="47" s="1"/>
  <c r="R304" i="47" s="1"/>
  <c r="D304" i="47"/>
  <c r="C304" i="47"/>
  <c r="V303" i="47"/>
  <c r="T303" i="47" s="1"/>
  <c r="X303" i="47" s="1"/>
  <c r="D303" i="47"/>
  <c r="C303" i="47"/>
  <c r="V302" i="47"/>
  <c r="T302" i="47" s="1"/>
  <c r="X302" i="47" s="1"/>
  <c r="AF302" i="47" s="1"/>
  <c r="D302" i="47"/>
  <c r="C302" i="47"/>
  <c r="V301" i="47"/>
  <c r="T301" i="47" s="1"/>
  <c r="X301" i="47" s="1"/>
  <c r="D301" i="47"/>
  <c r="C301" i="47"/>
  <c r="V300" i="47"/>
  <c r="T300" i="47" s="1"/>
  <c r="X300" i="47" s="1"/>
  <c r="Q300" i="47" s="1"/>
  <c r="R300" i="47" s="1"/>
  <c r="D300" i="47"/>
  <c r="C300" i="47"/>
  <c r="V299" i="47"/>
  <c r="T299" i="47" s="1"/>
  <c r="X299" i="47" s="1"/>
  <c r="D299" i="47"/>
  <c r="C299" i="47"/>
  <c r="V298" i="47"/>
  <c r="T298" i="47" s="1"/>
  <c r="X298" i="47" s="1"/>
  <c r="AF298" i="47" s="1"/>
  <c r="D298" i="47"/>
  <c r="C298" i="47"/>
  <c r="V297" i="47"/>
  <c r="T297" i="47" s="1"/>
  <c r="X297" i="47" s="1"/>
  <c r="AF297" i="47" s="1"/>
  <c r="D297" i="47"/>
  <c r="C297" i="47"/>
  <c r="V296" i="47"/>
  <c r="T296" i="47" s="1"/>
  <c r="X296" i="47" s="1"/>
  <c r="Q296" i="47" s="1"/>
  <c r="R296" i="47" s="1"/>
  <c r="D296" i="47"/>
  <c r="C296" i="47"/>
  <c r="V295" i="47"/>
  <c r="T295" i="47" s="1"/>
  <c r="X295" i="47" s="1"/>
  <c r="D295" i="47"/>
  <c r="C295" i="47"/>
  <c r="V294" i="47"/>
  <c r="T294" i="47" s="1"/>
  <c r="X294" i="47" s="1"/>
  <c r="AF294" i="47" s="1"/>
  <c r="D294" i="47"/>
  <c r="C294" i="47"/>
  <c r="V293" i="47"/>
  <c r="T293" i="47" s="1"/>
  <c r="X293" i="47" s="1"/>
  <c r="D293" i="47"/>
  <c r="C293" i="47"/>
  <c r="V292" i="47"/>
  <c r="T292" i="47" s="1"/>
  <c r="X292" i="47" s="1"/>
  <c r="Q292" i="47" s="1"/>
  <c r="R292" i="47" s="1"/>
  <c r="D292" i="47"/>
  <c r="C292" i="47"/>
  <c r="V291" i="47"/>
  <c r="T291" i="47" s="1"/>
  <c r="X291" i="47" s="1"/>
  <c r="D291" i="47"/>
  <c r="C291" i="47"/>
  <c r="V290" i="47"/>
  <c r="T290" i="47" s="1"/>
  <c r="X290" i="47" s="1"/>
  <c r="AF290" i="47" s="1"/>
  <c r="D290" i="47"/>
  <c r="C290" i="47"/>
  <c r="V289" i="47"/>
  <c r="T289" i="47" s="1"/>
  <c r="X289" i="47" s="1"/>
  <c r="AF289" i="47" s="1"/>
  <c r="D289" i="47"/>
  <c r="C289" i="47"/>
  <c r="X287" i="47"/>
  <c r="B287" i="47"/>
  <c r="X288" i="47"/>
  <c r="X286" i="47"/>
  <c r="B286" i="47"/>
  <c r="X285" i="47"/>
  <c r="D285" i="47"/>
  <c r="C285" i="47"/>
  <c r="X284" i="47"/>
  <c r="Q284" i="47" s="1"/>
  <c r="R284" i="47" s="1"/>
  <c r="D284" i="47"/>
  <c r="C284" i="47"/>
  <c r="X283" i="47"/>
  <c r="D283" i="47"/>
  <c r="C283" i="47"/>
  <c r="X282" i="47"/>
  <c r="D282" i="47"/>
  <c r="C282" i="47"/>
  <c r="X281" i="47"/>
  <c r="D281" i="47"/>
  <c r="C281" i="47"/>
  <c r="X280" i="47"/>
  <c r="D280" i="47"/>
  <c r="C280" i="47"/>
  <c r="X279" i="47"/>
  <c r="D279" i="47"/>
  <c r="C279" i="47"/>
  <c r="X278" i="47"/>
  <c r="D278" i="47"/>
  <c r="C278" i="47"/>
  <c r="X273" i="47"/>
  <c r="D273" i="47"/>
  <c r="C273" i="47"/>
  <c r="X270" i="47"/>
  <c r="D270" i="47"/>
  <c r="C270" i="47"/>
  <c r="X267" i="47"/>
  <c r="AF267" i="47" s="1"/>
  <c r="D267" i="47"/>
  <c r="C267" i="47"/>
  <c r="X277" i="47"/>
  <c r="X266" i="47"/>
  <c r="D266" i="47"/>
  <c r="C266" i="47"/>
  <c r="X276" i="47"/>
  <c r="Q276" i="47" s="1"/>
  <c r="R276" i="47" s="1"/>
  <c r="S276" i="47" s="1"/>
  <c r="AD276" i="47" s="1"/>
  <c r="D276" i="47"/>
  <c r="C276" i="47"/>
  <c r="X275" i="47"/>
  <c r="AF275" i="47" s="1"/>
  <c r="D275" i="47"/>
  <c r="C275" i="47"/>
  <c r="X274" i="47"/>
  <c r="AF274" i="47" s="1"/>
  <c r="D274" i="47"/>
  <c r="C274" i="47"/>
  <c r="X272" i="47"/>
  <c r="D272" i="47"/>
  <c r="C272" i="47"/>
  <c r="X271" i="47"/>
  <c r="D271" i="47"/>
  <c r="C271" i="47"/>
  <c r="X269" i="47"/>
  <c r="D269" i="47"/>
  <c r="C269" i="47"/>
  <c r="X268" i="47"/>
  <c r="D268" i="47"/>
  <c r="C268" i="47"/>
  <c r="T263" i="47"/>
  <c r="X263" i="47" s="1"/>
  <c r="D263" i="47"/>
  <c r="C263" i="47"/>
  <c r="T265" i="47"/>
  <c r="X265" i="47" s="1"/>
  <c r="T264" i="47"/>
  <c r="X264" i="47" s="1"/>
  <c r="X262" i="47"/>
  <c r="Q262" i="47" s="1"/>
  <c r="R262" i="47" s="1"/>
  <c r="D262" i="47"/>
  <c r="C262" i="47"/>
  <c r="X261" i="47"/>
  <c r="Q261" i="47" s="1"/>
  <c r="R261" i="47" s="1"/>
  <c r="D261" i="47"/>
  <c r="C261" i="47"/>
  <c r="V260" i="47"/>
  <c r="T260" i="47" s="1"/>
  <c r="X260" i="47" s="1"/>
  <c r="D260" i="47"/>
  <c r="C260" i="47"/>
  <c r="T259" i="47"/>
  <c r="X259" i="47" s="1"/>
  <c r="Q259" i="47" s="1"/>
  <c r="R259" i="47" s="1"/>
  <c r="D259" i="47"/>
  <c r="C259" i="47"/>
  <c r="T258" i="47"/>
  <c r="X258" i="47" s="1"/>
  <c r="D258" i="47"/>
  <c r="C258" i="47"/>
  <c r="T256" i="47"/>
  <c r="X256" i="47" s="1"/>
  <c r="D256" i="47"/>
  <c r="C256" i="47"/>
  <c r="T255" i="47"/>
  <c r="X255" i="47" s="1"/>
  <c r="Q255" i="47" s="1"/>
  <c r="R255" i="47" s="1"/>
  <c r="S255" i="47" s="1"/>
  <c r="AD255" i="47" s="1"/>
  <c r="D255" i="47"/>
  <c r="C255" i="47"/>
  <c r="T254" i="47"/>
  <c r="X254" i="47" s="1"/>
  <c r="D254" i="47"/>
  <c r="C254" i="47"/>
  <c r="T257" i="47"/>
  <c r="X257" i="47" s="1"/>
  <c r="Q257" i="47" s="1"/>
  <c r="R257" i="47" s="1"/>
  <c r="S257" i="47" s="1"/>
  <c r="AD257" i="47" s="1"/>
  <c r="D257" i="47"/>
  <c r="C257" i="47"/>
  <c r="X253" i="47"/>
  <c r="D253" i="47"/>
  <c r="C253" i="47"/>
  <c r="X248" i="47"/>
  <c r="D248" i="47"/>
  <c r="C248" i="47"/>
  <c r="T252" i="47"/>
  <c r="X252" i="47" s="1"/>
  <c r="D252" i="47"/>
  <c r="C252" i="47"/>
  <c r="T251" i="47"/>
  <c r="X251" i="47" s="1"/>
  <c r="AF251" i="47" s="1"/>
  <c r="D251" i="47"/>
  <c r="C251" i="47"/>
  <c r="T250" i="47"/>
  <c r="X250" i="47" s="1"/>
  <c r="D250" i="47"/>
  <c r="C250" i="47"/>
  <c r="T249" i="47"/>
  <c r="X249" i="47" s="1"/>
  <c r="AF249" i="47" s="1"/>
  <c r="D249" i="47"/>
  <c r="C249" i="47"/>
  <c r="X246" i="47"/>
  <c r="D246" i="47"/>
  <c r="C246" i="47"/>
  <c r="T215" i="47"/>
  <c r="X215" i="47" s="1"/>
  <c r="AF215" i="47" s="1"/>
  <c r="D215" i="47"/>
  <c r="C215" i="47"/>
  <c r="T210" i="47"/>
  <c r="X210" i="47" s="1"/>
  <c r="D210" i="47"/>
  <c r="C210" i="47"/>
  <c r="T206" i="47"/>
  <c r="X206" i="47" s="1"/>
  <c r="D206" i="47"/>
  <c r="C206" i="47"/>
  <c r="T198" i="47"/>
  <c r="X198" i="47" s="1"/>
  <c r="Q198" i="47" s="1"/>
  <c r="R198" i="47" s="1"/>
  <c r="D198" i="47"/>
  <c r="C198" i="47"/>
  <c r="T226" i="47"/>
  <c r="X226" i="47" s="1"/>
  <c r="T228" i="47"/>
  <c r="X228" i="47" s="1"/>
  <c r="T227" i="47"/>
  <c r="X227" i="47" s="1"/>
  <c r="Q227" i="47" s="1"/>
  <c r="R227" i="47" s="1"/>
  <c r="T224" i="47"/>
  <c r="X224" i="47" s="1"/>
  <c r="Q224" i="47" s="1"/>
  <c r="R224" i="47" s="1"/>
  <c r="AF224" i="47"/>
  <c r="B224" i="47"/>
  <c r="X237" i="47"/>
  <c r="D237" i="47"/>
  <c r="C237" i="47"/>
  <c r="X236" i="47"/>
  <c r="D236" i="47"/>
  <c r="C236" i="47"/>
  <c r="X235" i="47"/>
  <c r="D235" i="47"/>
  <c r="C235" i="47"/>
  <c r="X245" i="47"/>
  <c r="D245" i="47"/>
  <c r="C245" i="47"/>
  <c r="X243" i="47"/>
  <c r="AF243" i="47" s="1"/>
  <c r="D243" i="47"/>
  <c r="C243" i="47"/>
  <c r="X242" i="47"/>
  <c r="D242" i="47"/>
  <c r="C242" i="47"/>
  <c r="X241" i="47"/>
  <c r="D241" i="47"/>
  <c r="C241" i="47"/>
  <c r="X240" i="47"/>
  <c r="Q240" i="47" s="1"/>
  <c r="R240" i="47" s="1"/>
  <c r="S240" i="47" s="1"/>
  <c r="AD240" i="47" s="1"/>
  <c r="AF240" i="47"/>
  <c r="D240" i="47"/>
  <c r="C240" i="47"/>
  <c r="X239" i="47"/>
  <c r="AF239" i="47" s="1"/>
  <c r="D239" i="47"/>
  <c r="C239" i="47"/>
  <c r="X238" i="47"/>
  <c r="AF238" i="47" s="1"/>
  <c r="D238" i="47"/>
  <c r="C238" i="47"/>
  <c r="X234" i="47"/>
  <c r="D234" i="47"/>
  <c r="C234" i="47"/>
  <c r="X233" i="47"/>
  <c r="Q233" i="47" s="1"/>
  <c r="R233" i="47" s="1"/>
  <c r="S233" i="47" s="1"/>
  <c r="AD233" i="47" s="1"/>
  <c r="D233" i="47"/>
  <c r="C233" i="47"/>
  <c r="X230" i="47"/>
  <c r="Q230" i="47" s="1"/>
  <c r="R230" i="47" s="1"/>
  <c r="S230" i="47" s="1"/>
  <c r="AD230" i="47" s="1"/>
  <c r="D230" i="47"/>
  <c r="C230" i="47"/>
  <c r="X229" i="47"/>
  <c r="Q229" i="47" s="1"/>
  <c r="R229" i="47" s="1"/>
  <c r="D229" i="47"/>
  <c r="C229" i="47"/>
  <c r="X232" i="47"/>
  <c r="Q232" i="47" s="1"/>
  <c r="R232" i="47" s="1"/>
  <c r="S232" i="47" s="1"/>
  <c r="AD232" i="47" s="1"/>
  <c r="X223" i="47"/>
  <c r="Q223" i="47" s="1"/>
  <c r="R223" i="47" s="1"/>
  <c r="B223" i="47"/>
  <c r="X222" i="47"/>
  <c r="Q222" i="47" s="1"/>
  <c r="R222" i="47" s="1"/>
  <c r="B222" i="47"/>
  <c r="D222" i="47" s="1"/>
  <c r="X221" i="47"/>
  <c r="Q221" i="47" s="1"/>
  <c r="R221" i="47" s="1"/>
  <c r="S221" i="47" s="1"/>
  <c r="AD221" i="47" s="1"/>
  <c r="B221" i="47"/>
  <c r="X220" i="47"/>
  <c r="Q220" i="47" s="1"/>
  <c r="R220" i="47" s="1"/>
  <c r="B220" i="47"/>
  <c r="D220" i="47" s="1"/>
  <c r="X219" i="47"/>
  <c r="Q219" i="47" s="1"/>
  <c r="R219" i="47" s="1"/>
  <c r="B219" i="47"/>
  <c r="X218" i="47"/>
  <c r="Q218" i="47" s="1"/>
  <c r="R218" i="47" s="1"/>
  <c r="B218" i="47"/>
  <c r="D218" i="47" s="1"/>
  <c r="X217" i="47"/>
  <c r="Q217" i="47" s="1"/>
  <c r="R217" i="47" s="1"/>
  <c r="B217" i="47"/>
  <c r="X216" i="47"/>
  <c r="Q216" i="47" s="1"/>
  <c r="R216" i="47" s="1"/>
  <c r="B216" i="47"/>
  <c r="D216" i="47" s="1"/>
  <c r="X247" i="47"/>
  <c r="Q247" i="47" s="1"/>
  <c r="R247" i="47" s="1"/>
  <c r="X244" i="47"/>
  <c r="Q244" i="47" s="1"/>
  <c r="R244" i="47" s="1"/>
  <c r="X231" i="47"/>
  <c r="Q231" i="47" s="1"/>
  <c r="R231" i="47" s="1"/>
  <c r="X225" i="47"/>
  <c r="Q225" i="47" s="1"/>
  <c r="R225" i="47" s="1"/>
  <c r="D225" i="47"/>
  <c r="C225" i="47"/>
  <c r="X212" i="47"/>
  <c r="AF212" i="47" s="1"/>
  <c r="D212" i="47"/>
  <c r="C212" i="47"/>
  <c r="X209" i="47"/>
  <c r="AF209" i="47" s="1"/>
  <c r="D209" i="47"/>
  <c r="C209" i="47"/>
  <c r="X214" i="47"/>
  <c r="D214" i="47"/>
  <c r="C214" i="47"/>
  <c r="X213" i="47"/>
  <c r="Q213" i="47" s="1"/>
  <c r="R213" i="47" s="1"/>
  <c r="D213" i="47"/>
  <c r="C213" i="47"/>
  <c r="X211" i="47"/>
  <c r="AF211" i="47" s="1"/>
  <c r="D211" i="47"/>
  <c r="C211" i="47"/>
  <c r="X208" i="47"/>
  <c r="AF208" i="47" s="1"/>
  <c r="D208" i="47"/>
  <c r="C208" i="47"/>
  <c r="X207" i="47"/>
  <c r="D207" i="47"/>
  <c r="C207" i="47"/>
  <c r="X205" i="47"/>
  <c r="Q205" i="47" s="1"/>
  <c r="R205" i="47" s="1"/>
  <c r="D205" i="47"/>
  <c r="C205" i="47"/>
  <c r="X204" i="47"/>
  <c r="AF204" i="47" s="1"/>
  <c r="D204" i="47"/>
  <c r="C204" i="47"/>
  <c r="X203" i="47"/>
  <c r="AF203" i="47" s="1"/>
  <c r="D203" i="47"/>
  <c r="C203" i="47"/>
  <c r="X202" i="47"/>
  <c r="Q202" i="47" s="1"/>
  <c r="R202" i="47" s="1"/>
  <c r="S202" i="47" s="1"/>
  <c r="AD202" i="47" s="1"/>
  <c r="D202" i="47"/>
  <c r="C202" i="47"/>
  <c r="X201" i="47"/>
  <c r="AF201" i="47" s="1"/>
  <c r="D201" i="47"/>
  <c r="C201" i="47"/>
  <c r="X200" i="47"/>
  <c r="Q200" i="47" s="1"/>
  <c r="R200" i="47" s="1"/>
  <c r="S200" i="47" s="1"/>
  <c r="AD200" i="47" s="1"/>
  <c r="D200" i="47"/>
  <c r="C200" i="47"/>
  <c r="T134" i="47"/>
  <c r="X134" i="47" s="1"/>
  <c r="Q134" i="47" s="1"/>
  <c r="R134" i="47" s="1"/>
  <c r="T133" i="47"/>
  <c r="X133" i="47" s="1"/>
  <c r="X199" i="47"/>
  <c r="T177" i="47"/>
  <c r="X177" i="47" s="1"/>
  <c r="U195" i="47"/>
  <c r="V195" i="47"/>
  <c r="D195" i="47"/>
  <c r="C195" i="47"/>
  <c r="U194" i="47"/>
  <c r="V194" i="47"/>
  <c r="D194" i="47"/>
  <c r="C194" i="47"/>
  <c r="U191" i="47"/>
  <c r="V191" i="47"/>
  <c r="D191" i="47"/>
  <c r="C191" i="47"/>
  <c r="U189" i="47"/>
  <c r="V189" i="47"/>
  <c r="D189" i="47"/>
  <c r="C189" i="47"/>
  <c r="U188" i="47"/>
  <c r="V188" i="47"/>
  <c r="D188" i="47"/>
  <c r="C188" i="47"/>
  <c r="U186" i="47"/>
  <c r="V186" i="47"/>
  <c r="D186" i="47"/>
  <c r="C186" i="47"/>
  <c r="U185" i="47"/>
  <c r="V185" i="47"/>
  <c r="D185" i="47"/>
  <c r="C185" i="47"/>
  <c r="U184" i="47"/>
  <c r="V184" i="47"/>
  <c r="D184" i="47"/>
  <c r="C184" i="47"/>
  <c r="U183" i="47"/>
  <c r="V183" i="47"/>
  <c r="D183" i="47"/>
  <c r="C183" i="47"/>
  <c r="X190" i="47"/>
  <c r="Q190" i="47" s="1"/>
  <c r="R190" i="47" s="1"/>
  <c r="D190" i="47"/>
  <c r="C190" i="47"/>
  <c r="X187" i="47"/>
  <c r="AF187" i="47" s="1"/>
  <c r="D187" i="47"/>
  <c r="C187" i="47"/>
  <c r="X182" i="47"/>
  <c r="D182" i="47"/>
  <c r="C182" i="47"/>
  <c r="X181" i="47"/>
  <c r="Q181" i="47" s="1"/>
  <c r="R181" i="47" s="1"/>
  <c r="S181" i="47" s="1"/>
  <c r="AD181" i="47" s="1"/>
  <c r="D181" i="47"/>
  <c r="C181" i="47"/>
  <c r="X132" i="47"/>
  <c r="Q132" i="47" s="1"/>
  <c r="R132" i="47" s="1"/>
  <c r="D132" i="47"/>
  <c r="C132" i="47"/>
  <c r="X131" i="47"/>
  <c r="AF131" i="47" s="1"/>
  <c r="D131" i="47"/>
  <c r="C131" i="47"/>
  <c r="X130" i="47"/>
  <c r="D130" i="47"/>
  <c r="C130" i="47"/>
  <c r="U176" i="47"/>
  <c r="T176" i="47" s="1"/>
  <c r="X176" i="47" s="1"/>
  <c r="D176" i="47"/>
  <c r="C176" i="47"/>
  <c r="U175" i="47"/>
  <c r="T175" i="47" s="1"/>
  <c r="X175" i="47" s="1"/>
  <c r="D175" i="47"/>
  <c r="C175" i="47"/>
  <c r="U163" i="47"/>
  <c r="T163" i="47" s="1"/>
  <c r="X163" i="47" s="1"/>
  <c r="Q163" i="47" s="1"/>
  <c r="R163" i="47" s="1"/>
  <c r="S163" i="47" s="1"/>
  <c r="AD163" i="47" s="1"/>
  <c r="D163" i="47"/>
  <c r="C163" i="47"/>
  <c r="U162" i="47"/>
  <c r="T162" i="47" s="1"/>
  <c r="X162" i="47" s="1"/>
  <c r="D162" i="47"/>
  <c r="C162" i="47"/>
  <c r="U147" i="47"/>
  <c r="T147" i="47" s="1"/>
  <c r="X147" i="47" s="1"/>
  <c r="D147" i="47"/>
  <c r="C147" i="47"/>
  <c r="U146" i="47"/>
  <c r="T146" i="47" s="1"/>
  <c r="X146" i="47" s="1"/>
  <c r="Q146" i="47" s="1"/>
  <c r="R146" i="47" s="1"/>
  <c r="D146" i="47"/>
  <c r="C146" i="47"/>
  <c r="X174" i="47"/>
  <c r="AF174" i="47" s="1"/>
  <c r="D174" i="47"/>
  <c r="C174" i="47"/>
  <c r="X161" i="47"/>
  <c r="Q161" i="47" s="1"/>
  <c r="R161" i="47" s="1"/>
  <c r="D161" i="47"/>
  <c r="C161" i="47"/>
  <c r="X160" i="47"/>
  <c r="Q160" i="47" s="1"/>
  <c r="R160" i="47" s="1"/>
  <c r="S160" i="47" s="1"/>
  <c r="AD160" i="47" s="1"/>
  <c r="D160" i="47"/>
  <c r="C160" i="47"/>
  <c r="X145" i="47"/>
  <c r="AF145" i="47" s="1"/>
  <c r="D145" i="47"/>
  <c r="C145" i="47"/>
  <c r="X144" i="47"/>
  <c r="D144" i="47"/>
  <c r="C144" i="47"/>
  <c r="X129" i="47"/>
  <c r="D129" i="47"/>
  <c r="C129" i="47"/>
  <c r="X128" i="47"/>
  <c r="D128" i="47"/>
  <c r="C128" i="47"/>
  <c r="X173" i="47"/>
  <c r="Q173" i="47" s="1"/>
  <c r="R173" i="47" s="1"/>
  <c r="D173" i="47"/>
  <c r="C173" i="47"/>
  <c r="X172" i="47"/>
  <c r="AF172" i="47" s="1"/>
  <c r="D172" i="47"/>
  <c r="C172" i="47"/>
  <c r="X171" i="47"/>
  <c r="D171" i="47"/>
  <c r="C171" i="47"/>
  <c r="X170" i="47"/>
  <c r="Q170" i="47" s="1"/>
  <c r="R170" i="47" s="1"/>
  <c r="S170" i="47" s="1"/>
  <c r="AD170" i="47" s="1"/>
  <c r="D170" i="47"/>
  <c r="C170" i="47"/>
  <c r="X159" i="47"/>
  <c r="AF159" i="47" s="1"/>
  <c r="D159" i="47"/>
  <c r="C159" i="47"/>
  <c r="X158" i="47"/>
  <c r="Q158" i="47" s="1"/>
  <c r="R158" i="47" s="1"/>
  <c r="S158" i="47" s="1"/>
  <c r="AD158" i="47" s="1"/>
  <c r="D158" i="47"/>
  <c r="C158" i="47"/>
  <c r="X157" i="47"/>
  <c r="AF157" i="47" s="1"/>
  <c r="D157" i="47"/>
  <c r="C157" i="47"/>
  <c r="X143" i="47"/>
  <c r="AF143" i="47" s="1"/>
  <c r="D143" i="47"/>
  <c r="C143" i="47"/>
  <c r="X142" i="47"/>
  <c r="D142" i="47"/>
  <c r="C142" i="47"/>
  <c r="X141" i="47"/>
  <c r="Q141" i="47" s="1"/>
  <c r="R141" i="47" s="1"/>
  <c r="S141" i="47" s="1"/>
  <c r="AD141" i="47" s="1"/>
  <c r="D141" i="47"/>
  <c r="C141" i="47"/>
  <c r="X127" i="47"/>
  <c r="AF127" i="47" s="1"/>
  <c r="D127" i="47"/>
  <c r="C127" i="47"/>
  <c r="X154" i="47"/>
  <c r="Q154" i="47" s="1"/>
  <c r="R154" i="47" s="1"/>
  <c r="S154" i="47" s="1"/>
  <c r="AD154" i="47" s="1"/>
  <c r="B154" i="47"/>
  <c r="X126" i="47"/>
  <c r="D126" i="47"/>
  <c r="C126" i="47"/>
  <c r="X125" i="47"/>
  <c r="D125" i="47"/>
  <c r="C125" i="47"/>
  <c r="X165" i="47"/>
  <c r="D165" i="47"/>
  <c r="C165" i="47"/>
  <c r="X164" i="47"/>
  <c r="D164" i="47"/>
  <c r="C164" i="47"/>
  <c r="X149" i="47"/>
  <c r="AF149" i="47" s="1"/>
  <c r="D149" i="47"/>
  <c r="C149" i="47"/>
  <c r="X148" i="47"/>
  <c r="D148" i="47"/>
  <c r="C148" i="47"/>
  <c r="X140" i="47"/>
  <c r="Q140" i="47" s="1"/>
  <c r="R140" i="47" s="1"/>
  <c r="D140" i="47"/>
  <c r="C140" i="47"/>
  <c r="X139" i="47"/>
  <c r="Q139" i="47" s="1"/>
  <c r="R139" i="47" s="1"/>
  <c r="S139" i="47" s="1"/>
  <c r="AD139" i="47" s="1"/>
  <c r="D139" i="47"/>
  <c r="C139" i="47"/>
  <c r="X124" i="47"/>
  <c r="D124" i="47"/>
  <c r="C124" i="47"/>
  <c r="X123" i="47"/>
  <c r="D123" i="47"/>
  <c r="C123" i="47"/>
  <c r="T169" i="47"/>
  <c r="X169" i="47" s="1"/>
  <c r="D169" i="47"/>
  <c r="C169" i="47"/>
  <c r="T156" i="47"/>
  <c r="X156" i="47" s="1"/>
  <c r="D156" i="47"/>
  <c r="C156" i="47"/>
  <c r="T155" i="47"/>
  <c r="X155" i="47" s="1"/>
  <c r="Q155" i="47" s="1"/>
  <c r="R155" i="47" s="1"/>
  <c r="D155" i="47"/>
  <c r="C155" i="47"/>
  <c r="T138" i="47"/>
  <c r="X138" i="47" s="1"/>
  <c r="D138" i="47"/>
  <c r="C138" i="47"/>
  <c r="T137" i="47"/>
  <c r="X137" i="47" s="1"/>
  <c r="D137" i="47"/>
  <c r="C137" i="47"/>
  <c r="X168" i="47"/>
  <c r="Q168" i="47" s="1"/>
  <c r="R168" i="47" s="1"/>
  <c r="S168" i="47" s="1"/>
  <c r="AD168" i="47" s="1"/>
  <c r="D168" i="47"/>
  <c r="C168" i="47"/>
  <c r="X153" i="47"/>
  <c r="Q153" i="47" s="1"/>
  <c r="R153" i="47" s="1"/>
  <c r="D153" i="47"/>
  <c r="C153" i="47"/>
  <c r="X136" i="47"/>
  <c r="AF136" i="47" s="1"/>
  <c r="D136" i="47"/>
  <c r="C136" i="47"/>
  <c r="V197" i="47"/>
  <c r="T197" i="47" s="1"/>
  <c r="X197" i="47" s="1"/>
  <c r="Q197" i="47" s="1"/>
  <c r="R197" i="47" s="1"/>
  <c r="D197" i="47"/>
  <c r="C197" i="47"/>
  <c r="V196" i="47"/>
  <c r="T196" i="47" s="1"/>
  <c r="X196" i="47" s="1"/>
  <c r="AF196" i="47" s="1"/>
  <c r="D196" i="47"/>
  <c r="C196" i="47"/>
  <c r="V193" i="47"/>
  <c r="T193" i="47" s="1"/>
  <c r="X193" i="47" s="1"/>
  <c r="D193" i="47"/>
  <c r="C193" i="47"/>
  <c r="V192" i="47"/>
  <c r="T192" i="47" s="1"/>
  <c r="X192" i="47" s="1"/>
  <c r="Q192" i="47" s="1"/>
  <c r="R192" i="47" s="1"/>
  <c r="S192" i="47" s="1"/>
  <c r="AD192" i="47" s="1"/>
  <c r="D192" i="47"/>
  <c r="C192" i="47"/>
  <c r="V180" i="47"/>
  <c r="T180" i="47" s="1"/>
  <c r="X180" i="47" s="1"/>
  <c r="D180" i="47"/>
  <c r="C180" i="47"/>
  <c r="V179" i="47"/>
  <c r="T179" i="47" s="1"/>
  <c r="X179" i="47" s="1"/>
  <c r="D179" i="47"/>
  <c r="C179" i="47"/>
  <c r="U122" i="47"/>
  <c r="V122" i="47"/>
  <c r="D122" i="47"/>
  <c r="C122" i="47"/>
  <c r="U121" i="47"/>
  <c r="V121" i="47"/>
  <c r="D121" i="47"/>
  <c r="C121" i="47"/>
  <c r="U114" i="47"/>
  <c r="V114" i="47"/>
  <c r="D114" i="47"/>
  <c r="C114" i="47"/>
  <c r="U112" i="47"/>
  <c r="V112" i="47"/>
  <c r="D112" i="47"/>
  <c r="C112" i="47"/>
  <c r="X167" i="47"/>
  <c r="AF167" i="47" s="1"/>
  <c r="D167" i="47"/>
  <c r="C167" i="47"/>
  <c r="X166" i="47"/>
  <c r="Q166" i="47" s="1"/>
  <c r="R166" i="47" s="1"/>
  <c r="S166" i="47" s="1"/>
  <c r="AD166" i="47" s="1"/>
  <c r="D166" i="47"/>
  <c r="C166" i="47"/>
  <c r="X152" i="47"/>
  <c r="D152" i="47"/>
  <c r="C152" i="47"/>
  <c r="T135" i="47"/>
  <c r="X135" i="47" s="1"/>
  <c r="D135" i="47"/>
  <c r="C135" i="47"/>
  <c r="T118" i="47"/>
  <c r="X118" i="47" s="1"/>
  <c r="D118" i="47"/>
  <c r="C118" i="47"/>
  <c r="T178" i="47"/>
  <c r="X178" i="47" s="1"/>
  <c r="AF178" i="47" s="1"/>
  <c r="D178" i="47"/>
  <c r="C178" i="47"/>
  <c r="X151" i="47"/>
  <c r="Q151" i="47" s="1"/>
  <c r="R151" i="47" s="1"/>
  <c r="S151" i="47" s="1"/>
  <c r="AD151" i="47" s="1"/>
  <c r="D151" i="47"/>
  <c r="C151" i="47"/>
  <c r="X150" i="47"/>
  <c r="Q150" i="47" s="1"/>
  <c r="R150" i="47" s="1"/>
  <c r="D150" i="47"/>
  <c r="C150" i="47"/>
  <c r="T117" i="47"/>
  <c r="X117" i="47" s="1"/>
  <c r="D117" i="47"/>
  <c r="C117" i="47"/>
  <c r="T116" i="47"/>
  <c r="X116" i="47" s="1"/>
  <c r="AF116" i="47" s="1"/>
  <c r="D116" i="47"/>
  <c r="C116" i="47"/>
  <c r="T115" i="47"/>
  <c r="X115" i="47" s="1"/>
  <c r="D115" i="47"/>
  <c r="C115" i="47"/>
  <c r="T120" i="47"/>
  <c r="X120" i="47" s="1"/>
  <c r="AF120" i="47" s="1"/>
  <c r="T113" i="47"/>
  <c r="X113" i="47" s="1"/>
  <c r="Q113" i="47" s="1"/>
  <c r="R113" i="47" s="1"/>
  <c r="T119" i="47"/>
  <c r="X119" i="47" s="1"/>
  <c r="X111" i="47"/>
  <c r="D111" i="47"/>
  <c r="C111" i="47"/>
  <c r="X110" i="47"/>
  <c r="D110" i="47"/>
  <c r="C110" i="47"/>
  <c r="X109" i="47"/>
  <c r="Q109" i="47" s="1"/>
  <c r="R109" i="47" s="1"/>
  <c r="S109" i="47" s="1"/>
  <c r="AD109" i="47" s="1"/>
  <c r="D109" i="47"/>
  <c r="C109" i="47"/>
  <c r="X108" i="47"/>
  <c r="Q108" i="47" s="1"/>
  <c r="R108" i="47" s="1"/>
  <c r="S108" i="47" s="1"/>
  <c r="AD108" i="47" s="1"/>
  <c r="D108" i="47"/>
  <c r="C108" i="47"/>
  <c r="X107" i="47"/>
  <c r="Q107" i="47" s="1"/>
  <c r="R107" i="47" s="1"/>
  <c r="S107" i="47" s="1"/>
  <c r="AD107" i="47" s="1"/>
  <c r="D107" i="47"/>
  <c r="C107" i="47"/>
  <c r="X106" i="47"/>
  <c r="Q106" i="47" s="1"/>
  <c r="R106" i="47" s="1"/>
  <c r="D106" i="47"/>
  <c r="C106" i="47"/>
  <c r="X105" i="47"/>
  <c r="Q105" i="47" s="1"/>
  <c r="R105" i="47" s="1"/>
  <c r="S105" i="47" s="1"/>
  <c r="AD105" i="47" s="1"/>
  <c r="D105" i="47"/>
  <c r="C105" i="47"/>
  <c r="X104" i="47"/>
  <c r="Q104" i="47" s="1"/>
  <c r="R104" i="47" s="1"/>
  <c r="D104" i="47"/>
  <c r="C104" i="47"/>
  <c r="X103" i="47"/>
  <c r="Q103" i="47" s="1"/>
  <c r="R103" i="47" s="1"/>
  <c r="S103" i="47" s="1"/>
  <c r="AD103" i="47" s="1"/>
  <c r="D103" i="47"/>
  <c r="C103" i="47"/>
  <c r="X102" i="47"/>
  <c r="D102" i="47"/>
  <c r="C102" i="47"/>
  <c r="X101" i="47"/>
  <c r="D101" i="47"/>
  <c r="C101" i="47"/>
  <c r="X100" i="47"/>
  <c r="Q100" i="47" s="1"/>
  <c r="R100" i="47" s="1"/>
  <c r="D100" i="47"/>
  <c r="C100" i="47"/>
  <c r="X99" i="47"/>
  <c r="Q99" i="47" s="1"/>
  <c r="R99" i="47" s="1"/>
  <c r="S99" i="47" s="1"/>
  <c r="AD99" i="47" s="1"/>
  <c r="D99" i="47"/>
  <c r="C99" i="47"/>
  <c r="X98" i="47"/>
  <c r="Q98" i="47" s="1"/>
  <c r="R98" i="47" s="1"/>
  <c r="D98" i="47"/>
  <c r="C98" i="47"/>
  <c r="X97" i="47"/>
  <c r="AF97" i="47" s="1"/>
  <c r="D97" i="47"/>
  <c r="C97" i="47"/>
  <c r="X96" i="47"/>
  <c r="AF96" i="47" s="1"/>
  <c r="D96" i="47"/>
  <c r="C96" i="47"/>
  <c r="X95" i="47"/>
  <c r="Q95" i="47" s="1"/>
  <c r="R95" i="47" s="1"/>
  <c r="S95" i="47" s="1"/>
  <c r="AD95" i="47" s="1"/>
  <c r="D95" i="47"/>
  <c r="C95" i="47"/>
  <c r="X94" i="47"/>
  <c r="AF94" i="47" s="1"/>
  <c r="D94" i="47"/>
  <c r="C94" i="47"/>
  <c r="X93" i="47"/>
  <c r="Q93" i="47" s="1"/>
  <c r="R93" i="47" s="1"/>
  <c r="S93" i="47" s="1"/>
  <c r="AD93" i="47" s="1"/>
  <c r="D93" i="47"/>
  <c r="C93" i="47"/>
  <c r="X92" i="47"/>
  <c r="Q92" i="47" s="1"/>
  <c r="R92" i="47" s="1"/>
  <c r="S92" i="47" s="1"/>
  <c r="AD92" i="47" s="1"/>
  <c r="D92" i="47"/>
  <c r="C92" i="47"/>
  <c r="T91" i="47"/>
  <c r="X91" i="47" s="1"/>
  <c r="AF91" i="47" s="1"/>
  <c r="D91" i="47"/>
  <c r="C91" i="47"/>
  <c r="T90" i="47"/>
  <c r="X90" i="47" s="1"/>
  <c r="D90" i="47"/>
  <c r="C90" i="47"/>
  <c r="T89" i="47"/>
  <c r="X89" i="47" s="1"/>
  <c r="Q89" i="47" s="1"/>
  <c r="R89" i="47" s="1"/>
  <c r="S89" i="47" s="1"/>
  <c r="AD89" i="47" s="1"/>
  <c r="D89" i="47"/>
  <c r="C89" i="47"/>
  <c r="T88" i="47"/>
  <c r="X88" i="47" s="1"/>
  <c r="Q88" i="47" s="1"/>
  <c r="R88" i="47" s="1"/>
  <c r="S88" i="47" s="1"/>
  <c r="AD88" i="47" s="1"/>
  <c r="D88" i="47"/>
  <c r="C88" i="47"/>
  <c r="T87" i="47"/>
  <c r="X87" i="47" s="1"/>
  <c r="D87" i="47"/>
  <c r="C87" i="47"/>
  <c r="T85" i="47"/>
  <c r="X85" i="47" s="1"/>
  <c r="Q85" i="47" s="1"/>
  <c r="R85" i="47" s="1"/>
  <c r="D85" i="47"/>
  <c r="C85" i="47"/>
  <c r="T84" i="47"/>
  <c r="X84" i="47" s="1"/>
  <c r="D84" i="47"/>
  <c r="C84" i="47"/>
  <c r="T83" i="47"/>
  <c r="X83" i="47" s="1"/>
  <c r="Q83" i="47" s="1"/>
  <c r="R83" i="47" s="1"/>
  <c r="S83" i="47" s="1"/>
  <c r="AD83" i="47" s="1"/>
  <c r="D83" i="47"/>
  <c r="C83" i="47"/>
  <c r="T81" i="47"/>
  <c r="X81" i="47" s="1"/>
  <c r="D81" i="47"/>
  <c r="C81" i="47"/>
  <c r="T80" i="47"/>
  <c r="X80" i="47" s="1"/>
  <c r="Q80" i="47" s="1"/>
  <c r="R80" i="47" s="1"/>
  <c r="D80" i="47"/>
  <c r="C80" i="47"/>
  <c r="T79" i="47"/>
  <c r="X79" i="47" s="1"/>
  <c r="D79" i="47"/>
  <c r="C79" i="47"/>
  <c r="T78" i="47"/>
  <c r="X78" i="47" s="1"/>
  <c r="D78" i="47"/>
  <c r="C78" i="47"/>
  <c r="T77" i="47"/>
  <c r="X77" i="47" s="1"/>
  <c r="AF77" i="47" s="1"/>
  <c r="D77" i="47"/>
  <c r="C77" i="47"/>
  <c r="T76" i="47"/>
  <c r="X76" i="47" s="1"/>
  <c r="D76" i="47"/>
  <c r="C76" i="47"/>
  <c r="T82" i="47"/>
  <c r="X82" i="47" s="1"/>
  <c r="T86" i="47"/>
  <c r="X86" i="47" s="1"/>
  <c r="T34" i="47"/>
  <c r="X34" i="47" s="1"/>
  <c r="Q34" i="47" s="1"/>
  <c r="R34" i="47" s="1"/>
  <c r="S34" i="47" s="1"/>
  <c r="AD34" i="47" s="1"/>
  <c r="T25" i="47"/>
  <c r="X25" i="47" s="1"/>
  <c r="Q25" i="47" s="1"/>
  <c r="R25" i="47" s="1"/>
  <c r="T24" i="47"/>
  <c r="X24" i="47" s="1"/>
  <c r="Q24" i="47" s="1"/>
  <c r="R24" i="47" s="1"/>
  <c r="S24" i="47" s="1"/>
  <c r="AD24" i="47" s="1"/>
  <c r="X75" i="47"/>
  <c r="D75" i="47"/>
  <c r="C75" i="47"/>
  <c r="X74" i="47"/>
  <c r="D74" i="47"/>
  <c r="C74" i="47"/>
  <c r="X73" i="47"/>
  <c r="D73" i="47"/>
  <c r="C73" i="47"/>
  <c r="X72" i="47"/>
  <c r="D72" i="47"/>
  <c r="C72" i="47"/>
  <c r="X71" i="47"/>
  <c r="D71" i="47"/>
  <c r="C71" i="47"/>
  <c r="X70" i="47"/>
  <c r="D70" i="47"/>
  <c r="C70" i="47"/>
  <c r="X69" i="47"/>
  <c r="D69" i="47"/>
  <c r="C69" i="47"/>
  <c r="X68" i="47"/>
  <c r="D68" i="47"/>
  <c r="C68" i="47"/>
  <c r="X67" i="47"/>
  <c r="D67" i="47"/>
  <c r="C67" i="47"/>
  <c r="X66" i="47"/>
  <c r="D66" i="47"/>
  <c r="C66" i="47"/>
  <c r="X65" i="47"/>
  <c r="D65" i="47"/>
  <c r="C65" i="47"/>
  <c r="X64" i="47"/>
  <c r="D64" i="47"/>
  <c r="C64" i="47"/>
  <c r="X63" i="47"/>
  <c r="D63" i="47"/>
  <c r="C63" i="47"/>
  <c r="X61" i="47"/>
  <c r="D61" i="47"/>
  <c r="C61" i="47"/>
  <c r="X60" i="47"/>
  <c r="D60" i="47"/>
  <c r="C60" i="47"/>
  <c r="X59" i="47"/>
  <c r="D59" i="47"/>
  <c r="C59" i="47"/>
  <c r="X58" i="47"/>
  <c r="AF58" i="47" s="1"/>
  <c r="D58" i="47"/>
  <c r="C58" i="47"/>
  <c r="X57" i="47"/>
  <c r="Q57" i="47" s="1"/>
  <c r="R57" i="47" s="1"/>
  <c r="S57" i="47" s="1"/>
  <c r="AD57" i="47" s="1"/>
  <c r="D57" i="47"/>
  <c r="C57" i="47"/>
  <c r="X55" i="47"/>
  <c r="Q55" i="47" s="1"/>
  <c r="R55" i="47" s="1"/>
  <c r="D55" i="47"/>
  <c r="C55" i="47"/>
  <c r="X54" i="47"/>
  <c r="AF54" i="47" s="1"/>
  <c r="D54" i="47"/>
  <c r="C54" i="47"/>
  <c r="X53" i="47"/>
  <c r="Q53" i="47" s="1"/>
  <c r="R53" i="47" s="1"/>
  <c r="S53" i="47" s="1"/>
  <c r="AD53" i="47" s="1"/>
  <c r="D53" i="47"/>
  <c r="C53" i="47"/>
  <c r="X51" i="47"/>
  <c r="AF51" i="47" s="1"/>
  <c r="D51" i="47"/>
  <c r="C51" i="47"/>
  <c r="X50" i="47"/>
  <c r="Q50" i="47" s="1"/>
  <c r="R50" i="47" s="1"/>
  <c r="D50" i="47"/>
  <c r="C50" i="47"/>
  <c r="X48" i="47"/>
  <c r="Q48" i="47" s="1"/>
  <c r="R48" i="47" s="1"/>
  <c r="S48" i="47" s="1"/>
  <c r="AD48" i="47" s="1"/>
  <c r="D48" i="47"/>
  <c r="C48" i="47"/>
  <c r="X47" i="47"/>
  <c r="Q47" i="47" s="1"/>
  <c r="R47" i="47" s="1"/>
  <c r="S47" i="47" s="1"/>
  <c r="AD47" i="47" s="1"/>
  <c r="D47" i="47"/>
  <c r="C47" i="47"/>
  <c r="X46" i="47"/>
  <c r="Q46" i="47" s="1"/>
  <c r="R46" i="47" s="1"/>
  <c r="S46" i="47" s="1"/>
  <c r="AD46" i="47" s="1"/>
  <c r="D46" i="47"/>
  <c r="C46" i="47"/>
  <c r="X41" i="47"/>
  <c r="AF41" i="47" s="1"/>
  <c r="D41" i="47"/>
  <c r="C41" i="47"/>
  <c r="X37" i="47"/>
  <c r="Q37" i="47" s="1"/>
  <c r="R37" i="47" s="1"/>
  <c r="S37" i="47" s="1"/>
  <c r="AD37" i="47" s="1"/>
  <c r="D37" i="47"/>
  <c r="C37" i="47"/>
  <c r="X36" i="47"/>
  <c r="AF36" i="47" s="1"/>
  <c r="D36" i="47"/>
  <c r="C36" i="47"/>
  <c r="X35" i="47"/>
  <c r="Q35" i="47" s="1"/>
  <c r="R35" i="47" s="1"/>
  <c r="S35" i="47" s="1"/>
  <c r="AD35" i="47" s="1"/>
  <c r="D35" i="47"/>
  <c r="C35" i="47"/>
  <c r="X32" i="47"/>
  <c r="Q32" i="47" s="1"/>
  <c r="R32" i="47" s="1"/>
  <c r="D32" i="47"/>
  <c r="C32" i="47"/>
  <c r="T45" i="47"/>
  <c r="X45" i="47" s="1"/>
  <c r="D45" i="47"/>
  <c r="C45" i="47"/>
  <c r="T62" i="47"/>
  <c r="X62" i="47" s="1"/>
  <c r="Q62" i="47" s="1"/>
  <c r="R62" i="47" s="1"/>
  <c r="S62" i="47" s="1"/>
  <c r="AD62" i="47" s="1"/>
  <c r="D62" i="47"/>
  <c r="C62" i="47"/>
  <c r="T44" i="47"/>
  <c r="X44" i="47" s="1"/>
  <c r="D44" i="47"/>
  <c r="C44" i="47"/>
  <c r="T43" i="47"/>
  <c r="X43" i="47" s="1"/>
  <c r="D43" i="47"/>
  <c r="C43" i="47"/>
  <c r="T39" i="47"/>
  <c r="X39" i="47" s="1"/>
  <c r="Q39" i="47" s="1"/>
  <c r="R39" i="47" s="1"/>
  <c r="S39" i="47" s="1"/>
  <c r="AD39" i="47" s="1"/>
  <c r="D39" i="47"/>
  <c r="C39" i="47"/>
  <c r="T38" i="47"/>
  <c r="X38" i="47" s="1"/>
  <c r="D38" i="47"/>
  <c r="C38" i="47"/>
  <c r="T31" i="47"/>
  <c r="X31" i="47" s="1"/>
  <c r="D31" i="47"/>
  <c r="C31" i="47"/>
  <c r="T27" i="47"/>
  <c r="X27" i="47" s="1"/>
  <c r="D27" i="47"/>
  <c r="C27" i="47"/>
  <c r="T26" i="47"/>
  <c r="X26" i="47" s="1"/>
  <c r="Q26" i="47" s="1"/>
  <c r="R26" i="47" s="1"/>
  <c r="S26" i="47" s="1"/>
  <c r="AD26" i="47" s="1"/>
  <c r="D26" i="47"/>
  <c r="C26" i="47"/>
  <c r="T19" i="47"/>
  <c r="X19" i="47" s="1"/>
  <c r="D19" i="47"/>
  <c r="C19" i="47"/>
  <c r="T56" i="47"/>
  <c r="X56" i="47" s="1"/>
  <c r="D56" i="47"/>
  <c r="C56" i="47"/>
  <c r="T52" i="47"/>
  <c r="X52" i="47" s="1"/>
  <c r="D52" i="47"/>
  <c r="C52" i="47"/>
  <c r="T49" i="47"/>
  <c r="X49" i="47" s="1"/>
  <c r="D49" i="47"/>
  <c r="C49" i="47"/>
  <c r="T42" i="47"/>
  <c r="X42" i="47" s="1"/>
  <c r="D42" i="47"/>
  <c r="C42" i="47"/>
  <c r="T40" i="47"/>
  <c r="X40" i="47" s="1"/>
  <c r="D40" i="47"/>
  <c r="C40" i="47"/>
  <c r="T33" i="47"/>
  <c r="X33" i="47" s="1"/>
  <c r="D33" i="47"/>
  <c r="C33" i="47"/>
  <c r="T30" i="47"/>
  <c r="X30" i="47" s="1"/>
  <c r="D30" i="47"/>
  <c r="C30" i="47"/>
  <c r="T29" i="47"/>
  <c r="X29" i="47" s="1"/>
  <c r="Q29" i="47" s="1"/>
  <c r="R29" i="47" s="1"/>
  <c r="S29" i="47" s="1"/>
  <c r="AD29" i="47" s="1"/>
  <c r="D29" i="47"/>
  <c r="C29" i="47"/>
  <c r="T28" i="47"/>
  <c r="X28" i="47" s="1"/>
  <c r="D28" i="47"/>
  <c r="C28" i="47"/>
  <c r="T23" i="47"/>
  <c r="X23" i="47" s="1"/>
  <c r="D23" i="47"/>
  <c r="C23" i="47"/>
  <c r="T22" i="47"/>
  <c r="X22" i="47" s="1"/>
  <c r="D22" i="47"/>
  <c r="C22" i="47"/>
  <c r="T21" i="47"/>
  <c r="X21" i="47" s="1"/>
  <c r="Q21" i="47" s="1"/>
  <c r="R21" i="47" s="1"/>
  <c r="S21" i="47" s="1"/>
  <c r="AD21" i="47" s="1"/>
  <c r="D21" i="47"/>
  <c r="C21" i="47"/>
  <c r="T20" i="47"/>
  <c r="X20" i="47" s="1"/>
  <c r="D20" i="47"/>
  <c r="C20" i="47"/>
  <c r="T18" i="47"/>
  <c r="X18" i="47" s="1"/>
  <c r="D18" i="47"/>
  <c r="C18" i="47"/>
  <c r="T17" i="47"/>
  <c r="X17" i="47" s="1"/>
  <c r="D17" i="47"/>
  <c r="C17" i="47"/>
  <c r="T16" i="47"/>
  <c r="X16" i="47" s="1"/>
  <c r="Q16" i="47" s="1"/>
  <c r="R16" i="47" s="1"/>
  <c r="S16" i="47" s="1"/>
  <c r="AD16" i="47" s="1"/>
  <c r="D16" i="47"/>
  <c r="C16" i="47"/>
  <c r="T15" i="47"/>
  <c r="X15" i="47" s="1"/>
  <c r="D15" i="47"/>
  <c r="C15" i="47"/>
  <c r="T14" i="47"/>
  <c r="X14" i="47" s="1"/>
  <c r="Q14" i="47" s="1"/>
  <c r="R14" i="47" s="1"/>
  <c r="D14" i="47"/>
  <c r="C14" i="47"/>
  <c r="T13" i="47"/>
  <c r="X13" i="47" s="1"/>
  <c r="D13" i="47"/>
  <c r="C13" i="47"/>
  <c r="T12" i="47"/>
  <c r="X12" i="47" s="1"/>
  <c r="Q12" i="47" s="1"/>
  <c r="R12" i="47" s="1"/>
  <c r="S12" i="47" s="1"/>
  <c r="AD12" i="47" s="1"/>
  <c r="D12" i="47"/>
  <c r="C12" i="47"/>
  <c r="T11" i="47"/>
  <c r="X11" i="47" s="1"/>
  <c r="D11" i="47"/>
  <c r="C11" i="47"/>
  <c r="T10" i="47"/>
  <c r="X10" i="47" s="1"/>
  <c r="D10" i="47"/>
  <c r="C10" i="47"/>
  <c r="T9" i="47"/>
  <c r="X9" i="47" s="1"/>
  <c r="Q9" i="47" s="1"/>
  <c r="R9" i="47" s="1"/>
  <c r="S9" i="47" s="1"/>
  <c r="AD9" i="47" s="1"/>
  <c r="D9" i="47"/>
  <c r="C9" i="47"/>
  <c r="T8" i="47"/>
  <c r="X8" i="47" s="1"/>
  <c r="D8" i="47"/>
  <c r="C8" i="47"/>
  <c r="T7" i="47"/>
  <c r="X7" i="47" s="1"/>
  <c r="Q7" i="47" s="1"/>
  <c r="R7" i="47" s="1"/>
  <c r="S7" i="47" s="1"/>
  <c r="AD7" i="47" s="1"/>
  <c r="D7" i="47"/>
  <c r="C7" i="47"/>
  <c r="T6" i="47"/>
  <c r="X6" i="47" s="1"/>
  <c r="D6" i="47"/>
  <c r="C6" i="47"/>
  <c r="T5" i="47"/>
  <c r="X5" i="47" s="1"/>
  <c r="Q5" i="47" s="1"/>
  <c r="R5" i="47" s="1"/>
  <c r="S5" i="47" s="1"/>
  <c r="AD5" i="47" s="1"/>
  <c r="D5" i="47"/>
  <c r="C5" i="47"/>
  <c r="T4" i="47"/>
  <c r="X4" i="47" s="1"/>
  <c r="D4" i="47"/>
  <c r="C4" i="47"/>
  <c r="X3" i="47"/>
  <c r="Q3" i="47" s="1"/>
  <c r="R3" i="47" s="1"/>
  <c r="S3" i="47" s="1"/>
  <c r="AD3" i="47" s="1"/>
  <c r="D3" i="47"/>
  <c r="C3" i="47"/>
  <c r="AQ121" i="54" l="1"/>
  <c r="AQ183" i="54"/>
  <c r="AQ191" i="54"/>
  <c r="AQ189" i="54"/>
  <c r="S217" i="47"/>
  <c r="AD217" i="47" s="1"/>
  <c r="Q239" i="47"/>
  <c r="R239" i="47" s="1"/>
  <c r="S239" i="47" s="1"/>
  <c r="AD239" i="47" s="1"/>
  <c r="Q211" i="47"/>
  <c r="R211" i="47" s="1"/>
  <c r="AF213" i="47"/>
  <c r="C216" i="47"/>
  <c r="AF217" i="47"/>
  <c r="AG217" i="47" s="1"/>
  <c r="Q36" i="47"/>
  <c r="R36" i="47" s="1"/>
  <c r="S36" i="47" s="1"/>
  <c r="AD36" i="47" s="1"/>
  <c r="AG36" i="47" s="1"/>
  <c r="Q54" i="47"/>
  <c r="R54" i="47" s="1"/>
  <c r="S54" i="47" s="1"/>
  <c r="AD54" i="47" s="1"/>
  <c r="AG54" i="47" s="1"/>
  <c r="AF55" i="47"/>
  <c r="AF34" i="47"/>
  <c r="AG34" i="47" s="1"/>
  <c r="AF155" i="47"/>
  <c r="AF139" i="47"/>
  <c r="AF140" i="47"/>
  <c r="Q157" i="47"/>
  <c r="R157" i="47" s="1"/>
  <c r="S157" i="47" s="1"/>
  <c r="AD157" i="47" s="1"/>
  <c r="AG157" i="47" s="1"/>
  <c r="AF158" i="47"/>
  <c r="AG158" i="47" s="1"/>
  <c r="Q159" i="47"/>
  <c r="R159" i="47" s="1"/>
  <c r="S159" i="47" s="1"/>
  <c r="AD159" i="47" s="1"/>
  <c r="AG159" i="47" s="1"/>
  <c r="AF170" i="47"/>
  <c r="AG170" i="47" s="1"/>
  <c r="AF3" i="47"/>
  <c r="AG3" i="47" s="1"/>
  <c r="AF32" i="47"/>
  <c r="Q77" i="47"/>
  <c r="R77" i="47" s="1"/>
  <c r="S77" i="47" s="1"/>
  <c r="AD77" i="47" s="1"/>
  <c r="AG77" i="47" s="1"/>
  <c r="Q97" i="47"/>
  <c r="R97" i="47" s="1"/>
  <c r="S97" i="47" s="1"/>
  <c r="AD97" i="47" s="1"/>
  <c r="AG97" i="47" s="1"/>
  <c r="AF98" i="47"/>
  <c r="AF99" i="47"/>
  <c r="AG99" i="47" s="1"/>
  <c r="T185" i="47"/>
  <c r="X185" i="47" s="1"/>
  <c r="Q185" i="47" s="1"/>
  <c r="R185" i="47" s="1"/>
  <c r="S185" i="47" s="1"/>
  <c r="AD185" i="47" s="1"/>
  <c r="Q204" i="47"/>
  <c r="R204" i="47" s="1"/>
  <c r="AF205" i="47"/>
  <c r="Q212" i="47"/>
  <c r="R212" i="47" s="1"/>
  <c r="AF225" i="47"/>
  <c r="AF247" i="47"/>
  <c r="D224" i="47"/>
  <c r="C224" i="47"/>
  <c r="S146" i="47"/>
  <c r="AD146" i="47" s="1"/>
  <c r="S229" i="47"/>
  <c r="AD229" i="47" s="1"/>
  <c r="C287" i="47"/>
  <c r="D287" i="47"/>
  <c r="AF47" i="47"/>
  <c r="AG47" i="47" s="1"/>
  <c r="Q187" i="47"/>
  <c r="R187" i="47" s="1"/>
  <c r="S187" i="47" s="1"/>
  <c r="AD187" i="47" s="1"/>
  <c r="AG187" i="47" s="1"/>
  <c r="S190" i="47"/>
  <c r="AD190" i="47" s="1"/>
  <c r="S216" i="47"/>
  <c r="AD216" i="47" s="1"/>
  <c r="S284" i="47"/>
  <c r="AD284" i="47" s="1"/>
  <c r="C286" i="47"/>
  <c r="D286" i="47"/>
  <c r="S292" i="47"/>
  <c r="AD292" i="47" s="1"/>
  <c r="S296" i="47"/>
  <c r="AD296" i="47" s="1"/>
  <c r="S300" i="47"/>
  <c r="AD300" i="47" s="1"/>
  <c r="S304" i="47"/>
  <c r="AD304" i="47" s="1"/>
  <c r="AF48" i="47"/>
  <c r="AG48" i="47" s="1"/>
  <c r="S153" i="47"/>
  <c r="AD153" i="47" s="1"/>
  <c r="Q172" i="47"/>
  <c r="R172" i="47" s="1"/>
  <c r="S172" i="47" s="1"/>
  <c r="AD172" i="47" s="1"/>
  <c r="AG172" i="47" s="1"/>
  <c r="AF173" i="47"/>
  <c r="AF160" i="47"/>
  <c r="S220" i="47"/>
  <c r="AD220" i="47" s="1"/>
  <c r="AF233" i="47"/>
  <c r="S261" i="47"/>
  <c r="AD261" i="47" s="1"/>
  <c r="S32" i="47"/>
  <c r="AD32" i="47" s="1"/>
  <c r="AG32" i="47" s="1"/>
  <c r="Q51" i="47"/>
  <c r="R51" i="47" s="1"/>
  <c r="S51" i="47" s="1"/>
  <c r="AD51" i="47" s="1"/>
  <c r="AG51" i="47" s="1"/>
  <c r="S55" i="47"/>
  <c r="AD55" i="47" s="1"/>
  <c r="AG55" i="47" s="1"/>
  <c r="S80" i="47"/>
  <c r="AD80" i="47" s="1"/>
  <c r="S85" i="47"/>
  <c r="AD85" i="47" s="1"/>
  <c r="S113" i="47"/>
  <c r="AD113" i="47" s="1"/>
  <c r="Q116" i="47"/>
  <c r="R116" i="47" s="1"/>
  <c r="S116" i="47" s="1"/>
  <c r="AD116" i="47" s="1"/>
  <c r="AG116" i="47" s="1"/>
  <c r="T112" i="47"/>
  <c r="X112" i="47" s="1"/>
  <c r="Q112" i="47" s="1"/>
  <c r="R112" i="47" s="1"/>
  <c r="S112" i="47" s="1"/>
  <c r="AD112" i="47" s="1"/>
  <c r="Q149" i="47"/>
  <c r="R149" i="47" s="1"/>
  <c r="S149" i="47" s="1"/>
  <c r="AD149" i="47" s="1"/>
  <c r="AG149" i="47" s="1"/>
  <c r="T188" i="47"/>
  <c r="X188" i="47" s="1"/>
  <c r="AF188" i="47" s="1"/>
  <c r="AF200" i="47"/>
  <c r="AG200" i="47" s="1"/>
  <c r="Q201" i="47"/>
  <c r="R201" i="47" s="1"/>
  <c r="S201" i="47" s="1"/>
  <c r="AD201" i="47" s="1"/>
  <c r="AG201" i="47" s="1"/>
  <c r="AF202" i="47"/>
  <c r="Q203" i="47"/>
  <c r="R203" i="47" s="1"/>
  <c r="S203" i="47" s="1"/>
  <c r="AD203" i="47" s="1"/>
  <c r="AG203" i="47" s="1"/>
  <c r="Q208" i="47"/>
  <c r="R208" i="47" s="1"/>
  <c r="S208" i="47" s="1"/>
  <c r="AD208" i="47" s="1"/>
  <c r="AG208" i="47" s="1"/>
  <c r="Q209" i="47"/>
  <c r="R209" i="47" s="1"/>
  <c r="S209" i="47" s="1"/>
  <c r="AD209" i="47" s="1"/>
  <c r="AG209" i="47" s="1"/>
  <c r="AF219" i="47"/>
  <c r="S14" i="47"/>
  <c r="AD14" i="47" s="1"/>
  <c r="S50" i="47"/>
  <c r="AD50" i="47" s="1"/>
  <c r="S25" i="47"/>
  <c r="AD25" i="47" s="1"/>
  <c r="AF100" i="47"/>
  <c r="AF153" i="47"/>
  <c r="AF141" i="47"/>
  <c r="S204" i="47"/>
  <c r="AD204" i="47" s="1"/>
  <c r="AG204" i="47" s="1"/>
  <c r="S211" i="47"/>
  <c r="AD211" i="47" s="1"/>
  <c r="AG211" i="47" s="1"/>
  <c r="S212" i="47"/>
  <c r="AD212" i="47" s="1"/>
  <c r="AG212" i="47" s="1"/>
  <c r="S223" i="47"/>
  <c r="AD223" i="47" s="1"/>
  <c r="S198" i="47"/>
  <c r="AD198" i="47" s="1"/>
  <c r="Q94" i="47"/>
  <c r="R94" i="47" s="1"/>
  <c r="S94" i="47" s="1"/>
  <c r="AD94" i="47" s="1"/>
  <c r="AG94" i="47" s="1"/>
  <c r="AF95" i="47"/>
  <c r="AG95" i="47" s="1"/>
  <c r="S98" i="47"/>
  <c r="AD98" i="47" s="1"/>
  <c r="S106" i="47"/>
  <c r="AD106" i="47" s="1"/>
  <c r="AF168" i="47"/>
  <c r="AG168" i="47" s="1"/>
  <c r="S155" i="47"/>
  <c r="AD155" i="47" s="1"/>
  <c r="S173" i="47"/>
  <c r="AD173" i="47" s="1"/>
  <c r="Q131" i="47"/>
  <c r="R131" i="47" s="1"/>
  <c r="S131" i="47" s="1"/>
  <c r="AD131" i="47" s="1"/>
  <c r="AG131" i="47" s="1"/>
  <c r="S132" i="47"/>
  <c r="AD132" i="47" s="1"/>
  <c r="Q275" i="47"/>
  <c r="R275" i="47" s="1"/>
  <c r="S275" i="47" s="1"/>
  <c r="AD275" i="47" s="1"/>
  <c r="AG275" i="47" s="1"/>
  <c r="AF276" i="47"/>
  <c r="AG276" i="47" s="1"/>
  <c r="AF301" i="47"/>
  <c r="Q301" i="47"/>
  <c r="R301" i="47" s="1"/>
  <c r="S301" i="47" s="1"/>
  <c r="AD301" i="47" s="1"/>
  <c r="Q27" i="47"/>
  <c r="R27" i="47" s="1"/>
  <c r="S27" i="47" s="1"/>
  <c r="AD27" i="47" s="1"/>
  <c r="AF27" i="47"/>
  <c r="AF293" i="47"/>
  <c r="Q293" i="47"/>
  <c r="R293" i="47" s="1"/>
  <c r="S293" i="47" s="1"/>
  <c r="AD293" i="47" s="1"/>
  <c r="AF92" i="47"/>
  <c r="AG92" i="47" s="1"/>
  <c r="AG141" i="47"/>
  <c r="AF161" i="47"/>
  <c r="Q174" i="47"/>
  <c r="R174" i="47" s="1"/>
  <c r="S174" i="47" s="1"/>
  <c r="AD174" i="47" s="1"/>
  <c r="AG174" i="47" s="1"/>
  <c r="AF146" i="47"/>
  <c r="AF132" i="47"/>
  <c r="S219" i="47"/>
  <c r="AD219" i="47" s="1"/>
  <c r="Q243" i="47"/>
  <c r="R243" i="47" s="1"/>
  <c r="S243" i="47" s="1"/>
  <c r="AD243" i="47" s="1"/>
  <c r="AG243" i="47" s="1"/>
  <c r="S227" i="47"/>
  <c r="AD227" i="47" s="1"/>
  <c r="AF257" i="47"/>
  <c r="AG257" i="47" s="1"/>
  <c r="AF50" i="47"/>
  <c r="S100" i="47"/>
  <c r="AD100" i="47" s="1"/>
  <c r="AG100" i="47" s="1"/>
  <c r="S197" i="47"/>
  <c r="AD197" i="47" s="1"/>
  <c r="Q58" i="47"/>
  <c r="R58" i="47" s="1"/>
  <c r="S58" i="47" s="1"/>
  <c r="AD58" i="47" s="1"/>
  <c r="AG58" i="47" s="1"/>
  <c r="AF24" i="47"/>
  <c r="AG24" i="47" s="1"/>
  <c r="AF93" i="47"/>
  <c r="AG93" i="47" s="1"/>
  <c r="S104" i="47"/>
  <c r="AD104" i="47" s="1"/>
  <c r="S161" i="47"/>
  <c r="AD161" i="47" s="1"/>
  <c r="AF181" i="47"/>
  <c r="AG181" i="47" s="1"/>
  <c r="AF244" i="47"/>
  <c r="S247" i="47"/>
  <c r="AD247" i="47" s="1"/>
  <c r="C220" i="47"/>
  <c r="AF221" i="47"/>
  <c r="AG221" i="47" s="1"/>
  <c r="Q238" i="47"/>
  <c r="R238" i="47" s="1"/>
  <c r="S238" i="47" s="1"/>
  <c r="AD238" i="47" s="1"/>
  <c r="AG238" i="47" s="1"/>
  <c r="AF198" i="47"/>
  <c r="AF255" i="47"/>
  <c r="AG255" i="47" s="1"/>
  <c r="AF261" i="47"/>
  <c r="S262" i="47"/>
  <c r="AD262" i="47" s="1"/>
  <c r="Q274" i="47"/>
  <c r="R274" i="47" s="1"/>
  <c r="Q267" i="47"/>
  <c r="R267" i="47" s="1"/>
  <c r="S267" i="47" s="1"/>
  <c r="AD267" i="47" s="1"/>
  <c r="AG267" i="47" s="1"/>
  <c r="AF284" i="47"/>
  <c r="Q289" i="47"/>
  <c r="R289" i="47" s="1"/>
  <c r="S289" i="47" s="1"/>
  <c r="AD289" i="47" s="1"/>
  <c r="AG289" i="47" s="1"/>
  <c r="S244" i="47"/>
  <c r="AD244" i="47" s="1"/>
  <c r="AF35" i="47"/>
  <c r="AG35" i="47" s="1"/>
  <c r="Q41" i="47"/>
  <c r="R41" i="47" s="1"/>
  <c r="S41" i="47" s="1"/>
  <c r="AD41" i="47" s="1"/>
  <c r="AG41" i="47" s="1"/>
  <c r="AF46" i="47"/>
  <c r="AG46" i="47" s="1"/>
  <c r="T121" i="47"/>
  <c r="X121" i="47" s="1"/>
  <c r="AF121" i="47" s="1"/>
  <c r="Q196" i="47"/>
  <c r="R196" i="47" s="1"/>
  <c r="S196" i="47" s="1"/>
  <c r="AD196" i="47" s="1"/>
  <c r="AG196" i="47" s="1"/>
  <c r="S140" i="47"/>
  <c r="AD140" i="47" s="1"/>
  <c r="AG233" i="47"/>
  <c r="AG240" i="47"/>
  <c r="S259" i="47"/>
  <c r="AD259" i="47" s="1"/>
  <c r="Q297" i="47"/>
  <c r="R297" i="47" s="1"/>
  <c r="S297" i="47" s="1"/>
  <c r="AD297" i="47" s="1"/>
  <c r="AG297" i="47" s="1"/>
  <c r="AF31" i="47"/>
  <c r="Q31" i="47"/>
  <c r="R31" i="47" s="1"/>
  <c r="S31" i="47" s="1"/>
  <c r="AD31" i="47" s="1"/>
  <c r="Q45" i="47"/>
  <c r="R45" i="47" s="1"/>
  <c r="S45" i="47" s="1"/>
  <c r="AD45" i="47" s="1"/>
  <c r="AF45" i="47"/>
  <c r="AF147" i="47"/>
  <c r="Q147" i="47"/>
  <c r="R147" i="47" s="1"/>
  <c r="S147" i="47" s="1"/>
  <c r="AD147" i="47" s="1"/>
  <c r="AF56" i="47"/>
  <c r="Q56" i="47"/>
  <c r="R56" i="47" s="1"/>
  <c r="S56" i="47" s="1"/>
  <c r="AD56" i="47" s="1"/>
  <c r="AF76" i="47"/>
  <c r="Q76" i="47"/>
  <c r="R76" i="47" s="1"/>
  <c r="S76" i="47" s="1"/>
  <c r="AD76" i="47" s="1"/>
  <c r="AF79" i="47"/>
  <c r="Q79" i="47"/>
  <c r="R79" i="47" s="1"/>
  <c r="S79" i="47" s="1"/>
  <c r="AD79" i="47" s="1"/>
  <c r="Q43" i="47"/>
  <c r="R43" i="47" s="1"/>
  <c r="S43" i="47" s="1"/>
  <c r="AD43" i="47" s="1"/>
  <c r="AF43" i="47"/>
  <c r="Q84" i="47"/>
  <c r="R84" i="47" s="1"/>
  <c r="S84" i="47" s="1"/>
  <c r="AD84" i="47" s="1"/>
  <c r="AF84" i="47"/>
  <c r="D219" i="47"/>
  <c r="C219" i="47"/>
  <c r="Q234" i="47"/>
  <c r="R234" i="47" s="1"/>
  <c r="S234" i="47" s="1"/>
  <c r="AD234" i="47" s="1"/>
  <c r="AF234" i="47"/>
  <c r="Q246" i="47"/>
  <c r="R246" i="47" s="1"/>
  <c r="S246" i="47" s="1"/>
  <c r="AD246" i="47" s="1"/>
  <c r="AF246" i="47"/>
  <c r="Q248" i="47"/>
  <c r="R248" i="47" s="1"/>
  <c r="S248" i="47" s="1"/>
  <c r="AD248" i="47" s="1"/>
  <c r="AF248" i="47"/>
  <c r="Q287" i="47"/>
  <c r="R287" i="47" s="1"/>
  <c r="S287" i="47" s="1"/>
  <c r="AD287" i="47" s="1"/>
  <c r="AF287" i="47"/>
  <c r="AF57" i="47"/>
  <c r="AG57" i="47" s="1"/>
  <c r="AF80" i="47"/>
  <c r="AF85" i="47"/>
  <c r="AG85" i="47" s="1"/>
  <c r="AF88" i="47"/>
  <c r="AG88" i="47" s="1"/>
  <c r="Q91" i="47"/>
  <c r="R91" i="47" s="1"/>
  <c r="S91" i="47" s="1"/>
  <c r="AD91" i="47" s="1"/>
  <c r="AG91" i="47" s="1"/>
  <c r="Q96" i="47"/>
  <c r="R96" i="47" s="1"/>
  <c r="S96" i="47" s="1"/>
  <c r="AD96" i="47" s="1"/>
  <c r="AG96" i="47" s="1"/>
  <c r="Q120" i="47"/>
  <c r="R120" i="47" s="1"/>
  <c r="S120" i="47" s="1"/>
  <c r="AD120" i="47" s="1"/>
  <c r="AG120" i="47" s="1"/>
  <c r="T114" i="47"/>
  <c r="X114" i="47" s="1"/>
  <c r="Q114" i="47" s="1"/>
  <c r="R114" i="47" s="1"/>
  <c r="S114" i="47" s="1"/>
  <c r="AD114" i="47" s="1"/>
  <c r="Q137" i="47"/>
  <c r="R137" i="47" s="1"/>
  <c r="S137" i="47" s="1"/>
  <c r="AD137" i="47" s="1"/>
  <c r="AF137" i="47"/>
  <c r="AF156" i="47"/>
  <c r="Q156" i="47"/>
  <c r="R156" i="47" s="1"/>
  <c r="S156" i="47" s="1"/>
  <c r="AD156" i="47" s="1"/>
  <c r="Q171" i="47"/>
  <c r="R171" i="47" s="1"/>
  <c r="S171" i="47" s="1"/>
  <c r="AD171" i="47" s="1"/>
  <c r="AF171" i="47"/>
  <c r="AF163" i="47"/>
  <c r="AG163" i="47" s="1"/>
  <c r="Q182" i="47"/>
  <c r="R182" i="47" s="1"/>
  <c r="S182" i="47" s="1"/>
  <c r="AD182" i="47" s="1"/>
  <c r="AF182" i="47"/>
  <c r="Q199" i="47"/>
  <c r="R199" i="47" s="1"/>
  <c r="S199" i="47" s="1"/>
  <c r="AD199" i="47" s="1"/>
  <c r="AF199" i="47"/>
  <c r="AG202" i="47"/>
  <c r="Q207" i="47"/>
  <c r="R207" i="47" s="1"/>
  <c r="S207" i="47" s="1"/>
  <c r="AD207" i="47" s="1"/>
  <c r="AF207" i="47"/>
  <c r="Q214" i="47"/>
  <c r="R214" i="47" s="1"/>
  <c r="S214" i="47" s="1"/>
  <c r="AD214" i="47" s="1"/>
  <c r="AF214" i="47"/>
  <c r="C277" i="47"/>
  <c r="D277" i="47"/>
  <c r="Q303" i="47"/>
  <c r="R303" i="47" s="1"/>
  <c r="S303" i="47" s="1"/>
  <c r="AD303" i="47" s="1"/>
  <c r="AF303" i="47"/>
  <c r="AF89" i="47"/>
  <c r="AG89" i="47" s="1"/>
  <c r="Q142" i="47"/>
  <c r="R142" i="47" s="1"/>
  <c r="S142" i="47" s="1"/>
  <c r="AD142" i="47" s="1"/>
  <c r="AF142" i="47"/>
  <c r="Q241" i="47"/>
  <c r="R241" i="47" s="1"/>
  <c r="S241" i="47" s="1"/>
  <c r="AD241" i="47" s="1"/>
  <c r="AF241" i="47"/>
  <c r="AF62" i="47"/>
  <c r="AG62" i="47" s="1"/>
  <c r="AF53" i="47"/>
  <c r="AG53" i="47" s="1"/>
  <c r="AF25" i="47"/>
  <c r="AG25" i="47" s="1"/>
  <c r="AF151" i="47"/>
  <c r="AG151" i="47" s="1"/>
  <c r="AF152" i="47"/>
  <c r="Q152" i="47"/>
  <c r="R152" i="47" s="1"/>
  <c r="S152" i="47" s="1"/>
  <c r="AD152" i="47" s="1"/>
  <c r="AF179" i="47"/>
  <c r="Q179" i="47"/>
  <c r="R179" i="47" s="1"/>
  <c r="S179" i="47" s="1"/>
  <c r="AD179" i="47" s="1"/>
  <c r="C154" i="47"/>
  <c r="D154" i="47"/>
  <c r="S205" i="47"/>
  <c r="AD205" i="47" s="1"/>
  <c r="S213" i="47"/>
  <c r="AD213" i="47" s="1"/>
  <c r="S225" i="47"/>
  <c r="AD225" i="47" s="1"/>
  <c r="AG225" i="47" s="1"/>
  <c r="C221" i="47"/>
  <c r="D221" i="47"/>
  <c r="Q258" i="47"/>
  <c r="R258" i="47" s="1"/>
  <c r="S258" i="47" s="1"/>
  <c r="AD258" i="47" s="1"/>
  <c r="AF258" i="47"/>
  <c r="Q277" i="47"/>
  <c r="R277" i="47" s="1"/>
  <c r="S277" i="47" s="1"/>
  <c r="AD277" i="47" s="1"/>
  <c r="AF277" i="47"/>
  <c r="Q299" i="47"/>
  <c r="R299" i="47" s="1"/>
  <c r="S299" i="47" s="1"/>
  <c r="AD299" i="47" s="1"/>
  <c r="AF299" i="47"/>
  <c r="Q263" i="47"/>
  <c r="R263" i="47" s="1"/>
  <c r="S263" i="47" s="1"/>
  <c r="AD263" i="47" s="1"/>
  <c r="AF263" i="47"/>
  <c r="Q291" i="47"/>
  <c r="R291" i="47" s="1"/>
  <c r="S291" i="47" s="1"/>
  <c r="AD291" i="47" s="1"/>
  <c r="AF291" i="47"/>
  <c r="AF83" i="47"/>
  <c r="AG83" i="47" s="1"/>
  <c r="Q178" i="47"/>
  <c r="R178" i="47" s="1"/>
  <c r="S178" i="47" s="1"/>
  <c r="AD178" i="47" s="1"/>
  <c r="AG178" i="47" s="1"/>
  <c r="Q136" i="47"/>
  <c r="R136" i="47" s="1"/>
  <c r="S136" i="47" s="1"/>
  <c r="AD136" i="47" s="1"/>
  <c r="AG136" i="47" s="1"/>
  <c r="AF123" i="47"/>
  <c r="Q123" i="47"/>
  <c r="R123" i="47" s="1"/>
  <c r="S123" i="47" s="1"/>
  <c r="AD123" i="47" s="1"/>
  <c r="Q124" i="47"/>
  <c r="R124" i="47" s="1"/>
  <c r="S124" i="47" s="1"/>
  <c r="AD124" i="47" s="1"/>
  <c r="AF124" i="47"/>
  <c r="AG139" i="47"/>
  <c r="Q148" i="47"/>
  <c r="R148" i="47" s="1"/>
  <c r="S148" i="47" s="1"/>
  <c r="AD148" i="47" s="1"/>
  <c r="AF148" i="47"/>
  <c r="AF154" i="47"/>
  <c r="AG154" i="47" s="1"/>
  <c r="Q127" i="47"/>
  <c r="R127" i="47" s="1"/>
  <c r="S127" i="47" s="1"/>
  <c r="AD127" i="47" s="1"/>
  <c r="AG127" i="47" s="1"/>
  <c r="Q143" i="47"/>
  <c r="R143" i="47" s="1"/>
  <c r="S143" i="47" s="1"/>
  <c r="AD143" i="47" s="1"/>
  <c r="AG143" i="47" s="1"/>
  <c r="Q145" i="47"/>
  <c r="R145" i="47" s="1"/>
  <c r="S145" i="47" s="1"/>
  <c r="AD145" i="47" s="1"/>
  <c r="AG145" i="47" s="1"/>
  <c r="C217" i="47"/>
  <c r="D217" i="47"/>
  <c r="D223" i="47"/>
  <c r="C223" i="47"/>
  <c r="S274" i="47"/>
  <c r="AD274" i="47" s="1"/>
  <c r="AG274" i="47" s="1"/>
  <c r="Q285" i="47"/>
  <c r="R285" i="47" s="1"/>
  <c r="S285" i="47" s="1"/>
  <c r="AD285" i="47" s="1"/>
  <c r="AF285" i="47"/>
  <c r="Q295" i="47"/>
  <c r="R295" i="47" s="1"/>
  <c r="S295" i="47" s="1"/>
  <c r="AD295" i="47" s="1"/>
  <c r="AF295" i="47"/>
  <c r="S134" i="47"/>
  <c r="AD134" i="47" s="1"/>
  <c r="S218" i="47"/>
  <c r="AD218" i="47" s="1"/>
  <c r="S222" i="47"/>
  <c r="AD222" i="47" s="1"/>
  <c r="AG239" i="47"/>
  <c r="S224" i="47"/>
  <c r="AD224" i="47" s="1"/>
  <c r="AG224" i="47" s="1"/>
  <c r="S150" i="47"/>
  <c r="AD150" i="47" s="1"/>
  <c r="Q167" i="47"/>
  <c r="R167" i="47" s="1"/>
  <c r="S167" i="47" s="1"/>
  <c r="AD167" i="47" s="1"/>
  <c r="AG167" i="47" s="1"/>
  <c r="T122" i="47"/>
  <c r="X122" i="47" s="1"/>
  <c r="T184" i="47"/>
  <c r="X184" i="47" s="1"/>
  <c r="T186" i="47"/>
  <c r="X186" i="47" s="1"/>
  <c r="Q186" i="47" s="1"/>
  <c r="R186" i="47" s="1"/>
  <c r="S186" i="47" s="1"/>
  <c r="AD186" i="47" s="1"/>
  <c r="T189" i="47"/>
  <c r="X189" i="47" s="1"/>
  <c r="Q189" i="47" s="1"/>
  <c r="R189" i="47" s="1"/>
  <c r="S189" i="47" s="1"/>
  <c r="AD189" i="47" s="1"/>
  <c r="T191" i="47"/>
  <c r="X191" i="47" s="1"/>
  <c r="AF191" i="47" s="1"/>
  <c r="S231" i="47"/>
  <c r="AD231" i="47" s="1"/>
  <c r="AF262" i="47"/>
  <c r="T183" i="47"/>
  <c r="X183" i="47" s="1"/>
  <c r="Q183" i="47" s="1"/>
  <c r="R183" i="47" s="1"/>
  <c r="S183" i="47" s="1"/>
  <c r="AD183" i="47" s="1"/>
  <c r="Q8" i="47"/>
  <c r="R8" i="47" s="1"/>
  <c r="S8" i="47" s="1"/>
  <c r="AD8" i="47" s="1"/>
  <c r="AF8" i="47"/>
  <c r="Q15" i="47"/>
  <c r="R15" i="47" s="1"/>
  <c r="S15" i="47" s="1"/>
  <c r="AD15" i="47" s="1"/>
  <c r="AF15" i="47"/>
  <c r="AF22" i="47"/>
  <c r="Q22" i="47"/>
  <c r="R22" i="47" s="1"/>
  <c r="S22" i="47" s="1"/>
  <c r="AD22" i="47" s="1"/>
  <c r="Q33" i="47"/>
  <c r="R33" i="47" s="1"/>
  <c r="S33" i="47" s="1"/>
  <c r="AD33" i="47" s="1"/>
  <c r="AF33" i="47"/>
  <c r="Q52" i="47"/>
  <c r="R52" i="47" s="1"/>
  <c r="S52" i="47" s="1"/>
  <c r="AD52" i="47" s="1"/>
  <c r="AF52" i="47"/>
  <c r="Q44" i="47"/>
  <c r="R44" i="47" s="1"/>
  <c r="S44" i="47" s="1"/>
  <c r="AD44" i="47" s="1"/>
  <c r="AF44" i="47"/>
  <c r="Q135" i="47"/>
  <c r="R135" i="47" s="1"/>
  <c r="S135" i="47" s="1"/>
  <c r="AD135" i="47" s="1"/>
  <c r="AF135" i="47"/>
  <c r="Q23" i="47"/>
  <c r="R23" i="47" s="1"/>
  <c r="S23" i="47" s="1"/>
  <c r="AD23" i="47" s="1"/>
  <c r="AF23" i="47"/>
  <c r="Q13" i="47"/>
  <c r="R13" i="47" s="1"/>
  <c r="S13" i="47" s="1"/>
  <c r="AD13" i="47" s="1"/>
  <c r="AF13" i="47"/>
  <c r="Q20" i="47"/>
  <c r="R20" i="47" s="1"/>
  <c r="S20" i="47" s="1"/>
  <c r="AD20" i="47" s="1"/>
  <c r="AF20" i="47"/>
  <c r="Q30" i="47"/>
  <c r="R30" i="47" s="1"/>
  <c r="S30" i="47" s="1"/>
  <c r="AF30" i="47"/>
  <c r="Q49" i="47"/>
  <c r="R49" i="47" s="1"/>
  <c r="S49" i="47" s="1"/>
  <c r="AD49" i="47" s="1"/>
  <c r="AF49" i="47"/>
  <c r="AF82" i="47"/>
  <c r="Q82" i="47"/>
  <c r="R82" i="47" s="1"/>
  <c r="S82" i="47" s="1"/>
  <c r="AD82" i="47" s="1"/>
  <c r="Q193" i="47"/>
  <c r="R193" i="47" s="1"/>
  <c r="S193" i="47" s="1"/>
  <c r="AD193" i="47" s="1"/>
  <c r="AF193" i="47"/>
  <c r="Q10" i="47"/>
  <c r="R10" i="47" s="1"/>
  <c r="S10" i="47" s="1"/>
  <c r="AD10" i="47" s="1"/>
  <c r="AF10" i="47"/>
  <c r="Q17" i="47"/>
  <c r="R17" i="47" s="1"/>
  <c r="S17" i="47" s="1"/>
  <c r="AD17" i="47" s="1"/>
  <c r="AF17" i="47"/>
  <c r="Q40" i="47"/>
  <c r="R40" i="47" s="1"/>
  <c r="S40" i="47" s="1"/>
  <c r="AD40" i="47" s="1"/>
  <c r="AF40" i="47"/>
  <c r="Q6" i="47"/>
  <c r="R6" i="47" s="1"/>
  <c r="S6" i="47" s="1"/>
  <c r="AD6" i="47" s="1"/>
  <c r="AF6" i="47"/>
  <c r="Q4" i="47"/>
  <c r="R4" i="47" s="1"/>
  <c r="S4" i="47" s="1"/>
  <c r="AD4" i="47" s="1"/>
  <c r="AF4" i="47"/>
  <c r="Q11" i="47"/>
  <c r="R11" i="47" s="1"/>
  <c r="S11" i="47" s="1"/>
  <c r="AD11" i="47" s="1"/>
  <c r="AF11" i="47"/>
  <c r="Q18" i="47"/>
  <c r="R18" i="47" s="1"/>
  <c r="S18" i="47" s="1"/>
  <c r="AD18" i="47" s="1"/>
  <c r="AF18" i="47"/>
  <c r="Q28" i="47"/>
  <c r="R28" i="47" s="1"/>
  <c r="S28" i="47" s="1"/>
  <c r="AD28" i="47" s="1"/>
  <c r="AF28" i="47"/>
  <c r="Q42" i="47"/>
  <c r="R42" i="47" s="1"/>
  <c r="S42" i="47" s="1"/>
  <c r="AD42" i="47" s="1"/>
  <c r="AF42" i="47"/>
  <c r="Q19" i="47"/>
  <c r="R19" i="47" s="1"/>
  <c r="S19" i="47" s="1"/>
  <c r="AF19" i="47"/>
  <c r="Q38" i="47"/>
  <c r="R38" i="47" s="1"/>
  <c r="S38" i="47" s="1"/>
  <c r="AD38" i="47" s="1"/>
  <c r="AF38" i="47"/>
  <c r="Q86" i="47"/>
  <c r="R86" i="47" s="1"/>
  <c r="S86" i="47" s="1"/>
  <c r="AD86" i="47" s="1"/>
  <c r="AF86" i="47"/>
  <c r="Q121" i="47"/>
  <c r="R121" i="47" s="1"/>
  <c r="S121" i="47" s="1"/>
  <c r="AD121" i="47" s="1"/>
  <c r="AF7" i="47"/>
  <c r="AG7" i="47" s="1"/>
  <c r="AF14" i="47"/>
  <c r="Q59" i="47"/>
  <c r="R59" i="47" s="1"/>
  <c r="S59" i="47" s="1"/>
  <c r="AD59" i="47" s="1"/>
  <c r="AF59" i="47"/>
  <c r="Q61" i="47"/>
  <c r="R61" i="47" s="1"/>
  <c r="S61" i="47" s="1"/>
  <c r="AD61" i="47" s="1"/>
  <c r="AF61" i="47"/>
  <c r="Q64" i="47"/>
  <c r="R64" i="47" s="1"/>
  <c r="S64" i="47" s="1"/>
  <c r="AD64" i="47" s="1"/>
  <c r="AF64" i="47"/>
  <c r="Q66" i="47"/>
  <c r="R66" i="47" s="1"/>
  <c r="S66" i="47" s="1"/>
  <c r="AD66" i="47" s="1"/>
  <c r="AF66" i="47"/>
  <c r="Q68" i="47"/>
  <c r="R68" i="47" s="1"/>
  <c r="S68" i="47" s="1"/>
  <c r="AD68" i="47" s="1"/>
  <c r="AF68" i="47"/>
  <c r="Q70" i="47"/>
  <c r="R70" i="47" s="1"/>
  <c r="S70" i="47" s="1"/>
  <c r="AD70" i="47" s="1"/>
  <c r="AF70" i="47"/>
  <c r="Q72" i="47"/>
  <c r="R72" i="47" s="1"/>
  <c r="S72" i="47" s="1"/>
  <c r="AD72" i="47" s="1"/>
  <c r="AF72" i="47"/>
  <c r="Q74" i="47"/>
  <c r="R74" i="47" s="1"/>
  <c r="S74" i="47" s="1"/>
  <c r="AD74" i="47" s="1"/>
  <c r="AF74" i="47"/>
  <c r="Q81" i="47"/>
  <c r="R81" i="47" s="1"/>
  <c r="S81" i="47" s="1"/>
  <c r="AD81" i="47" s="1"/>
  <c r="AF81" i="47"/>
  <c r="Q111" i="47"/>
  <c r="R111" i="47" s="1"/>
  <c r="S111" i="47" s="1"/>
  <c r="AD111" i="47" s="1"/>
  <c r="AF111" i="47"/>
  <c r="Q180" i="47"/>
  <c r="R180" i="47" s="1"/>
  <c r="S180" i="47" s="1"/>
  <c r="AD180" i="47" s="1"/>
  <c r="AF180" i="47"/>
  <c r="Q162" i="47"/>
  <c r="R162" i="47" s="1"/>
  <c r="S162" i="47" s="1"/>
  <c r="AD162" i="47" s="1"/>
  <c r="AF162" i="47"/>
  <c r="Q78" i="47"/>
  <c r="R78" i="47" s="1"/>
  <c r="S78" i="47" s="1"/>
  <c r="AD78" i="47" s="1"/>
  <c r="AF78" i="47"/>
  <c r="Q90" i="47"/>
  <c r="R90" i="47" s="1"/>
  <c r="S90" i="47" s="1"/>
  <c r="AD90" i="47" s="1"/>
  <c r="AF90" i="47"/>
  <c r="Q101" i="47"/>
  <c r="R101" i="47" s="1"/>
  <c r="S101" i="47" s="1"/>
  <c r="AD101" i="47" s="1"/>
  <c r="AF101" i="47"/>
  <c r="Q119" i="47"/>
  <c r="R119" i="47" s="1"/>
  <c r="S119" i="47" s="1"/>
  <c r="AD119" i="47" s="1"/>
  <c r="AF119" i="47"/>
  <c r="AF113" i="47"/>
  <c r="Q115" i="47"/>
  <c r="R115" i="47" s="1"/>
  <c r="S115" i="47" s="1"/>
  <c r="AD115" i="47" s="1"/>
  <c r="AF115" i="47"/>
  <c r="AF150" i="47"/>
  <c r="AF166" i="47"/>
  <c r="AG166" i="47" s="1"/>
  <c r="Q138" i="47"/>
  <c r="R138" i="47" s="1"/>
  <c r="S138" i="47" s="1"/>
  <c r="AD138" i="47" s="1"/>
  <c r="AF138" i="47"/>
  <c r="Q164" i="47"/>
  <c r="R164" i="47" s="1"/>
  <c r="S164" i="47" s="1"/>
  <c r="AD164" i="47" s="1"/>
  <c r="AF164" i="47"/>
  <c r="Q126" i="47"/>
  <c r="R126" i="47" s="1"/>
  <c r="S126" i="47" s="1"/>
  <c r="AD126" i="47" s="1"/>
  <c r="AF126" i="47"/>
  <c r="AG160" i="47"/>
  <c r="Q175" i="47"/>
  <c r="R175" i="47" s="1"/>
  <c r="S175" i="47" s="1"/>
  <c r="AD175" i="47" s="1"/>
  <c r="AF175" i="47"/>
  <c r="AF5" i="47"/>
  <c r="AG5" i="47" s="1"/>
  <c r="AF9" i="47"/>
  <c r="AG9" i="47" s="1"/>
  <c r="AF12" i="47"/>
  <c r="AG12" i="47" s="1"/>
  <c r="AF16" i="47"/>
  <c r="AG16" i="47" s="1"/>
  <c r="AF21" i="47"/>
  <c r="AG21" i="47" s="1"/>
  <c r="AF29" i="47"/>
  <c r="AG29" i="47" s="1"/>
  <c r="Q60" i="47"/>
  <c r="R60" i="47" s="1"/>
  <c r="S60" i="47" s="1"/>
  <c r="AD60" i="47" s="1"/>
  <c r="AF60" i="47"/>
  <c r="Q63" i="47"/>
  <c r="R63" i="47" s="1"/>
  <c r="S63" i="47" s="1"/>
  <c r="AD63" i="47" s="1"/>
  <c r="AF63" i="47"/>
  <c r="Q65" i="47"/>
  <c r="R65" i="47" s="1"/>
  <c r="S65" i="47" s="1"/>
  <c r="AD65" i="47" s="1"/>
  <c r="AF65" i="47"/>
  <c r="Q67" i="47"/>
  <c r="R67" i="47" s="1"/>
  <c r="S67" i="47" s="1"/>
  <c r="AD67" i="47" s="1"/>
  <c r="AF67" i="47"/>
  <c r="Q69" i="47"/>
  <c r="R69" i="47" s="1"/>
  <c r="S69" i="47" s="1"/>
  <c r="AD69" i="47" s="1"/>
  <c r="AF69" i="47"/>
  <c r="Q71" i="47"/>
  <c r="R71" i="47" s="1"/>
  <c r="S71" i="47" s="1"/>
  <c r="AD71" i="47" s="1"/>
  <c r="AF71" i="47"/>
  <c r="Q73" i="47"/>
  <c r="R73" i="47" s="1"/>
  <c r="S73" i="47" s="1"/>
  <c r="AD73" i="47" s="1"/>
  <c r="AF73" i="47"/>
  <c r="Q75" i="47"/>
  <c r="R75" i="47" s="1"/>
  <c r="S75" i="47" s="1"/>
  <c r="AD75" i="47" s="1"/>
  <c r="AF75" i="47"/>
  <c r="Q87" i="47"/>
  <c r="R87" i="47" s="1"/>
  <c r="S87" i="47" s="1"/>
  <c r="AD87" i="47" s="1"/>
  <c r="AF87" i="47"/>
  <c r="Q117" i="47"/>
  <c r="R117" i="47" s="1"/>
  <c r="S117" i="47" s="1"/>
  <c r="AD117" i="47" s="1"/>
  <c r="AF117" i="47"/>
  <c r="Q118" i="47"/>
  <c r="R118" i="47" s="1"/>
  <c r="S118" i="47" s="1"/>
  <c r="AD118" i="47" s="1"/>
  <c r="AF118" i="47"/>
  <c r="AF197" i="47"/>
  <c r="AG197" i="47" s="1"/>
  <c r="AG155" i="47"/>
  <c r="AF26" i="47"/>
  <c r="AG26" i="47" s="1"/>
  <c r="AF39" i="47"/>
  <c r="AG39" i="47" s="1"/>
  <c r="AF37" i="47"/>
  <c r="AG37" i="47" s="1"/>
  <c r="Q102" i="47"/>
  <c r="R102" i="47" s="1"/>
  <c r="S102" i="47" s="1"/>
  <c r="AD102" i="47" s="1"/>
  <c r="AF102" i="47"/>
  <c r="Q110" i="47"/>
  <c r="R110" i="47" s="1"/>
  <c r="S110" i="47" s="1"/>
  <c r="AD110" i="47" s="1"/>
  <c r="AF110" i="47"/>
  <c r="AF192" i="47"/>
  <c r="AG192" i="47" s="1"/>
  <c r="Q169" i="47"/>
  <c r="R169" i="47" s="1"/>
  <c r="S169" i="47" s="1"/>
  <c r="AD169" i="47" s="1"/>
  <c r="AF169" i="47"/>
  <c r="Q144" i="47"/>
  <c r="R144" i="47" s="1"/>
  <c r="S144" i="47" s="1"/>
  <c r="AD144" i="47" s="1"/>
  <c r="AF144" i="47"/>
  <c r="Q176" i="47"/>
  <c r="R176" i="47" s="1"/>
  <c r="S176" i="47" s="1"/>
  <c r="AD176" i="47" s="1"/>
  <c r="AF176" i="47"/>
  <c r="Q130" i="47"/>
  <c r="R130" i="47" s="1"/>
  <c r="S130" i="47" s="1"/>
  <c r="AD130" i="47" s="1"/>
  <c r="AF130" i="47"/>
  <c r="AF103" i="47"/>
  <c r="AG103" i="47" s="1"/>
  <c r="AF104" i="47"/>
  <c r="AF105" i="47"/>
  <c r="AG105" i="47" s="1"/>
  <c r="AF106" i="47"/>
  <c r="AF107" i="47"/>
  <c r="AG107" i="47" s="1"/>
  <c r="AF108" i="47"/>
  <c r="AG108" i="47" s="1"/>
  <c r="AF109" i="47"/>
  <c r="AG109" i="47" s="1"/>
  <c r="Q165" i="47"/>
  <c r="R165" i="47" s="1"/>
  <c r="S165" i="47" s="1"/>
  <c r="AD165" i="47" s="1"/>
  <c r="AF165" i="47"/>
  <c r="Q128" i="47"/>
  <c r="R128" i="47" s="1"/>
  <c r="S128" i="47" s="1"/>
  <c r="AD128" i="47" s="1"/>
  <c r="AF128" i="47"/>
  <c r="Q125" i="47"/>
  <c r="R125" i="47" s="1"/>
  <c r="S125" i="47" s="1"/>
  <c r="AD125" i="47" s="1"/>
  <c r="AF125" i="47"/>
  <c r="Q129" i="47"/>
  <c r="R129" i="47" s="1"/>
  <c r="S129" i="47" s="1"/>
  <c r="AD129" i="47" s="1"/>
  <c r="AF129" i="47"/>
  <c r="AF133" i="47"/>
  <c r="Q133" i="47"/>
  <c r="R133" i="47" s="1"/>
  <c r="S133" i="47" s="1"/>
  <c r="AD133" i="47" s="1"/>
  <c r="T194" i="47"/>
  <c r="X194" i="47" s="1"/>
  <c r="T195" i="47"/>
  <c r="X195" i="47" s="1"/>
  <c r="AF134" i="47"/>
  <c r="AF190" i="47"/>
  <c r="Q177" i="47"/>
  <c r="R177" i="47" s="1"/>
  <c r="S177" i="47" s="1"/>
  <c r="AD177" i="47" s="1"/>
  <c r="AF177" i="47"/>
  <c r="AF218" i="47"/>
  <c r="AF222" i="47"/>
  <c r="Q235" i="47"/>
  <c r="R235" i="47" s="1"/>
  <c r="S235" i="47" s="1"/>
  <c r="AD235" i="47" s="1"/>
  <c r="AF235" i="47"/>
  <c r="AF227" i="47"/>
  <c r="Q215" i="47"/>
  <c r="R215" i="47" s="1"/>
  <c r="S215" i="47" s="1"/>
  <c r="AD215" i="47" s="1"/>
  <c r="AG215" i="47" s="1"/>
  <c r="Q249" i="47"/>
  <c r="R249" i="47" s="1"/>
  <c r="S249" i="47" s="1"/>
  <c r="AD249" i="47" s="1"/>
  <c r="AG249" i="47" s="1"/>
  <c r="Q251" i="47"/>
  <c r="R251" i="47" s="1"/>
  <c r="S251" i="47" s="1"/>
  <c r="AD251" i="47" s="1"/>
  <c r="AG251" i="47" s="1"/>
  <c r="Q260" i="47"/>
  <c r="R260" i="47" s="1"/>
  <c r="S260" i="47" s="1"/>
  <c r="AD260" i="47" s="1"/>
  <c r="AF260" i="47"/>
  <c r="Q306" i="47"/>
  <c r="R306" i="47" s="1"/>
  <c r="S306" i="47" s="1"/>
  <c r="AD306" i="47" s="1"/>
  <c r="AF306" i="47"/>
  <c r="C218" i="47"/>
  <c r="C222" i="47"/>
  <c r="Q236" i="47"/>
  <c r="R236" i="47" s="1"/>
  <c r="S236" i="47" s="1"/>
  <c r="AD236" i="47" s="1"/>
  <c r="AF236" i="47"/>
  <c r="Q228" i="47"/>
  <c r="R228" i="47" s="1"/>
  <c r="S228" i="47" s="1"/>
  <c r="AD228" i="47" s="1"/>
  <c r="AF228" i="47"/>
  <c r="Q254" i="47"/>
  <c r="R254" i="47" s="1"/>
  <c r="S254" i="47" s="1"/>
  <c r="AD254" i="47" s="1"/>
  <c r="AF254" i="47"/>
  <c r="Q256" i="47"/>
  <c r="R256" i="47" s="1"/>
  <c r="S256" i="47" s="1"/>
  <c r="AD256" i="47" s="1"/>
  <c r="AF256" i="47"/>
  <c r="Q305" i="47"/>
  <c r="R305" i="47" s="1"/>
  <c r="S305" i="47" s="1"/>
  <c r="AD305" i="47" s="1"/>
  <c r="AF305" i="47"/>
  <c r="AF231" i="47"/>
  <c r="AF216" i="47"/>
  <c r="AF220" i="47"/>
  <c r="AG220" i="47" s="1"/>
  <c r="AF223" i="47"/>
  <c r="AF232" i="47"/>
  <c r="AG232" i="47" s="1"/>
  <c r="AF229" i="47"/>
  <c r="AF230" i="47"/>
  <c r="AG230" i="47" s="1"/>
  <c r="Q237" i="47"/>
  <c r="R237" i="47" s="1"/>
  <c r="S237" i="47" s="1"/>
  <c r="AD237" i="47" s="1"/>
  <c r="AF237" i="47"/>
  <c r="Q210" i="47"/>
  <c r="R210" i="47" s="1"/>
  <c r="S210" i="47" s="1"/>
  <c r="AD210" i="47" s="1"/>
  <c r="AF210" i="47"/>
  <c r="Q250" i="47"/>
  <c r="R250" i="47" s="1"/>
  <c r="S250" i="47" s="1"/>
  <c r="AD250" i="47" s="1"/>
  <c r="AF250" i="47"/>
  <c r="Q252" i="47"/>
  <c r="R252" i="47" s="1"/>
  <c r="S252" i="47" s="1"/>
  <c r="AD252" i="47" s="1"/>
  <c r="AF252" i="47"/>
  <c r="Q253" i="47"/>
  <c r="R253" i="47" s="1"/>
  <c r="S253" i="47" s="1"/>
  <c r="AD253" i="47" s="1"/>
  <c r="AF253" i="47"/>
  <c r="Q308" i="47"/>
  <c r="R308" i="47" s="1"/>
  <c r="S308" i="47" s="1"/>
  <c r="AD308" i="47" s="1"/>
  <c r="AF308" i="47"/>
  <c r="Q242" i="47"/>
  <c r="R242" i="47" s="1"/>
  <c r="S242" i="47" s="1"/>
  <c r="AD242" i="47" s="1"/>
  <c r="AF242" i="47"/>
  <c r="Q245" i="47"/>
  <c r="R245" i="47" s="1"/>
  <c r="S245" i="47" s="1"/>
  <c r="AD245" i="47" s="1"/>
  <c r="AF245" i="47"/>
  <c r="Q226" i="47"/>
  <c r="R226" i="47" s="1"/>
  <c r="S226" i="47" s="1"/>
  <c r="AD226" i="47" s="1"/>
  <c r="AF226" i="47"/>
  <c r="Q206" i="47"/>
  <c r="R206" i="47" s="1"/>
  <c r="S206" i="47" s="1"/>
  <c r="AD206" i="47" s="1"/>
  <c r="AF206" i="47"/>
  <c r="Q307" i="47"/>
  <c r="R307" i="47" s="1"/>
  <c r="S307" i="47" s="1"/>
  <c r="AD307" i="47" s="1"/>
  <c r="AF307" i="47"/>
  <c r="Q265" i="47"/>
  <c r="R265" i="47" s="1"/>
  <c r="S265" i="47" s="1"/>
  <c r="AD265" i="47" s="1"/>
  <c r="AF265" i="47"/>
  <c r="Q268" i="47"/>
  <c r="R268" i="47" s="1"/>
  <c r="S268" i="47" s="1"/>
  <c r="AD268" i="47" s="1"/>
  <c r="AF268" i="47"/>
  <c r="Q270" i="47"/>
  <c r="R270" i="47" s="1"/>
  <c r="S270" i="47" s="1"/>
  <c r="AD270" i="47" s="1"/>
  <c r="AF270" i="47"/>
  <c r="Q280" i="47"/>
  <c r="R280" i="47" s="1"/>
  <c r="S280" i="47" s="1"/>
  <c r="AD280" i="47" s="1"/>
  <c r="AF280" i="47"/>
  <c r="Q286" i="47"/>
  <c r="R286" i="47" s="1"/>
  <c r="S286" i="47" s="1"/>
  <c r="AD286" i="47" s="1"/>
  <c r="AF286" i="47"/>
  <c r="AF259" i="47"/>
  <c r="Q264" i="47"/>
  <c r="R264" i="47" s="1"/>
  <c r="S264" i="47" s="1"/>
  <c r="AD264" i="47" s="1"/>
  <c r="AF264" i="47"/>
  <c r="Q269" i="47"/>
  <c r="R269" i="47" s="1"/>
  <c r="S269" i="47" s="1"/>
  <c r="AD269" i="47" s="1"/>
  <c r="AF269" i="47"/>
  <c r="Q273" i="47"/>
  <c r="R273" i="47" s="1"/>
  <c r="S273" i="47" s="1"/>
  <c r="AD273" i="47" s="1"/>
  <c r="AF273" i="47"/>
  <c r="Q281" i="47"/>
  <c r="R281" i="47" s="1"/>
  <c r="S281" i="47" s="1"/>
  <c r="AD281" i="47" s="1"/>
  <c r="AF281" i="47"/>
  <c r="Q290" i="47"/>
  <c r="R290" i="47" s="1"/>
  <c r="S290" i="47" s="1"/>
  <c r="AD290" i="47" s="1"/>
  <c r="AG290" i="47" s="1"/>
  <c r="AF292" i="47"/>
  <c r="AG292" i="47" s="1"/>
  <c r="Q294" i="47"/>
  <c r="R294" i="47" s="1"/>
  <c r="S294" i="47" s="1"/>
  <c r="AD294" i="47" s="1"/>
  <c r="AG294" i="47" s="1"/>
  <c r="AF296" i="47"/>
  <c r="Q298" i="47"/>
  <c r="R298" i="47" s="1"/>
  <c r="S298" i="47" s="1"/>
  <c r="AD298" i="47" s="1"/>
  <c r="AG298" i="47" s="1"/>
  <c r="AF300" i="47"/>
  <c r="Q302" i="47"/>
  <c r="R302" i="47" s="1"/>
  <c r="S302" i="47" s="1"/>
  <c r="AD302" i="47" s="1"/>
  <c r="AG302" i="47" s="1"/>
  <c r="AF304" i="47"/>
  <c r="Q271" i="47"/>
  <c r="R271" i="47" s="1"/>
  <c r="S271" i="47" s="1"/>
  <c r="AD271" i="47" s="1"/>
  <c r="AF271" i="47"/>
  <c r="Q266" i="47"/>
  <c r="R266" i="47" s="1"/>
  <c r="S266" i="47" s="1"/>
  <c r="AD266" i="47" s="1"/>
  <c r="AF266" i="47"/>
  <c r="Q278" i="47"/>
  <c r="R278" i="47" s="1"/>
  <c r="S278" i="47" s="1"/>
  <c r="AD278" i="47" s="1"/>
  <c r="AF278" i="47"/>
  <c r="Q282" i="47"/>
  <c r="R282" i="47" s="1"/>
  <c r="S282" i="47" s="1"/>
  <c r="AD282" i="47" s="1"/>
  <c r="AF282" i="47"/>
  <c r="Q288" i="47"/>
  <c r="R288" i="47" s="1"/>
  <c r="S288" i="47" s="1"/>
  <c r="AD288" i="47" s="1"/>
  <c r="AF288" i="47"/>
  <c r="Q272" i="47"/>
  <c r="R272" i="47" s="1"/>
  <c r="S272" i="47" s="1"/>
  <c r="AD272" i="47" s="1"/>
  <c r="AF272" i="47"/>
  <c r="Q279" i="47"/>
  <c r="R279" i="47" s="1"/>
  <c r="S279" i="47" s="1"/>
  <c r="AD279" i="47" s="1"/>
  <c r="AF279" i="47"/>
  <c r="Q283" i="47"/>
  <c r="R283" i="47" s="1"/>
  <c r="S283" i="47" s="1"/>
  <c r="AD283" i="47" s="1"/>
  <c r="AF283" i="47"/>
  <c r="AG222" i="47" l="1"/>
  <c r="AG218" i="47"/>
  <c r="AF189" i="47"/>
  <c r="AF186" i="47"/>
  <c r="Q191" i="47"/>
  <c r="R191" i="47" s="1"/>
  <c r="S191" i="47" s="1"/>
  <c r="AD191" i="47" s="1"/>
  <c r="AG161" i="47"/>
  <c r="AG216" i="47"/>
  <c r="Q188" i="47"/>
  <c r="R188" i="47" s="1"/>
  <c r="S188" i="47" s="1"/>
  <c r="AD188" i="47" s="1"/>
  <c r="AG188" i="47" s="1"/>
  <c r="AF185" i="47"/>
  <c r="AF183" i="47"/>
  <c r="AG213" i="47"/>
  <c r="AG219" i="47"/>
  <c r="AG113" i="47"/>
  <c r="AG134" i="47"/>
  <c r="AG300" i="47"/>
  <c r="AG229" i="47"/>
  <c r="AG14" i="47"/>
  <c r="AG140" i="47"/>
  <c r="AG198" i="47"/>
  <c r="AG247" i="47"/>
  <c r="AG132" i="47"/>
  <c r="AG173" i="47"/>
  <c r="AG190" i="47"/>
  <c r="AG104" i="47"/>
  <c r="AG205" i="47"/>
  <c r="AG261" i="47"/>
  <c r="AG50" i="47"/>
  <c r="AG98" i="47"/>
  <c r="AG304" i="47"/>
  <c r="AG156" i="47"/>
  <c r="AG31" i="47"/>
  <c r="AG148" i="47"/>
  <c r="AG153" i="47"/>
  <c r="AG296" i="47"/>
  <c r="AG223" i="47"/>
  <c r="AG284" i="47"/>
  <c r="AG146" i="47"/>
  <c r="AG231" i="47"/>
  <c r="AF112" i="47"/>
  <c r="AG112" i="47" s="1"/>
  <c r="AG179" i="47"/>
  <c r="AG259" i="47"/>
  <c r="AG110" i="47"/>
  <c r="AG74" i="47"/>
  <c r="AG70" i="47"/>
  <c r="AG66" i="47"/>
  <c r="AG61" i="47"/>
  <c r="AG86" i="47"/>
  <c r="AG28" i="47"/>
  <c r="AG11" i="47"/>
  <c r="AG6" i="47"/>
  <c r="AG17" i="47"/>
  <c r="AG193" i="47"/>
  <c r="AG123" i="47"/>
  <c r="AG80" i="47"/>
  <c r="AG106" i="47"/>
  <c r="AG124" i="47"/>
  <c r="AG142" i="47"/>
  <c r="AG293" i="47"/>
  <c r="AG301" i="47"/>
  <c r="AG144" i="47"/>
  <c r="AG180" i="47"/>
  <c r="AF114" i="47"/>
  <c r="AG13" i="47"/>
  <c r="AG135" i="47"/>
  <c r="AG277" i="47"/>
  <c r="AG241" i="47"/>
  <c r="AG287" i="47"/>
  <c r="AG268" i="47"/>
  <c r="AG164" i="47"/>
  <c r="AG150" i="47"/>
  <c r="AG152" i="47"/>
  <c r="AG207" i="47"/>
  <c r="AG199" i="47"/>
  <c r="AG182" i="47"/>
  <c r="AG171" i="47"/>
  <c r="AG43" i="47"/>
  <c r="AG147" i="47"/>
  <c r="AG244" i="47"/>
  <c r="AG280" i="47"/>
  <c r="AG307" i="47"/>
  <c r="AG227" i="47"/>
  <c r="AG262" i="47"/>
  <c r="AG189" i="47"/>
  <c r="AG285" i="47"/>
  <c r="AG263" i="47"/>
  <c r="AG79" i="47"/>
  <c r="AG56" i="47"/>
  <c r="AG27" i="47"/>
  <c r="AG176" i="47"/>
  <c r="AG126" i="47"/>
  <c r="AG78" i="47"/>
  <c r="AG38" i="47"/>
  <c r="AG42" i="47"/>
  <c r="AG18" i="47"/>
  <c r="AG4" i="47"/>
  <c r="AG40" i="47"/>
  <c r="AG10" i="47"/>
  <c r="AG114" i="47"/>
  <c r="AG295" i="47"/>
  <c r="AG299" i="47"/>
  <c r="AG258" i="47"/>
  <c r="AG303" i="47"/>
  <c r="AG137" i="47"/>
  <c r="AG248" i="47"/>
  <c r="AG234" i="47"/>
  <c r="AG286" i="47"/>
  <c r="AG270" i="47"/>
  <c r="AG265" i="47"/>
  <c r="AG206" i="47"/>
  <c r="AG245" i="47"/>
  <c r="AG308" i="47"/>
  <c r="AG256" i="47"/>
  <c r="AG236" i="47"/>
  <c r="AG186" i="47"/>
  <c r="AG129" i="47"/>
  <c r="AG117" i="47"/>
  <c r="AG75" i="47"/>
  <c r="AG71" i="47"/>
  <c r="AG20" i="47"/>
  <c r="AG23" i="47"/>
  <c r="AF184" i="47"/>
  <c r="Q184" i="47"/>
  <c r="R184" i="47" s="1"/>
  <c r="S184" i="47" s="1"/>
  <c r="AD184" i="47" s="1"/>
  <c r="AG291" i="47"/>
  <c r="AG214" i="47"/>
  <c r="AG84" i="47"/>
  <c r="AG76" i="47"/>
  <c r="AD19" i="47"/>
  <c r="AG19" i="47" s="1"/>
  <c r="AD30" i="47"/>
  <c r="AG30" i="47" s="1"/>
  <c r="AG22" i="47"/>
  <c r="Q122" i="47"/>
  <c r="R122" i="47" s="1"/>
  <c r="S122" i="47" s="1"/>
  <c r="AD122" i="47" s="1"/>
  <c r="AF122" i="47"/>
  <c r="AG246" i="47"/>
  <c r="AG45" i="47"/>
  <c r="AG279" i="47"/>
  <c r="AG288" i="47"/>
  <c r="AG278" i="47"/>
  <c r="AG271" i="47"/>
  <c r="AG273" i="47"/>
  <c r="AG264" i="47"/>
  <c r="AG250" i="47"/>
  <c r="AG237" i="47"/>
  <c r="AG306" i="47"/>
  <c r="AG235" i="47"/>
  <c r="AG177" i="47"/>
  <c r="Q195" i="47"/>
  <c r="R195" i="47" s="1"/>
  <c r="S195" i="47" s="1"/>
  <c r="AD195" i="47" s="1"/>
  <c r="AF195" i="47"/>
  <c r="AG128" i="47"/>
  <c r="AG169" i="47"/>
  <c r="AG118" i="47"/>
  <c r="AG87" i="47"/>
  <c r="AG73" i="47"/>
  <c r="AG69" i="47"/>
  <c r="AG65" i="47"/>
  <c r="AG60" i="47"/>
  <c r="AG175" i="47"/>
  <c r="AG101" i="47"/>
  <c r="AG90" i="47"/>
  <c r="AG162" i="47"/>
  <c r="AG111" i="47"/>
  <c r="AG81" i="47"/>
  <c r="AG72" i="47"/>
  <c r="AG68" i="47"/>
  <c r="AG64" i="47"/>
  <c r="AG59" i="47"/>
  <c r="AG121" i="47"/>
  <c r="AG49" i="47"/>
  <c r="AG44" i="47"/>
  <c r="AG33" i="47"/>
  <c r="AG8" i="47"/>
  <c r="AG226" i="47"/>
  <c r="AG242" i="47"/>
  <c r="AG253" i="47"/>
  <c r="AG305" i="47"/>
  <c r="AG254" i="47"/>
  <c r="AG228" i="47"/>
  <c r="Q194" i="47"/>
  <c r="R194" i="47" s="1"/>
  <c r="S194" i="47" s="1"/>
  <c r="AD194" i="47" s="1"/>
  <c r="AF194" i="47"/>
  <c r="AG183" i="47"/>
  <c r="AG125" i="47"/>
  <c r="AG185" i="47"/>
  <c r="AG191" i="47"/>
  <c r="AG130" i="47"/>
  <c r="AG102" i="47"/>
  <c r="AG115" i="47"/>
  <c r="AG119" i="47"/>
  <c r="AG15" i="47"/>
  <c r="AG283" i="47"/>
  <c r="AG272" i="47"/>
  <c r="AG282" i="47"/>
  <c r="AG266" i="47"/>
  <c r="AG281" i="47"/>
  <c r="AG269" i="47"/>
  <c r="AG252" i="47"/>
  <c r="AG210" i="47"/>
  <c r="AG260" i="47"/>
  <c r="AG133" i="47"/>
  <c r="AG165" i="47"/>
  <c r="AG67" i="47"/>
  <c r="AG63" i="47"/>
  <c r="AG138" i="47"/>
  <c r="AG82" i="47"/>
  <c r="AG52" i="47"/>
  <c r="AG122" i="47" l="1"/>
  <c r="AG195" i="47"/>
  <c r="AG184" i="47"/>
  <c r="AG194"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Caitlyn Witkowski</author>
    <author>CaitW</author>
  </authors>
  <commentList>
    <comment ref="E2" authorId="0" shapeId="0" xr:uid="{00000000-0006-0000-0000-000001000000}">
      <text>
        <r>
          <rPr>
            <b/>
            <sz val="9"/>
            <color indexed="81"/>
            <rFont val="Tahoma"/>
            <family val="2"/>
          </rPr>
          <t>Caitlyn Witkowski:</t>
        </r>
        <r>
          <rPr>
            <sz val="9"/>
            <color indexed="81"/>
            <rFont val="Tahoma"/>
            <family val="2"/>
          </rPr>
          <t xml:space="preserve">
Timeframe of sample in millions of years
For example, five samples were taken from even intervals of a core ranging from 5-10 Ma, approximate ages were estimated (Column A). Columns C and D account for potential varying sedimentation rates.</t>
        </r>
      </text>
    </comment>
    <comment ref="J2" authorId="0" shapeId="0" xr:uid="{00000000-0006-0000-0000-000002000000}">
      <text>
        <r>
          <rPr>
            <b/>
            <sz val="9"/>
            <color indexed="81"/>
            <rFont val="Tahoma"/>
            <family val="2"/>
          </rPr>
          <t>Caitlyn Witkowski:</t>
        </r>
        <r>
          <rPr>
            <sz val="9"/>
            <color indexed="81"/>
            <rFont val="Tahoma"/>
            <family val="2"/>
          </rPr>
          <t xml:space="preserve">
Source of phytane:
MS - marine sediment
MO - marine oil
</t>
        </r>
      </text>
    </comment>
    <comment ref="K2" authorId="0" shapeId="0" xr:uid="{00000000-0006-0000-0000-000003000000}">
      <text>
        <r>
          <rPr>
            <b/>
            <sz val="9"/>
            <color indexed="81"/>
            <rFont val="Tahoma"/>
            <family val="2"/>
          </rPr>
          <t xml:space="preserve">Caitlyn Witkowki:
</t>
        </r>
        <r>
          <rPr>
            <sz val="9"/>
            <color indexed="81"/>
            <rFont val="Tahoma"/>
            <family val="2"/>
          </rPr>
          <t>Type of phytane moiety 
S: Sulfur-bound
F: free phytane</t>
        </r>
      </text>
    </comment>
    <comment ref="L2" authorId="0" shapeId="0" xr:uid="{00000000-0006-0000-0000-000004000000}">
      <text>
        <r>
          <rPr>
            <b/>
            <sz val="9"/>
            <color indexed="81"/>
            <rFont val="Tahoma"/>
            <family val="2"/>
          </rPr>
          <t>Caitlyn Witkowski:</t>
        </r>
        <r>
          <rPr>
            <sz val="9"/>
            <color indexed="81"/>
            <rFont val="Tahoma"/>
            <family val="2"/>
          </rPr>
          <t xml:space="preserve">
δ13C of phytane
Error of +/- 0.5</t>
        </r>
      </text>
    </comment>
    <comment ref="N2" authorId="0" shapeId="0" xr:uid="{00000000-0006-0000-0000-000005000000}">
      <text>
        <r>
          <rPr>
            <b/>
            <sz val="9"/>
            <color indexed="81"/>
            <rFont val="Tahoma"/>
            <family val="2"/>
          </rPr>
          <t>Caitlyn Witkowski:</t>
        </r>
        <r>
          <rPr>
            <sz val="9"/>
            <color indexed="81"/>
            <rFont val="Tahoma"/>
            <family val="2"/>
          </rPr>
          <t xml:space="preserve">
primary photosynthate, where phytane is corrected for the offset between biomass and lipids (4 per mil for algae) </t>
        </r>
      </text>
    </comment>
    <comment ref="O2" authorId="0" shapeId="0" xr:uid="{00000000-0006-0000-0000-000006000000}">
      <text>
        <r>
          <rPr>
            <b/>
            <sz val="9"/>
            <color indexed="81"/>
            <rFont val="Tahoma"/>
            <family val="2"/>
          </rPr>
          <t>Caitlyn Witkowski:</t>
        </r>
        <r>
          <rPr>
            <sz val="9"/>
            <color indexed="81"/>
            <rFont val="Tahoma"/>
            <family val="2"/>
          </rPr>
          <t xml:space="preserve">
δ13C from inorg carbonate
error +/- 0.5</t>
        </r>
      </text>
    </comment>
    <comment ref="Q2" authorId="0" shapeId="0" xr:uid="{00000000-0006-0000-0000-000007000000}">
      <text>
        <r>
          <rPr>
            <b/>
            <sz val="9"/>
            <color indexed="81"/>
            <rFont val="Tahoma"/>
            <family val="2"/>
          </rPr>
          <t>Caitlyn Witkowski:</t>
        </r>
        <r>
          <rPr>
            <sz val="9"/>
            <color indexed="81"/>
            <rFont val="Tahoma"/>
            <family val="2"/>
          </rPr>
          <t xml:space="preserve">
ɛb(a)=(24.12-9866)/T(K)
Mook et al., 1974</t>
        </r>
      </text>
    </comment>
    <comment ref="R2" authorId="0" shapeId="0" xr:uid="{00000000-0006-0000-0000-000008000000}">
      <text>
        <r>
          <rPr>
            <b/>
            <sz val="9"/>
            <color indexed="81"/>
            <rFont val="Tahoma"/>
            <family val="2"/>
          </rPr>
          <t>Caitlyn Witkowski:</t>
        </r>
        <r>
          <rPr>
            <sz val="9"/>
            <color indexed="81"/>
            <rFont val="Tahoma"/>
            <family val="2"/>
          </rPr>
          <t xml:space="preserve">
δd=δa-1+ɛb(a)</t>
        </r>
      </text>
    </comment>
    <comment ref="S2" authorId="0" shapeId="0" xr:uid="{00000000-0006-0000-0000-000009000000}">
      <text>
        <r>
          <rPr>
            <b/>
            <sz val="9"/>
            <color indexed="81"/>
            <rFont val="Tahoma"/>
            <family val="2"/>
          </rPr>
          <t>Caitlyn Witkowski:</t>
        </r>
        <r>
          <rPr>
            <sz val="9"/>
            <color indexed="81"/>
            <rFont val="Tahoma"/>
            <family val="2"/>
          </rPr>
          <t xml:space="preserve">
ɛp=1000*((δd+1000)/(δp+1000)-1)</t>
        </r>
      </text>
    </comment>
    <comment ref="T2" authorId="0" shapeId="0" xr:uid="{00000000-0006-0000-0000-00000A000000}">
      <text>
        <r>
          <rPr>
            <b/>
            <sz val="9"/>
            <color indexed="81"/>
            <rFont val="Tahoma"/>
            <family val="2"/>
          </rPr>
          <t>Caitlyn Witkowski:</t>
        </r>
        <r>
          <rPr>
            <sz val="9"/>
            <color indexed="81"/>
            <rFont val="Tahoma"/>
            <family val="2"/>
          </rPr>
          <t xml:space="preserve">
Modern temperature at paleolatitude</t>
        </r>
      </text>
    </comment>
    <comment ref="U2" authorId="0" shapeId="0" xr:uid="{00000000-0006-0000-0000-00000B000000}">
      <text>
        <r>
          <rPr>
            <b/>
            <sz val="9"/>
            <color indexed="81"/>
            <rFont val="Tahoma"/>
            <family val="2"/>
          </rPr>
          <t>Caitlyn Witkowski:</t>
        </r>
        <r>
          <rPr>
            <sz val="9"/>
            <color indexed="81"/>
            <rFont val="Tahoma"/>
            <family val="2"/>
          </rPr>
          <t xml:space="preserve">
Modern temperature at modern location</t>
        </r>
      </text>
    </comment>
    <comment ref="V2" authorId="0" shapeId="0" xr:uid="{00000000-0006-0000-0000-00000C000000}">
      <text>
        <r>
          <rPr>
            <b/>
            <sz val="9"/>
            <color indexed="81"/>
            <rFont val="Tahoma"/>
            <family val="2"/>
          </rPr>
          <t>Caitlyn Witkowski:</t>
        </r>
        <r>
          <rPr>
            <sz val="9"/>
            <color indexed="81"/>
            <rFont val="Tahoma"/>
            <family val="2"/>
          </rPr>
          <t xml:space="preserve">
Anomaly, and with correction for Royer et al (2004)</t>
        </r>
      </text>
    </comment>
    <comment ref="H76" authorId="1" shapeId="0" xr:uid="{00000000-0006-0000-0000-00000D000000}">
      <text>
        <r>
          <rPr>
            <sz val="9"/>
            <color indexed="81"/>
            <rFont val="Tahoma"/>
            <family val="2"/>
          </rPr>
          <t>275-372m may have some terrestrial input, use with caution</t>
        </r>
      </text>
    </comment>
    <comment ref="G183" authorId="0" shapeId="0" xr:uid="{00000000-0006-0000-0000-00000E000000}">
      <text>
        <r>
          <rPr>
            <b/>
            <sz val="9"/>
            <color indexed="81"/>
            <rFont val="Tahoma"/>
            <family val="2"/>
          </rPr>
          <t>Caitlyn Witkowski:
Vigla Black Shale is from Albian-Cenom but the graph shows Aptian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Caitlyn Witkowski</author>
    <author>CaitW</author>
  </authors>
  <commentList>
    <comment ref="E2" authorId="0" shapeId="0" xr:uid="{569B1A43-0DDF-4AD2-BA69-717F0E4F524A}">
      <text>
        <r>
          <rPr>
            <b/>
            <sz val="9"/>
            <color indexed="81"/>
            <rFont val="Tahoma"/>
            <family val="2"/>
          </rPr>
          <t>Caitlyn Witkowski:</t>
        </r>
        <r>
          <rPr>
            <sz val="9"/>
            <color indexed="81"/>
            <rFont val="Tahoma"/>
            <family val="2"/>
          </rPr>
          <t xml:space="preserve">
Timeframe of sample in millions of years
For example, five samples were taken from even intervals of a core ranging from 5-10 Ma, approximate ages were estimated (Column A). Columns C and D account for potential varying sedimentation rates.</t>
        </r>
      </text>
    </comment>
    <comment ref="M2" authorId="0" shapeId="0" xr:uid="{24414C20-0D4B-4DAA-95D4-3935F31A0ECE}">
      <text>
        <r>
          <rPr>
            <b/>
            <sz val="9"/>
            <color indexed="81"/>
            <rFont val="Tahoma"/>
            <family val="2"/>
          </rPr>
          <t>Caitlyn Witkowski:</t>
        </r>
        <r>
          <rPr>
            <sz val="9"/>
            <color indexed="81"/>
            <rFont val="Tahoma"/>
            <family val="2"/>
          </rPr>
          <t xml:space="preserve">
Source of phytane:
MS - marine sediment
MO - marine oil
</t>
        </r>
      </text>
    </comment>
    <comment ref="O2" authorId="0" shapeId="0" xr:uid="{2C6173BA-098B-4701-8B1D-8A1EE356344F}">
      <text>
        <r>
          <rPr>
            <b/>
            <sz val="9"/>
            <color indexed="81"/>
            <rFont val="Tahoma"/>
            <family val="2"/>
          </rPr>
          <t xml:space="preserve">Caitlyn Witkowki:
</t>
        </r>
        <r>
          <rPr>
            <sz val="9"/>
            <color indexed="81"/>
            <rFont val="Tahoma"/>
            <family val="2"/>
          </rPr>
          <t>Type of phytane moiety 
S: Sulfur-bound
F: free phytane</t>
        </r>
      </text>
    </comment>
    <comment ref="P2" authorId="0" shapeId="0" xr:uid="{1AED4421-93FA-42E3-BEF2-F441F3100105}">
      <text>
        <r>
          <rPr>
            <b/>
            <sz val="9"/>
            <color indexed="81"/>
            <rFont val="Tahoma"/>
            <family val="2"/>
          </rPr>
          <t>Caitlyn Witkowski:</t>
        </r>
        <r>
          <rPr>
            <sz val="9"/>
            <color indexed="81"/>
            <rFont val="Tahoma"/>
            <family val="2"/>
          </rPr>
          <t xml:space="preserve">
δ13C of phytane
Error of +/- 0.5</t>
        </r>
      </text>
    </comment>
    <comment ref="S2" authorId="0" shapeId="0" xr:uid="{652EA54E-A732-4282-9731-BB01A255D210}">
      <text>
        <r>
          <rPr>
            <b/>
            <sz val="9"/>
            <color indexed="81"/>
            <rFont val="Tahoma"/>
            <family val="2"/>
          </rPr>
          <t>Caitlyn Witkowski:</t>
        </r>
        <r>
          <rPr>
            <sz val="9"/>
            <color indexed="81"/>
            <rFont val="Tahoma"/>
            <family val="2"/>
          </rPr>
          <t xml:space="preserve">
primary photosynthate, where phytane is corrected for the offset between biomass and lipids (4 per mil for algae) </t>
        </r>
      </text>
    </comment>
    <comment ref="T2" authorId="0" shapeId="0" xr:uid="{094D19D2-760B-4138-9A5E-0A8FA6C644A8}">
      <text>
        <r>
          <rPr>
            <b/>
            <sz val="9"/>
            <color indexed="81"/>
            <rFont val="Tahoma"/>
            <family val="2"/>
          </rPr>
          <t>Caitlyn Witkowski:</t>
        </r>
        <r>
          <rPr>
            <sz val="9"/>
            <color indexed="81"/>
            <rFont val="Tahoma"/>
            <family val="2"/>
          </rPr>
          <t xml:space="preserve">
δ13C from inorg carbonate
error +/- 0.5</t>
        </r>
      </text>
    </comment>
    <comment ref="V2" authorId="0" shapeId="0" xr:uid="{51C8C933-F089-4345-A65A-C608E3520865}">
      <text>
        <r>
          <rPr>
            <b/>
            <sz val="9"/>
            <color indexed="81"/>
            <rFont val="Tahoma"/>
            <family val="2"/>
          </rPr>
          <t>Caitlyn Witkowski:</t>
        </r>
        <r>
          <rPr>
            <sz val="9"/>
            <color indexed="81"/>
            <rFont val="Tahoma"/>
            <family val="2"/>
          </rPr>
          <t xml:space="preserve">
ɛb(a)=(24.12-9866)/T(K)
Mook et al., 1974</t>
        </r>
      </text>
    </comment>
    <comment ref="W2" authorId="0" shapeId="0" xr:uid="{80C64140-66AA-4B93-A1BC-39FBF2620FFF}">
      <text>
        <r>
          <rPr>
            <b/>
            <sz val="9"/>
            <color indexed="81"/>
            <rFont val="Tahoma"/>
            <family val="2"/>
          </rPr>
          <t>Caitlyn Witkowski:</t>
        </r>
        <r>
          <rPr>
            <sz val="9"/>
            <color indexed="81"/>
            <rFont val="Tahoma"/>
            <family val="2"/>
          </rPr>
          <t xml:space="preserve">
δd=δa-1+ɛb(a)</t>
        </r>
      </text>
    </comment>
    <comment ref="X2" authorId="0" shapeId="0" xr:uid="{F89C726E-26B1-4A35-95C1-F4C7116188EE}">
      <text>
        <r>
          <rPr>
            <b/>
            <sz val="9"/>
            <color indexed="81"/>
            <rFont val="Tahoma"/>
            <family val="2"/>
          </rPr>
          <t>Caitlyn Witkowski:</t>
        </r>
        <r>
          <rPr>
            <sz val="9"/>
            <color indexed="81"/>
            <rFont val="Tahoma"/>
            <family val="2"/>
          </rPr>
          <t xml:space="preserve">
ɛp=1000*((δd+1000)/(δp+1000)-1)</t>
        </r>
      </text>
    </comment>
    <comment ref="Y2" authorId="0" shapeId="0" xr:uid="{82DBC7E6-DEE0-4870-A403-344F6B19052E}">
      <text>
        <r>
          <rPr>
            <b/>
            <sz val="9"/>
            <color indexed="81"/>
            <rFont val="Tahoma"/>
            <family val="2"/>
          </rPr>
          <t>Caitlyn Witkowski:</t>
        </r>
        <r>
          <rPr>
            <sz val="9"/>
            <color indexed="81"/>
            <rFont val="Tahoma"/>
            <family val="2"/>
          </rPr>
          <t xml:space="preserve">
Modern temperature at paleolatitude</t>
        </r>
      </text>
    </comment>
    <comment ref="Z2" authorId="0" shapeId="0" xr:uid="{9FA3F944-FF33-473D-927D-247C603B8761}">
      <text>
        <r>
          <rPr>
            <b/>
            <sz val="9"/>
            <color indexed="81"/>
            <rFont val="Tahoma"/>
            <family val="2"/>
          </rPr>
          <t>Caitlyn Witkowski:</t>
        </r>
        <r>
          <rPr>
            <sz val="9"/>
            <color indexed="81"/>
            <rFont val="Tahoma"/>
            <family val="2"/>
          </rPr>
          <t xml:space="preserve">
Modern temperature at modern location</t>
        </r>
      </text>
    </comment>
    <comment ref="AA2" authorId="0" shapeId="0" xr:uid="{49B6DBCE-D026-4141-80D6-A6BE406636EB}">
      <text>
        <r>
          <rPr>
            <b/>
            <sz val="9"/>
            <color indexed="81"/>
            <rFont val="Tahoma"/>
            <family val="2"/>
          </rPr>
          <t>Caitlyn Witkowski:</t>
        </r>
        <r>
          <rPr>
            <sz val="9"/>
            <color indexed="81"/>
            <rFont val="Tahoma"/>
            <family val="2"/>
          </rPr>
          <t xml:space="preserve">
Anomaly, and with correction for Royer et al (2004)</t>
        </r>
      </text>
    </comment>
    <comment ref="I76" authorId="1" shapeId="0" xr:uid="{B5349DBD-6665-48B3-A1AA-538F30335FA2}">
      <text>
        <r>
          <rPr>
            <sz val="9"/>
            <color indexed="81"/>
            <rFont val="Tahoma"/>
            <family val="2"/>
          </rPr>
          <t>275-372m may have some terrestrial input, use with caution</t>
        </r>
      </text>
    </comment>
    <comment ref="H183" authorId="0" shapeId="0" xr:uid="{CEBA3C02-171B-462E-8C9D-135D44475E7C}">
      <text>
        <r>
          <rPr>
            <b/>
            <sz val="9"/>
            <color indexed="81"/>
            <rFont val="Tahoma"/>
            <family val="2"/>
          </rPr>
          <t>Caitlyn Witkowski:
Vigla Black Shale is from Albian-Cenom but the graph shows Aptian</t>
        </r>
      </text>
    </comment>
  </commentList>
</comments>
</file>

<file path=xl/sharedStrings.xml><?xml version="1.0" encoding="utf-8"?>
<sst xmlns="http://schemas.openxmlformats.org/spreadsheetml/2006/main" count="7843" uniqueCount="730">
  <si>
    <t>F</t>
  </si>
  <si>
    <t>MO</t>
  </si>
  <si>
    <t>Hayes et al., 1999</t>
  </si>
  <si>
    <t>Pancost et al., 2013</t>
  </si>
  <si>
    <t>MS</t>
  </si>
  <si>
    <t>Millbrook Farms, Iowa, USA</t>
  </si>
  <si>
    <t>Guthrie, 1996</t>
  </si>
  <si>
    <t>89-52</t>
  </si>
  <si>
    <t>91-23-1</t>
  </si>
  <si>
    <t>91-18</t>
  </si>
  <si>
    <t>91-16</t>
  </si>
  <si>
    <t>Elgin, IO, USA</t>
  </si>
  <si>
    <t>90-72</t>
  </si>
  <si>
    <t>90-71</t>
  </si>
  <si>
    <t>90-16-2</t>
  </si>
  <si>
    <t>90-16</t>
  </si>
  <si>
    <t>90-15</t>
  </si>
  <si>
    <t>Saar Basin, Germany</t>
  </si>
  <si>
    <t>7 Gehrweiler, Rehborn</t>
  </si>
  <si>
    <t>90-13</t>
  </si>
  <si>
    <t>90-10</t>
  </si>
  <si>
    <t>Koopmans et al., 1996</t>
  </si>
  <si>
    <t>Joachimski et al., 2002 (estimated)</t>
  </si>
  <si>
    <t>Holy Cross Mts, Poland</t>
  </si>
  <si>
    <t>Kowala</t>
  </si>
  <si>
    <t>Unpublished data (in Hayes et al., 1995)</t>
  </si>
  <si>
    <t>2477, Zone 3</t>
  </si>
  <si>
    <t>S</t>
  </si>
  <si>
    <t>Osadetz et al., 1992 (in Hughes et al., 1995)</t>
  </si>
  <si>
    <t>1281, Zone 1A</t>
  </si>
  <si>
    <t>Permian</t>
  </si>
  <si>
    <t>Grice et al., 1996</t>
  </si>
  <si>
    <t>Rhine Basin, Germany</t>
  </si>
  <si>
    <t>Kupferschiefer</t>
  </si>
  <si>
    <t>Nabbefeld et al., 2010</t>
  </si>
  <si>
    <t>Lusitaniandalen, Spitsbergen</t>
  </si>
  <si>
    <t>Brooks et al., 1992 (in Hayes et al., 1995)</t>
  </si>
  <si>
    <t>Schei Point, Sverdrup, CAN</t>
  </si>
  <si>
    <t>2281, Zone 3</t>
  </si>
  <si>
    <t>Triassic</t>
  </si>
  <si>
    <t>Germany</t>
  </si>
  <si>
    <t>Allgau, Marlstone</t>
  </si>
  <si>
    <t>French et al., 2014</t>
  </si>
  <si>
    <t>Hawkser, Yorkshire, UK</t>
  </si>
  <si>
    <t>ENR017 -2,4m</t>
  </si>
  <si>
    <t>ENR011 -0,86m</t>
  </si>
  <si>
    <t>ENR012 -0,42m</t>
  </si>
  <si>
    <t>ENR008 0,48m</t>
  </si>
  <si>
    <t>ENR007 1,28m</t>
  </si>
  <si>
    <t>Schouten et al., 2000c</t>
  </si>
  <si>
    <t>Schomberg, GER</t>
  </si>
  <si>
    <t>T45</t>
  </si>
  <si>
    <t>T41</t>
  </si>
  <si>
    <t>T6</t>
  </si>
  <si>
    <t>ENR001 3,28m</t>
  </si>
  <si>
    <t>ENR003 5,18m</t>
  </si>
  <si>
    <t>ENR014 5,68m</t>
  </si>
  <si>
    <t>ENR004 5,98m</t>
  </si>
  <si>
    <t>ENR015 6,48m</t>
  </si>
  <si>
    <t>van Kaam-Peters et al., 1998</t>
  </si>
  <si>
    <t>KCF, Dorset, UK</t>
  </si>
  <si>
    <t>UK13</t>
  </si>
  <si>
    <t>UK12</t>
  </si>
  <si>
    <t>UK11</t>
  </si>
  <si>
    <t>UK9</t>
  </si>
  <si>
    <t>UK8</t>
  </si>
  <si>
    <t>UK7</t>
  </si>
  <si>
    <t>van Kaam-Peters et al., 1997a</t>
  </si>
  <si>
    <t>Kimmeridge</t>
  </si>
  <si>
    <t>France</t>
  </si>
  <si>
    <t>Calcaires en Plaquettes</t>
  </si>
  <si>
    <t>Sinninghe Damste et al., 2008b</t>
  </si>
  <si>
    <t>Tsikos et al., 2004</t>
  </si>
  <si>
    <t>Vigla Shale, NW Greece</t>
  </si>
  <si>
    <t>Kuypers et al., 2002</t>
  </si>
  <si>
    <t>N Atlantic (near Florida)</t>
  </si>
  <si>
    <t>142,7m ODP 1049C</t>
  </si>
  <si>
    <t>143,1m ODP 1049C</t>
  </si>
  <si>
    <t>143,2m ODP 1049C</t>
  </si>
  <si>
    <t>143,35m ODP 1049C</t>
  </si>
  <si>
    <t>Forster et al., 2008</t>
  </si>
  <si>
    <t>SE Angola Basin (Namibia)</t>
  </si>
  <si>
    <t>Site 530A, 1044m</t>
  </si>
  <si>
    <t>Site 530A, 1049m</t>
  </si>
  <si>
    <t>Site 530A, 1051m</t>
  </si>
  <si>
    <t>Newfoundland, Canada</t>
  </si>
  <si>
    <t>Site 530A, 1040m</t>
  </si>
  <si>
    <t>Site 530A, 1041m</t>
  </si>
  <si>
    <t>van Bentum et al., 2012a</t>
  </si>
  <si>
    <t>van Bentum et al., 2012b</t>
  </si>
  <si>
    <t>Demara Rise, N Atlantic</t>
  </si>
  <si>
    <t>Site 1260, 12</t>
  </si>
  <si>
    <t>1276 A 31 31-2 77/78</t>
  </si>
  <si>
    <t>Kuypers et al., 2004</t>
  </si>
  <si>
    <t>Northern North Atlantic</t>
  </si>
  <si>
    <t>1276 A 31 31-3 110/111</t>
  </si>
  <si>
    <t>Site 1260, 11</t>
  </si>
  <si>
    <t>1276 A 31-2-126/127</t>
  </si>
  <si>
    <t>1276 A 31 31-3 4/5</t>
  </si>
  <si>
    <t>1276 A 31 31-2 52/53</t>
  </si>
  <si>
    <t>1276 A 31 31-3 61/62</t>
  </si>
  <si>
    <t>Site 1260, 9</t>
  </si>
  <si>
    <t>1276 A 31 31-3 29/30</t>
  </si>
  <si>
    <t>Site 1260, 10</t>
  </si>
  <si>
    <t>1276 A 31 31-2 134/135</t>
  </si>
  <si>
    <t>Site 1260, 13</t>
  </si>
  <si>
    <t>Site 1260, 8</t>
  </si>
  <si>
    <t>Site 144</t>
  </si>
  <si>
    <t>Site 1260, 3</t>
  </si>
  <si>
    <t>Site 1260, 2</t>
  </si>
  <si>
    <t>Site 1260, 5</t>
  </si>
  <si>
    <t>Site 1260, 4</t>
  </si>
  <si>
    <t>Site 1260, 6</t>
  </si>
  <si>
    <t>Site 1260, 1</t>
  </si>
  <si>
    <t>Site 1260, 7</t>
  </si>
  <si>
    <t>Schoon et al., 2011</t>
  </si>
  <si>
    <t>Arctic (ACEX)</t>
  </si>
  <si>
    <t>Paleocene-Eocene</t>
  </si>
  <si>
    <t>Bechtel et al., 2013 (estimated)</t>
  </si>
  <si>
    <t>Angeharan, Azerbaijan</t>
  </si>
  <si>
    <t>Ang 15, 7, 157m, Maikop</t>
  </si>
  <si>
    <t>Ang 14, 7, 147m, Maikop</t>
  </si>
  <si>
    <t>Ang 13b, 7, 138m, Maikop</t>
  </si>
  <si>
    <t>Ang 12, 7, 127m, Maikop</t>
  </si>
  <si>
    <t>Ang 11, 6, 123m, Maikop</t>
  </si>
  <si>
    <t>Ang 9, 5, 112.5 m, Maikop</t>
  </si>
  <si>
    <t>Ang 27, 10, 437m</t>
  </si>
  <si>
    <t>Ang 26, 10, 377m</t>
  </si>
  <si>
    <t>Ang 19, 9, 297m, Maikop</t>
  </si>
  <si>
    <t>Ang 18, 9, 287m, Maikop</t>
  </si>
  <si>
    <t>Ang 24, 9, 357m</t>
  </si>
  <si>
    <t>Ang 21, 9, 317m</t>
  </si>
  <si>
    <t>Ang 8, 5, 103m, Maikop</t>
  </si>
  <si>
    <t>Ang 6, 5, 83m, Maikop</t>
  </si>
  <si>
    <t>Pagani et al., 2000 (estimated)</t>
  </si>
  <si>
    <t>west South Atlantic Ocean</t>
  </si>
  <si>
    <t>Site 516, Rio Grande Rise</t>
  </si>
  <si>
    <t>east North Atlantic Ocean</t>
  </si>
  <si>
    <t>Site 608, King's Trough</t>
  </si>
  <si>
    <t>Curiale et al., 1985 (in Hughes et al., 1995)</t>
  </si>
  <si>
    <t>Monterey (Santa Maria)</t>
  </si>
  <si>
    <t>Meissner et al., 1984 (in Hughes et al., 1995)</t>
  </si>
  <si>
    <t>Salt Lake Group (Great)</t>
  </si>
  <si>
    <t>Schouten et al., 1997a</t>
  </si>
  <si>
    <t>Monterey Formation, CA</t>
  </si>
  <si>
    <t>SB-1</t>
  </si>
  <si>
    <t>SB-3</t>
  </si>
  <si>
    <t>SB-2</t>
  </si>
  <si>
    <t>SB-6</t>
  </si>
  <si>
    <t>SB-18</t>
  </si>
  <si>
    <t>SB-13</t>
  </si>
  <si>
    <t>Yamamoto et al., 2005</t>
  </si>
  <si>
    <t>Yashima, NE Japan</t>
  </si>
  <si>
    <t>927-3, Onnagawa Form</t>
  </si>
  <si>
    <t>Antelope, San Joaquin, CA, USA</t>
  </si>
  <si>
    <t>2329, Zone 3</t>
  </si>
  <si>
    <t>ɛp</t>
  </si>
  <si>
    <t>δd</t>
  </si>
  <si>
    <t>ɛb(a)</t>
  </si>
  <si>
    <t>δa</t>
  </si>
  <si>
    <t>δp</t>
  </si>
  <si>
    <t>Ph</t>
  </si>
  <si>
    <t>Location</t>
  </si>
  <si>
    <t>Sample</t>
  </si>
  <si>
    <t>Ma</t>
  </si>
  <si>
    <t>Period/Age</t>
  </si>
  <si>
    <t>-</t>
  </si>
  <si>
    <t>+</t>
  </si>
  <si>
    <t>DSDP Site 467</t>
  </si>
  <si>
    <t>seatemperature.org</t>
  </si>
  <si>
    <t>Pacific Grove, CA</t>
  </si>
  <si>
    <t>L</t>
  </si>
  <si>
    <t>U</t>
  </si>
  <si>
    <t>Sample Information</t>
  </si>
  <si>
    <t>Location mod</t>
  </si>
  <si>
    <t>Fisterra, Spain</t>
  </si>
  <si>
    <t>Royer et al., 2004</t>
  </si>
  <si>
    <t>usclimatedata.com</t>
  </si>
  <si>
    <t>Mana, French Guiana</t>
  </si>
  <si>
    <t>Cape Verde, NW African coast</t>
  </si>
  <si>
    <t>Vila do Maio, Cape Verde, NW African coast</t>
  </si>
  <si>
    <t>Lobito, Angola, Africa</t>
  </si>
  <si>
    <t>Kérkyra, Greece</t>
  </si>
  <si>
    <t>climatedata.eu</t>
  </si>
  <si>
    <t>Svalbard</t>
  </si>
  <si>
    <t>npolar.no</t>
  </si>
  <si>
    <t>Woodford, TX, USA</t>
  </si>
  <si>
    <t>Düsseldorf, Germany</t>
  </si>
  <si>
    <t>Lodgepole, South Dakota, USA</t>
  </si>
  <si>
    <t>Bowman, ND, USA</t>
  </si>
  <si>
    <t>Cedar Rapids, IO, US</t>
  </si>
  <si>
    <t>Maquoketa, IO, USA</t>
  </si>
  <si>
    <t>Sverdrup, Canada</t>
  </si>
  <si>
    <t>climate.weather.gc.ca/</t>
  </si>
  <si>
    <t>K0</t>
  </si>
  <si>
    <t>b</t>
  </si>
  <si>
    <t>A-3 Gurpi</t>
  </si>
  <si>
    <t>C-5 Sarvak</t>
  </si>
  <si>
    <t>C-6 Sarvak</t>
  </si>
  <si>
    <t>D-4 Kazhdumi</t>
  </si>
  <si>
    <t>D-5 Kazhdumi</t>
  </si>
  <si>
    <t>E-5 Gadvan</t>
  </si>
  <si>
    <t>E-6 Gadvan</t>
  </si>
  <si>
    <t>F-4 Fahliyan</t>
  </si>
  <si>
    <t>F-6 Fahliyan</t>
  </si>
  <si>
    <t>Abadan Plain, SW Iran</t>
  </si>
  <si>
    <t>Alizadah et al., 2015</t>
  </si>
  <si>
    <t>Tulipani et al., 2015</t>
  </si>
  <si>
    <t>Lennard Shelf, Canning Basin, Western Australia</t>
  </si>
  <si>
    <t>Frasian-Givetian</t>
  </si>
  <si>
    <t>Siluiran</t>
  </si>
  <si>
    <t>Miocene, Cenozoic</t>
  </si>
  <si>
    <t>Europe</t>
  </si>
  <si>
    <t>N America</t>
  </si>
  <si>
    <t>Middle East</t>
  </si>
  <si>
    <t>Africa</t>
  </si>
  <si>
    <t>L Cretaceous</t>
  </si>
  <si>
    <t>Eurasia</t>
  </si>
  <si>
    <t>326487</t>
  </si>
  <si>
    <t>S America</t>
  </si>
  <si>
    <t>M Triassic</t>
  </si>
  <si>
    <t>U Permian</t>
  </si>
  <si>
    <t>U Devonian</t>
  </si>
  <si>
    <t>M Devonian</t>
  </si>
  <si>
    <t>U Miocene, Cenozoic</t>
  </si>
  <si>
    <t>Cen/Tur, Cretaceous</t>
  </si>
  <si>
    <t>Aptian, Cretaceous</t>
  </si>
  <si>
    <t>Tithonian, Jurassic</t>
  </si>
  <si>
    <t>Toarcian, Jurassic</t>
  </si>
  <si>
    <t>Vikinghogda, Triassic</t>
  </si>
  <si>
    <t>Changhsingian, Permian</t>
  </si>
  <si>
    <t>Mississipian, Carboniferous</t>
  </si>
  <si>
    <t>Frasnian, Devonian</t>
  </si>
  <si>
    <t>U Ordovician</t>
  </si>
  <si>
    <t>Dunleith, Ordovician</t>
  </si>
  <si>
    <t>Platteville, Ordovician</t>
  </si>
  <si>
    <t>L Oligocene, Cenozoic</t>
  </si>
  <si>
    <t>U Oligocene, Cenozoic</t>
  </si>
  <si>
    <t>Turonian, Cretaceous</t>
  </si>
  <si>
    <t>302‐4‐27X1‐30‐31 367.70</t>
  </si>
  <si>
    <t xml:space="preserve">302‐4‐27X1‐40‐41 367.80 </t>
  </si>
  <si>
    <t xml:space="preserve">302‐4‐27X1‐50‐51 367.90 </t>
  </si>
  <si>
    <t xml:space="preserve">302‐4‐27X1‐55‐57 367.95 </t>
  </si>
  <si>
    <t xml:space="preserve">302‐4‐27X1‐59‐61 367.99 </t>
  </si>
  <si>
    <t xml:space="preserve">302‐4‐27X1‐64‐66 368.04 </t>
  </si>
  <si>
    <t xml:space="preserve">302‐4‐27X1‐68‐70 368.08 </t>
  </si>
  <si>
    <t xml:space="preserve">302‐4‐27X1‐72‐74 368.12 </t>
  </si>
  <si>
    <t xml:space="preserve">302‐4‐27X1‐80‐82 368.20 </t>
  </si>
  <si>
    <t xml:space="preserve">302‐4‐27X2‐0‐2 368.90 </t>
  </si>
  <si>
    <t xml:space="preserve">302‐4‐27X2‐4‐6 368.94 </t>
  </si>
  <si>
    <t xml:space="preserve">302‐4‐27X2‐12‐14 369.00 </t>
  </si>
  <si>
    <t xml:space="preserve">302‐4‐27X2‐14‐16 369.04 </t>
  </si>
  <si>
    <t xml:space="preserve">302‐4‐27X2‐19‐21 369.09 </t>
  </si>
  <si>
    <t xml:space="preserve">302‐4‐27X2‐23‐25 369.13 </t>
  </si>
  <si>
    <t xml:space="preserve">302‐4‐27X2‐28‐30 369.18 </t>
  </si>
  <si>
    <t>302‐4‐27X2‐31‐33 369.21</t>
  </si>
  <si>
    <t xml:space="preserve">302‐4‐27X2‐44‐45 369.34 </t>
  </si>
  <si>
    <t>302‐4‐27X2‐50‐51 369.40</t>
  </si>
  <si>
    <t xml:space="preserve">302‐4‐27X2‐60‐61 369.50 </t>
  </si>
  <si>
    <t>location entered in paleolatitude.org, modern temperature at that modern location recorded</t>
  </si>
  <si>
    <t>42.0689° N, 90.6657° W</t>
  </si>
  <si>
    <t>41.9779° N, 91.6656° W</t>
  </si>
  <si>
    <t>46.1831° N, 103.3949° W</t>
  </si>
  <si>
    <t>51.2277° N, 6.7735° E</t>
  </si>
  <si>
    <t>77.8750° N, 20.9752° E</t>
  </si>
  <si>
    <t>28.9234° N, 50.8203° E</t>
  </si>
  <si>
    <t>39.6243° N, 19.9217° E</t>
  </si>
  <si>
    <t>15.1386° N, 23.2067° W</t>
  </si>
  <si>
    <t>12.3757° S, 13.5610° E</t>
  </si>
  <si>
    <t>5.6680° N, 53.7790° W</t>
  </si>
  <si>
    <t>36.6177° N, 121.9166° W</t>
  </si>
  <si>
    <t>42.9078° N, 9.2650° W</t>
  </si>
  <si>
    <t>Paleolat</t>
  </si>
  <si>
    <t>39.4636° N, 140.5192° E</t>
  </si>
  <si>
    <t>unconstrained plate</t>
  </si>
  <si>
    <t>207-1257C-11R-1, 84-89</t>
  </si>
  <si>
    <t>207-1257C-13R-2, 120-140</t>
  </si>
  <si>
    <t>207-1257C-14R-1, 76-82</t>
  </si>
  <si>
    <t>207-1258B-51R-2, 10-20</t>
  </si>
  <si>
    <t>207-1258B-54R-3, 10-30</t>
  </si>
  <si>
    <t>207-1258B-55R-3, 68-88</t>
  </si>
  <si>
    <t>207-1260B-34R-2, 10-17</t>
  </si>
  <si>
    <t>207-1260B-37R-1, 10-16</t>
  </si>
  <si>
    <t>207-1260B-38R-1, 84-86</t>
  </si>
  <si>
    <t>207-1260B-39R-1, 115-122</t>
  </si>
  <si>
    <t>207-1260B-41R-1, 114-120</t>
  </si>
  <si>
    <t>Bice et al., 2006</t>
  </si>
  <si>
    <t>North Atlantic Demerara Rise</t>
  </si>
  <si>
    <t>Source</t>
  </si>
  <si>
    <t>Bound</t>
  </si>
  <si>
    <t>Phytane Reference</t>
  </si>
  <si>
    <t>SST Reference</t>
  </si>
  <si>
    <t>Calculating fractionation</t>
  </si>
  <si>
    <t>Current study</t>
  </si>
  <si>
    <t>pCO2</t>
  </si>
  <si>
    <t>Ennyu et al., 2002</t>
  </si>
  <si>
    <t>CO2(aq)</t>
  </si>
  <si>
    <t>C41, 1.15m</t>
  </si>
  <si>
    <t>V13, -1.6m</t>
  </si>
  <si>
    <t>V23b, -2.75m</t>
  </si>
  <si>
    <t>V29b, -3.8m</t>
  </si>
  <si>
    <t>V38, -5.34m</t>
  </si>
  <si>
    <t>V41b, -5.69m</t>
  </si>
  <si>
    <t>V47, -7.29m</t>
  </si>
  <si>
    <t>V54, -10.05m</t>
  </si>
  <si>
    <t>V60, -12.47m</t>
  </si>
  <si>
    <t>Early Aptian, Cretaceous</t>
  </si>
  <si>
    <t>A1</t>
  </si>
  <si>
    <t>A2</t>
  </si>
  <si>
    <t>A3</t>
  </si>
  <si>
    <t>B1</t>
  </si>
  <si>
    <t>B2</t>
  </si>
  <si>
    <t>B3</t>
  </si>
  <si>
    <t>Salinity</t>
  </si>
  <si>
    <t>L Aptian/Early Albian , Cretaceous</t>
  </si>
  <si>
    <t>Tarfaya, SW Morocco</t>
  </si>
  <si>
    <t>Late Triassic (Snadd Formation)</t>
  </si>
  <si>
    <t>Murillo et al., 2016</t>
  </si>
  <si>
    <t>Mid Triassic (Konne Formation)</t>
  </si>
  <si>
    <t>Early Jurassic (Nordmela Formation)</t>
  </si>
  <si>
    <t>7122/7-3   DST1B, 1195m</t>
  </si>
  <si>
    <t>7122/6-1   DST2, 2424-2434</t>
  </si>
  <si>
    <t>7122/7-3(2)   DST3C, 1812</t>
  </si>
  <si>
    <t>7120/12-2   DST2, 1985-1991</t>
  </si>
  <si>
    <t>Late Jurassic/Early Cretaceous (Hekkingen Formation)</t>
  </si>
  <si>
    <t>7120/8-2 (2)  1995m</t>
  </si>
  <si>
    <t>7120/8-2 (1)  1974m</t>
  </si>
  <si>
    <t>7120/8-2 (3)   2055m</t>
  </si>
  <si>
    <t>7120/9-2 (1)  1943m</t>
  </si>
  <si>
    <t>Mid/Late Triassic (Snadd Formation)</t>
  </si>
  <si>
    <t>7120/9-2 (2)  2708m</t>
  </si>
  <si>
    <t>Albatross, Barents Sea</t>
  </si>
  <si>
    <t>Askeladd, Barents Sea</t>
  </si>
  <si>
    <t>Goliat, Barents Sea</t>
  </si>
  <si>
    <t>Tornerose, Barents Sea</t>
  </si>
  <si>
    <t>Alke, Barents Sea</t>
  </si>
  <si>
    <t>15.4m</t>
  </si>
  <si>
    <t>16.4m</t>
  </si>
  <si>
    <t>16.5m</t>
  </si>
  <si>
    <t>Nunn and Price, 2010</t>
  </si>
  <si>
    <t>ENR005 7,28 m</t>
  </si>
  <si>
    <t xml:space="preserve"> Friedrich et al, 2012 &amp; Hansen et al, 2013</t>
  </si>
  <si>
    <t>Monterey, CA</t>
  </si>
  <si>
    <t>Pagani et al., 1999</t>
  </si>
  <si>
    <t>Pagani et al., 2005</t>
  </si>
  <si>
    <t>Site 608</t>
  </si>
  <si>
    <t>Site 516F</t>
  </si>
  <si>
    <t>Kochhann et al, 2016  Sites U1338 and 1337</t>
  </si>
  <si>
    <t>Kochhann et al, 2016  Sites U1338 and 1338</t>
  </si>
  <si>
    <t>Kochhann et al, 2016  Sites U1338 and 1339</t>
  </si>
  <si>
    <t>Kochhann et al, 2016  Sites U1338 and 1340</t>
  </si>
  <si>
    <t>Kochhann et al, 2016  Sites U1338 and 1341</t>
  </si>
  <si>
    <t>Kochhann et al, 2016  Sites U1338 and 1342</t>
  </si>
  <si>
    <t xml:space="preserve">Site 302-4A Arctic </t>
  </si>
  <si>
    <t>Site 367  649,62 cm</t>
  </si>
  <si>
    <t>Site 367 646,14 cm</t>
  </si>
  <si>
    <t>Site 367 643,37 cm</t>
  </si>
  <si>
    <t>Site 367 646,89 cm</t>
  </si>
  <si>
    <t>Site 367 643 cm</t>
  </si>
  <si>
    <t>Site 367 645,93 cm</t>
  </si>
  <si>
    <t>Site 367 647,93 cm</t>
  </si>
  <si>
    <t>Site 367</t>
  </si>
  <si>
    <t>Sinninghe Damste et al, 2008</t>
  </si>
  <si>
    <t>Site 1276</t>
  </si>
  <si>
    <t>Sinninghe Damste et al, 2010</t>
  </si>
  <si>
    <t>Site 1260</t>
  </si>
  <si>
    <t>Kochhann et al, 2016  Sites U1338 and 1343</t>
  </si>
  <si>
    <t>Caspian Sea</t>
  </si>
  <si>
    <t>http://www.watertemperature.org/Caspian-Sea--Geo.html</t>
  </si>
  <si>
    <t xml:space="preserve"> Friedrich et al, 2012 &amp; Hansen et al, 2012</t>
  </si>
  <si>
    <t xml:space="preserve"> Friedrich et al, 2012 &amp; Hansen et al, 2009</t>
  </si>
  <si>
    <t xml:space="preserve"> Friedrich et al, 2012 &amp; Hansen et al, 2010</t>
  </si>
  <si>
    <t xml:space="preserve"> Friedrich et al, 2012 &amp; Hansen et al, 2011</t>
  </si>
  <si>
    <t>B-3 Ilam</t>
  </si>
  <si>
    <t>Albian, L Cretaceous</t>
  </si>
  <si>
    <t>Santonian, Cretaceous</t>
  </si>
  <si>
    <t>Coniacian, Cretaceous</t>
  </si>
  <si>
    <t>Cenomanian, Cretaceous</t>
  </si>
  <si>
    <t>Late Cenomanian, Cretaceous</t>
  </si>
  <si>
    <t>Barral et al, 2017</t>
  </si>
  <si>
    <t>Hobyo, Somalia</t>
  </si>
  <si>
    <t>Cadale, Somalia</t>
  </si>
  <si>
    <t>Zanzibar Sea</t>
  </si>
  <si>
    <t>Madagascar</t>
  </si>
  <si>
    <t>Site 603B, 1133.5m</t>
  </si>
  <si>
    <t>Site  603B, 1134.0m</t>
  </si>
  <si>
    <t>Site  603B, 1134.8m</t>
  </si>
  <si>
    <t>Barral et al, 2017 (Huber et al., 1995; Cramer et al., 2009)</t>
  </si>
  <si>
    <t>Barral et al., 2017 (Huber et al., 2002; Cramer et al., 2009)</t>
  </si>
  <si>
    <t>Wagner et al., 2008</t>
  </si>
  <si>
    <t>Littler et al., 2011</t>
  </si>
  <si>
    <t xml:space="preserve"> S57 core</t>
  </si>
  <si>
    <t>Sachse et al., 2014</t>
  </si>
  <si>
    <t>Campanian, Cretaceous</t>
  </si>
  <si>
    <t>U Albian, Cretaceous</t>
  </si>
  <si>
    <t>L Aptian, Cretaceous</t>
  </si>
  <si>
    <t>Mutterlose et al., 2010</t>
  </si>
  <si>
    <t>Late Jurassic</t>
  </si>
  <si>
    <t>Early Cret/Late Jurassic</t>
  </si>
  <si>
    <t>Brigaud et al., 2008</t>
  </si>
  <si>
    <t>Paris Basin</t>
  </si>
  <si>
    <t>Rosales et al., 2004</t>
  </si>
  <si>
    <t>Tan et al., 1970</t>
  </si>
  <si>
    <t>Skype, Scotland</t>
  </si>
  <si>
    <t>Caravaca et al., 2017</t>
  </si>
  <si>
    <t>Hermoso and Pellenard, 2014</t>
  </si>
  <si>
    <t>26694</t>
  </si>
  <si>
    <t>Sandoval et al., 2012</t>
  </si>
  <si>
    <t>Joachimski et al., 2009</t>
  </si>
  <si>
    <t>Geldern et al., 2006</t>
  </si>
  <si>
    <t>Delabroye et al., 2011</t>
  </si>
  <si>
    <t>Pisarzowska and Racki, 2012</t>
  </si>
  <si>
    <t>Newell, 2017</t>
  </si>
  <si>
    <t>75.77° N, 33.83° E</t>
  </si>
  <si>
    <t>70°50′N/72°15′N, 20°E-24°10′E</t>
  </si>
  <si>
    <t>Quaternary</t>
  </si>
  <si>
    <t>IODP 002R02W 77-79</t>
  </si>
  <si>
    <t>IODP 005R04W 77-79</t>
  </si>
  <si>
    <t>IODP 008R04W 102-104</t>
  </si>
  <si>
    <t>Pliocene</t>
  </si>
  <si>
    <t>IODP 011R05W 127-129</t>
  </si>
  <si>
    <t>IODP 016R03W 127-129</t>
  </si>
  <si>
    <t>IODP 020R01W 52-54</t>
  </si>
  <si>
    <t>IODP 025R01W 27-29</t>
  </si>
  <si>
    <t>IODP 030R02W 82-84</t>
  </si>
  <si>
    <t>IODP 032R02W 52-54</t>
  </si>
  <si>
    <t>Pliocene/Miocene</t>
  </si>
  <si>
    <t>IODP 045R03W 100-104</t>
  </si>
  <si>
    <t>Upper Miocene</t>
  </si>
  <si>
    <t>IODP 047R01W 50-54</t>
  </si>
  <si>
    <t>IODP 051R01W 101-105</t>
  </si>
  <si>
    <t>IODP 054R02W 25-29</t>
  </si>
  <si>
    <t>IODP 058R03W 75-79</t>
  </si>
  <si>
    <t>IODP 069R02W 50-54</t>
  </si>
  <si>
    <t>IODP 077R01W 33-35</t>
  </si>
  <si>
    <t>Middle Miocene</t>
  </si>
  <si>
    <t>IODP 085R01W 50-52</t>
  </si>
  <si>
    <t>IODP 088R02W 125-127</t>
  </si>
  <si>
    <t>IODP 091R01W 20-24</t>
  </si>
  <si>
    <t>IODP 096R01W 65-69</t>
  </si>
  <si>
    <t>IODP 100R02W 27-29</t>
  </si>
  <si>
    <t>IODP 103R01W 135-139</t>
  </si>
  <si>
    <t>IODP 106R01W 137-139</t>
  </si>
  <si>
    <t>IODP 109R02W 22-24</t>
  </si>
  <si>
    <t>IODP 110R04W 98-100</t>
  </si>
  <si>
    <t>Tipple et al.,  2010</t>
  </si>
  <si>
    <t>Rhenana Frasnian, Devonian</t>
  </si>
  <si>
    <t>Coordinates</t>
  </si>
  <si>
    <t>34.43, -120.757833</t>
  </si>
  <si>
    <t>34.2, -120.757834</t>
  </si>
  <si>
    <t>34.3, -120.757833</t>
  </si>
  <si>
    <t>33.86, -120.757835</t>
  </si>
  <si>
    <t>33.76, -120.757836</t>
  </si>
  <si>
    <t>33.69, -120.757837</t>
  </si>
  <si>
    <t>33.56, -120.757838</t>
  </si>
  <si>
    <t>33.39, -120.757839</t>
  </si>
  <si>
    <t>33.19, -120.757840</t>
  </si>
  <si>
    <t>33.12, -120.757841</t>
  </si>
  <si>
    <t>32.79, -120.757842</t>
  </si>
  <si>
    <t>32.62, -120.757843</t>
  </si>
  <si>
    <t>32.45, -120.757844</t>
  </si>
  <si>
    <t>32.37, -120.757845</t>
  </si>
  <si>
    <t>32.03, -120.757846</t>
  </si>
  <si>
    <t>31.36, -120.757847</t>
  </si>
  <si>
    <t>31.01, -120.757848</t>
  </si>
  <si>
    <t>30.73, -120.757849</t>
  </si>
  <si>
    <t>30.63, -120.757850</t>
  </si>
  <si>
    <t>30.54, -120.757851</t>
  </si>
  <si>
    <t>30.36, -120.757852</t>
  </si>
  <si>
    <t>30.19, -120.757853</t>
  </si>
  <si>
    <t>30.15, -120.757854</t>
  </si>
  <si>
    <t>30.04, -120.757855</t>
  </si>
  <si>
    <t>29.94, -120.757856</t>
  </si>
  <si>
    <t>29.89, -120.757857</t>
  </si>
  <si>
    <t>31.86, -120.757858</t>
  </si>
  <si>
    <t>31.70, -120.757859</t>
  </si>
  <si>
    <t>31.34, -120.757860</t>
  </si>
  <si>
    <t>31.78, -120.757861</t>
  </si>
  <si>
    <t>IODP 062R01W 50-54</t>
  </si>
  <si>
    <t>IODP 065R02W 50-54</t>
  </si>
  <si>
    <t>IODP 070R03W 30-32</t>
  </si>
  <si>
    <t>Colpaert et al., 2017</t>
  </si>
  <si>
    <t>MP°C</t>
  </si>
  <si>
    <t>MM°C</t>
  </si>
  <si>
    <t>Anom</t>
  </si>
  <si>
    <t>Anom Reference</t>
  </si>
  <si>
    <t>SST°K</t>
  </si>
  <si>
    <t>δa Reference</t>
  </si>
  <si>
    <t>Determining SST</t>
  </si>
  <si>
    <t>Weiss, 1974  - Calculating K0</t>
  </si>
  <si>
    <t>Barral A, Gomez B, Fourel F, Daviero-Gomez V, Lecuyer C (2017) CO2 and temperature decoupling at the million-year scale during the Cretaceous Greenhouse. Sci. Rep. 7:8310 (2017) doi:10.1038/s41598-017-08234-0.</t>
  </si>
  <si>
    <t>Bice KL, Birgel D, Meyers PA, Dahl KA, Hinrichs K-U, Norris RD (2006) A multiple proxy and model study of Cretaceous upper ocean temperatures and atmospheric CO2 concentrations. Paleoceanography 21:PA2002. doi:10.1029/2005PA001203.</t>
  </si>
  <si>
    <t xml:space="preserve">Hayes JM, Strauss H, Kaufman AJ (1999) The abundance of 13C in marine organic matter and isotopic fractionation in the global biogeochemical cycle of carbon during the past 800 Ma. Chem Geol 161:103-125. </t>
  </si>
  <si>
    <t>Sinninghe Damsté JS, Kuypers MMM, Pancost RD, Schouten S (2008) The carbon isotopic response of algae, (cyano)bacteria, archaea and higher plants to the late Cenomanian perturbation of the global carbon cycle: Inghts from biomarkers in black shale from the Cape Verde Basin (DSDP Site 367). Org Geochem 39:1703-1718.</t>
  </si>
  <si>
    <t>Alizadeh B, Saadati H, Rashidi M, Kobraei M (2015) Geochemical investigation of oils from Cretaceous to Eocene Sedimentary sequences of the Abadan Plain, Southwest Iran. Marine and Petroleum Geology doi: 10.1016/j.marpetgeo.2015.11.002.</t>
  </si>
  <si>
    <t>Bechtel A, Movsumova U, Strobl SAI, Sachsenhofer RF, Soliman A, Gratzer R, Puttmann W (2013) Organofacies and paleoenvironment of the Oligocene Maikop series of Angeharan (eastern Azerbaijan). Organic Geochemistry 56:51-67.</t>
  </si>
  <si>
    <t>Forster A, Kuypers MMM, Turgeon SC, Brumsack H-J, Petrizzo MR, Sinninghe Damste JS (2008) The Cenomanian/Turonian oceanic anoxic event in the South Atlatic: New insights from a geochemical study of DSDP Site 530A. Palaeogeograph, Paleoclimatology, Palaeoecology 267:256-283.</t>
  </si>
  <si>
    <t>French KL, Sepulceda J, Trabucho-Alexandre J, Grocke DR, Summons RE (2014) Organic geochemistry of the early Toarcian oceanic anoxic event in Hawkser Bottoms, Yorkshire, England. Earth and Planetary Science Letters 390:116-127.</t>
  </si>
  <si>
    <t>Hermoso M, Pellenard P (2014) Continental weathering and climatic changes inferred from clay mineralogy and paired carbon isotopes across the early to middle Toarcian in the Paris Basin. Palaeogeography, Palaeoclimatology, Palaeoecology.</t>
  </si>
  <si>
    <t>Joachimski MM, Pancost RD, Freeman KH, Ostertag-Henning C, Buggisch W (2002) Carbon isotope geochemistry of the Frasnian-Famennian transition. Palaeogeography, Palaeoclimatology, Palaeoecology 181:91-109.</t>
  </si>
  <si>
    <t>Koopmans MP, Koster J, van Kaam-Peters HME, Kenig F, Schouten S, Hatgers WA, de Leeuw JW, Sinninghe Damste JS (1996) Diagenetic and catagenetic products of isorenieratene: Molecular indicators for photic zone anoxia. Geochimica et Cosmochimica Acta 60:4467-4496.</t>
  </si>
  <si>
    <t>Kuypers MMM, Blokker P, Hopmans EC, Kinkel H, Pancost RD, Schouten S, Sinninghe Damste JS (2002) Palaeogoegraphy, Palaeoclimatology, Palaeoecology 185:211-234.</t>
  </si>
  <si>
    <t>Nabbefeld B, Grice K, Twitchett RJ, Summons RE, Hays L, Bottcher ME, Asif M (2010) An integrated biomarker, isotopic and palaeoenvironmental study through the Late Permian event at Lusitaniadalen, Spitsbergen. Earth and Planetary Science Letters 291:84-96.</t>
  </si>
  <si>
    <t>Pagani M, Freeman KH, Arthur MA (2000) Isotope analyses of molecular and total organic carbon from Miocene sediments. Geochimica et Cosmochimica Acta 64:37-49.</t>
  </si>
  <si>
    <t>Pancost RD, Freeman KH, Herrmann AD, Patzkowsky ME, Ainsaar L, Martma T (2013) Reconstructing Late Orgovician carbon cycle variations. Geochimica et Cosmochimica Acta 105:433-454.</t>
  </si>
  <si>
    <t>Royer DL, Berner RA, Montanez IP, Tabor NJ, Beerling DJ (2004) CO2 as a primary driver of Phanerozoic climate. GSA Today 14: doi: 10.1130/1052-5173(2004)014&lt;4:CAAPDO&gt;2.0.CO;2.</t>
  </si>
  <si>
    <t>Schoon PL, Sluijs A, Sinninghe Damste JS, Schouten S (2011) Stable carbon isotope patterns of marine biomarker lipids in the Arctic Ocean during Eocene Thermal Maximum 2. Paleooceanography 26:PA3215, doi:10.1029/2010PA002028</t>
  </si>
  <si>
    <t>Schouten S, Schoell M, Rupstra WIC, Sinninghe Damste JS, de Leeuw JW (1997) A molecular stable carbon isotope study of organic matter in immature Miocene Monterey sediments, Pismo basin. Geochimica et Cosmochimica Acta 61:2065-2082.</t>
  </si>
  <si>
    <t>Schouten eS, van Kaam-Peters ME, Rijpstra WIC, Schoell M, Sinninghe Damste JS (2000) AJS 300:1-22.</t>
  </si>
  <si>
    <t>Tsikos H, Jenkyns HC, Walsworth-Bell B, Petrizzo MR, Forster A, Kolonic S, Erba E, Premoli Silva I, Baas M, Wagner T, Sinninghe Damste JS (2004) Carbon-isotope stratigraphy recorded by the Cenomanian–Turonian Oceanic Anoxic Event: correlation and implications based on three key localities. Journal of the Geological Society 161:711-719.</t>
  </si>
  <si>
    <t>Tulipani S, Grice K, Greenwood PF, Haines PW, Sauer PE, Schimmelmann A, Summons RE, Foster CB, Bottcher ME, Playton T, Schwark L (2015) Changes of palaeoenvironmental conditions recorded in Late Devonian reef systems from the Canning Basin, Western Australia: A biomarker and stable isotope approach. Godwana Research 28:1500-1515.</t>
  </si>
  <si>
    <t>van Kaam-Peters HME, Schouten S, de Leeuw JW, Sinninghe Damste JS (1997) A molecular and carbon isotope biogeochemical study of biomarkers and kerogen pyrolysates of the Kimmeridge Clay Facies: palaeoenvironmental implications. Organic Geochemistry 27:399-422.</t>
  </si>
  <si>
    <t>Yamamoto M, Naraoka H, Ishiwatari R, Ogihara S (2005) Carbon isotope signatures of bacterial 28-norhopanoic acids in Miocene-Pliocene diatomaceous and phosphatic sediments. Chemical Geology 218:117-133.</t>
  </si>
  <si>
    <t>Grice K, Gibbison R, Atkinson JE, Schwark L, Eckardt CB, Maxwell JR (1996) Maleimides (1H-pyrrole-2,5-diones) as molecular indicators of anoxygenic photosynthesis in ancient water columns. Geochimica et Cosmochimica Acta 60:3913-3924.</t>
  </si>
  <si>
    <t>Hansen J, Sato M, Russell G, Kharecha P (2013) Climate sensitivity, sea level and atmospheric carbon dioxide. Phil. Trans. R. Soc. A 371:20120294.</t>
  </si>
  <si>
    <t>Friedrich O, Norris RD, Erbacher J (2012) Evolution of mid- to Late Cretaceous oceans – A 55 million year record of Earth’s temperature and carbon cycle. Geology. 40:107-110.</t>
  </si>
  <si>
    <t>Tipple BJ, Meyers SR, Pagani M (2010) Carbon isotope ratio of Cenozoic CO2: A comparative evaluation of available geochemical proxies. Paleoceanography 25:PA3203.</t>
  </si>
  <si>
    <t>van Bentum EC, Reichart G-J, Sinninghe Damsté (2012) Organic matter provenance, palaeoproductivity and bottom water anoxia during the Cenomanian/Turonian oceanic anoxic event in the Newfoundland Basin (northern proto North Atlantic Ocean). Org Geochem 50:11-18.</t>
  </si>
  <si>
    <t>van Bentum EC, Reichart G-J, Forster A, Sinninghe Damsté (2012) Latitudinal differences in the amplitude of the OAE-2 carbon isotopic excursion: pCO2 and paleo productivity. Biogeosciences 9:717-731.</t>
  </si>
  <si>
    <t>van Kaam-Peters, Schouten S, Koster J, Sinninghe Damste JS (1998) Controls on the molecular and carbon isotopic composition of organic matter deposited in a Kimmeridgian euxinic shelf sea: Evidence for preservation of carbohydrates through sulfurisation. Geochimica et Cosmochimica Acta 62: 3259-3283.</t>
  </si>
  <si>
    <t>Murillo WA, Vieth-Hillebrand A, Horsfield B, Wilkes H (2016) Petroleum source, maturity, alteration and mixing in the southwestern Barents Sea: New insights from geochemical and isotope data. Marine and Petroleum Geology 70:119-143.</t>
  </si>
  <si>
    <t>Mutterlose J, Malkoc M, Schouten S, Sinninghe Damste, Forster A (2010) TEX86 and stable δ18O paleothermometry of early Cretaceous sediments: Implications for belemnite ecology and paleotemperature proxy application.  
Earth and Planetary Science Letters 298:286-298.</t>
  </si>
  <si>
    <t>Caravaca G, Thomazo C, Vennin E, Olivier N, Cocquerez T, Escarguel G, Fara E, Jenks JF, Bylund KG, Stephen DA, Brayard A (2017) Early Triassic fluctuations of the global carbon cycle: New evidence from paired carbon isotopes in the western USA basin. Global and Planetary Change 154:10-22.</t>
  </si>
  <si>
    <t>Colpaert C, Nikitenko BL, Khafaeva SN (2017) Stratigraphy and ecostratigraphic distribution of foraminiferal morphogroups from the Upper Jurassic of the Makar’yev section (Unzha River, Volga River basin). Russian Geology and Geophysics 58: 70-86.</t>
  </si>
  <si>
    <t>Delabroye A, Munnecke A, Vecoli M, Copper P, Tribovillard N, Joachimski MM, Desrochers A, Servais T (2011) Phytoplankton dynamics across the Ordovician/Silurian boundary at low palaeolatitudes: Correlations with carbon isotopic and glacial events. Palaeogeography, Palaeoclimatology, Palaeoecology 312:79-97.</t>
  </si>
  <si>
    <t>Ennyu A, Arthur MA, Pagani M (2002) Fine-fraction carbonate stable isotopes as indicators of seasonal shallow mixed-layer paleohydrography. Marine Micropaleontology 46:317-342.</t>
  </si>
  <si>
    <t>van Geldern R, Joachimski MM, Day J, Jansen U, Alvarez F, Yolkin EA, Ma X-P (2006) Carbon, oxygen and strontium isotope records of Devonian brachiopod shell calcite. Palaeogeography, Palaeoclimatology, Palaeoecology 240:47-67.</t>
  </si>
  <si>
    <t>Guthrie JM (1996) Molecular and carbon isotopic analysis of individual biological markers: evidence for sources of organic matter and paleoenvironmental conditions in the Upper Ordovician Maquoketa Group, Illinois Basin, U.S.A. Organic Geochemistry 25:439-460.</t>
  </si>
  <si>
    <t>Honig MR, John CM, Manning C (2017) Development of an equatorial carbonate platform across the Triassic-Jurassic boundary and links to global palaeoenvironmental changes (Musandam Peninsula, UAE/Oman). Gondwana Research 45:100-117.</t>
  </si>
  <si>
    <t>Nunn EV, Price GD (2010) Late Jurassic (Kimmeridgian–Tithonian) stable isotopes (δ18O, δ13C) and Mg/Ca ratios: New palaeoclimate data from Helmsdale, northeast Scotland. Palaeogeography, Palaeoclimatology, Palaeoecology 292:325-335.</t>
  </si>
  <si>
    <t>Kochhann KGD, Holbourn A, Kuhnt W, Xu J (2017) Eastern equatorial Pacific benthic foraminiferal distribution and deep water temperature changes during the early to middle Miocene. Marine Micropaleontology 133:28-39.</t>
  </si>
  <si>
    <t>Kuypers MMM, Lourens LJ, Rijpstra WIC, Pancost RD, Nijenhuis IA, Sinninghe Damste JS (2004) Orbital forcing of organic carbon burial in the proto-North Atlantic during oceanic anoxic event 2. Earth and Planetary Science Letters 228:465-482.</t>
  </si>
  <si>
    <t>Newell AJ (2017) Rifts, rivers and climate recovery: A new model for the Triassic of England. Proceedings of the Geologists' Association https://doi.org/10.1016/j.pgeola.2017.04.001.</t>
  </si>
  <si>
    <t>Hughes WB, Holba AG, Dzou LIP (1995) The ratios of dibenzothiophene to phenanthrene and pristane to phytane as indicators of depositional environment and lithology of petroleum source rocks. Geochimica et Cosmochimica Acta 59:3581-3598.</t>
  </si>
  <si>
    <t>Sandoval J, Bill M, Aguado R, O-Dogherty L, Rivas P, Morard A, Guex J (2012) he Toarcian in the Subbetic basin (southern Spain): Bio-events (ammonite and calcareous nannofossils) and carbon-isotope stratigraphy. Palaeogeography, Palaeoclimatology, Palaeoecology 342:40-63.</t>
  </si>
  <si>
    <t>Tan FC, Hudson JD, Keith ML (1970) Jurassic (callovian) paleotemperatures from Scotland. Earth and Planetary Science Letters 9:421-426.</t>
  </si>
  <si>
    <t>Korte et al., 2010</t>
  </si>
  <si>
    <t>Korte C, Kozur HW (2010) Carbon-isotope stratigraphy across the Permian–Triassic boundary: A review. Journal of Asian Earth Sciences 39:215-235.</t>
  </si>
  <si>
    <t>References in Dataset S1</t>
  </si>
  <si>
    <t>ɛf</t>
  </si>
  <si>
    <t>Estimating pCO2</t>
  </si>
  <si>
    <t>Middle-Upper Miocene, Cenozoic</t>
  </si>
  <si>
    <t>Early Oligocene, Cenozoic</t>
  </si>
  <si>
    <t>Middle Oligocene, Cenozoic</t>
  </si>
  <si>
    <t>Con/Camp, Cretaceous</t>
  </si>
  <si>
    <t>Tith/Berr, Jurassic/Cretaceous</t>
  </si>
  <si>
    <t>Hett, Jurassic</t>
  </si>
  <si>
    <t>Plien/Toar, Jurassic</t>
  </si>
  <si>
    <t>Call/Kim, Jurassic</t>
  </si>
  <si>
    <t>Kimmeridge, Jurassic</t>
  </si>
  <si>
    <t>Rhaetian, Triassic</t>
  </si>
  <si>
    <t>Famm/Tour, Devonian/Carboniferous</t>
  </si>
  <si>
    <t>Early Silurian</t>
  </si>
  <si>
    <t>Key</t>
  </si>
  <si>
    <t>Lat</t>
  </si>
  <si>
    <t>Long</t>
  </si>
  <si>
    <t>36.6177° N</t>
  </si>
  <si>
    <t xml:space="preserve"> 121.9166° W</t>
  </si>
  <si>
    <t>42.9078° N</t>
  </si>
  <si>
    <t xml:space="preserve"> 9.2650° W</t>
  </si>
  <si>
    <t>39.4636° N</t>
  </si>
  <si>
    <t xml:space="preserve"> 140.5192° E</t>
  </si>
  <si>
    <t>28.9234° N</t>
  </si>
  <si>
    <t xml:space="preserve"> 50.8203° E</t>
  </si>
  <si>
    <t>5.6680° N</t>
  </si>
  <si>
    <t xml:space="preserve"> 53.7790° W</t>
  </si>
  <si>
    <t>12.3757° S</t>
  </si>
  <si>
    <t xml:space="preserve"> 13.5610° E</t>
  </si>
  <si>
    <t>15.1386° N</t>
  </si>
  <si>
    <t xml:space="preserve"> 23.2067° W</t>
  </si>
  <si>
    <t>39.6243° N</t>
  </si>
  <si>
    <t xml:space="preserve"> 19.9217° E</t>
  </si>
  <si>
    <t>70°50′N/72°15′N</t>
  </si>
  <si>
    <t xml:space="preserve"> 20°E-24°10′E</t>
  </si>
  <si>
    <t>75.77° N</t>
  </si>
  <si>
    <t xml:space="preserve"> 33.83° E</t>
  </si>
  <si>
    <t>77.8750° N</t>
  </si>
  <si>
    <t xml:space="preserve"> 20.9752° E</t>
  </si>
  <si>
    <t>51.2277° N</t>
  </si>
  <si>
    <t xml:space="preserve"> 6.7735° E</t>
  </si>
  <si>
    <t>46.1831° N</t>
  </si>
  <si>
    <t xml:space="preserve"> 103.3949° W</t>
  </si>
  <si>
    <t>41.9779° N</t>
  </si>
  <si>
    <t xml:space="preserve"> 91.6656° W</t>
  </si>
  <si>
    <t>42.0689° N</t>
  </si>
  <si>
    <t xml:space="preserve"> 90.6657° W</t>
  </si>
  <si>
    <t>x</t>
  </si>
  <si>
    <t>Needs Fixed</t>
  </si>
  <si>
    <t>Latitude</t>
  </si>
  <si>
    <t>Longitude</t>
  </si>
  <si>
    <t>key</t>
  </si>
  <si>
    <t>Fixed Lat</t>
  </si>
  <si>
    <t>Fixed Long</t>
  </si>
  <si>
    <t>X</t>
  </si>
  <si>
    <t>Standard Location Name</t>
  </si>
  <si>
    <t>Country Location</t>
  </si>
  <si>
    <t>USA</t>
  </si>
  <si>
    <t>Japan</t>
  </si>
  <si>
    <t>Azerbaijan</t>
  </si>
  <si>
    <t>Iran</t>
  </si>
  <si>
    <t>Canada</t>
  </si>
  <si>
    <t>Cape Verde</t>
  </si>
  <si>
    <t>Morocco</t>
  </si>
  <si>
    <t>South America</t>
  </si>
  <si>
    <t>Namibia</t>
  </si>
  <si>
    <t>Greece</t>
  </si>
  <si>
    <t>UK</t>
  </si>
  <si>
    <t>North America</t>
  </si>
  <si>
    <t>Spitsbergen</t>
  </si>
  <si>
    <t>Poland</t>
  </si>
  <si>
    <t>Australia</t>
  </si>
  <si>
    <t>Copy Location Source</t>
  </si>
  <si>
    <t>Given in source</t>
  </si>
  <si>
    <t>Err</t>
  </si>
  <si>
    <t>Lithology</t>
  </si>
  <si>
    <t>Phytane</t>
  </si>
  <si>
    <t>Inorganic</t>
  </si>
  <si>
    <t>Witkowski et al. 2018</t>
  </si>
  <si>
    <t>Hayes et al. 1995 unpublished</t>
  </si>
  <si>
    <t>Schouten et al. 1997a</t>
  </si>
  <si>
    <t>Pagani et al. 2000</t>
  </si>
  <si>
    <t>Yamamoto et al. 2005</t>
  </si>
  <si>
    <t>Bechtel et al. 2013</t>
  </si>
  <si>
    <t>Schoon et al. 2011</t>
  </si>
  <si>
    <t>Alizadah et al. 2015</t>
  </si>
  <si>
    <t>Bice et al. 2006</t>
  </si>
  <si>
    <t>Tsikos et al. 2004</t>
  </si>
  <si>
    <t>Kuypers et al. 2004</t>
  </si>
  <si>
    <t>Kuypers et al. 2002</t>
  </si>
  <si>
    <t>Forster et al. 2008</t>
  </si>
  <si>
    <t>Murillo et al. 2016</t>
  </si>
  <si>
    <t>Koopmans et al. 1996</t>
  </si>
  <si>
    <t>French et al. 2014</t>
  </si>
  <si>
    <t>Schouten et al. 2000c</t>
  </si>
  <si>
    <t>Nabbefeld et al. 2010</t>
  </si>
  <si>
    <t>Grice et al. 1996</t>
  </si>
  <si>
    <t>Curiale et al. 1985 in Hughes et al. 1995</t>
  </si>
  <si>
    <t>Meissner et al. 1984 in Hughes et al. 1995</t>
  </si>
  <si>
    <t>Brooks et al. 1992 al. 1992 in Hayes et al. 1995</t>
  </si>
  <si>
    <t>Joachimski et al. 2002</t>
  </si>
  <si>
    <t>Tulipani et al. 2015</t>
  </si>
  <si>
    <t>Pancost et al. 2013</t>
  </si>
  <si>
    <t>van Bentum et al. 2012a</t>
  </si>
  <si>
    <t>van Bentum et al. 2012b</t>
  </si>
  <si>
    <t>Sinninghe Damste et al. 2008b</t>
  </si>
  <si>
    <t>van Kaam Peters et al. 1998</t>
  </si>
  <si>
    <t>van Kaam-Peters et al. 1997a</t>
  </si>
  <si>
    <t>Osadetz et al. 1992 in Hughes et al. 1995</t>
  </si>
  <si>
    <t>Guthrie 1996</t>
  </si>
  <si>
    <t>Tipple et al. 2010</t>
  </si>
  <si>
    <t>Hayes et al. 1999</t>
  </si>
  <si>
    <t>Ennyu et al. 2002</t>
  </si>
  <si>
    <t>Barral et al. 2017</t>
  </si>
  <si>
    <t>Mutterlose et al. 2010</t>
  </si>
  <si>
    <t>Tan et al. 1970</t>
  </si>
  <si>
    <t>Colpaert et al. 2017</t>
  </si>
  <si>
    <t>Sandoval et al. 2012</t>
  </si>
  <si>
    <t>Korte et al. 2010</t>
  </si>
  <si>
    <t>Caravaca et al. 2017</t>
  </si>
  <si>
    <t>Geldern et al. 2006</t>
  </si>
  <si>
    <t>Delabroye et al. 2011</t>
  </si>
  <si>
    <t>Kochhann et al. 2016, sites U1338, 1337</t>
  </si>
  <si>
    <t>Kochhann et al. 2016, sites U1338, 1338</t>
  </si>
  <si>
    <t>Kochhann et al. 2016, sites U1338, 1339</t>
  </si>
  <si>
    <t>Kochhann et al. 2016, sites U1338, 1340</t>
  </si>
  <si>
    <t>Kochhann et al. 2016, sites U1338, 1341</t>
  </si>
  <si>
    <t>Kochhann et al. 2016, sites U1338, 1343</t>
  </si>
  <si>
    <t>Kochhann et al. 2016, sites U1338, 1342</t>
  </si>
  <si>
    <t>Sinninghe et al. 2008b</t>
  </si>
  <si>
    <t>Nunn and Price 2010</t>
  </si>
  <si>
    <t>Hermoso and Pellenard 2014</t>
  </si>
  <si>
    <t>Newell 2017</t>
  </si>
  <si>
    <t>Phytane Ref</t>
  </si>
  <si>
    <t>Inorganic Source</t>
  </si>
  <si>
    <t>Concatenate</t>
  </si>
  <si>
    <t>Witkowski et al. 2018 (phytane); Tipple et al. 2010 (carbonate)</t>
  </si>
  <si>
    <t>Witkowski et al. 2018 (phytane); Hayes et al. 1999 (carbonate)</t>
  </si>
  <si>
    <t>Hayes et al. 1995 unpublished (phytane); Hayes et al. 1999 (carbonate)</t>
  </si>
  <si>
    <t>Schouten et al. 1997a (phytane); Hayes et al. 1999 (carbonate)</t>
  </si>
  <si>
    <t>Schouten et al. 1997a (phytane); Kochhann et al. 2016, sites U1338, 1337 (carbonate)</t>
  </si>
  <si>
    <t>Pagani et al. 2000 (phytane); Ennyu et al. 2002 (carbonate)</t>
  </si>
  <si>
    <t>Schouten et al. 1997a (phytane); Kochhann et al. 2016, sites U1338, 1338 (carbonate)</t>
  </si>
  <si>
    <t>Schouten et al. 1997a (phytane); Kochhann et al. 2016, sites U1338, 1339 (carbonate)</t>
  </si>
  <si>
    <t>Schouten et al. 1997a (phytane); Kochhann et al. 2016, sites U1338, 1340 (carbonate)</t>
  </si>
  <si>
    <t>Curiale et al. 1985 in Hughes et al. 1995 (phytane); Kochhann et al. 2016, sites U1338, 1341 (carbonate)</t>
  </si>
  <si>
    <t>Meissner et al. 1984 in Hughes et al. 1995 (phytane); Kochhann et al. 2016, sites U1338, 1343 (carbonate)</t>
  </si>
  <si>
    <t>Yamamoto et al. 2005 (phytane); Kochhann et al. 2016, sites U1338, 1342 (carbonate)</t>
  </si>
  <si>
    <t>Bechtel et al. 2013 (phytane); Hayes et al. 1999 (carbonate)</t>
  </si>
  <si>
    <t>Schoon et al. 2011 (phytane); Schoon et al. 2011 (carbonate)</t>
  </si>
  <si>
    <t>Alizadah et al. 2015 (phytane); Hayes et al. 1999 (carbonate)</t>
  </si>
  <si>
    <t>Witkowski et al. 2018 (phytane); Barral et al. 2017 (carbonate)</t>
  </si>
  <si>
    <t>Bice et al. 2006 (phytane); Bice et al. 2006 (carbonate)</t>
  </si>
  <si>
    <t>van Bentum et al. 2012a (phytane); Barral et al. 2017 (carbonate)</t>
  </si>
  <si>
    <t>van Bentum et al. 2012b (phytane); Sinninghe et al. 2008b (carbonate)</t>
  </si>
  <si>
    <t>Sinninghe Damste et al. 2008b (phytane); Sinninghe et al. 2008b (carbonate)</t>
  </si>
  <si>
    <t>Tsikos et al. 2004 (phytane); Tsikos et al. 2004 (carbonate)</t>
  </si>
  <si>
    <t>Kuypers et al. 2004 (phytane); Barral et al. 2017 (carbonate)</t>
  </si>
  <si>
    <t>Kuypers et al. 2002 (phytane); Sinninghe et al. 2008b (carbonate)</t>
  </si>
  <si>
    <t>van Bentum et al. 2012b (phytane); Barral et al. 2017 (carbonate)</t>
  </si>
  <si>
    <t>Forster et al. 2008 (phytane); Barral et al. 2017 (carbonate)</t>
  </si>
  <si>
    <t>Witkowski et al. 2018 (phytane); Tsikos et al. 2004 (carbonate)</t>
  </si>
  <si>
    <t>Kuypers et al. 2002 (phytane); Hayes et al. 1999 (carbonate)</t>
  </si>
  <si>
    <t>Murillo et al. 2016 (phytane); Nunn and Price 2010 (carbonate)</t>
  </si>
  <si>
    <t>Witkowski et al. 2018 (phytane); Mutterlose et al. 2010 (carbonate)</t>
  </si>
  <si>
    <t>van Kaam-Peters et al. 1997a (phytane); Hayes et al. 1999 (carbonate)</t>
  </si>
  <si>
    <t>van Kaam Peters et al. 1998 (phytane); Hayes et al. 1999 (carbonate)</t>
  </si>
  <si>
    <t>Koopmans et al. 1996 (phytane); Hayes et al. 1999 (carbonate)</t>
  </si>
  <si>
    <t>Witkowski et al. 2018 (phytane); Tan et al. 1970 (carbonate)</t>
  </si>
  <si>
    <t>Witkowski et al. 2018 (phytane); Colpaert et al. 2017 (carbonate)</t>
  </si>
  <si>
    <t>French et al. 2014 (phytane); Sandoval et al. 2012 (carbonate)</t>
  </si>
  <si>
    <t>Schouten et al. 2000c (phytane); Hermoso and Pellenard 2014 (carbonate)</t>
  </si>
  <si>
    <t>Witkowski et al. 2018 (phytane); Korte et al. 2010 (carbonate)</t>
  </si>
  <si>
    <t>Murillo et al. 2016 (phytane); Hayes et al. 1999 (carbonate)</t>
  </si>
  <si>
    <t>Witkowski et al. 2018 (phytane); Caravaca et al. 2017 (carbonate)</t>
  </si>
  <si>
    <t>Nabbefeld et al. 2010 (phytane); Hayes et al. 1999 (carbonate)</t>
  </si>
  <si>
    <t>Brooks et al. 1992 al. 1992 in Hayes et al. 1995 (phytane); Hayes et al. 1999 (carbonate)</t>
  </si>
  <si>
    <t>Grice et al. 1996 (phytane); Newell 2017 (carbonate)</t>
  </si>
  <si>
    <t>Witkowski et al. 2018 (phytane); Newell 2017 (carbonate)</t>
  </si>
  <si>
    <t>Osadetz et al. 1992 in Hughes et al. 1995 (phytane); Hayes et al. 1999 (carbonate)</t>
  </si>
  <si>
    <t>Witkowski et al. 2018 (phytane); Geldern et al. 2006 (carbonate)</t>
  </si>
  <si>
    <t>Hayes et al. 1995 unpublished (phytane); Geldern et al. 2006 (carbonate)</t>
  </si>
  <si>
    <t>Joachimski et al. 2002 (phytane); Hayes et al. 1999 (carbonate)</t>
  </si>
  <si>
    <t>Tulipani et al. 2015 (phytane); Geldern et al. 2006 (carbonate)</t>
  </si>
  <si>
    <t>Witkowski et al. 2018 (phytane); Delabroye et al. 2011 (carbonate)</t>
  </si>
  <si>
    <t>Guthrie 1996 (phytane); Delabroye et al. 2011 (carbonate)</t>
  </si>
  <si>
    <t>Pancost et al. 2013 (phytane); Delabroye et al. 2011 (carbonate)</t>
  </si>
  <si>
    <t>Flag</t>
  </si>
  <si>
    <t>Comment</t>
  </si>
  <si>
    <t/>
  </si>
  <si>
    <t>Phytane source tagged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</si>
</sst>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Red]0"/>
    <numFmt numFmtId="166" formatCode="0.0000"/>
    <numFmt numFmtId="167" formatCode="[$-409]General"/>
    <numFmt numFmtId="168" formatCode="0.00000"/>
  </numFmts>
  <fonts count="18" x14ac:knownFonts="1">
    <font>
      <sz val="11"/>
      <color theme="1"/>
      <name val="Calibri"/>
      <family val="2"/>
      <scheme val="minor"/>
    </font>
    <font>
      <sz val="10"/>
      <name val="Times New Roman"/>
      <family val="1"/>
    </font>
    <font>
      <sz val="10"/>
      <color rgb="FF000000"/>
      <name val="Times New Roman"/>
      <family val="1"/>
    </font>
    <font>
      <sz val="12"/>
      <color theme="1"/>
      <name val="Calibri"/>
      <family val="2"/>
      <scheme val="minor"/>
    </font>
    <font>
      <b/>
      <sz val="10"/>
      <name val="Times New Roman"/>
      <family val="1"/>
    </font>
    <font>
      <sz val="12"/>
      <name val="Times New Roman"/>
      <family val="1"/>
    </font>
    <font>
      <sz val="9"/>
      <color indexed="81"/>
      <name val="Tahoma"/>
      <family val="2"/>
    </font>
    <font>
      <b/>
      <sz val="9"/>
      <color indexed="81"/>
      <name val="Tahoma"/>
      <family val="2"/>
    </font>
    <font>
      <sz val="10"/>
      <name val="Arial"/>
      <family val="2"/>
    </font>
    <font>
      <sz val="11"/>
      <color rgb="FF000000"/>
      <name val="Calibri"/>
      <family val="2"/>
    </font>
    <font>
      <sz val="11"/>
      <name val="Times New Roman"/>
      <family val="1"/>
    </font>
    <font>
      <sz val="10"/>
      <color theme="1"/>
      <name val="Times New Roman"/>
      <family val="1"/>
    </font>
    <font>
      <sz val="11"/>
      <color theme="1"/>
      <name val="Times New Roman"/>
      <family val="1"/>
    </font>
    <font>
      <sz val="10"/>
      <color theme="1"/>
      <name val="Times"/>
      <family val="1"/>
    </font>
    <font>
      <sz val="12"/>
      <color theme="1"/>
      <name val="Times New Roman"/>
      <family val="1"/>
    </font>
    <font>
      <b/>
      <sz val="12"/>
      <color theme="1"/>
      <name val="Times New Roman"/>
      <family val="1"/>
    </font>
    <font>
      <sz val="10"/>
      <color theme="0" tint="-0.499984740745262"/>
      <name val="Times New Roman"/>
      <family val="1"/>
    </font>
    <font>
      <b/>
      <sz val="10"/>
      <color theme="0" tint="-0.499984740745262"/>
      <name val="Times New Roman"/>
      <family val="1"/>
    </font>
  </fonts>
  <fills count="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bgColor indexed="64"/>
      </patternFill>
    </fill>
  </fills>
  <borders count="1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s>
  <cellStyleXfs count="5">
    <xf numFmtId="0" fontId="0" fillId="0" borderId="0"/>
    <xf numFmtId="0" fontId="3" fillId="0" borderId="0"/>
    <xf numFmtId="0" fontId="8" fillId="0" borderId="0"/>
    <xf numFmtId="167" fontId="9" fillId="0" borderId="0"/>
    <xf numFmtId="0" fontId="9" fillId="0" borderId="0"/>
  </cellStyleXfs>
  <cellXfs count="121">
    <xf numFmtId="0" fontId="0" fillId="0" borderId="0" xfId="0"/>
    <xf numFmtId="0" fontId="1" fillId="0" borderId="0" xfId="0" applyFont="1"/>
    <xf numFmtId="0" fontId="1" fillId="0" borderId="3" xfId="0" applyFont="1" applyBorder="1"/>
    <xf numFmtId="1" fontId="1" fillId="0" borderId="0" xfId="0" applyNumberFormat="1" applyFont="1" applyAlignment="1">
      <alignment horizontal="center"/>
    </xf>
    <xf numFmtId="0" fontId="1" fillId="0" borderId="0" xfId="0" applyFont="1" applyAlignment="1">
      <alignment horizontal="left"/>
    </xf>
    <xf numFmtId="164" fontId="1" fillId="0" borderId="0" xfId="0" applyNumberFormat="1" applyFont="1" applyAlignment="1">
      <alignment horizontal="left"/>
    </xf>
    <xf numFmtId="164" fontId="1" fillId="0" borderId="0" xfId="0" applyNumberFormat="1" applyFont="1"/>
    <xf numFmtId="0" fontId="5" fillId="0" borderId="0" xfId="0" applyFont="1" applyAlignment="1">
      <alignment horizontal="center"/>
    </xf>
    <xf numFmtId="165" fontId="1" fillId="0" borderId="0" xfId="0" applyNumberFormat="1" applyFont="1" applyAlignment="1">
      <alignment horizontal="center"/>
    </xf>
    <xf numFmtId="0" fontId="1" fillId="0" borderId="1" xfId="0" applyFont="1" applyBorder="1"/>
    <xf numFmtId="0" fontId="1" fillId="0" borderId="2" xfId="0" applyFont="1" applyBorder="1"/>
    <xf numFmtId="0" fontId="1" fillId="0" borderId="0" xfId="0" applyFont="1" applyAlignment="1">
      <alignment horizontal="center"/>
    </xf>
    <xf numFmtId="164" fontId="1" fillId="0" borderId="0" xfId="0" applyNumberFormat="1" applyFont="1" applyAlignment="1">
      <alignment horizontal="center"/>
    </xf>
    <xf numFmtId="166" fontId="10" fillId="0" borderId="0" xfId="0" applyNumberFormat="1" applyFont="1" applyAlignment="1">
      <alignment horizontal="left"/>
    </xf>
    <xf numFmtId="0" fontId="12" fillId="0" borderId="0" xfId="0" applyFont="1"/>
    <xf numFmtId="0" fontId="1" fillId="0" borderId="4" xfId="0" applyFont="1" applyBorder="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horizontal="left"/>
    </xf>
    <xf numFmtId="49" fontId="4" fillId="0" borderId="8" xfId="0" applyNumberFormat="1" applyFont="1" applyBorder="1" applyAlignment="1">
      <alignment horizontal="center"/>
    </xf>
    <xf numFmtId="0" fontId="4" fillId="0" borderId="9" xfId="0" applyFont="1" applyBorder="1" applyAlignment="1">
      <alignment horizontal="center"/>
    </xf>
    <xf numFmtId="164" fontId="4" fillId="0" borderId="8" xfId="0" applyNumberFormat="1" applyFont="1" applyBorder="1" applyAlignment="1">
      <alignment horizontal="center"/>
    </xf>
    <xf numFmtId="0" fontId="1" fillId="0" borderId="0" xfId="0" applyFont="1" applyAlignment="1">
      <alignment vertical="center"/>
    </xf>
    <xf numFmtId="1" fontId="1" fillId="0" borderId="0" xfId="3" applyNumberFormat="1" applyFont="1" applyAlignment="1">
      <alignment horizontal="center"/>
    </xf>
    <xf numFmtId="167" fontId="1" fillId="0" borderId="0" xfId="3" applyFont="1" applyAlignment="1">
      <alignment horizontal="left"/>
    </xf>
    <xf numFmtId="49" fontId="1" fillId="0" borderId="0" xfId="3" applyNumberFormat="1" applyFont="1" applyAlignment="1">
      <alignment horizontal="left"/>
    </xf>
    <xf numFmtId="164" fontId="1" fillId="0" borderId="0" xfId="3" applyNumberFormat="1" applyFont="1" applyAlignment="1">
      <alignment horizontal="left"/>
    </xf>
    <xf numFmtId="49" fontId="1" fillId="0" borderId="0" xfId="4" applyNumberFormat="1" applyFont="1" applyAlignment="1">
      <alignment horizontal="left"/>
    </xf>
    <xf numFmtId="0" fontId="1" fillId="0" borderId="0" xfId="4" applyFont="1" applyAlignment="1">
      <alignment horizontal="left"/>
    </xf>
    <xf numFmtId="164" fontId="1" fillId="0" borderId="0" xfId="4" applyNumberFormat="1" applyFont="1" applyAlignment="1">
      <alignment horizontal="left"/>
    </xf>
    <xf numFmtId="0" fontId="1" fillId="0" borderId="0" xfId="0" applyFont="1" applyAlignment="1">
      <alignment horizontal="left" vertical="center" wrapText="1"/>
    </xf>
    <xf numFmtId="0" fontId="1" fillId="0" borderId="0" xfId="1" applyFont="1" applyAlignment="1">
      <alignment horizontal="left"/>
    </xf>
    <xf numFmtId="164" fontId="1" fillId="0" borderId="0" xfId="1" applyNumberFormat="1" applyFont="1" applyAlignment="1">
      <alignment horizontal="left"/>
    </xf>
    <xf numFmtId="0" fontId="1" fillId="0" borderId="0" xfId="4" applyFont="1" applyAlignment="1">
      <alignment horizontal="center"/>
    </xf>
    <xf numFmtId="167" fontId="1" fillId="0" borderId="0" xfId="3" applyFont="1" applyAlignment="1">
      <alignment horizontal="center"/>
    </xf>
    <xf numFmtId="0" fontId="1" fillId="3" borderId="0" xfId="0" applyFont="1" applyFill="1"/>
    <xf numFmtId="0" fontId="1" fillId="3" borderId="3" xfId="0" applyFont="1" applyFill="1" applyBorder="1"/>
    <xf numFmtId="0" fontId="12" fillId="4" borderId="0" xfId="0" applyFont="1" applyFill="1"/>
    <xf numFmtId="0" fontId="1" fillId="4" borderId="0" xfId="0" applyFont="1" applyFill="1"/>
    <xf numFmtId="0" fontId="1" fillId="4" borderId="1" xfId="0" applyFont="1" applyFill="1" applyBorder="1"/>
    <xf numFmtId="0" fontId="1" fillId="2" borderId="0" xfId="0" applyFont="1" applyFill="1"/>
    <xf numFmtId="167" fontId="2" fillId="0" borderId="0" xfId="3" applyFont="1" applyAlignment="1">
      <alignment horizontal="left"/>
    </xf>
    <xf numFmtId="49" fontId="2" fillId="0" borderId="0" xfId="4" applyNumberFormat="1" applyFont="1" applyAlignment="1">
      <alignment horizontal="left"/>
    </xf>
    <xf numFmtId="0" fontId="2" fillId="0" borderId="0" xfId="4" applyFont="1" applyAlignment="1">
      <alignment horizontal="left"/>
    </xf>
    <xf numFmtId="0" fontId="2" fillId="0" borderId="0" xfId="4" applyFont="1" applyAlignment="1">
      <alignment horizontal="center"/>
    </xf>
    <xf numFmtId="164" fontId="2" fillId="0" borderId="0" xfId="4" applyNumberFormat="1" applyFont="1" applyAlignment="1">
      <alignment horizontal="left"/>
    </xf>
    <xf numFmtId="0" fontId="11" fillId="0" borderId="0" xfId="0" applyFont="1"/>
    <xf numFmtId="0" fontId="11" fillId="0" borderId="0" xfId="0" applyFont="1" applyAlignment="1">
      <alignment horizontal="center"/>
    </xf>
    <xf numFmtId="1" fontId="2" fillId="0" borderId="0" xfId="3" applyNumberFormat="1" applyFont="1" applyAlignment="1">
      <alignment horizontal="center"/>
    </xf>
    <xf numFmtId="49" fontId="2" fillId="0" borderId="0" xfId="3" applyNumberFormat="1" applyFont="1" applyAlignment="1">
      <alignment horizontal="left"/>
    </xf>
    <xf numFmtId="167" fontId="2" fillId="0" borderId="0" xfId="3" applyFont="1" applyAlignment="1">
      <alignment horizontal="center"/>
    </xf>
    <xf numFmtId="164" fontId="2" fillId="0" borderId="0" xfId="3" applyNumberFormat="1" applyFont="1" applyAlignment="1">
      <alignment horizontal="left"/>
    </xf>
    <xf numFmtId="0" fontId="13" fillId="0" borderId="0" xfId="0" applyFont="1" applyAlignment="1">
      <alignment horizontal="left"/>
    </xf>
    <xf numFmtId="0" fontId="11" fillId="0" borderId="0" xfId="0" applyFont="1" applyAlignment="1">
      <alignment horizontal="left"/>
    </xf>
    <xf numFmtId="0" fontId="1" fillId="0" borderId="6" xfId="0" applyFont="1" applyBorder="1" applyAlignment="1">
      <alignment horizontal="center"/>
    </xf>
    <xf numFmtId="164" fontId="4" fillId="0" borderId="8" xfId="0" applyNumberFormat="1" applyFont="1" applyBorder="1" applyAlignment="1">
      <alignment horizontal="left"/>
    </xf>
    <xf numFmtId="168" fontId="1" fillId="0" borderId="0" xfId="0" applyNumberFormat="1" applyFont="1" applyAlignment="1">
      <alignment horizontal="center"/>
    </xf>
    <xf numFmtId="0" fontId="14" fillId="0" borderId="0" xfId="0" applyFont="1"/>
    <xf numFmtId="0" fontId="15" fillId="0" borderId="0" xfId="0" applyFont="1"/>
    <xf numFmtId="164" fontId="5" fillId="0" borderId="0" xfId="0" applyNumberFormat="1" applyFont="1" applyAlignment="1">
      <alignment horizontal="left"/>
    </xf>
    <xf numFmtId="0" fontId="5" fillId="0" borderId="0" xfId="0" applyFont="1" applyAlignment="1">
      <alignment horizontal="left"/>
    </xf>
    <xf numFmtId="164" fontId="5" fillId="0" borderId="0" xfId="1" applyNumberFormat="1" applyFont="1" applyAlignment="1">
      <alignment horizontal="left"/>
    </xf>
    <xf numFmtId="0" fontId="1" fillId="0" borderId="10" xfId="0" applyFont="1" applyBorder="1"/>
    <xf numFmtId="0" fontId="1" fillId="0" borderId="11" xfId="0" applyFont="1" applyBorder="1"/>
    <xf numFmtId="0" fontId="4" fillId="5" borderId="7" xfId="0" applyFont="1" applyFill="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64" fontId="1" fillId="0" borderId="7" xfId="0" applyNumberFormat="1" applyFont="1" applyBorder="1" applyAlignment="1">
      <alignment horizontal="center"/>
    </xf>
    <xf numFmtId="164" fontId="1" fillId="0" borderId="8" xfId="0" applyNumberFormat="1" applyFont="1" applyBorder="1" applyAlignment="1">
      <alignment horizontal="center"/>
    </xf>
    <xf numFmtId="164" fontId="1" fillId="0" borderId="9" xfId="0" applyNumberFormat="1" applyFont="1" applyBorder="1" applyAlignment="1">
      <alignment horizontal="center"/>
    </xf>
    <xf numFmtId="0" fontId="4" fillId="5" borderId="8" xfId="0" applyFont="1" applyFill="1" applyBorder="1" applyAlignment="1">
      <alignment horizontal="center"/>
    </xf>
    <xf numFmtId="0" fontId="5" fillId="0" borderId="14" xfId="0" applyFont="1" applyBorder="1" applyAlignment="1">
      <alignment horizontal="center"/>
    </xf>
    <xf numFmtId="0" fontId="4" fillId="0" borderId="14" xfId="0" applyFont="1" applyBorder="1" applyAlignment="1">
      <alignment horizontal="center"/>
    </xf>
    <xf numFmtId="0" fontId="1" fillId="0" borderId="14" xfId="0" applyFont="1" applyBorder="1"/>
    <xf numFmtId="0" fontId="4" fillId="5" borderId="14" xfId="0" applyFont="1" applyFill="1" applyBorder="1" applyAlignment="1">
      <alignment horizontal="center"/>
    </xf>
    <xf numFmtId="0" fontId="4" fillId="5" borderId="8" xfId="0" applyFont="1" applyFill="1" applyBorder="1" applyAlignment="1">
      <alignment horizontal="left"/>
    </xf>
    <xf numFmtId="164" fontId="4" fillId="5" borderId="8" xfId="0" applyNumberFormat="1" applyFont="1" applyFill="1" applyBorder="1" applyAlignment="1">
      <alignment horizontal="center"/>
    </xf>
    <xf numFmtId="0" fontId="17" fillId="0" borderId="8" xfId="0" applyFont="1" applyBorder="1" applyAlignment="1">
      <alignment horizontal="center"/>
    </xf>
    <xf numFmtId="0" fontId="17" fillId="0" borderId="8" xfId="0" applyFont="1" applyBorder="1" applyAlignment="1">
      <alignment horizontal="left"/>
    </xf>
    <xf numFmtId="0" fontId="17" fillId="0" borderId="9" xfId="0" applyFont="1" applyBorder="1" applyAlignment="1">
      <alignment horizontal="center"/>
    </xf>
    <xf numFmtId="0" fontId="16" fillId="0" borderId="0" xfId="0" applyFont="1" applyAlignment="1">
      <alignment horizontal="left"/>
    </xf>
    <xf numFmtId="164" fontId="16" fillId="0" borderId="0" xfId="0" applyNumberFormat="1" applyFont="1" applyAlignment="1">
      <alignment horizontal="left"/>
    </xf>
    <xf numFmtId="1" fontId="16" fillId="0" borderId="0" xfId="0" applyNumberFormat="1" applyFont="1" applyAlignment="1">
      <alignment horizontal="center"/>
    </xf>
    <xf numFmtId="0" fontId="16" fillId="0" borderId="0" xfId="0" applyFont="1" applyAlignment="1">
      <alignment horizontal="center"/>
    </xf>
    <xf numFmtId="168" fontId="16" fillId="0" borderId="0" xfId="0" applyNumberFormat="1" applyFont="1" applyAlignment="1">
      <alignment horizontal="center"/>
    </xf>
    <xf numFmtId="164" fontId="16" fillId="0" borderId="0" xfId="0" applyNumberFormat="1" applyFont="1" applyAlignment="1">
      <alignment horizontal="center"/>
    </xf>
    <xf numFmtId="0" fontId="16" fillId="0" borderId="0" xfId="0" applyFont="1"/>
    <xf numFmtId="0" fontId="16" fillId="0" borderId="0" xfId="1" applyFont="1" applyAlignment="1">
      <alignment horizontal="left"/>
    </xf>
    <xf numFmtId="49" fontId="17" fillId="0" borderId="8" xfId="0" applyNumberFormat="1" applyFont="1" applyBorder="1" applyAlignment="1">
      <alignment horizontal="center"/>
    </xf>
    <xf numFmtId="164" fontId="17" fillId="0" borderId="8" xfId="0" applyNumberFormat="1" applyFont="1" applyBorder="1" applyAlignment="1">
      <alignment horizontal="left"/>
    </xf>
    <xf numFmtId="164" fontId="16" fillId="0" borderId="0" xfId="0" applyNumberFormat="1" applyFont="1"/>
    <xf numFmtId="0" fontId="16" fillId="0" borderId="6" xfId="0" applyFont="1" applyBorder="1" applyAlignment="1">
      <alignment horizontal="center"/>
    </xf>
    <xf numFmtId="167" fontId="16" fillId="0" borderId="0" xfId="3" applyFont="1" applyAlignment="1">
      <alignment horizontal="center"/>
    </xf>
    <xf numFmtId="0" fontId="16" fillId="0" borderId="0" xfId="4" applyFont="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164" fontId="1" fillId="0" borderId="8" xfId="0" applyNumberFormat="1" applyFont="1" applyBorder="1" applyAlignment="1">
      <alignment horizontal="left"/>
    </xf>
    <xf numFmtId="164" fontId="4" fillId="5" borderId="8" xfId="0" applyNumberFormat="1" applyFont="1" applyFill="1" applyBorder="1" applyAlignment="1">
      <alignment horizontal="left"/>
    </xf>
    <xf numFmtId="0" fontId="0" fillId="0" borderId="0" xfId="0" applyAlignment="1">
      <alignment horizontal="left"/>
    </xf>
    <xf numFmtId="0" fontId="0" fillId="5" borderId="0" xfId="0" applyFill="1" applyAlignment="1">
      <alignment horizontal="left"/>
    </xf>
    <xf numFmtId="0" fontId="4" fillId="5" borderId="7" xfId="0" applyFont="1" applyFill="1" applyBorder="1" applyAlignment="1">
      <alignment horizontal="left"/>
    </xf>
    <xf numFmtId="0" fontId="4" fillId="6" borderId="8" xfId="0" applyFont="1" applyFill="1" applyBorder="1" applyAlignment="1">
      <alignment horizontal="left"/>
    </xf>
    <xf numFmtId="0" fontId="4" fillId="6" borderId="8" xfId="0" applyFont="1" applyFill="1" applyBorder="1" applyAlignment="1">
      <alignment horizontal="center"/>
    </xf>
    <xf numFmtId="0" fontId="1" fillId="0" borderId="12" xfId="0" applyFont="1" applyBorder="1" applyAlignment="1">
      <alignment horizontal="center"/>
    </xf>
    <xf numFmtId="0" fontId="1" fillId="0" borderId="4" xfId="0" applyFont="1" applyBorder="1" applyAlignment="1">
      <alignment horizontal="center"/>
    </xf>
    <xf numFmtId="0" fontId="1" fillId="0" borderId="13"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64" fontId="1" fillId="0" borderId="7" xfId="0" applyNumberFormat="1" applyFont="1" applyBorder="1" applyAlignment="1">
      <alignment horizontal="center"/>
    </xf>
    <xf numFmtId="164" fontId="1" fillId="0" borderId="8" xfId="0" applyNumberFormat="1" applyFont="1" applyBorder="1" applyAlignment="1">
      <alignment horizontal="center"/>
    </xf>
    <xf numFmtId="164" fontId="1" fillId="0" borderId="9" xfId="0" applyNumberFormat="1"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cellXfs>
  <cellStyles count="5">
    <cellStyle name="Excel Built-in Normal" xfId="3" xr:uid="{00000000-0005-0000-0000-000000000000}"/>
    <cellStyle name="Excel Built-in Normal 1" xfId="4" xr:uid="{00000000-0005-0000-0000-000001000000}"/>
    <cellStyle name="Normal" xfId="0" builtinId="0"/>
    <cellStyle name="Normal 2" xfId="1" xr:uid="{00000000-0005-0000-0000-000003000000}"/>
    <cellStyle name="Normal 2 2" xfId="2" xr:uid="{00000000-0005-0000-0000-000004000000}"/>
  </cellStyles>
  <dxfs count="0"/>
  <tableStyles count="0" defaultTableStyle="TableStyleMedium2" defaultPivotStyle="PivotStyleLight16"/>
  <colors>
    <mruColors>
      <color rgb="FF20E88E"/>
      <color rgb="FFBFEFF7"/>
      <color rgb="FF9CE6F2"/>
      <color rgb="FFF729DA"/>
      <color rgb="FFF3AE15"/>
      <color rgb="FFFFCD2D"/>
      <color rgb="FF820000"/>
      <color rgb="FFF07B10"/>
      <color rgb="FF00EA6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NIOZ\1.%20References\Methods,%20Datasets,%20etc\Temperature-Record,%20Pale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witkowski/Desktop/Programming/Witkowski_PNAS-Figures_1707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7a"/>
      <sheetName val="Data compilation"/>
      <sheetName val="Data comp 2 (changing base)"/>
      <sheetName val="Royer 2004"/>
      <sheetName val="Zachos + Hansen"/>
      <sheetName val="L&amp;R"/>
      <sheetName val="EPICA"/>
      <sheetName val="NGRIP"/>
      <sheetName val="Marcott 2013"/>
      <sheetName val="Berkeley L+O"/>
      <sheetName val="IPCC"/>
    </sheetNames>
    <sheetDataSet>
      <sheetData sheetId="0"/>
      <sheetData sheetId="1">
        <row r="2">
          <cell r="B2">
            <v>2</v>
          </cell>
          <cell r="I2">
            <v>65</v>
          </cell>
          <cell r="P2">
            <v>65</v>
          </cell>
          <cell r="T2">
            <v>14</v>
          </cell>
          <cell r="V2">
            <v>65</v>
          </cell>
          <cell r="X2">
            <v>0.5</v>
          </cell>
          <cell r="Z2">
            <v>15</v>
          </cell>
          <cell r="AC2">
            <v>-32.07462686567164</v>
          </cell>
          <cell r="AD2">
            <v>0.5</v>
          </cell>
          <cell r="AF2">
            <v>65</v>
          </cell>
          <cell r="AL2">
            <v>-0.06</v>
          </cell>
          <cell r="AP2">
            <v>0.32</v>
          </cell>
        </row>
      </sheetData>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1"/>
      <sheetName val="Figure2"/>
      <sheetName val="Table1"/>
      <sheetName val="S1"/>
      <sheetName val="S2"/>
      <sheetName val="Sheet1"/>
      <sheetName val="S3"/>
    </sheetNames>
    <sheetDataSet>
      <sheetData sheetId="0" refreshError="1"/>
      <sheetData sheetId="1" refreshError="1"/>
      <sheetData sheetId="2" refreshError="1"/>
      <sheetData sheetId="3" refreshError="1"/>
      <sheetData sheetId="4" refreshError="1">
        <row r="1">
          <cell r="M1">
            <v>3.673</v>
          </cell>
          <cell r="AC1">
            <v>26.5</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U853"/>
  <sheetViews>
    <sheetView topLeftCell="Q1" zoomScale="90" zoomScaleNormal="90" zoomScaleSheetLayoutView="40" workbookViewId="0">
      <pane ySplit="2" topLeftCell="A3" activePane="bottomLeft" state="frozen"/>
      <selection pane="bottomLeft" activeCell="Z2" sqref="Z2"/>
    </sheetView>
  </sheetViews>
  <sheetFormatPr defaultColWidth="8.88671875" defaultRowHeight="13.2" x14ac:dyDescent="0.25"/>
  <cols>
    <col min="1" max="1" width="8.88671875" style="1"/>
    <col min="2" max="6" width="4" style="11" customWidth="1"/>
    <col min="7" max="7" width="21.33203125" style="1" customWidth="1"/>
    <col min="8" max="8" width="20.6640625" style="4" customWidth="1"/>
    <col min="9" max="9" width="23.5546875" style="1" customWidth="1"/>
    <col min="10" max="10" width="6.6640625" style="11" bestFit="1" customWidth="1"/>
    <col min="11" max="11" width="6.33203125" style="11" bestFit="1" customWidth="1"/>
    <col min="12" max="12" width="5.44140625" style="12" customWidth="1"/>
    <col min="13" max="13" width="28.44140625" style="4" customWidth="1"/>
    <col min="14" max="14" width="4.88671875" style="12" customWidth="1"/>
    <col min="15" max="15" width="4" style="12" customWidth="1"/>
    <col min="16" max="16" width="23.88671875" style="12" customWidth="1"/>
    <col min="17" max="19" width="5.109375" style="12" customWidth="1"/>
    <col min="20" max="20" width="6.109375" style="12" bestFit="1" customWidth="1"/>
    <col min="21" max="21" width="6.6640625" style="12" bestFit="1" customWidth="1"/>
    <col min="22" max="22" width="5.77734375" style="12" bestFit="1" customWidth="1"/>
    <col min="23" max="23" width="27.6640625" style="6" customWidth="1"/>
    <col min="24" max="24" width="8.109375" style="6" customWidth="1"/>
    <col min="25" max="25" width="15.77734375" style="6" bestFit="1" customWidth="1"/>
    <col min="26" max="26" width="19.6640625" style="6" customWidth="1"/>
    <col min="27" max="27" width="16.44140625" style="1" customWidth="1"/>
    <col min="28" max="28" width="18.109375" style="5" customWidth="1"/>
    <col min="29" max="29" width="4.6640625" style="12" customWidth="1"/>
    <col min="30" max="30" width="8" style="12" bestFit="1" customWidth="1"/>
    <col min="31" max="31" width="7.44140625" style="12" bestFit="1" customWidth="1"/>
    <col min="32" max="32" width="7.44140625" style="12" customWidth="1"/>
    <col min="33" max="33" width="7" style="11" customWidth="1"/>
    <col min="34" max="34" width="8.88671875" style="1" customWidth="1"/>
    <col min="35" max="35" width="3.88671875" style="1" customWidth="1"/>
    <col min="36" max="36" width="8.88671875" style="1" customWidth="1"/>
    <col min="37" max="37" width="6.33203125" style="1" customWidth="1"/>
    <col min="38" max="38" width="3.6640625" style="1" customWidth="1"/>
    <col min="39" max="16384" width="8.88671875" style="1"/>
  </cols>
  <sheetData>
    <row r="1" spans="1:307" s="7" customFormat="1" ht="16.2" thickBot="1" x14ac:dyDescent="0.35">
      <c r="A1" s="74"/>
      <c r="B1" s="110" t="s">
        <v>173</v>
      </c>
      <c r="C1" s="111"/>
      <c r="D1" s="111"/>
      <c r="E1" s="111"/>
      <c r="F1" s="111"/>
      <c r="G1" s="111"/>
      <c r="H1" s="111"/>
      <c r="I1" s="111"/>
      <c r="J1" s="55"/>
      <c r="K1" s="55"/>
      <c r="L1" s="115" t="s">
        <v>292</v>
      </c>
      <c r="M1" s="116"/>
      <c r="N1" s="116"/>
      <c r="O1" s="116"/>
      <c r="P1" s="116"/>
      <c r="Q1" s="116"/>
      <c r="R1" s="116"/>
      <c r="S1" s="117"/>
      <c r="T1" s="112" t="s">
        <v>488</v>
      </c>
      <c r="U1" s="113"/>
      <c r="V1" s="113"/>
      <c r="W1" s="113"/>
      <c r="X1" s="113"/>
      <c r="Y1" s="113"/>
      <c r="Z1" s="113"/>
      <c r="AA1" s="113"/>
      <c r="AB1" s="114"/>
      <c r="AC1" s="118" t="s">
        <v>540</v>
      </c>
      <c r="AD1" s="119"/>
      <c r="AE1" s="119"/>
      <c r="AF1" s="119"/>
      <c r="AG1" s="120"/>
    </row>
    <row r="2" spans="1:307" s="17" customFormat="1" ht="13.8" thickBot="1" x14ac:dyDescent="0.3">
      <c r="A2" s="75" t="s">
        <v>553</v>
      </c>
      <c r="B2" s="18" t="s">
        <v>164</v>
      </c>
      <c r="C2" s="18" t="s">
        <v>166</v>
      </c>
      <c r="D2" s="18" t="s">
        <v>167</v>
      </c>
      <c r="E2" s="18" t="s">
        <v>172</v>
      </c>
      <c r="F2" s="18" t="s">
        <v>171</v>
      </c>
      <c r="G2" s="19" t="s">
        <v>165</v>
      </c>
      <c r="H2" s="19" t="s">
        <v>163</v>
      </c>
      <c r="I2" s="19" t="s">
        <v>162</v>
      </c>
      <c r="J2" s="18" t="s">
        <v>288</v>
      </c>
      <c r="K2" s="18" t="s">
        <v>289</v>
      </c>
      <c r="L2" s="65" t="s">
        <v>161</v>
      </c>
      <c r="M2" s="19" t="s">
        <v>290</v>
      </c>
      <c r="N2" s="18" t="s">
        <v>160</v>
      </c>
      <c r="O2" s="73" t="s">
        <v>159</v>
      </c>
      <c r="P2" s="19" t="s">
        <v>487</v>
      </c>
      <c r="Q2" s="18" t="s">
        <v>158</v>
      </c>
      <c r="R2" s="20" t="s">
        <v>157</v>
      </c>
      <c r="S2" s="21" t="s">
        <v>156</v>
      </c>
      <c r="T2" s="18" t="s">
        <v>482</v>
      </c>
      <c r="U2" s="18" t="s">
        <v>483</v>
      </c>
      <c r="V2" s="18" t="s">
        <v>484</v>
      </c>
      <c r="W2" s="19" t="s">
        <v>485</v>
      </c>
      <c r="X2" s="18" t="s">
        <v>486</v>
      </c>
      <c r="Y2" s="56" t="s">
        <v>272</v>
      </c>
      <c r="Z2" s="79" t="s">
        <v>447</v>
      </c>
      <c r="AA2" s="18" t="s">
        <v>174</v>
      </c>
      <c r="AB2" s="18" t="s">
        <v>291</v>
      </c>
      <c r="AC2" s="18" t="s">
        <v>195</v>
      </c>
      <c r="AD2" s="19" t="s">
        <v>296</v>
      </c>
      <c r="AE2" s="19" t="s">
        <v>313</v>
      </c>
      <c r="AF2" s="18" t="s">
        <v>194</v>
      </c>
      <c r="AG2" s="21" t="s">
        <v>294</v>
      </c>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row>
    <row r="3" spans="1:307" s="10" customFormat="1" ht="13.95" customHeight="1" x14ac:dyDescent="0.25">
      <c r="A3" s="76">
        <v>19584</v>
      </c>
      <c r="B3" s="3">
        <v>0.1</v>
      </c>
      <c r="C3" s="8">
        <f t="shared" ref="C3:C66" si="0">ABS(B3-E3)</f>
        <v>0.1</v>
      </c>
      <c r="D3" s="8">
        <f t="shared" ref="D3:D66" si="1">ABS(F3-B3)</f>
        <v>0.19999999999999998</v>
      </c>
      <c r="E3" s="3">
        <v>0</v>
      </c>
      <c r="F3" s="3">
        <v>0.3</v>
      </c>
      <c r="G3" s="4" t="s">
        <v>415</v>
      </c>
      <c r="H3" s="53" t="s">
        <v>416</v>
      </c>
      <c r="I3" s="4" t="s">
        <v>168</v>
      </c>
      <c r="J3" s="11" t="s">
        <v>4</v>
      </c>
      <c r="K3" s="11" t="s">
        <v>27</v>
      </c>
      <c r="L3" s="5">
        <v>-25.26</v>
      </c>
      <c r="M3" s="4" t="s">
        <v>293</v>
      </c>
      <c r="N3" s="5">
        <f>L3+3.5</f>
        <v>-21.76</v>
      </c>
      <c r="O3" s="5">
        <v>1</v>
      </c>
      <c r="P3" s="4" t="s">
        <v>445</v>
      </c>
      <c r="Q3" s="12">
        <f t="shared" ref="Q3:Q66" si="2">24.12-9866/X3</f>
        <v>-9.5753551912568291</v>
      </c>
      <c r="R3" s="12">
        <f t="shared" ref="R3:R66" si="3">O3-1+Q3</f>
        <v>-9.5753551912568291</v>
      </c>
      <c r="S3" s="12">
        <f t="shared" ref="S3:S66" si="4">1000*((R3+1000)/(N3+1000)-1)</f>
        <v>12.45568041456413</v>
      </c>
      <c r="T3" s="12">
        <v>19.8</v>
      </c>
      <c r="U3" s="12">
        <v>14.83</v>
      </c>
      <c r="V3" s="12">
        <v>-1.2</v>
      </c>
      <c r="W3" s="5" t="s">
        <v>341</v>
      </c>
      <c r="X3" s="5">
        <f t="shared" ref="X3:X66" si="5">T3+273</f>
        <v>292.8</v>
      </c>
      <c r="Y3" s="5">
        <v>35.07</v>
      </c>
      <c r="Z3" s="23" t="s">
        <v>448</v>
      </c>
      <c r="AA3" s="4" t="s">
        <v>342</v>
      </c>
      <c r="AB3" s="5" t="s">
        <v>169</v>
      </c>
      <c r="AC3" s="3">
        <v>170</v>
      </c>
      <c r="AD3" s="3">
        <f>AC3/([2]S2!$AC$1-S3)</f>
        <v>12.104537992448709</v>
      </c>
      <c r="AE3" s="11">
        <v>34</v>
      </c>
      <c r="AF3" s="57">
        <f t="shared" ref="AF3:AF66" si="6">EXP($AJ$4+$AJ$5*(100/X3)+$AJ$6*LN(X3/100)+AE3*($AM$4+$AM$5*(X3/100)+$AM$6*(X3/100)^2))</f>
        <v>3.3699870086259E-2</v>
      </c>
      <c r="AG3" s="12">
        <f t="shared" ref="AG3:AG66" si="7">AD3/AF3</f>
        <v>359.18648829997392</v>
      </c>
      <c r="AH3" s="1"/>
      <c r="AI3" s="107" t="s">
        <v>489</v>
      </c>
      <c r="AJ3" s="108"/>
      <c r="AK3" s="108"/>
      <c r="AL3" s="108"/>
      <c r="AM3" s="109"/>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row>
    <row r="4" spans="1:307" ht="14.4" customHeight="1" x14ac:dyDescent="0.25">
      <c r="A4" s="76">
        <v>19585</v>
      </c>
      <c r="B4" s="3">
        <v>0.5</v>
      </c>
      <c r="C4" s="8">
        <f t="shared" si="0"/>
        <v>0.5</v>
      </c>
      <c r="D4" s="8">
        <f t="shared" si="1"/>
        <v>0.5</v>
      </c>
      <c r="E4" s="3">
        <v>0</v>
      </c>
      <c r="F4" s="3">
        <v>1</v>
      </c>
      <c r="G4" s="4" t="s">
        <v>415</v>
      </c>
      <c r="H4" s="53" t="s">
        <v>417</v>
      </c>
      <c r="I4" s="4" t="s">
        <v>168</v>
      </c>
      <c r="J4" s="11" t="s">
        <v>4</v>
      </c>
      <c r="K4" s="11" t="s">
        <v>27</v>
      </c>
      <c r="L4" s="5">
        <v>-24.38</v>
      </c>
      <c r="M4" s="4" t="s">
        <v>293</v>
      </c>
      <c r="N4" s="5">
        <f t="shared" ref="N4:N67" si="8">L4+3.5</f>
        <v>-20.88</v>
      </c>
      <c r="O4" s="5">
        <v>1</v>
      </c>
      <c r="P4" s="4" t="s">
        <v>445</v>
      </c>
      <c r="Q4" s="12">
        <f t="shared" si="2"/>
        <v>-10.512125807357481</v>
      </c>
      <c r="R4" s="12">
        <f t="shared" si="3"/>
        <v>-10.512125807357481</v>
      </c>
      <c r="S4" s="12">
        <f t="shared" si="4"/>
        <v>10.588971926467128</v>
      </c>
      <c r="T4" s="12">
        <f t="shared" ref="T4:T31" si="9">U4+V4</f>
        <v>11.879999999999999</v>
      </c>
      <c r="U4" s="12">
        <v>14.83</v>
      </c>
      <c r="V4" s="12">
        <v>-2.95</v>
      </c>
      <c r="W4" s="5" t="s">
        <v>341</v>
      </c>
      <c r="X4" s="5">
        <f t="shared" si="5"/>
        <v>284.88</v>
      </c>
      <c r="Y4" s="5">
        <v>34.93</v>
      </c>
      <c r="Z4" s="23" t="s">
        <v>450</v>
      </c>
      <c r="AA4" s="4" t="s">
        <v>342</v>
      </c>
      <c r="AB4" s="5" t="s">
        <v>169</v>
      </c>
      <c r="AC4" s="3">
        <v>170</v>
      </c>
      <c r="AD4" s="3">
        <f>AC4/([2]S2!$AC$1-S4)</f>
        <v>10.684413302166547</v>
      </c>
      <c r="AE4" s="11">
        <v>34</v>
      </c>
      <c r="AF4" s="57">
        <f t="shared" si="6"/>
        <v>4.2800266256230381E-2</v>
      </c>
      <c r="AG4" s="12">
        <f t="shared" si="7"/>
        <v>249.63427185715767</v>
      </c>
      <c r="AI4" s="2" t="s">
        <v>307</v>
      </c>
      <c r="AJ4" s="1">
        <v>-58.0931</v>
      </c>
      <c r="AL4" s="1" t="s">
        <v>310</v>
      </c>
      <c r="AM4" s="63">
        <v>2.7765999999999999E-2</v>
      </c>
    </row>
    <row r="5" spans="1:307" x14ac:dyDescent="0.25">
      <c r="A5" s="76">
        <v>19586</v>
      </c>
      <c r="B5" s="3">
        <v>0.8</v>
      </c>
      <c r="C5" s="8">
        <f t="shared" si="0"/>
        <v>0.30000000000000004</v>
      </c>
      <c r="D5" s="8">
        <f t="shared" si="1"/>
        <v>0.19999999999999996</v>
      </c>
      <c r="E5" s="3">
        <v>0.5</v>
      </c>
      <c r="F5" s="3">
        <v>1</v>
      </c>
      <c r="G5" s="4" t="s">
        <v>415</v>
      </c>
      <c r="H5" s="53" t="s">
        <v>418</v>
      </c>
      <c r="I5" s="4" t="s">
        <v>168</v>
      </c>
      <c r="J5" s="11" t="s">
        <v>4</v>
      </c>
      <c r="K5" s="11" t="s">
        <v>27</v>
      </c>
      <c r="L5" s="5">
        <v>-25.73</v>
      </c>
      <c r="M5" s="4" t="s">
        <v>293</v>
      </c>
      <c r="N5" s="5">
        <f t="shared" si="8"/>
        <v>-22.23</v>
      </c>
      <c r="O5" s="5">
        <v>1</v>
      </c>
      <c r="P5" s="4" t="s">
        <v>445</v>
      </c>
      <c r="Q5" s="12">
        <f t="shared" si="2"/>
        <v>-10.397020606654305</v>
      </c>
      <c r="R5" s="12">
        <f t="shared" si="3"/>
        <v>-10.397020606654305</v>
      </c>
      <c r="S5" s="12">
        <f t="shared" si="4"/>
        <v>12.10200700915931</v>
      </c>
      <c r="T5" s="12">
        <f t="shared" si="9"/>
        <v>12.83</v>
      </c>
      <c r="U5" s="12">
        <v>15.49</v>
      </c>
      <c r="V5" s="12">
        <v>-2.66</v>
      </c>
      <c r="W5" s="5" t="s">
        <v>341</v>
      </c>
      <c r="X5" s="5">
        <f t="shared" si="5"/>
        <v>285.83</v>
      </c>
      <c r="Y5" s="5">
        <v>34.630000000000003</v>
      </c>
      <c r="Z5" s="23" t="s">
        <v>449</v>
      </c>
      <c r="AA5" s="4" t="s">
        <v>342</v>
      </c>
      <c r="AB5" s="5" t="s">
        <v>169</v>
      </c>
      <c r="AC5" s="3">
        <v>170</v>
      </c>
      <c r="AD5" s="3">
        <f>AC5/([2]S2!$AC$1-S5)</f>
        <v>11.80720119173178</v>
      </c>
      <c r="AE5" s="11">
        <v>34</v>
      </c>
      <c r="AF5" s="57">
        <f t="shared" si="6"/>
        <v>4.1518282361807213E-2</v>
      </c>
      <c r="AG5" s="12">
        <f t="shared" si="7"/>
        <v>284.38558919270849</v>
      </c>
      <c r="AI5" s="2" t="s">
        <v>308</v>
      </c>
      <c r="AJ5" s="1">
        <v>90.506900000000002</v>
      </c>
      <c r="AL5" s="1" t="s">
        <v>311</v>
      </c>
      <c r="AM5" s="63">
        <v>-2.5888000000000001E-2</v>
      </c>
    </row>
    <row r="6" spans="1:307" s="2" customFormat="1" ht="13.95" customHeight="1" x14ac:dyDescent="0.25">
      <c r="A6" s="76">
        <v>19587</v>
      </c>
      <c r="B6" s="3">
        <v>1.8</v>
      </c>
      <c r="C6" s="8">
        <f t="shared" si="0"/>
        <v>0.30000000000000004</v>
      </c>
      <c r="D6" s="8">
        <f t="shared" si="1"/>
        <v>0.19999999999999996</v>
      </c>
      <c r="E6" s="3">
        <v>1.5</v>
      </c>
      <c r="F6" s="3">
        <v>2</v>
      </c>
      <c r="G6" s="25" t="s">
        <v>419</v>
      </c>
      <c r="H6" s="53" t="s">
        <v>420</v>
      </c>
      <c r="I6" s="4" t="s">
        <v>168</v>
      </c>
      <c r="J6" s="11" t="s">
        <v>4</v>
      </c>
      <c r="K6" s="11" t="s">
        <v>27</v>
      </c>
      <c r="L6" s="5">
        <v>-24.1</v>
      </c>
      <c r="M6" s="4" t="s">
        <v>293</v>
      </c>
      <c r="N6" s="5">
        <f t="shared" si="8"/>
        <v>-20.6</v>
      </c>
      <c r="O6" s="5">
        <v>1.3</v>
      </c>
      <c r="P6" s="4" t="s">
        <v>445</v>
      </c>
      <c r="Q6" s="12">
        <f t="shared" si="2"/>
        <v>-10.206670493885145</v>
      </c>
      <c r="R6" s="12">
        <f t="shared" si="3"/>
        <v>-9.9066704938851444</v>
      </c>
      <c r="S6" s="12">
        <f t="shared" si="4"/>
        <v>10.918245360542089</v>
      </c>
      <c r="T6" s="12">
        <f t="shared" si="9"/>
        <v>14.415000000000001</v>
      </c>
      <c r="U6" s="12">
        <v>15.49</v>
      </c>
      <c r="V6" s="12">
        <v>-1.075</v>
      </c>
      <c r="W6" s="5" t="s">
        <v>341</v>
      </c>
      <c r="X6" s="5">
        <f t="shared" si="5"/>
        <v>287.41500000000002</v>
      </c>
      <c r="Y6" s="5">
        <v>34.436666666666703</v>
      </c>
      <c r="Z6" s="23" t="s">
        <v>451</v>
      </c>
      <c r="AA6" s="4" t="s">
        <v>342</v>
      </c>
      <c r="AB6" s="5" t="s">
        <v>169</v>
      </c>
      <c r="AC6" s="3">
        <v>170</v>
      </c>
      <c r="AD6" s="3">
        <f>AC6/([2]S2!$AC$1-S6)</f>
        <v>10.910196183522647</v>
      </c>
      <c r="AE6" s="11">
        <v>34</v>
      </c>
      <c r="AF6" s="57">
        <f t="shared" si="6"/>
        <v>3.9506766707647981E-2</v>
      </c>
      <c r="AG6" s="12">
        <f t="shared" si="7"/>
        <v>276.16018957609555</v>
      </c>
      <c r="AH6" s="1"/>
      <c r="AI6" s="10" t="s">
        <v>309</v>
      </c>
      <c r="AJ6" s="9">
        <v>22.294</v>
      </c>
      <c r="AK6" s="9"/>
      <c r="AL6" s="9" t="s">
        <v>312</v>
      </c>
      <c r="AM6" s="64">
        <v>5.0578000000000003E-3</v>
      </c>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row>
    <row r="7" spans="1:307" x14ac:dyDescent="0.25">
      <c r="A7" s="76">
        <v>19588</v>
      </c>
      <c r="B7" s="3">
        <v>2.1</v>
      </c>
      <c r="C7" s="8">
        <f t="shared" si="0"/>
        <v>0.10000000000000009</v>
      </c>
      <c r="D7" s="8">
        <f t="shared" si="1"/>
        <v>0.19999999999999973</v>
      </c>
      <c r="E7" s="3">
        <v>2</v>
      </c>
      <c r="F7" s="3">
        <v>2.2999999999999998</v>
      </c>
      <c r="G7" s="25" t="s">
        <v>419</v>
      </c>
      <c r="H7" s="53" t="s">
        <v>421</v>
      </c>
      <c r="I7" s="4" t="s">
        <v>168</v>
      </c>
      <c r="J7" s="11" t="s">
        <v>4</v>
      </c>
      <c r="K7" s="11" t="s">
        <v>27</v>
      </c>
      <c r="L7" s="5">
        <v>-24.3</v>
      </c>
      <c r="M7" s="4" t="s">
        <v>293</v>
      </c>
      <c r="N7" s="5">
        <f t="shared" si="8"/>
        <v>-20.8</v>
      </c>
      <c r="O7" s="5">
        <v>1.8</v>
      </c>
      <c r="P7" s="4" t="s">
        <v>445</v>
      </c>
      <c r="Q7" s="12">
        <f t="shared" si="2"/>
        <v>-10.005419390543391</v>
      </c>
      <c r="R7" s="12">
        <f t="shared" si="3"/>
        <v>-9.2054193905433905</v>
      </c>
      <c r="S7" s="12">
        <f t="shared" si="4"/>
        <v>11.840870720441821</v>
      </c>
      <c r="T7" s="12">
        <f t="shared" si="9"/>
        <v>16.11</v>
      </c>
      <c r="U7" s="12">
        <v>16.96</v>
      </c>
      <c r="V7" s="12">
        <v>-0.85</v>
      </c>
      <c r="W7" s="5" t="s">
        <v>341</v>
      </c>
      <c r="X7" s="5">
        <f t="shared" si="5"/>
        <v>289.11</v>
      </c>
      <c r="Y7" s="5">
        <v>34.216666666666697</v>
      </c>
      <c r="Z7" s="23" t="s">
        <v>452</v>
      </c>
      <c r="AA7" s="4" t="s">
        <v>342</v>
      </c>
      <c r="AB7" s="5" t="s">
        <v>169</v>
      </c>
      <c r="AC7" s="3">
        <v>170</v>
      </c>
      <c r="AD7" s="3">
        <f>AC7/([2]S2!$AC$1-S7)</f>
        <v>11.596868869767123</v>
      </c>
      <c r="AE7" s="11">
        <v>34</v>
      </c>
      <c r="AF7" s="57">
        <f t="shared" si="6"/>
        <v>3.7518256384137867E-2</v>
      </c>
      <c r="AG7" s="12">
        <f t="shared" si="7"/>
        <v>309.09935555187735</v>
      </c>
    </row>
    <row r="8" spans="1:307" ht="14.4" customHeight="1" x14ac:dyDescent="0.25">
      <c r="A8" s="76">
        <v>19589</v>
      </c>
      <c r="B8" s="3">
        <v>2.2999999999999998</v>
      </c>
      <c r="C8" s="8">
        <f t="shared" si="0"/>
        <v>0.29999999999999982</v>
      </c>
      <c r="D8" s="8">
        <f t="shared" si="1"/>
        <v>0.20000000000000018</v>
      </c>
      <c r="E8" s="3">
        <v>2</v>
      </c>
      <c r="F8" s="3">
        <v>2.5</v>
      </c>
      <c r="G8" s="25" t="s">
        <v>419</v>
      </c>
      <c r="H8" s="53" t="s">
        <v>422</v>
      </c>
      <c r="I8" s="4" t="s">
        <v>168</v>
      </c>
      <c r="J8" s="11" t="s">
        <v>4</v>
      </c>
      <c r="K8" s="11" t="s">
        <v>27</v>
      </c>
      <c r="L8" s="5">
        <v>-25.35</v>
      </c>
      <c r="M8" s="4" t="s">
        <v>293</v>
      </c>
      <c r="N8" s="5">
        <f t="shared" si="8"/>
        <v>-21.85</v>
      </c>
      <c r="O8" s="5">
        <v>1.9</v>
      </c>
      <c r="P8" s="4" t="s">
        <v>445</v>
      </c>
      <c r="Q8" s="12">
        <f t="shared" si="2"/>
        <v>-9.9198576163750154</v>
      </c>
      <c r="R8" s="12">
        <f t="shared" si="3"/>
        <v>-9.019857616375015</v>
      </c>
      <c r="S8" s="12">
        <f t="shared" si="4"/>
        <v>13.116743223048566</v>
      </c>
      <c r="T8" s="12">
        <f t="shared" si="9"/>
        <v>16.8367</v>
      </c>
      <c r="U8" s="12">
        <v>16.96</v>
      </c>
      <c r="V8" s="12">
        <v>-0.12330000000000001</v>
      </c>
      <c r="W8" s="5" t="s">
        <v>341</v>
      </c>
      <c r="X8" s="5">
        <f t="shared" si="5"/>
        <v>289.83670000000001</v>
      </c>
      <c r="Y8" s="5">
        <v>33.996666666666698</v>
      </c>
      <c r="Z8" s="23" t="s">
        <v>453</v>
      </c>
      <c r="AA8" s="4" t="s">
        <v>342</v>
      </c>
      <c r="AB8" s="5" t="s">
        <v>169</v>
      </c>
      <c r="AC8" s="3">
        <v>170</v>
      </c>
      <c r="AD8" s="3">
        <f>AC8/([2]S2!$AC$1-S8)</f>
        <v>12.702438788499746</v>
      </c>
      <c r="AE8" s="11">
        <v>34</v>
      </c>
      <c r="AF8" s="57">
        <f t="shared" si="6"/>
        <v>3.6713425028580472E-2</v>
      </c>
      <c r="AG8" s="12">
        <f t="shared" si="7"/>
        <v>345.98893398290187</v>
      </c>
      <c r="AK8" s="1" t="s">
        <v>539</v>
      </c>
      <c r="AL8" s="6">
        <v>26.5</v>
      </c>
    </row>
    <row r="9" spans="1:307" x14ac:dyDescent="0.25">
      <c r="A9" s="76">
        <v>19590</v>
      </c>
      <c r="B9" s="3">
        <v>2.7</v>
      </c>
      <c r="C9" s="8">
        <f t="shared" si="0"/>
        <v>0.20000000000000018</v>
      </c>
      <c r="D9" s="8">
        <f t="shared" si="1"/>
        <v>0.29999999999999982</v>
      </c>
      <c r="E9" s="3">
        <v>2.5</v>
      </c>
      <c r="F9" s="3">
        <v>3</v>
      </c>
      <c r="G9" s="25" t="s">
        <v>419</v>
      </c>
      <c r="H9" s="53" t="s">
        <v>423</v>
      </c>
      <c r="I9" s="4" t="s">
        <v>168</v>
      </c>
      <c r="J9" s="11" t="s">
        <v>4</v>
      </c>
      <c r="K9" s="11" t="s">
        <v>27</v>
      </c>
      <c r="L9" s="5">
        <v>-23.7</v>
      </c>
      <c r="M9" s="4" t="s">
        <v>293</v>
      </c>
      <c r="N9" s="5">
        <f t="shared" si="8"/>
        <v>-20.2</v>
      </c>
      <c r="O9" s="5">
        <v>1.9</v>
      </c>
      <c r="P9" s="4" t="s">
        <v>445</v>
      </c>
      <c r="Q9" s="12">
        <f t="shared" si="2"/>
        <v>-9.9923460000110644</v>
      </c>
      <c r="R9" s="12">
        <f t="shared" si="3"/>
        <v>-9.0923460000110641</v>
      </c>
      <c r="S9" s="12">
        <f t="shared" si="4"/>
        <v>11.336654419257908</v>
      </c>
      <c r="T9" s="12">
        <f t="shared" si="9"/>
        <v>16.220800000000001</v>
      </c>
      <c r="U9" s="12">
        <v>16.96</v>
      </c>
      <c r="V9" s="12">
        <v>-0.73919999999999997</v>
      </c>
      <c r="W9" s="5" t="s">
        <v>341</v>
      </c>
      <c r="X9" s="5">
        <f t="shared" si="5"/>
        <v>289.2208</v>
      </c>
      <c r="Y9" s="5">
        <v>33.776666666666699</v>
      </c>
      <c r="Z9" s="23" t="s">
        <v>454</v>
      </c>
      <c r="AA9" s="4" t="s">
        <v>342</v>
      </c>
      <c r="AB9" s="5" t="s">
        <v>169</v>
      </c>
      <c r="AC9" s="3">
        <v>170</v>
      </c>
      <c r="AD9" s="3">
        <f>AC9/([2]S2!$AC$1-S9)</f>
        <v>11.211246165615664</v>
      </c>
      <c r="AE9" s="11">
        <v>34</v>
      </c>
      <c r="AF9" s="57">
        <f t="shared" si="6"/>
        <v>3.7393755995197377E-2</v>
      </c>
      <c r="AG9" s="12">
        <f t="shared" si="7"/>
        <v>299.81599513714451</v>
      </c>
    </row>
    <row r="10" spans="1:307" x14ac:dyDescent="0.25">
      <c r="A10" s="76">
        <v>19591</v>
      </c>
      <c r="B10" s="3">
        <v>3.2</v>
      </c>
      <c r="C10" s="8">
        <f t="shared" si="0"/>
        <v>0.20000000000000018</v>
      </c>
      <c r="D10" s="8">
        <f t="shared" si="1"/>
        <v>0.29999999999999982</v>
      </c>
      <c r="E10" s="3">
        <v>3</v>
      </c>
      <c r="F10" s="3">
        <v>3.5</v>
      </c>
      <c r="G10" s="25" t="s">
        <v>419</v>
      </c>
      <c r="H10" s="54" t="s">
        <v>424</v>
      </c>
      <c r="I10" s="4" t="s">
        <v>168</v>
      </c>
      <c r="J10" s="11" t="s">
        <v>4</v>
      </c>
      <c r="K10" s="11" t="s">
        <v>27</v>
      </c>
      <c r="L10" s="5">
        <v>-23.65</v>
      </c>
      <c r="M10" s="4" t="s">
        <v>293</v>
      </c>
      <c r="N10" s="5">
        <f t="shared" si="8"/>
        <v>-20.149999999999999</v>
      </c>
      <c r="O10" s="5">
        <v>1.9</v>
      </c>
      <c r="P10" s="4" t="s">
        <v>445</v>
      </c>
      <c r="Q10" s="12">
        <f t="shared" si="2"/>
        <v>-9.5681872470440901</v>
      </c>
      <c r="R10" s="12">
        <f t="shared" si="3"/>
        <v>-8.6681872470440897</v>
      </c>
      <c r="S10" s="12">
        <f t="shared" si="4"/>
        <v>11.717929022764473</v>
      </c>
      <c r="T10" s="12">
        <f t="shared" si="9"/>
        <v>19.862300000000001</v>
      </c>
      <c r="U10" s="12">
        <v>16.96</v>
      </c>
      <c r="V10" s="12">
        <v>2.9022999999999999</v>
      </c>
      <c r="W10" s="5" t="s">
        <v>341</v>
      </c>
      <c r="X10" s="5">
        <f t="shared" si="5"/>
        <v>292.8623</v>
      </c>
      <c r="Y10" s="5">
        <v>33.5566666666667</v>
      </c>
      <c r="Z10" s="23" t="s">
        <v>455</v>
      </c>
      <c r="AA10" s="4" t="s">
        <v>342</v>
      </c>
      <c r="AB10" s="5" t="s">
        <v>169</v>
      </c>
      <c r="AC10" s="3">
        <v>170</v>
      </c>
      <c r="AD10" s="3">
        <f>AC10/([2]S2!$AC$1-S10)</f>
        <v>11.500418328514385</v>
      </c>
      <c r="AE10" s="11">
        <v>34</v>
      </c>
      <c r="AF10" s="57">
        <f t="shared" si="6"/>
        <v>3.3640830834760646E-2</v>
      </c>
      <c r="AG10" s="12">
        <f t="shared" si="7"/>
        <v>341.85892687974723</v>
      </c>
    </row>
    <row r="11" spans="1:307" s="10" customFormat="1" ht="13.95" customHeight="1" x14ac:dyDescent="0.25">
      <c r="A11" s="76">
        <v>19592</v>
      </c>
      <c r="B11" s="3">
        <v>3.8</v>
      </c>
      <c r="C11" s="8">
        <f t="shared" si="0"/>
        <v>0.29999999999999982</v>
      </c>
      <c r="D11" s="8">
        <f t="shared" si="1"/>
        <v>0.20000000000000018</v>
      </c>
      <c r="E11" s="3">
        <v>3.5</v>
      </c>
      <c r="F11" s="3">
        <v>4</v>
      </c>
      <c r="G11" s="25" t="s">
        <v>419</v>
      </c>
      <c r="H11" s="53" t="s">
        <v>424</v>
      </c>
      <c r="I11" s="4" t="s">
        <v>168</v>
      </c>
      <c r="J11" s="11" t="s">
        <v>4</v>
      </c>
      <c r="K11" s="11" t="s">
        <v>27</v>
      </c>
      <c r="L11" s="5">
        <v>-24.79</v>
      </c>
      <c r="M11" s="4" t="s">
        <v>293</v>
      </c>
      <c r="N11" s="5">
        <f t="shared" si="8"/>
        <v>-21.29</v>
      </c>
      <c r="O11" s="5">
        <v>1.5</v>
      </c>
      <c r="P11" s="4" t="s">
        <v>445</v>
      </c>
      <c r="Q11" s="12">
        <f t="shared" si="2"/>
        <v>-9.6334900444994567</v>
      </c>
      <c r="R11" s="12">
        <f t="shared" si="3"/>
        <v>-9.1334900444994567</v>
      </c>
      <c r="S11" s="12">
        <f t="shared" si="4"/>
        <v>12.420952024093435</v>
      </c>
      <c r="T11" s="12">
        <f t="shared" si="9"/>
        <v>19.295699999999997</v>
      </c>
      <c r="U11" s="12">
        <v>17.239999999999998</v>
      </c>
      <c r="V11" s="12">
        <v>2.0556999999999999</v>
      </c>
      <c r="W11" s="5" t="s">
        <v>341</v>
      </c>
      <c r="X11" s="5">
        <f t="shared" si="5"/>
        <v>292.29570000000001</v>
      </c>
      <c r="Y11" s="5">
        <v>33.336666666666702</v>
      </c>
      <c r="Z11" s="23" t="s">
        <v>456</v>
      </c>
      <c r="AA11" s="4" t="s">
        <v>342</v>
      </c>
      <c r="AB11" s="5" t="s">
        <v>169</v>
      </c>
      <c r="AC11" s="3">
        <v>170</v>
      </c>
      <c r="AD11" s="3">
        <f>AC11/([2]S2!$AC$1-S11)</f>
        <v>12.074680070053068</v>
      </c>
      <c r="AE11" s="11">
        <v>34</v>
      </c>
      <c r="AF11" s="57">
        <f t="shared" si="6"/>
        <v>3.4184028778119234E-2</v>
      </c>
      <c r="AG11" s="12">
        <f t="shared" si="7"/>
        <v>353.22577535922034</v>
      </c>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row>
    <row r="12" spans="1:307" ht="14.4" customHeight="1" x14ac:dyDescent="0.25">
      <c r="A12" s="76">
        <v>19593</v>
      </c>
      <c r="B12" s="3">
        <v>4</v>
      </c>
      <c r="C12" s="8">
        <f t="shared" si="0"/>
        <v>0.20000000000000018</v>
      </c>
      <c r="D12" s="8">
        <f t="shared" si="1"/>
        <v>0.20000000000000018</v>
      </c>
      <c r="E12" s="3">
        <v>3.8</v>
      </c>
      <c r="F12" s="3">
        <v>4.2</v>
      </c>
      <c r="G12" s="25" t="s">
        <v>419</v>
      </c>
      <c r="H12" s="53" t="s">
        <v>425</v>
      </c>
      <c r="I12" s="4" t="s">
        <v>168</v>
      </c>
      <c r="J12" s="11" t="s">
        <v>4</v>
      </c>
      <c r="K12" s="11" t="s">
        <v>27</v>
      </c>
      <c r="L12" s="5">
        <v>-25.54</v>
      </c>
      <c r="M12" s="4" t="s">
        <v>293</v>
      </c>
      <c r="N12" s="5">
        <f t="shared" si="8"/>
        <v>-22.04</v>
      </c>
      <c r="O12" s="5">
        <v>1.5</v>
      </c>
      <c r="P12" s="4" t="s">
        <v>445</v>
      </c>
      <c r="Q12" s="12">
        <f t="shared" si="2"/>
        <v>-9.7007507068557466</v>
      </c>
      <c r="R12" s="12">
        <f t="shared" si="3"/>
        <v>-9.2007507068557466</v>
      </c>
      <c r="S12" s="12">
        <f t="shared" si="4"/>
        <v>13.128603719113396</v>
      </c>
      <c r="T12" s="12">
        <f t="shared" si="9"/>
        <v>18.714399999999998</v>
      </c>
      <c r="U12" s="12">
        <v>17.239999999999998</v>
      </c>
      <c r="V12" s="12">
        <v>1.4743999999999999</v>
      </c>
      <c r="W12" s="5" t="s">
        <v>341</v>
      </c>
      <c r="X12" s="5">
        <f t="shared" si="5"/>
        <v>291.71440000000001</v>
      </c>
      <c r="Y12" s="5">
        <v>33.116666666666703</v>
      </c>
      <c r="Z12" s="23" t="s">
        <v>457</v>
      </c>
      <c r="AA12" s="4" t="s">
        <v>342</v>
      </c>
      <c r="AB12" s="5" t="s">
        <v>169</v>
      </c>
      <c r="AC12" s="3">
        <v>170</v>
      </c>
      <c r="AD12" s="3">
        <f>AC12/([2]S2!$AC$1-S12)</f>
        <v>12.713705915888687</v>
      </c>
      <c r="AE12" s="11">
        <v>34</v>
      </c>
      <c r="AF12" s="57">
        <f t="shared" si="6"/>
        <v>3.4756214218641675E-2</v>
      </c>
      <c r="AG12" s="12">
        <f t="shared" si="7"/>
        <v>365.79662663805385</v>
      </c>
    </row>
    <row r="13" spans="1:307" x14ac:dyDescent="0.25">
      <c r="A13" s="76">
        <v>19594</v>
      </c>
      <c r="B13" s="3">
        <v>5</v>
      </c>
      <c r="C13" s="8">
        <f t="shared" si="0"/>
        <v>0.20000000000000018</v>
      </c>
      <c r="D13" s="8">
        <f t="shared" si="1"/>
        <v>0.20000000000000018</v>
      </c>
      <c r="E13" s="3">
        <v>4.8</v>
      </c>
      <c r="F13" s="3">
        <v>5.2</v>
      </c>
      <c r="G13" s="4" t="s">
        <v>426</v>
      </c>
      <c r="H13" s="53" t="s">
        <v>427</v>
      </c>
      <c r="I13" s="4" t="s">
        <v>168</v>
      </c>
      <c r="J13" s="11" t="s">
        <v>4</v>
      </c>
      <c r="K13" s="11" t="s">
        <v>27</v>
      </c>
      <c r="L13" s="5">
        <v>-24.37</v>
      </c>
      <c r="M13" s="4" t="s">
        <v>293</v>
      </c>
      <c r="N13" s="5">
        <f t="shared" si="8"/>
        <v>-20.87</v>
      </c>
      <c r="O13" s="5">
        <v>1.5</v>
      </c>
      <c r="P13" s="4" t="s">
        <v>445</v>
      </c>
      <c r="Q13" s="12">
        <f t="shared" si="2"/>
        <v>-9.5234575535234249</v>
      </c>
      <c r="R13" s="12">
        <f t="shared" si="3"/>
        <v>-9.0234575535234249</v>
      </c>
      <c r="S13" s="12">
        <f t="shared" si="4"/>
        <v>12.099049611876467</v>
      </c>
      <c r="T13" s="12">
        <f t="shared" si="9"/>
        <v>20.251666666666672</v>
      </c>
      <c r="U13" s="12">
        <v>17.170000000000002</v>
      </c>
      <c r="V13" s="12">
        <v>3.0816666666666701</v>
      </c>
      <c r="W13" s="5" t="s">
        <v>341</v>
      </c>
      <c r="X13" s="5">
        <f t="shared" si="5"/>
        <v>293.25166666666667</v>
      </c>
      <c r="Y13" s="5">
        <v>32.896666666666697</v>
      </c>
      <c r="Z13" s="23" t="s">
        <v>458</v>
      </c>
      <c r="AA13" s="4" t="s">
        <v>342</v>
      </c>
      <c r="AB13" s="5" t="s">
        <v>169</v>
      </c>
      <c r="AC13" s="3">
        <v>170</v>
      </c>
      <c r="AD13" s="3">
        <f>AC13/([2]S2!$AC$1-S13)</f>
        <v>11.804776450045896</v>
      </c>
      <c r="AE13" s="11">
        <v>34</v>
      </c>
      <c r="AF13" s="57">
        <f t="shared" si="6"/>
        <v>3.327562637527301E-2</v>
      </c>
      <c r="AG13" s="12">
        <f t="shared" si="7"/>
        <v>354.75745270472146</v>
      </c>
    </row>
    <row r="14" spans="1:307" s="2" customFormat="1" ht="13.95" customHeight="1" x14ac:dyDescent="0.25">
      <c r="A14" s="76">
        <v>19595</v>
      </c>
      <c r="B14" s="3">
        <v>5.5</v>
      </c>
      <c r="C14" s="8">
        <f t="shared" si="0"/>
        <v>9.9999999999999645E-2</v>
      </c>
      <c r="D14" s="8">
        <f t="shared" si="1"/>
        <v>9.9999999999999645E-2</v>
      </c>
      <c r="E14" s="3">
        <v>5.4</v>
      </c>
      <c r="F14" s="3">
        <v>5.6</v>
      </c>
      <c r="G14" s="25" t="s">
        <v>428</v>
      </c>
      <c r="H14" s="53" t="s">
        <v>429</v>
      </c>
      <c r="I14" s="4" t="s">
        <v>168</v>
      </c>
      <c r="J14" s="11" t="s">
        <v>4</v>
      </c>
      <c r="K14" s="11" t="s">
        <v>27</v>
      </c>
      <c r="L14" s="5">
        <v>-24.87</v>
      </c>
      <c r="M14" s="4" t="s">
        <v>293</v>
      </c>
      <c r="N14" s="5">
        <f t="shared" si="8"/>
        <v>-21.37</v>
      </c>
      <c r="O14" s="5">
        <v>1.9</v>
      </c>
      <c r="P14" s="4" t="s">
        <v>445</v>
      </c>
      <c r="Q14" s="12">
        <f t="shared" si="2"/>
        <v>-9.5251785247411043</v>
      </c>
      <c r="R14" s="12">
        <f t="shared" si="3"/>
        <v>-8.6251785247411039</v>
      </c>
      <c r="S14" s="12">
        <f t="shared" si="4"/>
        <v>13.023125670844848</v>
      </c>
      <c r="T14" s="12">
        <f t="shared" si="9"/>
        <v>20.236666666666672</v>
      </c>
      <c r="U14" s="12">
        <v>17.170000000000002</v>
      </c>
      <c r="V14" s="12">
        <v>3.06666666666667</v>
      </c>
      <c r="W14" s="5" t="s">
        <v>341</v>
      </c>
      <c r="X14" s="5">
        <f t="shared" si="5"/>
        <v>293.23666666666668</v>
      </c>
      <c r="Y14" s="5">
        <v>32.676666666666698</v>
      </c>
      <c r="Z14" s="23" t="s">
        <v>459</v>
      </c>
      <c r="AA14" s="4" t="s">
        <v>342</v>
      </c>
      <c r="AB14" s="5" t="s">
        <v>169</v>
      </c>
      <c r="AC14" s="3">
        <v>170</v>
      </c>
      <c r="AD14" s="3">
        <f>AC14/([2]S2!$AC$1-S14)</f>
        <v>12.614200878332081</v>
      </c>
      <c r="AE14" s="11">
        <v>34</v>
      </c>
      <c r="AF14" s="57">
        <f t="shared" si="6"/>
        <v>3.3289575701360145E-2</v>
      </c>
      <c r="AG14" s="12">
        <f t="shared" si="7"/>
        <v>378.92345013627465</v>
      </c>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row>
    <row r="15" spans="1:307" x14ac:dyDescent="0.25">
      <c r="A15" s="76">
        <v>19596</v>
      </c>
      <c r="B15" s="3">
        <v>6</v>
      </c>
      <c r="C15" s="8">
        <f t="shared" si="0"/>
        <v>0.20000000000000018</v>
      </c>
      <c r="D15" s="8">
        <f t="shared" si="1"/>
        <v>0.20000000000000018</v>
      </c>
      <c r="E15" s="3">
        <v>5.8</v>
      </c>
      <c r="F15" s="3">
        <v>6.2</v>
      </c>
      <c r="G15" s="25" t="s">
        <v>428</v>
      </c>
      <c r="H15" s="53" t="s">
        <v>430</v>
      </c>
      <c r="I15" s="4" t="s">
        <v>168</v>
      </c>
      <c r="J15" s="11" t="s">
        <v>4</v>
      </c>
      <c r="K15" s="11" t="s">
        <v>27</v>
      </c>
      <c r="L15" s="5">
        <v>-24.8</v>
      </c>
      <c r="M15" s="4" t="s">
        <v>293</v>
      </c>
      <c r="N15" s="5">
        <f t="shared" si="8"/>
        <v>-21.3</v>
      </c>
      <c r="O15" s="5">
        <v>1.9</v>
      </c>
      <c r="P15" s="4" t="s">
        <v>445</v>
      </c>
      <c r="Q15" s="12">
        <f t="shared" si="2"/>
        <v>-9.5268996720342365</v>
      </c>
      <c r="R15" s="12">
        <f t="shared" si="3"/>
        <v>-8.6268996720342361</v>
      </c>
      <c r="S15" s="12">
        <f t="shared" si="4"/>
        <v>12.948912156907744</v>
      </c>
      <c r="T15" s="12">
        <f t="shared" si="9"/>
        <v>20.221666666666671</v>
      </c>
      <c r="U15" s="12">
        <v>17.170000000000002</v>
      </c>
      <c r="V15" s="12">
        <v>3.0516666666666699</v>
      </c>
      <c r="W15" s="5" t="s">
        <v>341</v>
      </c>
      <c r="X15" s="5">
        <f t="shared" si="5"/>
        <v>293.22166666666669</v>
      </c>
      <c r="Y15" s="5">
        <v>32.456666666666699</v>
      </c>
      <c r="Z15" s="23" t="s">
        <v>460</v>
      </c>
      <c r="AA15" s="4" t="s">
        <v>342</v>
      </c>
      <c r="AB15" s="5" t="s">
        <v>169</v>
      </c>
      <c r="AC15" s="3">
        <v>170</v>
      </c>
      <c r="AD15" s="3">
        <f>AC15/([2]S2!$AC$1-S15)</f>
        <v>12.545118293706469</v>
      </c>
      <c r="AE15" s="11">
        <v>34</v>
      </c>
      <c r="AF15" s="57">
        <f t="shared" si="6"/>
        <v>3.3303534569364392E-2</v>
      </c>
      <c r="AG15" s="12">
        <f t="shared" si="7"/>
        <v>376.6902959677621</v>
      </c>
    </row>
    <row r="16" spans="1:307" ht="14.4" customHeight="1" x14ac:dyDescent="0.25">
      <c r="A16" s="76">
        <v>19597</v>
      </c>
      <c r="B16" s="3">
        <v>6.25</v>
      </c>
      <c r="C16" s="8">
        <f t="shared" si="0"/>
        <v>0.25</v>
      </c>
      <c r="D16" s="8">
        <f t="shared" si="1"/>
        <v>0.25</v>
      </c>
      <c r="E16" s="3">
        <v>6</v>
      </c>
      <c r="F16" s="3">
        <v>6.5</v>
      </c>
      <c r="G16" s="25" t="s">
        <v>428</v>
      </c>
      <c r="H16" s="53" t="s">
        <v>431</v>
      </c>
      <c r="I16" s="4" t="s">
        <v>168</v>
      </c>
      <c r="J16" s="11" t="s">
        <v>4</v>
      </c>
      <c r="K16" s="11" t="s">
        <v>27</v>
      </c>
      <c r="L16" s="5">
        <v>-24.86</v>
      </c>
      <c r="M16" s="4" t="s">
        <v>293</v>
      </c>
      <c r="N16" s="5">
        <f t="shared" si="8"/>
        <v>-21.36</v>
      </c>
      <c r="O16" s="5">
        <v>2</v>
      </c>
      <c r="P16" s="4" t="s">
        <v>445</v>
      </c>
      <c r="Q16" s="12">
        <f t="shared" si="2"/>
        <v>-9.5286209954298435</v>
      </c>
      <c r="R16" s="12">
        <f t="shared" si="3"/>
        <v>-8.5286209954298435</v>
      </c>
      <c r="S16" s="12">
        <f t="shared" si="4"/>
        <v>13.111439349066334</v>
      </c>
      <c r="T16" s="12">
        <f t="shared" si="9"/>
        <v>20.206666666666671</v>
      </c>
      <c r="U16" s="12">
        <v>17.170000000000002</v>
      </c>
      <c r="V16" s="12">
        <v>3.0366666666666702</v>
      </c>
      <c r="W16" s="5" t="s">
        <v>341</v>
      </c>
      <c r="X16" s="5">
        <f t="shared" si="5"/>
        <v>293.20666666666665</v>
      </c>
      <c r="Y16" s="5">
        <v>32.2366666666667</v>
      </c>
      <c r="Z16" s="23" t="s">
        <v>461</v>
      </c>
      <c r="AA16" s="4" t="s">
        <v>342</v>
      </c>
      <c r="AB16" s="5" t="s">
        <v>169</v>
      </c>
      <c r="AC16" s="3">
        <v>170</v>
      </c>
      <c r="AD16" s="3">
        <f>AC16/([2]S2!$AC$1-S16)</f>
        <v>12.69740672147195</v>
      </c>
      <c r="AE16" s="11">
        <v>34</v>
      </c>
      <c r="AF16" s="57">
        <f t="shared" si="6"/>
        <v>3.331750298701161E-2</v>
      </c>
      <c r="AG16" s="12">
        <f t="shared" si="7"/>
        <v>381.10319150933572</v>
      </c>
    </row>
    <row r="17" spans="1:307" x14ac:dyDescent="0.25">
      <c r="A17" s="76">
        <v>19598</v>
      </c>
      <c r="B17" s="3">
        <v>7.25</v>
      </c>
      <c r="C17" s="8">
        <f t="shared" si="0"/>
        <v>0.25</v>
      </c>
      <c r="D17" s="8">
        <f t="shared" si="1"/>
        <v>0.25</v>
      </c>
      <c r="E17" s="3">
        <v>7</v>
      </c>
      <c r="F17" s="3">
        <v>7.5</v>
      </c>
      <c r="G17" s="25" t="s">
        <v>428</v>
      </c>
      <c r="H17" s="53" t="s">
        <v>432</v>
      </c>
      <c r="I17" s="4" t="s">
        <v>168</v>
      </c>
      <c r="J17" s="11" t="s">
        <v>4</v>
      </c>
      <c r="K17" s="11" t="s">
        <v>27</v>
      </c>
      <c r="L17" s="5">
        <v>-23.83</v>
      </c>
      <c r="M17" s="4" t="s">
        <v>293</v>
      </c>
      <c r="N17" s="5">
        <f t="shared" si="8"/>
        <v>-20.329999999999998</v>
      </c>
      <c r="O17" s="5">
        <v>2.1</v>
      </c>
      <c r="P17" s="4" t="s">
        <v>445</v>
      </c>
      <c r="Q17" s="12">
        <f t="shared" si="2"/>
        <v>-9.5395268015034098</v>
      </c>
      <c r="R17" s="12">
        <f t="shared" si="3"/>
        <v>-8.4395268015034102</v>
      </c>
      <c r="S17" s="12">
        <f t="shared" si="4"/>
        <v>12.137222940884707</v>
      </c>
      <c r="T17" s="12">
        <f t="shared" si="9"/>
        <v>20.111666666666672</v>
      </c>
      <c r="U17" s="12">
        <v>17.09</v>
      </c>
      <c r="V17" s="12">
        <v>3.0216666666666701</v>
      </c>
      <c r="W17" s="5" t="s">
        <v>341</v>
      </c>
      <c r="X17" s="5">
        <f t="shared" si="5"/>
        <v>293.11166666666668</v>
      </c>
      <c r="Y17" s="5">
        <v>32.016666666666701</v>
      </c>
      <c r="Z17" s="23" t="s">
        <v>462</v>
      </c>
      <c r="AA17" s="4" t="s">
        <v>342</v>
      </c>
      <c r="AB17" s="5" t="s">
        <v>169</v>
      </c>
      <c r="AC17" s="3">
        <v>170</v>
      </c>
      <c r="AD17" s="3">
        <f>AC17/([2]S2!$AC$1-S17)</f>
        <v>11.836151135696284</v>
      </c>
      <c r="AE17" s="11">
        <v>34</v>
      </c>
      <c r="AF17" s="57">
        <f t="shared" si="6"/>
        <v>3.3406191895501675E-2</v>
      </c>
      <c r="AG17" s="12">
        <f t="shared" si="7"/>
        <v>354.31009834108283</v>
      </c>
    </row>
    <row r="18" spans="1:307" s="10" customFormat="1" ht="13.95" customHeight="1" x14ac:dyDescent="0.25">
      <c r="A18" s="76">
        <v>19599</v>
      </c>
      <c r="B18" s="3">
        <v>7.75</v>
      </c>
      <c r="C18" s="8">
        <f t="shared" si="0"/>
        <v>0.25</v>
      </c>
      <c r="D18" s="8">
        <f t="shared" si="1"/>
        <v>0.25</v>
      </c>
      <c r="E18" s="3">
        <v>7.5</v>
      </c>
      <c r="F18" s="3">
        <v>8</v>
      </c>
      <c r="G18" s="25" t="s">
        <v>428</v>
      </c>
      <c r="H18" s="53" t="s">
        <v>478</v>
      </c>
      <c r="I18" s="4" t="s">
        <v>168</v>
      </c>
      <c r="J18" s="11" t="s">
        <v>4</v>
      </c>
      <c r="K18" s="11" t="s">
        <v>27</v>
      </c>
      <c r="L18" s="5">
        <v>-24.963999999999999</v>
      </c>
      <c r="M18" s="4" t="s">
        <v>293</v>
      </c>
      <c r="N18" s="5">
        <f t="shared" si="8"/>
        <v>-21.463999999999999</v>
      </c>
      <c r="O18" s="5">
        <v>1.5</v>
      </c>
      <c r="P18" s="4" t="s">
        <v>2</v>
      </c>
      <c r="Q18" s="12">
        <f t="shared" si="2"/>
        <v>-9.5179133992499096</v>
      </c>
      <c r="R18" s="12">
        <f t="shared" si="3"/>
        <v>-9.0179133992499096</v>
      </c>
      <c r="S18" s="12">
        <f t="shared" si="4"/>
        <v>12.719089129832772</v>
      </c>
      <c r="T18" s="12">
        <f t="shared" si="9"/>
        <v>20.3</v>
      </c>
      <c r="U18" s="12">
        <v>17.09</v>
      </c>
      <c r="V18" s="12">
        <v>3.21</v>
      </c>
      <c r="W18" s="5" t="s">
        <v>341</v>
      </c>
      <c r="X18" s="5">
        <f t="shared" si="5"/>
        <v>293.3</v>
      </c>
      <c r="Y18" s="5">
        <v>35.07</v>
      </c>
      <c r="Z18" s="23" t="s">
        <v>474</v>
      </c>
      <c r="AA18" s="4" t="s">
        <v>342</v>
      </c>
      <c r="AB18" s="5" t="s">
        <v>169</v>
      </c>
      <c r="AC18" s="3">
        <v>170</v>
      </c>
      <c r="AD18" s="3">
        <f>AC18/([2]S2!$AC$1-S18)</f>
        <v>12.335904469712101</v>
      </c>
      <c r="AE18" s="11">
        <v>34</v>
      </c>
      <c r="AF18" s="57">
        <f t="shared" si="6"/>
        <v>3.3230743364021716E-2</v>
      </c>
      <c r="AG18" s="12">
        <f t="shared" si="7"/>
        <v>371.21963642462322</v>
      </c>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row>
    <row r="19" spans="1:307" ht="14.4" customHeight="1" x14ac:dyDescent="0.25">
      <c r="A19" s="76">
        <v>19600</v>
      </c>
      <c r="B19" s="3">
        <v>8</v>
      </c>
      <c r="C19" s="8">
        <f t="shared" si="0"/>
        <v>2.6669999999999998</v>
      </c>
      <c r="D19" s="8">
        <f t="shared" si="1"/>
        <v>3.6199999999999992</v>
      </c>
      <c r="E19" s="3">
        <v>5.3330000000000002</v>
      </c>
      <c r="F19" s="3">
        <v>11.62</v>
      </c>
      <c r="G19" s="4" t="s">
        <v>224</v>
      </c>
      <c r="H19" s="4" t="s">
        <v>155</v>
      </c>
      <c r="I19" s="4" t="s">
        <v>154</v>
      </c>
      <c r="J19" s="11" t="s">
        <v>1</v>
      </c>
      <c r="K19" s="11" t="s">
        <v>0</v>
      </c>
      <c r="L19" s="5">
        <v>-25</v>
      </c>
      <c r="M19" s="4" t="s">
        <v>25</v>
      </c>
      <c r="N19" s="5">
        <f t="shared" si="8"/>
        <v>-21.5</v>
      </c>
      <c r="O19" s="5">
        <v>1.5</v>
      </c>
      <c r="P19" s="4" t="s">
        <v>2</v>
      </c>
      <c r="Q19" s="12">
        <f t="shared" si="2"/>
        <v>-9.9712232204561211</v>
      </c>
      <c r="R19" s="12">
        <f t="shared" si="3"/>
        <v>-9.4712232204561211</v>
      </c>
      <c r="S19" s="12">
        <f t="shared" si="4"/>
        <v>12.293077955589204</v>
      </c>
      <c r="T19" s="12">
        <f t="shared" si="9"/>
        <v>16.399999999999999</v>
      </c>
      <c r="U19" s="12">
        <v>13.2</v>
      </c>
      <c r="V19" s="12">
        <v>3.2</v>
      </c>
      <c r="W19" s="5" t="s">
        <v>341</v>
      </c>
      <c r="X19" s="5">
        <f t="shared" si="5"/>
        <v>289.39999999999998</v>
      </c>
      <c r="Y19" s="5">
        <v>35</v>
      </c>
      <c r="Z19" s="23" t="s">
        <v>477</v>
      </c>
      <c r="AA19" s="4" t="s">
        <v>342</v>
      </c>
      <c r="AB19" s="5" t="s">
        <v>169</v>
      </c>
      <c r="AC19" s="3">
        <v>170</v>
      </c>
      <c r="AD19" s="3">
        <f>AC19/($AL$8-S19)</f>
        <v>11.965997945830949</v>
      </c>
      <c r="AE19" s="3">
        <v>34</v>
      </c>
      <c r="AF19" s="57">
        <f t="shared" si="6"/>
        <v>3.7193770429646431E-2</v>
      </c>
      <c r="AG19" s="12">
        <f t="shared" si="7"/>
        <v>321.72048726453085</v>
      </c>
    </row>
    <row r="20" spans="1:307" x14ac:dyDescent="0.25">
      <c r="A20" s="76">
        <v>19601</v>
      </c>
      <c r="B20" s="3">
        <v>8.25</v>
      </c>
      <c r="C20" s="8">
        <f t="shared" si="0"/>
        <v>0.25</v>
      </c>
      <c r="D20" s="8">
        <f t="shared" si="1"/>
        <v>0.25</v>
      </c>
      <c r="E20" s="3">
        <v>8</v>
      </c>
      <c r="F20" s="3">
        <v>8.5</v>
      </c>
      <c r="G20" s="25" t="s">
        <v>428</v>
      </c>
      <c r="H20" s="53" t="s">
        <v>479</v>
      </c>
      <c r="I20" s="4" t="s">
        <v>168</v>
      </c>
      <c r="J20" s="11" t="s">
        <v>4</v>
      </c>
      <c r="K20" s="11" t="s">
        <v>27</v>
      </c>
      <c r="L20" s="5">
        <v>-24.609000000000002</v>
      </c>
      <c r="M20" s="4" t="s">
        <v>293</v>
      </c>
      <c r="N20" s="5">
        <f t="shared" si="8"/>
        <v>-21.109000000000002</v>
      </c>
      <c r="O20" s="5">
        <v>1.5</v>
      </c>
      <c r="P20" s="4" t="s">
        <v>2</v>
      </c>
      <c r="Q20" s="12">
        <f t="shared" si="2"/>
        <v>-9.5121799897733048</v>
      </c>
      <c r="R20" s="12">
        <f t="shared" si="3"/>
        <v>-9.0121799897733048</v>
      </c>
      <c r="S20" s="12">
        <f t="shared" si="4"/>
        <v>12.357678240199066</v>
      </c>
      <c r="T20" s="12">
        <f t="shared" si="9"/>
        <v>20.350000000000001</v>
      </c>
      <c r="U20" s="12">
        <v>17.09</v>
      </c>
      <c r="V20" s="12">
        <v>3.26</v>
      </c>
      <c r="W20" s="5" t="s">
        <v>341</v>
      </c>
      <c r="X20" s="5">
        <f t="shared" si="5"/>
        <v>293.35000000000002</v>
      </c>
      <c r="Y20" s="5">
        <v>34.93</v>
      </c>
      <c r="Z20" s="23" t="s">
        <v>475</v>
      </c>
      <c r="AA20" s="4" t="s">
        <v>342</v>
      </c>
      <c r="AB20" s="5" t="s">
        <v>169</v>
      </c>
      <c r="AC20" s="3">
        <v>170</v>
      </c>
      <c r="AD20" s="3">
        <f>AC20/([2]S2!$AC$1-S20)</f>
        <v>12.020657066594199</v>
      </c>
      <c r="AE20" s="11">
        <v>34</v>
      </c>
      <c r="AF20" s="57">
        <f t="shared" si="6"/>
        <v>3.3184416558445777E-2</v>
      </c>
      <c r="AG20" s="12">
        <f t="shared" si="7"/>
        <v>362.23801149021006</v>
      </c>
    </row>
    <row r="21" spans="1:307" x14ac:dyDescent="0.25">
      <c r="A21" s="76">
        <v>19602</v>
      </c>
      <c r="B21" s="3">
        <v>9.25</v>
      </c>
      <c r="C21" s="8">
        <f t="shared" si="0"/>
        <v>0.25</v>
      </c>
      <c r="D21" s="8">
        <f t="shared" si="1"/>
        <v>0.25</v>
      </c>
      <c r="E21" s="3">
        <v>9</v>
      </c>
      <c r="F21" s="3">
        <v>9.5</v>
      </c>
      <c r="G21" s="25" t="s">
        <v>428</v>
      </c>
      <c r="H21" s="53" t="s">
        <v>433</v>
      </c>
      <c r="I21" s="4" t="s">
        <v>168</v>
      </c>
      <c r="J21" s="11" t="s">
        <v>4</v>
      </c>
      <c r="K21" s="11" t="s">
        <v>27</v>
      </c>
      <c r="L21" s="5">
        <v>-23.67</v>
      </c>
      <c r="M21" s="4" t="s">
        <v>293</v>
      </c>
      <c r="N21" s="5">
        <f t="shared" si="8"/>
        <v>-20.170000000000002</v>
      </c>
      <c r="O21" s="5">
        <v>2.25</v>
      </c>
      <c r="P21" s="4" t="s">
        <v>445</v>
      </c>
      <c r="Q21" s="12">
        <f t="shared" si="2"/>
        <v>-9.5412494171433728</v>
      </c>
      <c r="R21" s="12">
        <f t="shared" si="3"/>
        <v>-8.2912494171433728</v>
      </c>
      <c r="S21" s="12">
        <f t="shared" si="4"/>
        <v>12.123277081592221</v>
      </c>
      <c r="T21" s="12">
        <f t="shared" si="9"/>
        <v>20.096666666666671</v>
      </c>
      <c r="U21" s="12">
        <v>17.09</v>
      </c>
      <c r="V21" s="12">
        <v>3.0066666666666699</v>
      </c>
      <c r="W21" s="5" t="s">
        <v>341</v>
      </c>
      <c r="X21" s="5">
        <f t="shared" si="5"/>
        <v>293.09666666666669</v>
      </c>
      <c r="Y21" s="5">
        <v>31.796666666666699</v>
      </c>
      <c r="Z21" s="23" t="s">
        <v>463</v>
      </c>
      <c r="AA21" s="4" t="s">
        <v>342</v>
      </c>
      <c r="AB21" s="5" t="s">
        <v>169</v>
      </c>
      <c r="AC21" s="3">
        <v>170</v>
      </c>
      <c r="AD21" s="3">
        <f>AC21/([2]S2!$AC$1-S21)</f>
        <v>11.824669708444759</v>
      </c>
      <c r="AE21" s="11">
        <v>34</v>
      </c>
      <c r="AF21" s="57">
        <f t="shared" si="6"/>
        <v>3.3420230580625612E-2</v>
      </c>
      <c r="AG21" s="12">
        <f t="shared" si="7"/>
        <v>353.81771768204857</v>
      </c>
    </row>
    <row r="22" spans="1:307" s="10" customFormat="1" ht="13.95" customHeight="1" x14ac:dyDescent="0.25">
      <c r="A22" s="76">
        <v>19603</v>
      </c>
      <c r="B22" s="3">
        <v>9.3000000000000007</v>
      </c>
      <c r="C22" s="8">
        <f t="shared" si="0"/>
        <v>0.30000000000000071</v>
      </c>
      <c r="D22" s="8">
        <f t="shared" si="1"/>
        <v>0.19999999999999929</v>
      </c>
      <c r="E22" s="3">
        <v>9</v>
      </c>
      <c r="F22" s="3">
        <v>9.5</v>
      </c>
      <c r="G22" s="25" t="s">
        <v>428</v>
      </c>
      <c r="H22" s="53" t="s">
        <v>480</v>
      </c>
      <c r="I22" s="4" t="s">
        <v>168</v>
      </c>
      <c r="J22" s="11" t="s">
        <v>4</v>
      </c>
      <c r="K22" s="11" t="s">
        <v>27</v>
      </c>
      <c r="L22" s="5">
        <v>-24.776</v>
      </c>
      <c r="M22" s="4" t="s">
        <v>293</v>
      </c>
      <c r="N22" s="5">
        <f t="shared" si="8"/>
        <v>-21.276</v>
      </c>
      <c r="O22" s="5">
        <v>1.5</v>
      </c>
      <c r="P22" s="4" t="s">
        <v>2</v>
      </c>
      <c r="Q22" s="12">
        <f t="shared" si="2"/>
        <v>-9.521354383332767</v>
      </c>
      <c r="R22" s="12">
        <f t="shared" si="3"/>
        <v>-9.021354383332767</v>
      </c>
      <c r="S22" s="12">
        <f t="shared" si="4"/>
        <v>12.521043334655202</v>
      </c>
      <c r="T22" s="12">
        <f t="shared" si="9"/>
        <v>20.27</v>
      </c>
      <c r="U22" s="12">
        <v>17.09</v>
      </c>
      <c r="V22" s="12">
        <v>3.18</v>
      </c>
      <c r="W22" s="5" t="s">
        <v>341</v>
      </c>
      <c r="X22" s="5">
        <f t="shared" si="5"/>
        <v>293.27</v>
      </c>
      <c r="Y22" s="5">
        <v>34.630000000000003</v>
      </c>
      <c r="Z22" s="23" t="s">
        <v>476</v>
      </c>
      <c r="AA22" s="4" t="s">
        <v>342</v>
      </c>
      <c r="AB22" s="5" t="s">
        <v>169</v>
      </c>
      <c r="AC22" s="3">
        <v>170</v>
      </c>
      <c r="AD22" s="3">
        <f>AC22/([2]S2!$AC$1-S22)</f>
        <v>12.161136490353865</v>
      </c>
      <c r="AE22" s="11">
        <v>34</v>
      </c>
      <c r="AF22" s="57">
        <f t="shared" si="6"/>
        <v>3.325859014584652E-2</v>
      </c>
      <c r="AG22" s="12">
        <f t="shared" si="7"/>
        <v>365.6539990728561</v>
      </c>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row>
    <row r="23" spans="1:307" ht="14.4" customHeight="1" x14ac:dyDescent="0.25">
      <c r="A23" s="76">
        <v>19604</v>
      </c>
      <c r="B23" s="3">
        <v>10.5</v>
      </c>
      <c r="C23" s="8">
        <f t="shared" si="0"/>
        <v>0.30000000000000071</v>
      </c>
      <c r="D23" s="8">
        <f t="shared" si="1"/>
        <v>0.19999999999999929</v>
      </c>
      <c r="E23" s="3">
        <v>10.199999999999999</v>
      </c>
      <c r="F23" s="3">
        <v>10.7</v>
      </c>
      <c r="G23" s="25" t="s">
        <v>428</v>
      </c>
      <c r="H23" s="53" t="s">
        <v>434</v>
      </c>
      <c r="I23" s="4" t="s">
        <v>168</v>
      </c>
      <c r="J23" s="11" t="s">
        <v>4</v>
      </c>
      <c r="K23" s="11" t="s">
        <v>27</v>
      </c>
      <c r="L23" s="5">
        <v>-24.45</v>
      </c>
      <c r="M23" s="4" t="s">
        <v>293</v>
      </c>
      <c r="N23" s="5">
        <f t="shared" si="8"/>
        <v>-20.95</v>
      </c>
      <c r="O23" s="5">
        <v>2.2000000000000002</v>
      </c>
      <c r="P23" s="4" t="s">
        <v>445</v>
      </c>
      <c r="Q23" s="12">
        <f t="shared" si="2"/>
        <v>-9.5429722091112303</v>
      </c>
      <c r="R23" s="12">
        <f t="shared" si="3"/>
        <v>-8.3429722091112311</v>
      </c>
      <c r="S23" s="12">
        <f t="shared" si="4"/>
        <v>12.876796681363434</v>
      </c>
      <c r="T23" s="12">
        <f t="shared" si="9"/>
        <v>20.081666666666671</v>
      </c>
      <c r="U23" s="12">
        <v>17.09</v>
      </c>
      <c r="V23" s="12">
        <v>2.9916666666666698</v>
      </c>
      <c r="W23" s="5" t="s">
        <v>341</v>
      </c>
      <c r="X23" s="5">
        <f t="shared" si="5"/>
        <v>293.08166666666665</v>
      </c>
      <c r="Y23" s="5">
        <v>31.5766666666667</v>
      </c>
      <c r="Z23" s="23" t="s">
        <v>464</v>
      </c>
      <c r="AA23" s="4" t="s">
        <v>342</v>
      </c>
      <c r="AB23" s="5" t="s">
        <v>169</v>
      </c>
      <c r="AC23" s="3">
        <v>170</v>
      </c>
      <c r="AD23" s="3">
        <f>AC23/([2]S2!$AC$1-S23)</f>
        <v>12.478709744237591</v>
      </c>
      <c r="AE23" s="11">
        <v>34</v>
      </c>
      <c r="AF23" s="57">
        <f t="shared" si="6"/>
        <v>3.3434278880059412E-2</v>
      </c>
      <c r="AG23" s="12">
        <f t="shared" si="7"/>
        <v>373.23101207007147</v>
      </c>
    </row>
    <row r="24" spans="1:307" x14ac:dyDescent="0.25">
      <c r="A24" s="76">
        <v>19605</v>
      </c>
      <c r="B24" s="24">
        <v>11</v>
      </c>
      <c r="C24" s="8">
        <f t="shared" si="0"/>
        <v>4</v>
      </c>
      <c r="D24" s="8">
        <f t="shared" si="1"/>
        <v>3</v>
      </c>
      <c r="E24" s="24">
        <v>7</v>
      </c>
      <c r="F24" s="24">
        <v>14</v>
      </c>
      <c r="G24" s="25" t="s">
        <v>541</v>
      </c>
      <c r="H24" s="26">
        <v>322050</v>
      </c>
      <c r="I24" s="25" t="s">
        <v>213</v>
      </c>
      <c r="J24" s="35" t="s">
        <v>1</v>
      </c>
      <c r="K24" s="35" t="s">
        <v>0</v>
      </c>
      <c r="L24" s="27">
        <v>-23.923124999999999</v>
      </c>
      <c r="M24" s="25" t="s">
        <v>293</v>
      </c>
      <c r="N24" s="5">
        <f t="shared" si="8"/>
        <v>-20.423124999999999</v>
      </c>
      <c r="O24" s="5">
        <v>2.4500000000000002</v>
      </c>
      <c r="P24" s="4" t="s">
        <v>2</v>
      </c>
      <c r="Q24" s="12">
        <f t="shared" si="2"/>
        <v>-9.256184032476316</v>
      </c>
      <c r="R24" s="12">
        <f t="shared" si="3"/>
        <v>-7.8061840324763159</v>
      </c>
      <c r="S24" s="12">
        <f t="shared" si="4"/>
        <v>12.87999062607903</v>
      </c>
      <c r="T24" s="12">
        <f t="shared" si="9"/>
        <v>22.6</v>
      </c>
      <c r="U24" s="12">
        <v>17.170000000000002</v>
      </c>
      <c r="V24" s="12">
        <v>5.43</v>
      </c>
      <c r="W24" s="5" t="s">
        <v>370</v>
      </c>
      <c r="X24" s="5">
        <f t="shared" si="5"/>
        <v>295.60000000000002</v>
      </c>
      <c r="Y24" s="5"/>
      <c r="Z24" s="23"/>
      <c r="AA24" s="4" t="s">
        <v>259</v>
      </c>
      <c r="AB24" s="5" t="s">
        <v>169</v>
      </c>
      <c r="AC24" s="3">
        <v>170</v>
      </c>
      <c r="AD24" s="3">
        <f>AC24/($AL$8-S24)</f>
        <v>12.481636049789287</v>
      </c>
      <c r="AE24" s="3">
        <v>34</v>
      </c>
      <c r="AF24" s="57">
        <f t="shared" si="6"/>
        <v>3.1204612135525459E-2</v>
      </c>
      <c r="AG24" s="12">
        <f t="shared" si="7"/>
        <v>399.99330853977648</v>
      </c>
    </row>
    <row r="25" spans="1:307" s="2" customFormat="1" ht="13.95" customHeight="1" x14ac:dyDescent="0.25">
      <c r="A25" s="76">
        <v>19606</v>
      </c>
      <c r="B25" s="24">
        <v>11</v>
      </c>
      <c r="C25" s="8">
        <f t="shared" si="0"/>
        <v>4</v>
      </c>
      <c r="D25" s="8">
        <f t="shared" si="1"/>
        <v>3</v>
      </c>
      <c r="E25" s="24">
        <v>7</v>
      </c>
      <c r="F25" s="24">
        <v>14</v>
      </c>
      <c r="G25" s="25" t="s">
        <v>541</v>
      </c>
      <c r="H25" s="26">
        <v>322107</v>
      </c>
      <c r="I25" s="25" t="s">
        <v>213</v>
      </c>
      <c r="J25" s="35" t="s">
        <v>1</v>
      </c>
      <c r="K25" s="35" t="s">
        <v>0</v>
      </c>
      <c r="L25" s="27">
        <v>-24.445916666666701</v>
      </c>
      <c r="M25" s="25" t="s">
        <v>293</v>
      </c>
      <c r="N25" s="5">
        <f t="shared" si="8"/>
        <v>-20.945916666666701</v>
      </c>
      <c r="O25" s="5">
        <v>2.4500000000000002</v>
      </c>
      <c r="P25" s="4" t="s">
        <v>2</v>
      </c>
      <c r="Q25" s="12">
        <f t="shared" si="2"/>
        <v>-9.256184032476316</v>
      </c>
      <c r="R25" s="12">
        <f t="shared" si="3"/>
        <v>-7.8061840324763159</v>
      </c>
      <c r="S25" s="12">
        <f t="shared" si="4"/>
        <v>13.42084452521175</v>
      </c>
      <c r="T25" s="12">
        <f t="shared" si="9"/>
        <v>22.6</v>
      </c>
      <c r="U25" s="12">
        <v>17.170000000000002</v>
      </c>
      <c r="V25" s="12">
        <v>5.43</v>
      </c>
      <c r="W25" s="5" t="s">
        <v>371</v>
      </c>
      <c r="X25" s="5">
        <f t="shared" si="5"/>
        <v>295.60000000000002</v>
      </c>
      <c r="Y25" s="5"/>
      <c r="Z25" s="23"/>
      <c r="AA25" s="4" t="s">
        <v>259</v>
      </c>
      <c r="AB25" s="5" t="s">
        <v>169</v>
      </c>
      <c r="AC25" s="3">
        <v>170</v>
      </c>
      <c r="AD25" s="3">
        <f>AC25/($AL$8-S25)</f>
        <v>12.997781112679395</v>
      </c>
      <c r="AE25" s="3">
        <v>34</v>
      </c>
      <c r="AF25" s="57">
        <f t="shared" si="6"/>
        <v>3.1204612135525459E-2</v>
      </c>
      <c r="AG25" s="12">
        <f t="shared" si="7"/>
        <v>416.53397440828417</v>
      </c>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row>
    <row r="26" spans="1:307" x14ac:dyDescent="0.25">
      <c r="A26" s="76">
        <v>19607</v>
      </c>
      <c r="B26" s="3">
        <v>11.1</v>
      </c>
      <c r="C26" s="8">
        <f t="shared" si="0"/>
        <v>0</v>
      </c>
      <c r="D26" s="8">
        <f t="shared" si="1"/>
        <v>0</v>
      </c>
      <c r="E26" s="3">
        <v>11.1</v>
      </c>
      <c r="F26" s="3">
        <v>11.1</v>
      </c>
      <c r="G26" s="25" t="s">
        <v>211</v>
      </c>
      <c r="H26" s="4" t="s">
        <v>149</v>
      </c>
      <c r="I26" s="4" t="s">
        <v>144</v>
      </c>
      <c r="J26" s="11" t="s">
        <v>4</v>
      </c>
      <c r="K26" s="11" t="s">
        <v>27</v>
      </c>
      <c r="L26" s="5">
        <v>-24.1</v>
      </c>
      <c r="M26" s="4" t="s">
        <v>143</v>
      </c>
      <c r="N26" s="5">
        <f t="shared" si="8"/>
        <v>-20.6</v>
      </c>
      <c r="O26" s="5">
        <v>1.7</v>
      </c>
      <c r="P26" s="4" t="s">
        <v>2</v>
      </c>
      <c r="Q26" s="12">
        <f t="shared" si="2"/>
        <v>-9.8538292011019273</v>
      </c>
      <c r="R26" s="12">
        <f t="shared" si="3"/>
        <v>-9.153829201101928</v>
      </c>
      <c r="S26" s="12">
        <f t="shared" si="4"/>
        <v>11.686921379312043</v>
      </c>
      <c r="T26" s="12">
        <f t="shared" si="9"/>
        <v>17.399999999999999</v>
      </c>
      <c r="U26" s="12">
        <v>13.2</v>
      </c>
      <c r="V26" s="12">
        <v>4.2</v>
      </c>
      <c r="W26" s="5" t="s">
        <v>341</v>
      </c>
      <c r="X26" s="5">
        <f t="shared" si="5"/>
        <v>290.39999999999998</v>
      </c>
      <c r="Y26" s="5">
        <v>34.5</v>
      </c>
      <c r="Z26" s="23" t="s">
        <v>270</v>
      </c>
      <c r="AA26" s="4" t="s">
        <v>170</v>
      </c>
      <c r="AB26" s="5" t="s">
        <v>169</v>
      </c>
      <c r="AC26" s="11">
        <v>170</v>
      </c>
      <c r="AD26" s="3">
        <f>AC26/($AL$8-S26)</f>
        <v>11.476344948482071</v>
      </c>
      <c r="AE26" s="3">
        <v>34</v>
      </c>
      <c r="AF26" s="57">
        <f t="shared" si="6"/>
        <v>3.6108185815871142E-2</v>
      </c>
      <c r="AG26" s="12">
        <f t="shared" si="7"/>
        <v>317.83222250500631</v>
      </c>
    </row>
    <row r="27" spans="1:307" x14ac:dyDescent="0.25">
      <c r="A27" s="76">
        <v>19608</v>
      </c>
      <c r="B27" s="3">
        <v>11.3</v>
      </c>
      <c r="C27" s="8">
        <f t="shared" si="0"/>
        <v>0</v>
      </c>
      <c r="D27" s="8">
        <f t="shared" si="1"/>
        <v>0</v>
      </c>
      <c r="E27" s="3">
        <v>11.3</v>
      </c>
      <c r="F27" s="3">
        <v>11.3</v>
      </c>
      <c r="G27" s="25" t="s">
        <v>211</v>
      </c>
      <c r="H27" s="4" t="s">
        <v>150</v>
      </c>
      <c r="I27" s="4" t="s">
        <v>144</v>
      </c>
      <c r="J27" s="11" t="s">
        <v>4</v>
      </c>
      <c r="K27" s="11" t="s">
        <v>27</v>
      </c>
      <c r="L27" s="5">
        <v>-24.2</v>
      </c>
      <c r="M27" s="4" t="s">
        <v>143</v>
      </c>
      <c r="N27" s="5">
        <f t="shared" si="8"/>
        <v>-20.7</v>
      </c>
      <c r="O27" s="5">
        <v>1.7</v>
      </c>
      <c r="P27" s="4" t="s">
        <v>2</v>
      </c>
      <c r="Q27" s="12">
        <f t="shared" si="2"/>
        <v>-9.87607181006857</v>
      </c>
      <c r="R27" s="12">
        <f t="shared" si="3"/>
        <v>-9.1760718100685708</v>
      </c>
      <c r="S27" s="12">
        <f t="shared" si="4"/>
        <v>11.767515766293757</v>
      </c>
      <c r="T27" s="12">
        <f t="shared" si="9"/>
        <v>17.21</v>
      </c>
      <c r="U27" s="12">
        <v>13.2</v>
      </c>
      <c r="V27" s="12">
        <v>4.01</v>
      </c>
      <c r="W27" s="5" t="s">
        <v>341</v>
      </c>
      <c r="X27" s="5">
        <f t="shared" si="5"/>
        <v>290.20999999999998</v>
      </c>
      <c r="Y27" s="5">
        <v>34.5</v>
      </c>
      <c r="Z27" s="23" t="s">
        <v>270</v>
      </c>
      <c r="AA27" s="4" t="s">
        <v>170</v>
      </c>
      <c r="AB27" s="5" t="s">
        <v>169</v>
      </c>
      <c r="AC27" s="11">
        <v>170</v>
      </c>
      <c r="AD27" s="3">
        <f>AC27/($AL$8-S27)</f>
        <v>11.53912655213025</v>
      </c>
      <c r="AE27" s="3">
        <v>34</v>
      </c>
      <c r="AF27" s="57">
        <f t="shared" si="6"/>
        <v>3.6310550869293065E-2</v>
      </c>
      <c r="AG27" s="12">
        <f t="shared" si="7"/>
        <v>317.78990612584192</v>
      </c>
    </row>
    <row r="28" spans="1:307" s="10" customFormat="1" ht="13.95" customHeight="1" x14ac:dyDescent="0.25">
      <c r="A28" s="76">
        <v>19609</v>
      </c>
      <c r="B28" s="3">
        <v>12</v>
      </c>
      <c r="C28" s="8">
        <f t="shared" si="0"/>
        <v>0.19999999999999929</v>
      </c>
      <c r="D28" s="8">
        <f t="shared" si="1"/>
        <v>0.19999999999999929</v>
      </c>
      <c r="E28" s="3">
        <v>11.8</v>
      </c>
      <c r="F28" s="3">
        <v>12.2</v>
      </c>
      <c r="G28" s="25" t="s">
        <v>435</v>
      </c>
      <c r="H28" s="53" t="s">
        <v>436</v>
      </c>
      <c r="I28" s="4" t="s">
        <v>168</v>
      </c>
      <c r="J28" s="11" t="s">
        <v>4</v>
      </c>
      <c r="K28" s="11" t="s">
        <v>27</v>
      </c>
      <c r="L28" s="5">
        <v>-25.56</v>
      </c>
      <c r="M28" s="4" t="s">
        <v>293</v>
      </c>
      <c r="N28" s="5">
        <f t="shared" si="8"/>
        <v>-22.06</v>
      </c>
      <c r="O28" s="5">
        <v>2.1</v>
      </c>
      <c r="P28" s="4" t="s">
        <v>445</v>
      </c>
      <c r="Q28" s="12">
        <f t="shared" si="2"/>
        <v>-9.5446951774340327</v>
      </c>
      <c r="R28" s="12">
        <f t="shared" si="3"/>
        <v>-8.4446951774340331</v>
      </c>
      <c r="S28" s="12">
        <f t="shared" si="4"/>
        <v>13.922433710213289</v>
      </c>
      <c r="T28" s="12">
        <f t="shared" si="9"/>
        <v>20.06666666666667</v>
      </c>
      <c r="U28" s="12">
        <v>17.09</v>
      </c>
      <c r="V28" s="12">
        <v>2.9766666666666701</v>
      </c>
      <c r="W28" s="5" t="s">
        <v>341</v>
      </c>
      <c r="X28" s="5">
        <f t="shared" si="5"/>
        <v>293.06666666666666</v>
      </c>
      <c r="Y28" s="5">
        <v>31.356666666666701</v>
      </c>
      <c r="Z28" s="23" t="s">
        <v>465</v>
      </c>
      <c r="AA28" s="4" t="s">
        <v>342</v>
      </c>
      <c r="AB28" s="5" t="s">
        <v>169</v>
      </c>
      <c r="AC28" s="3">
        <v>170</v>
      </c>
      <c r="AD28" s="3">
        <f>AC28/([2]S2!$AC$1-S28)</f>
        <v>13.516128325878443</v>
      </c>
      <c r="AE28" s="11">
        <v>34</v>
      </c>
      <c r="AF28" s="57">
        <f t="shared" si="6"/>
        <v>3.3448336801597763E-2</v>
      </c>
      <c r="AG28" s="12">
        <f t="shared" si="7"/>
        <v>404.08969827261495</v>
      </c>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row>
    <row r="29" spans="1:307" ht="14.4" customHeight="1" x14ac:dyDescent="0.25">
      <c r="A29" s="76">
        <v>19610</v>
      </c>
      <c r="B29" s="3">
        <v>12.5</v>
      </c>
      <c r="C29" s="8">
        <f t="shared" si="0"/>
        <v>0.30000000000000071</v>
      </c>
      <c r="D29" s="8">
        <f t="shared" si="1"/>
        <v>0.19999999999999929</v>
      </c>
      <c r="E29" s="3">
        <v>12.2</v>
      </c>
      <c r="F29" s="3">
        <v>12.7</v>
      </c>
      <c r="G29" s="25" t="s">
        <v>435</v>
      </c>
      <c r="H29" s="53" t="s">
        <v>437</v>
      </c>
      <c r="I29" s="4" t="s">
        <v>168</v>
      </c>
      <c r="J29" s="11" t="s">
        <v>4</v>
      </c>
      <c r="K29" s="11" t="s">
        <v>27</v>
      </c>
      <c r="L29" s="5">
        <v>-25.25</v>
      </c>
      <c r="M29" s="4" t="s">
        <v>293</v>
      </c>
      <c r="N29" s="5">
        <f t="shared" si="8"/>
        <v>-21.75</v>
      </c>
      <c r="O29" s="5">
        <v>2.1</v>
      </c>
      <c r="P29" s="4" t="s">
        <v>445</v>
      </c>
      <c r="Q29" s="12">
        <f t="shared" si="2"/>
        <v>-9.546418322138873</v>
      </c>
      <c r="R29" s="12">
        <f t="shared" si="3"/>
        <v>-8.4464183221388733</v>
      </c>
      <c r="S29" s="12">
        <f t="shared" si="4"/>
        <v>13.599367930346107</v>
      </c>
      <c r="T29" s="12">
        <f t="shared" si="9"/>
        <v>20.051666666666669</v>
      </c>
      <c r="U29" s="12">
        <v>17.09</v>
      </c>
      <c r="V29" s="12">
        <v>2.96166666666667</v>
      </c>
      <c r="W29" s="5" t="s">
        <v>341</v>
      </c>
      <c r="X29" s="5">
        <f t="shared" si="5"/>
        <v>293.05166666666668</v>
      </c>
      <c r="Y29" s="5">
        <v>31.136666666666699</v>
      </c>
      <c r="Z29" s="23" t="s">
        <v>466</v>
      </c>
      <c r="AA29" s="4" t="s">
        <v>342</v>
      </c>
      <c r="AB29" s="5" t="s">
        <v>169</v>
      </c>
      <c r="AC29" s="3">
        <v>170</v>
      </c>
      <c r="AD29" s="3">
        <f>AC29/([2]S2!$AC$1-S29)</f>
        <v>13.17764889984657</v>
      </c>
      <c r="AE29" s="11">
        <v>34</v>
      </c>
      <c r="AF29" s="57">
        <f t="shared" si="6"/>
        <v>3.3462404353042423E-2</v>
      </c>
      <c r="AG29" s="12">
        <f t="shared" si="7"/>
        <v>393.80460414071979</v>
      </c>
    </row>
    <row r="30" spans="1:307" x14ac:dyDescent="0.25">
      <c r="A30" s="76">
        <v>19611</v>
      </c>
      <c r="B30" s="3">
        <v>13</v>
      </c>
      <c r="C30" s="8">
        <f t="shared" si="0"/>
        <v>0.19999999999999929</v>
      </c>
      <c r="D30" s="8">
        <f t="shared" si="1"/>
        <v>0.19999999999999929</v>
      </c>
      <c r="E30" s="3">
        <v>12.8</v>
      </c>
      <c r="F30" s="3">
        <v>13.2</v>
      </c>
      <c r="G30" s="25" t="s">
        <v>435</v>
      </c>
      <c r="H30" s="53" t="s">
        <v>438</v>
      </c>
      <c r="I30" s="4" t="s">
        <v>168</v>
      </c>
      <c r="J30" s="11" t="s">
        <v>4</v>
      </c>
      <c r="K30" s="11" t="s">
        <v>27</v>
      </c>
      <c r="L30" s="5">
        <v>-25.78</v>
      </c>
      <c r="M30" s="4" t="s">
        <v>293</v>
      </c>
      <c r="N30" s="5">
        <f t="shared" si="8"/>
        <v>-22.28</v>
      </c>
      <c r="O30" s="5">
        <v>2</v>
      </c>
      <c r="P30" s="4" t="s">
        <v>445</v>
      </c>
      <c r="Q30" s="12">
        <f t="shared" si="2"/>
        <v>-9.5481416432528299</v>
      </c>
      <c r="R30" s="12">
        <f t="shared" si="3"/>
        <v>-8.5481416432528299</v>
      </c>
      <c r="S30" s="12">
        <f t="shared" si="4"/>
        <v>14.044775965252887</v>
      </c>
      <c r="T30" s="12">
        <f t="shared" si="9"/>
        <v>20.036666666666669</v>
      </c>
      <c r="U30" s="12">
        <v>17.09</v>
      </c>
      <c r="V30" s="12">
        <v>2.9466666666666699</v>
      </c>
      <c r="W30" s="5" t="s">
        <v>341</v>
      </c>
      <c r="X30" s="5">
        <f t="shared" si="5"/>
        <v>293.03666666666669</v>
      </c>
      <c r="Y30" s="5">
        <v>30.9166666666667</v>
      </c>
      <c r="Z30" s="23" t="s">
        <v>467</v>
      </c>
      <c r="AA30" s="4" t="s">
        <v>342</v>
      </c>
      <c r="AB30" s="5" t="s">
        <v>169</v>
      </c>
      <c r="AC30" s="3">
        <v>170</v>
      </c>
      <c r="AD30" s="3">
        <f>AC30/([2]S2!$AC$1-S30)</f>
        <v>13.648891382904107</v>
      </c>
      <c r="AE30" s="11">
        <v>34</v>
      </c>
      <c r="AF30" s="57">
        <f t="shared" si="6"/>
        <v>3.3476481542203229E-2</v>
      </c>
      <c r="AG30" s="12">
        <f t="shared" si="7"/>
        <v>407.71582777291525</v>
      </c>
    </row>
    <row r="31" spans="1:307" s="2" customFormat="1" ht="13.95" customHeight="1" x14ac:dyDescent="0.25">
      <c r="A31" s="76">
        <v>19612</v>
      </c>
      <c r="B31" s="3">
        <v>13.1</v>
      </c>
      <c r="C31" s="8">
        <f t="shared" si="0"/>
        <v>0</v>
      </c>
      <c r="D31" s="8">
        <f t="shared" si="1"/>
        <v>0</v>
      </c>
      <c r="E31" s="3">
        <v>13.1</v>
      </c>
      <c r="F31" s="3">
        <v>13.1</v>
      </c>
      <c r="G31" s="25" t="s">
        <v>211</v>
      </c>
      <c r="H31" s="4" t="s">
        <v>148</v>
      </c>
      <c r="I31" s="4" t="s">
        <v>144</v>
      </c>
      <c r="J31" s="11" t="s">
        <v>4</v>
      </c>
      <c r="K31" s="11" t="s">
        <v>27</v>
      </c>
      <c r="L31" s="5">
        <v>-24.8</v>
      </c>
      <c r="M31" s="4" t="s">
        <v>143</v>
      </c>
      <c r="N31" s="5">
        <f t="shared" si="8"/>
        <v>-21.3</v>
      </c>
      <c r="O31" s="5">
        <v>0.8</v>
      </c>
      <c r="P31" s="4" t="s">
        <v>347</v>
      </c>
      <c r="Q31" s="12">
        <f t="shared" si="2"/>
        <v>-9.8222713042281562</v>
      </c>
      <c r="R31" s="12">
        <f t="shared" si="3"/>
        <v>-10.022271304228155</v>
      </c>
      <c r="S31" s="12">
        <f t="shared" si="4"/>
        <v>11.523172265016646</v>
      </c>
      <c r="T31" s="12">
        <f t="shared" si="9"/>
        <v>17.669999999999998</v>
      </c>
      <c r="U31" s="12">
        <v>13.2</v>
      </c>
      <c r="V31" s="12">
        <v>4.47</v>
      </c>
      <c r="W31" s="5" t="s">
        <v>341</v>
      </c>
      <c r="X31" s="5">
        <f t="shared" si="5"/>
        <v>290.67</v>
      </c>
      <c r="Y31" s="5">
        <v>34.6</v>
      </c>
      <c r="Z31" s="23" t="s">
        <v>270</v>
      </c>
      <c r="AA31" s="4" t="s">
        <v>170</v>
      </c>
      <c r="AB31" s="5" t="s">
        <v>169</v>
      </c>
      <c r="AC31" s="11">
        <v>170</v>
      </c>
      <c r="AD31" s="3">
        <f>AC31/($AL$8-S31)</f>
        <v>11.350868355313224</v>
      </c>
      <c r="AE31" s="3">
        <v>34</v>
      </c>
      <c r="AF31" s="57">
        <f t="shared" si="6"/>
        <v>3.5823685351821774E-2</v>
      </c>
      <c r="AG31" s="12">
        <f t="shared" si="7"/>
        <v>316.85373081627932</v>
      </c>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row>
    <row r="32" spans="1:307" s="2" customFormat="1" ht="13.95" customHeight="1" x14ac:dyDescent="0.25">
      <c r="A32" s="76">
        <v>19613</v>
      </c>
      <c r="B32" s="3">
        <v>13.5</v>
      </c>
      <c r="C32" s="8">
        <f t="shared" si="0"/>
        <v>9.9999999999999645E-2</v>
      </c>
      <c r="D32" s="8">
        <f t="shared" si="1"/>
        <v>9.9999999999999645E-2</v>
      </c>
      <c r="E32" s="3">
        <v>13.4</v>
      </c>
      <c r="F32" s="3">
        <v>13.6</v>
      </c>
      <c r="G32" s="25" t="s">
        <v>211</v>
      </c>
      <c r="H32" s="4" t="s">
        <v>138</v>
      </c>
      <c r="I32" s="4" t="s">
        <v>137</v>
      </c>
      <c r="J32" s="11" t="s">
        <v>4</v>
      </c>
      <c r="K32" s="11" t="s">
        <v>0</v>
      </c>
      <c r="L32" s="5">
        <v>-29.1</v>
      </c>
      <c r="M32" s="4" t="s">
        <v>134</v>
      </c>
      <c r="N32" s="5">
        <f t="shared" si="8"/>
        <v>-25.6</v>
      </c>
      <c r="O32" s="5">
        <v>1.8</v>
      </c>
      <c r="P32" s="4" t="s">
        <v>295</v>
      </c>
      <c r="Q32" s="12">
        <f t="shared" si="2"/>
        <v>-10.053882923449951</v>
      </c>
      <c r="R32" s="12">
        <f t="shared" si="3"/>
        <v>-9.2538829234499502</v>
      </c>
      <c r="S32" s="12">
        <f t="shared" si="4"/>
        <v>16.775571712387194</v>
      </c>
      <c r="T32" s="12">
        <v>15.7</v>
      </c>
      <c r="U32" s="12"/>
      <c r="V32" s="12"/>
      <c r="W32" s="5"/>
      <c r="X32" s="5">
        <f t="shared" si="5"/>
        <v>288.7</v>
      </c>
      <c r="Y32" s="5"/>
      <c r="Z32" s="23"/>
      <c r="AA32" s="4" t="s">
        <v>345</v>
      </c>
      <c r="AB32" s="5" t="s">
        <v>343</v>
      </c>
      <c r="AC32" s="11">
        <v>170</v>
      </c>
      <c r="AD32" s="3">
        <f>AC32/($AL$8-S32)</f>
        <v>17.481747509676204</v>
      </c>
      <c r="AE32" s="3">
        <v>34</v>
      </c>
      <c r="AF32" s="57">
        <f t="shared" si="6"/>
        <v>3.7984666366462076E-2</v>
      </c>
      <c r="AG32" s="12">
        <f t="shared" si="7"/>
        <v>460.23169825999628</v>
      </c>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row>
    <row r="33" spans="1:307" x14ac:dyDescent="0.25">
      <c r="A33" s="76">
        <v>19614</v>
      </c>
      <c r="B33" s="3">
        <v>13.9</v>
      </c>
      <c r="C33" s="8">
        <f t="shared" si="0"/>
        <v>0.20000000000000107</v>
      </c>
      <c r="D33" s="8">
        <f t="shared" si="1"/>
        <v>0.19999999999999929</v>
      </c>
      <c r="E33" s="3">
        <v>13.7</v>
      </c>
      <c r="F33" s="3">
        <v>14.1</v>
      </c>
      <c r="G33" s="25" t="s">
        <v>435</v>
      </c>
      <c r="H33" s="53" t="s">
        <v>439</v>
      </c>
      <c r="I33" s="4" t="s">
        <v>168</v>
      </c>
      <c r="J33" s="11" t="s">
        <v>4</v>
      </c>
      <c r="K33" s="11" t="s">
        <v>27</v>
      </c>
      <c r="L33" s="5">
        <v>-26.07</v>
      </c>
      <c r="M33" s="4" t="s">
        <v>293</v>
      </c>
      <c r="N33" s="5">
        <f t="shared" si="8"/>
        <v>-22.57</v>
      </c>
      <c r="O33" s="5">
        <v>2.1</v>
      </c>
      <c r="P33" s="4" t="s">
        <v>445</v>
      </c>
      <c r="Q33" s="12">
        <f t="shared" si="2"/>
        <v>-9.5498651408030106</v>
      </c>
      <c r="R33" s="12">
        <f t="shared" si="3"/>
        <v>-8.449865140803011</v>
      </c>
      <c r="S33" s="12">
        <f t="shared" si="4"/>
        <v>14.4461852605271</v>
      </c>
      <c r="T33" s="12">
        <f>U33+V33</f>
        <v>20.021666666666668</v>
      </c>
      <c r="U33" s="12">
        <v>17.09</v>
      </c>
      <c r="V33" s="12">
        <v>2.9316666666666702</v>
      </c>
      <c r="W33" s="5" t="s">
        <v>341</v>
      </c>
      <c r="X33" s="5">
        <f t="shared" si="5"/>
        <v>293.02166666666665</v>
      </c>
      <c r="Y33" s="5">
        <v>30.696666666666701</v>
      </c>
      <c r="Z33" s="23" t="s">
        <v>468</v>
      </c>
      <c r="AA33" s="4" t="s">
        <v>342</v>
      </c>
      <c r="AB33" s="5" t="s">
        <v>169</v>
      </c>
      <c r="AC33" s="3">
        <v>170</v>
      </c>
      <c r="AD33" s="3">
        <f>AC33/([2]S2!$AC$1-S33)</f>
        <v>14.103419015002542</v>
      </c>
      <c r="AE33" s="11">
        <v>34</v>
      </c>
      <c r="AF33" s="57">
        <f t="shared" si="6"/>
        <v>3.3490568376896485E-2</v>
      </c>
      <c r="AG33" s="12">
        <f t="shared" si="7"/>
        <v>421.1161439927011</v>
      </c>
    </row>
    <row r="34" spans="1:307" ht="14.4" customHeight="1" x14ac:dyDescent="0.25">
      <c r="A34" s="76">
        <v>19615</v>
      </c>
      <c r="B34" s="24">
        <v>14</v>
      </c>
      <c r="C34" s="8">
        <f t="shared" si="0"/>
        <v>8.6999999999999993</v>
      </c>
      <c r="D34" s="8">
        <f t="shared" si="1"/>
        <v>9</v>
      </c>
      <c r="E34" s="24">
        <v>5.3</v>
      </c>
      <c r="F34" s="24">
        <v>23</v>
      </c>
      <c r="G34" s="25" t="s">
        <v>211</v>
      </c>
      <c r="H34" s="26">
        <v>52970</v>
      </c>
      <c r="I34" s="25" t="s">
        <v>212</v>
      </c>
      <c r="J34" s="35" t="s">
        <v>1</v>
      </c>
      <c r="K34" s="35" t="s">
        <v>0</v>
      </c>
      <c r="L34" s="27">
        <f>AVERAGE(-23.139,-23.338)</f>
        <v>-23.238500000000002</v>
      </c>
      <c r="M34" s="25" t="s">
        <v>293</v>
      </c>
      <c r="N34" s="5">
        <f t="shared" si="8"/>
        <v>-19.738500000000002</v>
      </c>
      <c r="O34" s="5">
        <v>2.4500000000000002</v>
      </c>
      <c r="P34" s="4" t="s">
        <v>2</v>
      </c>
      <c r="Q34" s="12">
        <f t="shared" si="2"/>
        <v>-9.256184032476316</v>
      </c>
      <c r="R34" s="12">
        <f t="shared" si="3"/>
        <v>-7.8061840324763159</v>
      </c>
      <c r="S34" s="12">
        <f t="shared" si="4"/>
        <v>12.172584527214259</v>
      </c>
      <c r="T34" s="12">
        <f>U34+V34</f>
        <v>22.6</v>
      </c>
      <c r="U34" s="12">
        <v>17.170000000000002</v>
      </c>
      <c r="V34" s="12">
        <v>5.43</v>
      </c>
      <c r="W34" s="5" t="s">
        <v>372</v>
      </c>
      <c r="X34" s="5">
        <f t="shared" si="5"/>
        <v>295.60000000000002</v>
      </c>
      <c r="Y34" s="5"/>
      <c r="Z34" s="23"/>
      <c r="AA34" s="4" t="s">
        <v>259</v>
      </c>
      <c r="AB34" s="5" t="s">
        <v>169</v>
      </c>
      <c r="AC34" s="3">
        <v>170</v>
      </c>
      <c r="AD34" s="3">
        <f t="shared" ref="AD34:AD39" si="10">AC34/($AL$8-S34)</f>
        <v>11.86536401648344</v>
      </c>
      <c r="AE34" s="3">
        <v>35</v>
      </c>
      <c r="AF34" s="57">
        <f t="shared" si="6"/>
        <v>3.1062512722921702E-2</v>
      </c>
      <c r="AG34" s="12">
        <f t="shared" si="7"/>
        <v>381.98339336945304</v>
      </c>
    </row>
    <row r="35" spans="1:307" x14ac:dyDescent="0.25">
      <c r="A35" s="76">
        <v>19616</v>
      </c>
      <c r="B35" s="3">
        <v>14.3</v>
      </c>
      <c r="C35" s="8">
        <f t="shared" si="0"/>
        <v>0.10000000000000142</v>
      </c>
      <c r="D35" s="8">
        <f t="shared" si="1"/>
        <v>0.19999999999999929</v>
      </c>
      <c r="E35" s="3">
        <v>14.2</v>
      </c>
      <c r="F35" s="3">
        <v>14.5</v>
      </c>
      <c r="G35" s="25" t="s">
        <v>211</v>
      </c>
      <c r="H35" s="4" t="s">
        <v>138</v>
      </c>
      <c r="I35" s="4" t="s">
        <v>137</v>
      </c>
      <c r="J35" s="11" t="s">
        <v>4</v>
      </c>
      <c r="K35" s="11" t="s">
        <v>0</v>
      </c>
      <c r="L35" s="5">
        <v>-30.2</v>
      </c>
      <c r="M35" s="4" t="s">
        <v>134</v>
      </c>
      <c r="N35" s="5">
        <f t="shared" si="8"/>
        <v>-26.7</v>
      </c>
      <c r="O35" s="5">
        <v>1.8</v>
      </c>
      <c r="P35" s="4" t="s">
        <v>295</v>
      </c>
      <c r="Q35" s="12">
        <f t="shared" si="2"/>
        <v>-10.077573656845754</v>
      </c>
      <c r="R35" s="12">
        <f t="shared" si="3"/>
        <v>-9.2775736568457532</v>
      </c>
      <c r="S35" s="12">
        <f t="shared" si="4"/>
        <v>17.90036611851864</v>
      </c>
      <c r="T35" s="12">
        <v>15.5</v>
      </c>
      <c r="W35" s="5"/>
      <c r="X35" s="5">
        <f t="shared" si="5"/>
        <v>288.5</v>
      </c>
      <c r="Y35" s="5"/>
      <c r="Z35" s="23"/>
      <c r="AA35" s="4" t="s">
        <v>345</v>
      </c>
      <c r="AB35" s="5" t="s">
        <v>343</v>
      </c>
      <c r="AC35" s="11">
        <v>170</v>
      </c>
      <c r="AD35" s="3">
        <f t="shared" si="10"/>
        <v>19.768283434261281</v>
      </c>
      <c r="AE35" s="3">
        <v>34</v>
      </c>
      <c r="AF35" s="57">
        <f t="shared" si="6"/>
        <v>3.8215492318308265E-2</v>
      </c>
      <c r="AG35" s="12">
        <f t="shared" si="7"/>
        <v>517.28454181893915</v>
      </c>
    </row>
    <row r="36" spans="1:307" x14ac:dyDescent="0.25">
      <c r="A36" s="76">
        <v>19617</v>
      </c>
      <c r="B36" s="3">
        <v>14.5</v>
      </c>
      <c r="C36" s="8">
        <f t="shared" si="0"/>
        <v>9.9999999999999645E-2</v>
      </c>
      <c r="D36" s="8">
        <f t="shared" si="1"/>
        <v>9.9999999999999645E-2</v>
      </c>
      <c r="E36" s="3">
        <v>14.4</v>
      </c>
      <c r="F36" s="3">
        <v>14.6</v>
      </c>
      <c r="G36" s="25" t="s">
        <v>211</v>
      </c>
      <c r="H36" s="4" t="s">
        <v>138</v>
      </c>
      <c r="I36" s="4" t="s">
        <v>137</v>
      </c>
      <c r="J36" s="11" t="s">
        <v>4</v>
      </c>
      <c r="K36" s="11" t="s">
        <v>0</v>
      </c>
      <c r="L36" s="5">
        <v>-29.9</v>
      </c>
      <c r="M36" s="4" t="s">
        <v>134</v>
      </c>
      <c r="N36" s="5">
        <f t="shared" si="8"/>
        <v>-26.4</v>
      </c>
      <c r="O36" s="5">
        <v>1.85</v>
      </c>
      <c r="P36" s="4" t="s">
        <v>295</v>
      </c>
      <c r="Q36" s="12">
        <f t="shared" si="2"/>
        <v>-10.256306620209056</v>
      </c>
      <c r="R36" s="12">
        <f t="shared" si="3"/>
        <v>-9.4063066202090564</v>
      </c>
      <c r="S36" s="12">
        <f t="shared" si="4"/>
        <v>17.454491967739294</v>
      </c>
      <c r="T36" s="12">
        <v>14</v>
      </c>
      <c r="W36" s="1"/>
      <c r="X36" s="5">
        <f t="shared" si="5"/>
        <v>287</v>
      </c>
      <c r="Y36" s="5"/>
      <c r="Z36" s="23"/>
      <c r="AA36" s="4" t="s">
        <v>345</v>
      </c>
      <c r="AB36" s="5" t="s">
        <v>343</v>
      </c>
      <c r="AC36" s="11">
        <v>170</v>
      </c>
      <c r="AD36" s="3">
        <f t="shared" si="10"/>
        <v>18.793858719012448</v>
      </c>
      <c r="AE36" s="3">
        <v>34</v>
      </c>
      <c r="AF36" s="57">
        <f t="shared" si="6"/>
        <v>4.0018666712443481E-2</v>
      </c>
      <c r="AG36" s="12">
        <f t="shared" si="7"/>
        <v>469.62730802744733</v>
      </c>
    </row>
    <row r="37" spans="1:307" ht="13.95" customHeight="1" x14ac:dyDescent="0.25">
      <c r="A37" s="76">
        <v>19618</v>
      </c>
      <c r="B37" s="3">
        <v>14.5</v>
      </c>
      <c r="C37" s="8">
        <f t="shared" si="0"/>
        <v>9.9999999999999645E-2</v>
      </c>
      <c r="D37" s="8">
        <f t="shared" si="1"/>
        <v>9.9999999999999645E-2</v>
      </c>
      <c r="E37" s="3">
        <v>14.4</v>
      </c>
      <c r="F37" s="3">
        <v>14.6</v>
      </c>
      <c r="G37" s="25" t="s">
        <v>211</v>
      </c>
      <c r="H37" s="4" t="s">
        <v>138</v>
      </c>
      <c r="I37" s="4" t="s">
        <v>137</v>
      </c>
      <c r="J37" s="11" t="s">
        <v>4</v>
      </c>
      <c r="K37" s="11" t="s">
        <v>0</v>
      </c>
      <c r="L37" s="5">
        <v>-30</v>
      </c>
      <c r="M37" s="4" t="s">
        <v>134</v>
      </c>
      <c r="N37" s="5">
        <f t="shared" si="8"/>
        <v>-26.5</v>
      </c>
      <c r="O37" s="5">
        <v>1.85</v>
      </c>
      <c r="P37" s="4" t="s">
        <v>295</v>
      </c>
      <c r="Q37" s="12">
        <f t="shared" si="2"/>
        <v>-10.256306620209056</v>
      </c>
      <c r="R37" s="12">
        <f t="shared" si="3"/>
        <v>-9.4063066202090564</v>
      </c>
      <c r="S37" s="12">
        <f t="shared" si="4"/>
        <v>17.559007067068144</v>
      </c>
      <c r="T37" s="12">
        <v>14</v>
      </c>
      <c r="W37" s="1"/>
      <c r="X37" s="5">
        <f t="shared" si="5"/>
        <v>287</v>
      </c>
      <c r="Y37" s="5"/>
      <c r="Z37" s="23"/>
      <c r="AA37" s="4" t="s">
        <v>345</v>
      </c>
      <c r="AB37" s="5" t="s">
        <v>343</v>
      </c>
      <c r="AC37" s="11">
        <v>170</v>
      </c>
      <c r="AD37" s="3">
        <f t="shared" si="10"/>
        <v>19.013548190363576</v>
      </c>
      <c r="AE37" s="3">
        <v>34</v>
      </c>
      <c r="AF37" s="57">
        <f t="shared" si="6"/>
        <v>4.0018666712443481E-2</v>
      </c>
      <c r="AG37" s="12">
        <f t="shared" si="7"/>
        <v>475.11698295664274</v>
      </c>
    </row>
    <row r="38" spans="1:307" x14ac:dyDescent="0.25">
      <c r="A38" s="76">
        <v>19619</v>
      </c>
      <c r="B38" s="3">
        <v>14.6</v>
      </c>
      <c r="C38" s="8">
        <f t="shared" si="0"/>
        <v>9.9999999999999645E-2</v>
      </c>
      <c r="D38" s="8">
        <f t="shared" si="1"/>
        <v>9.9999999999999645E-2</v>
      </c>
      <c r="E38" s="3">
        <v>14.7</v>
      </c>
      <c r="F38" s="3">
        <v>14.7</v>
      </c>
      <c r="G38" s="25" t="s">
        <v>211</v>
      </c>
      <c r="H38" s="4" t="s">
        <v>146</v>
      </c>
      <c r="I38" s="4" t="s">
        <v>144</v>
      </c>
      <c r="J38" s="11" t="s">
        <v>4</v>
      </c>
      <c r="K38" s="11" t="s">
        <v>27</v>
      </c>
      <c r="L38" s="5">
        <v>-25.2</v>
      </c>
      <c r="M38" s="4" t="s">
        <v>143</v>
      </c>
      <c r="N38" s="5">
        <f t="shared" si="8"/>
        <v>-21.7</v>
      </c>
      <c r="O38" s="5">
        <v>1.6</v>
      </c>
      <c r="P38" s="4" t="s">
        <v>348</v>
      </c>
      <c r="Q38" s="12">
        <f t="shared" si="2"/>
        <v>-9.6214500683994579</v>
      </c>
      <c r="R38" s="12">
        <f t="shared" si="3"/>
        <v>-9.0214500683994583</v>
      </c>
      <c r="S38" s="12">
        <f t="shared" si="4"/>
        <v>12.959777094552427</v>
      </c>
      <c r="T38" s="12">
        <f>U38+V38</f>
        <v>19.399999999999999</v>
      </c>
      <c r="U38" s="12">
        <v>13.2</v>
      </c>
      <c r="V38" s="12">
        <v>6.2</v>
      </c>
      <c r="W38" s="5" t="s">
        <v>341</v>
      </c>
      <c r="X38" s="5">
        <f t="shared" si="5"/>
        <v>292.39999999999998</v>
      </c>
      <c r="Y38" s="5">
        <v>34.6</v>
      </c>
      <c r="Z38" s="23" t="s">
        <v>270</v>
      </c>
      <c r="AA38" s="4" t="s">
        <v>170</v>
      </c>
      <c r="AB38" s="5" t="s">
        <v>169</v>
      </c>
      <c r="AC38" s="11">
        <v>170</v>
      </c>
      <c r="AD38" s="3">
        <f t="shared" si="10"/>
        <v>12.555184740097943</v>
      </c>
      <c r="AE38" s="3">
        <v>34</v>
      </c>
      <c r="AF38" s="57">
        <f t="shared" si="6"/>
        <v>3.4082973703772688E-2</v>
      </c>
      <c r="AG38" s="12">
        <f t="shared" si="7"/>
        <v>368.37116529853125</v>
      </c>
    </row>
    <row r="39" spans="1:307" ht="13.2" customHeight="1" x14ac:dyDescent="0.25">
      <c r="A39" s="76">
        <v>19620</v>
      </c>
      <c r="B39" s="3">
        <v>14.7</v>
      </c>
      <c r="C39" s="8">
        <f t="shared" si="0"/>
        <v>9.9999999999999645E-2</v>
      </c>
      <c r="D39" s="8">
        <f t="shared" si="1"/>
        <v>9.9999999999999645E-2</v>
      </c>
      <c r="E39" s="3">
        <v>14.6</v>
      </c>
      <c r="F39" s="3">
        <v>14.6</v>
      </c>
      <c r="G39" s="25" t="s">
        <v>211</v>
      </c>
      <c r="H39" s="4" t="s">
        <v>147</v>
      </c>
      <c r="I39" s="4" t="s">
        <v>144</v>
      </c>
      <c r="J39" s="11" t="s">
        <v>4</v>
      </c>
      <c r="K39" s="11" t="s">
        <v>27</v>
      </c>
      <c r="L39" s="5">
        <v>-25.8</v>
      </c>
      <c r="M39" s="4" t="s">
        <v>143</v>
      </c>
      <c r="N39" s="5">
        <f t="shared" si="8"/>
        <v>-22.3</v>
      </c>
      <c r="O39" s="5">
        <v>1.3</v>
      </c>
      <c r="P39" s="4" t="s">
        <v>349</v>
      </c>
      <c r="Q39" s="12">
        <f t="shared" si="2"/>
        <v>-9.5880187228808644</v>
      </c>
      <c r="R39" s="12">
        <f t="shared" si="3"/>
        <v>-9.2880187228808637</v>
      </c>
      <c r="S39" s="12">
        <f t="shared" si="4"/>
        <v>13.308766776229053</v>
      </c>
      <c r="T39" s="12">
        <f>U39+V39</f>
        <v>19.689999999999998</v>
      </c>
      <c r="U39" s="12">
        <v>13.2</v>
      </c>
      <c r="V39" s="12">
        <v>6.49</v>
      </c>
      <c r="W39" s="5" t="s">
        <v>341</v>
      </c>
      <c r="X39" s="5">
        <f t="shared" si="5"/>
        <v>292.69</v>
      </c>
      <c r="Y39" s="5">
        <v>34.6</v>
      </c>
      <c r="Z39" s="23" t="s">
        <v>270</v>
      </c>
      <c r="AA39" s="4" t="s">
        <v>170</v>
      </c>
      <c r="AB39" s="5" t="s">
        <v>169</v>
      </c>
      <c r="AC39" s="11">
        <v>170</v>
      </c>
      <c r="AD39" s="3">
        <f t="shared" si="10"/>
        <v>12.887347006620697</v>
      </c>
      <c r="AE39" s="3">
        <v>34</v>
      </c>
      <c r="AF39" s="57">
        <f t="shared" si="6"/>
        <v>3.3804524585486169E-2</v>
      </c>
      <c r="AG39" s="12">
        <f t="shared" si="7"/>
        <v>381.2314228537864</v>
      </c>
    </row>
    <row r="40" spans="1:307" s="2" customFormat="1" x14ac:dyDescent="0.25">
      <c r="A40" s="76">
        <v>19621</v>
      </c>
      <c r="B40" s="3">
        <v>14.8</v>
      </c>
      <c r="C40" s="8">
        <f t="shared" si="0"/>
        <v>0.30000000000000071</v>
      </c>
      <c r="D40" s="8">
        <f t="shared" si="1"/>
        <v>0.19999999999999929</v>
      </c>
      <c r="E40" s="3">
        <v>14.5</v>
      </c>
      <c r="F40" s="3">
        <v>15</v>
      </c>
      <c r="G40" s="4" t="s">
        <v>435</v>
      </c>
      <c r="H40" s="53" t="s">
        <v>440</v>
      </c>
      <c r="I40" s="4" t="s">
        <v>168</v>
      </c>
      <c r="J40" s="11" t="s">
        <v>4</v>
      </c>
      <c r="K40" s="11" t="s">
        <v>27</v>
      </c>
      <c r="L40" s="5">
        <v>-24.32</v>
      </c>
      <c r="M40" s="4" t="s">
        <v>293</v>
      </c>
      <c r="N40" s="5">
        <f t="shared" si="8"/>
        <v>-20.82</v>
      </c>
      <c r="O40" s="5">
        <v>2.1</v>
      </c>
      <c r="P40" s="4" t="s">
        <v>445</v>
      </c>
      <c r="Q40" s="12">
        <f t="shared" si="2"/>
        <v>-9.5515888148165011</v>
      </c>
      <c r="R40" s="12">
        <f t="shared" si="3"/>
        <v>-8.4515888148165015</v>
      </c>
      <c r="S40" s="12">
        <f t="shared" si="4"/>
        <v>12.631396867974765</v>
      </c>
      <c r="T40" s="12">
        <f>U40+V40</f>
        <v>20.006666666666671</v>
      </c>
      <c r="U40" s="12">
        <v>17.09</v>
      </c>
      <c r="V40" s="12">
        <v>2.9166666666666701</v>
      </c>
      <c r="W40" s="5" t="s">
        <v>341</v>
      </c>
      <c r="X40" s="5">
        <f t="shared" si="5"/>
        <v>293.00666666666666</v>
      </c>
      <c r="Y40" s="5">
        <v>30.476666666666699</v>
      </c>
      <c r="Z40" s="23" t="s">
        <v>469</v>
      </c>
      <c r="AA40" s="4" t="s">
        <v>342</v>
      </c>
      <c r="AB40" s="5" t="s">
        <v>169</v>
      </c>
      <c r="AC40" s="3">
        <v>170</v>
      </c>
      <c r="AD40" s="3">
        <f>AC40/([2]S2!$AC$1-S40)</f>
        <v>12.257903581323035</v>
      </c>
      <c r="AE40" s="11">
        <v>34</v>
      </c>
      <c r="AF40" s="57">
        <f t="shared" si="6"/>
        <v>3.3504664864946812E-2</v>
      </c>
      <c r="AG40" s="12">
        <f t="shared" si="7"/>
        <v>365.85662416660898</v>
      </c>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row>
    <row r="41" spans="1:307" ht="12.6" customHeight="1" x14ac:dyDescent="0.25">
      <c r="A41" s="76">
        <v>19622</v>
      </c>
      <c r="B41" s="3">
        <v>14.8</v>
      </c>
      <c r="C41" s="8">
        <f t="shared" si="0"/>
        <v>0.10000000000000142</v>
      </c>
      <c r="D41" s="8">
        <f t="shared" si="1"/>
        <v>9.9999999999999645E-2</v>
      </c>
      <c r="E41" s="3">
        <v>14.7</v>
      </c>
      <c r="F41" s="3">
        <v>14.9</v>
      </c>
      <c r="G41" s="25" t="s">
        <v>211</v>
      </c>
      <c r="H41" s="4" t="s">
        <v>138</v>
      </c>
      <c r="I41" s="4" t="s">
        <v>137</v>
      </c>
      <c r="J41" s="11" t="s">
        <v>4</v>
      </c>
      <c r="K41" s="11" t="s">
        <v>0</v>
      </c>
      <c r="L41" s="5">
        <v>-29.4</v>
      </c>
      <c r="M41" s="4" t="s">
        <v>134</v>
      </c>
      <c r="N41" s="5">
        <f t="shared" si="8"/>
        <v>-25.9</v>
      </c>
      <c r="O41" s="5">
        <v>1.85</v>
      </c>
      <c r="P41" s="4" t="s">
        <v>295</v>
      </c>
      <c r="Q41" s="12">
        <f t="shared" si="2"/>
        <v>-10.31630017452007</v>
      </c>
      <c r="R41" s="12">
        <f t="shared" si="3"/>
        <v>-9.4663001745200699</v>
      </c>
      <c r="S41" s="12">
        <f t="shared" si="4"/>
        <v>16.870649651452574</v>
      </c>
      <c r="T41" s="12">
        <v>13.5</v>
      </c>
      <c r="W41" s="1"/>
      <c r="X41" s="5">
        <f t="shared" si="5"/>
        <v>286.5</v>
      </c>
      <c r="Y41" s="5"/>
      <c r="Z41" s="23"/>
      <c r="AA41" s="4" t="s">
        <v>345</v>
      </c>
      <c r="AB41" s="5" t="s">
        <v>343</v>
      </c>
      <c r="AC41" s="11">
        <v>170</v>
      </c>
      <c r="AD41" s="3">
        <f>AC41/($AL$8-S41)</f>
        <v>17.654358170241906</v>
      </c>
      <c r="AE41" s="3">
        <v>34</v>
      </c>
      <c r="AF41" s="57">
        <f t="shared" si="6"/>
        <v>4.0649155610352303E-2</v>
      </c>
      <c r="AG41" s="12">
        <f t="shared" si="7"/>
        <v>434.31057558661297</v>
      </c>
    </row>
    <row r="42" spans="1:307" x14ac:dyDescent="0.25">
      <c r="A42" s="76">
        <v>19623</v>
      </c>
      <c r="B42" s="3">
        <v>15</v>
      </c>
      <c r="C42" s="8">
        <f t="shared" si="0"/>
        <v>0.19999999999999929</v>
      </c>
      <c r="D42" s="8">
        <f t="shared" si="1"/>
        <v>0.19999999999999929</v>
      </c>
      <c r="E42" s="3">
        <v>14.8</v>
      </c>
      <c r="F42" s="3">
        <v>15.2</v>
      </c>
      <c r="G42" s="4" t="s">
        <v>435</v>
      </c>
      <c r="H42" s="53" t="s">
        <v>441</v>
      </c>
      <c r="I42" s="4" t="s">
        <v>168</v>
      </c>
      <c r="J42" s="11" t="s">
        <v>4</v>
      </c>
      <c r="K42" s="11" t="s">
        <v>27</v>
      </c>
      <c r="L42" s="5">
        <v>-26.75</v>
      </c>
      <c r="M42" s="4" t="s">
        <v>293</v>
      </c>
      <c r="N42" s="5">
        <f t="shared" si="8"/>
        <v>-23.25</v>
      </c>
      <c r="O42" s="5">
        <v>2.1</v>
      </c>
      <c r="P42" s="4" t="s">
        <v>445</v>
      </c>
      <c r="Q42" s="12">
        <f t="shared" si="2"/>
        <v>-9.5533126653204015</v>
      </c>
      <c r="R42" s="12">
        <f t="shared" si="3"/>
        <v>-8.4533126653204018</v>
      </c>
      <c r="S42" s="12">
        <f t="shared" si="4"/>
        <v>15.148899242057423</v>
      </c>
      <c r="T42" s="12">
        <f>U42+V42</f>
        <v>19.991666666666671</v>
      </c>
      <c r="U42" s="12">
        <v>17.09</v>
      </c>
      <c r="V42" s="12">
        <v>2.9016666666666699</v>
      </c>
      <c r="W42" s="5" t="s">
        <v>341</v>
      </c>
      <c r="X42" s="5">
        <f t="shared" si="5"/>
        <v>292.99166666666667</v>
      </c>
      <c r="Y42" s="5">
        <v>30.2566666666667</v>
      </c>
      <c r="Z42" s="23" t="s">
        <v>470</v>
      </c>
      <c r="AA42" s="4" t="s">
        <v>342</v>
      </c>
      <c r="AB42" s="5" t="s">
        <v>169</v>
      </c>
      <c r="AC42" s="3">
        <v>170</v>
      </c>
      <c r="AD42" s="3">
        <f>AC42/([2]S2!$AC$1-S42)</f>
        <v>14.976521099158408</v>
      </c>
      <c r="AE42" s="11">
        <v>34</v>
      </c>
      <c r="AF42" s="57">
        <f t="shared" si="6"/>
        <v>3.3518771014185711E-2</v>
      </c>
      <c r="AG42" s="12">
        <f t="shared" si="7"/>
        <v>446.80997083157047</v>
      </c>
    </row>
    <row r="43" spans="1:307" x14ac:dyDescent="0.25">
      <c r="A43" s="76">
        <v>19624</v>
      </c>
      <c r="B43" s="3">
        <v>15</v>
      </c>
      <c r="C43" s="8">
        <f t="shared" si="0"/>
        <v>0</v>
      </c>
      <c r="D43" s="8">
        <f t="shared" si="1"/>
        <v>0</v>
      </c>
      <c r="E43" s="3">
        <v>15</v>
      </c>
      <c r="F43" s="3">
        <v>15</v>
      </c>
      <c r="G43" s="25" t="s">
        <v>211</v>
      </c>
      <c r="H43" s="4" t="s">
        <v>145</v>
      </c>
      <c r="I43" s="4" t="s">
        <v>144</v>
      </c>
      <c r="J43" s="11" t="s">
        <v>4</v>
      </c>
      <c r="K43" s="11" t="s">
        <v>27</v>
      </c>
      <c r="L43" s="5">
        <v>-26.3</v>
      </c>
      <c r="M43" s="4" t="s">
        <v>143</v>
      </c>
      <c r="N43" s="5">
        <f t="shared" si="8"/>
        <v>-22.8</v>
      </c>
      <c r="O43" s="5">
        <v>1.2</v>
      </c>
      <c r="P43" s="4" t="s">
        <v>350</v>
      </c>
      <c r="Q43" s="12">
        <f t="shared" si="2"/>
        <v>-9.604149717996922</v>
      </c>
      <c r="R43" s="12">
        <f t="shared" si="3"/>
        <v>-9.4041497179969227</v>
      </c>
      <c r="S43" s="12">
        <f t="shared" si="4"/>
        <v>13.708401844047424</v>
      </c>
      <c r="T43" s="12">
        <f>U43+V43</f>
        <v>19.549999999999997</v>
      </c>
      <c r="U43" s="12">
        <v>13.2</v>
      </c>
      <c r="V43" s="12">
        <v>6.35</v>
      </c>
      <c r="W43" s="5" t="s">
        <v>341</v>
      </c>
      <c r="X43" s="5">
        <f t="shared" si="5"/>
        <v>292.55</v>
      </c>
      <c r="Y43" s="5">
        <v>34.6</v>
      </c>
      <c r="Z43" s="23" t="s">
        <v>270</v>
      </c>
      <c r="AA43" s="4" t="s">
        <v>170</v>
      </c>
      <c r="AB43" s="5" t="s">
        <v>169</v>
      </c>
      <c r="AC43" s="11">
        <v>170</v>
      </c>
      <c r="AD43" s="3">
        <f t="shared" ref="AD43:AD48" si="11">AC43/($AL$8-S43)</f>
        <v>13.289973459718981</v>
      </c>
      <c r="AE43" s="3">
        <v>34</v>
      </c>
      <c r="AF43" s="57">
        <f t="shared" si="6"/>
        <v>3.3938486060615669E-2</v>
      </c>
      <c r="AG43" s="12">
        <f t="shared" si="7"/>
        <v>391.59005018616585</v>
      </c>
    </row>
    <row r="44" spans="1:307" ht="13.2" customHeight="1" x14ac:dyDescent="0.25">
      <c r="A44" s="76">
        <v>19625</v>
      </c>
      <c r="B44" s="3">
        <v>15</v>
      </c>
      <c r="C44" s="8">
        <f t="shared" si="0"/>
        <v>9.6669999999999998</v>
      </c>
      <c r="D44" s="8">
        <f t="shared" si="1"/>
        <v>8.0300000000000011</v>
      </c>
      <c r="E44" s="3">
        <v>5.3330000000000002</v>
      </c>
      <c r="F44" s="3">
        <v>23.03</v>
      </c>
      <c r="G44" s="25" t="s">
        <v>211</v>
      </c>
      <c r="H44" s="4">
        <v>1507</v>
      </c>
      <c r="I44" s="4" t="s">
        <v>140</v>
      </c>
      <c r="J44" s="11" t="s">
        <v>1</v>
      </c>
      <c r="K44" s="11" t="s">
        <v>0</v>
      </c>
      <c r="L44" s="4">
        <v>-26.1</v>
      </c>
      <c r="M44" s="4" t="s">
        <v>139</v>
      </c>
      <c r="N44" s="5">
        <f t="shared" si="8"/>
        <v>-22.6</v>
      </c>
      <c r="O44" s="5">
        <v>1.2</v>
      </c>
      <c r="P44" s="4" t="s">
        <v>351</v>
      </c>
      <c r="Q44" s="12">
        <f t="shared" si="2"/>
        <v>-9.6191423295260243</v>
      </c>
      <c r="R44" s="12">
        <f t="shared" si="3"/>
        <v>-9.419142329526025</v>
      </c>
      <c r="S44" s="12">
        <f t="shared" si="4"/>
        <v>13.485632975725359</v>
      </c>
      <c r="T44" s="12">
        <f>U44+V44</f>
        <v>19.419999999999998</v>
      </c>
      <c r="U44" s="12">
        <v>13.2</v>
      </c>
      <c r="V44" s="12">
        <v>6.22</v>
      </c>
      <c r="W44" s="5" t="s">
        <v>341</v>
      </c>
      <c r="X44" s="5">
        <f t="shared" si="5"/>
        <v>292.42</v>
      </c>
      <c r="Y44" s="5">
        <v>34.6</v>
      </c>
      <c r="Z44" s="23" t="s">
        <v>270</v>
      </c>
      <c r="AA44" s="4" t="s">
        <v>170</v>
      </c>
      <c r="AB44" s="5" t="s">
        <v>169</v>
      </c>
      <c r="AC44" s="11">
        <v>170</v>
      </c>
      <c r="AD44" s="3">
        <f t="shared" si="11"/>
        <v>13.062486994789129</v>
      </c>
      <c r="AE44" s="3">
        <v>34</v>
      </c>
      <c r="AF44" s="57">
        <f t="shared" si="6"/>
        <v>3.4063651175066059E-2</v>
      </c>
      <c r="AG44" s="12">
        <f t="shared" si="7"/>
        <v>383.47289689105963</v>
      </c>
    </row>
    <row r="45" spans="1:307" x14ac:dyDescent="0.25">
      <c r="A45" s="76">
        <v>19626</v>
      </c>
      <c r="B45" s="3">
        <v>15</v>
      </c>
      <c r="C45" s="8">
        <f t="shared" si="0"/>
        <v>9.6669999999999998</v>
      </c>
      <c r="D45" s="8">
        <f t="shared" si="1"/>
        <v>8.0300000000000011</v>
      </c>
      <c r="E45" s="3">
        <v>5.3330000000000002</v>
      </c>
      <c r="F45" s="3">
        <v>23.03</v>
      </c>
      <c r="G45" s="25" t="s">
        <v>211</v>
      </c>
      <c r="H45" s="4">
        <v>502</v>
      </c>
      <c r="I45" s="4" t="s">
        <v>142</v>
      </c>
      <c r="J45" s="11" t="s">
        <v>1</v>
      </c>
      <c r="K45" s="11" t="s">
        <v>0</v>
      </c>
      <c r="L45" s="4">
        <v>-26.6</v>
      </c>
      <c r="M45" s="4" t="s">
        <v>141</v>
      </c>
      <c r="N45" s="5">
        <f t="shared" si="8"/>
        <v>-23.1</v>
      </c>
      <c r="O45" s="5">
        <v>2.2000000000000002</v>
      </c>
      <c r="P45" s="4" t="s">
        <v>366</v>
      </c>
      <c r="Q45" s="12">
        <f t="shared" si="2"/>
        <v>-9.3320055606415089</v>
      </c>
      <c r="R45" s="12">
        <f t="shared" si="3"/>
        <v>-8.1320055606415096</v>
      </c>
      <c r="S45" s="12">
        <f t="shared" si="4"/>
        <v>15.321931046533566</v>
      </c>
      <c r="T45" s="12">
        <f>U45+V45</f>
        <v>21.93</v>
      </c>
      <c r="U45" s="12">
        <v>15.73</v>
      </c>
      <c r="V45" s="12">
        <v>6.2</v>
      </c>
      <c r="W45" s="5" t="s">
        <v>341</v>
      </c>
      <c r="X45" s="5">
        <f t="shared" si="5"/>
        <v>294.93</v>
      </c>
      <c r="Y45" s="5">
        <v>34.6</v>
      </c>
      <c r="Z45" s="23" t="s">
        <v>271</v>
      </c>
      <c r="AA45" s="4" t="s">
        <v>175</v>
      </c>
      <c r="AB45" s="5" t="s">
        <v>169</v>
      </c>
      <c r="AC45" s="11">
        <v>170</v>
      </c>
      <c r="AD45" s="3">
        <f t="shared" si="11"/>
        <v>15.208351344735734</v>
      </c>
      <c r="AE45" s="3">
        <v>34</v>
      </c>
      <c r="AF45" s="57">
        <f t="shared" si="6"/>
        <v>3.1773310908302439E-2</v>
      </c>
      <c r="AG45" s="12">
        <f t="shared" si="7"/>
        <v>478.65176495540339</v>
      </c>
    </row>
    <row r="46" spans="1:307" x14ac:dyDescent="0.25">
      <c r="A46" s="76">
        <v>19627</v>
      </c>
      <c r="B46" s="3">
        <v>15.1</v>
      </c>
      <c r="C46" s="8">
        <f t="shared" si="0"/>
        <v>9.9999999999999645E-2</v>
      </c>
      <c r="D46" s="8">
        <f t="shared" si="1"/>
        <v>9.9999999999999645E-2</v>
      </c>
      <c r="E46" s="3">
        <v>15</v>
      </c>
      <c r="F46" s="3">
        <v>15.2</v>
      </c>
      <c r="G46" s="25" t="s">
        <v>211</v>
      </c>
      <c r="H46" s="4" t="s">
        <v>138</v>
      </c>
      <c r="I46" s="4" t="s">
        <v>137</v>
      </c>
      <c r="J46" s="11" t="s">
        <v>4</v>
      </c>
      <c r="K46" s="11" t="s">
        <v>0</v>
      </c>
      <c r="L46" s="5">
        <v>-29.5</v>
      </c>
      <c r="M46" s="4" t="s">
        <v>134</v>
      </c>
      <c r="N46" s="5">
        <f t="shared" si="8"/>
        <v>-26</v>
      </c>
      <c r="O46" s="5">
        <v>1.7</v>
      </c>
      <c r="P46" s="4" t="s">
        <v>295</v>
      </c>
      <c r="Q46" s="12">
        <f t="shared" si="2"/>
        <v>-10.256306620209056</v>
      </c>
      <c r="R46" s="12">
        <f t="shared" si="3"/>
        <v>-9.5563066202090567</v>
      </c>
      <c r="S46" s="12">
        <f t="shared" si="4"/>
        <v>16.882642073707377</v>
      </c>
      <c r="T46" s="12">
        <v>14</v>
      </c>
      <c r="W46" s="1"/>
      <c r="X46" s="5">
        <f t="shared" si="5"/>
        <v>287</v>
      </c>
      <c r="Y46" s="5"/>
      <c r="Z46" s="23"/>
      <c r="AA46" s="4" t="s">
        <v>345</v>
      </c>
      <c r="AB46" s="5" t="s">
        <v>343</v>
      </c>
      <c r="AC46" s="11">
        <v>170</v>
      </c>
      <c r="AD46" s="3">
        <f t="shared" si="11"/>
        <v>17.676372378243489</v>
      </c>
      <c r="AE46" s="3">
        <v>34</v>
      </c>
      <c r="AF46" s="57">
        <f t="shared" si="6"/>
        <v>4.0018666712443481E-2</v>
      </c>
      <c r="AG46" s="12">
        <f t="shared" si="7"/>
        <v>441.70318079955331</v>
      </c>
    </row>
    <row r="47" spans="1:307" ht="13.2" customHeight="1" x14ac:dyDescent="0.25">
      <c r="A47" s="76">
        <v>19628</v>
      </c>
      <c r="B47" s="3">
        <v>15.2</v>
      </c>
      <c r="C47" s="8">
        <f t="shared" si="0"/>
        <v>9.9999999999999645E-2</v>
      </c>
      <c r="D47" s="8">
        <f t="shared" si="1"/>
        <v>5.0000000000000711E-2</v>
      </c>
      <c r="E47" s="3">
        <v>15.1</v>
      </c>
      <c r="F47" s="3">
        <v>15.25</v>
      </c>
      <c r="G47" s="25" t="s">
        <v>211</v>
      </c>
      <c r="H47" s="4" t="s">
        <v>138</v>
      </c>
      <c r="I47" s="4" t="s">
        <v>137</v>
      </c>
      <c r="J47" s="11" t="s">
        <v>4</v>
      </c>
      <c r="K47" s="11" t="s">
        <v>0</v>
      </c>
      <c r="L47" s="5">
        <v>-30.4</v>
      </c>
      <c r="M47" s="4" t="s">
        <v>134</v>
      </c>
      <c r="N47" s="5">
        <f t="shared" si="8"/>
        <v>-26.9</v>
      </c>
      <c r="O47" s="5">
        <v>1.7</v>
      </c>
      <c r="P47" s="4" t="s">
        <v>295</v>
      </c>
      <c r="Q47" s="12">
        <f t="shared" si="2"/>
        <v>-10.36444599790283</v>
      </c>
      <c r="R47" s="12">
        <f t="shared" si="3"/>
        <v>-9.6644459979028312</v>
      </c>
      <c r="S47" s="12">
        <f t="shared" si="4"/>
        <v>17.712006990131755</v>
      </c>
      <c r="T47" s="12">
        <v>13.1</v>
      </c>
      <c r="W47" s="1"/>
      <c r="X47" s="5">
        <f t="shared" si="5"/>
        <v>286.10000000000002</v>
      </c>
      <c r="Y47" s="5"/>
      <c r="Z47" s="23"/>
      <c r="AA47" s="4" t="s">
        <v>345</v>
      </c>
      <c r="AB47" s="5" t="s">
        <v>343</v>
      </c>
      <c r="AC47" s="11">
        <v>170</v>
      </c>
      <c r="AD47" s="3">
        <f t="shared" si="11"/>
        <v>19.344576151699595</v>
      </c>
      <c r="AE47" s="3">
        <v>34</v>
      </c>
      <c r="AF47" s="57">
        <f t="shared" si="6"/>
        <v>4.1164635259048302E-2</v>
      </c>
      <c r="AG47" s="12">
        <f t="shared" si="7"/>
        <v>469.93192165956356</v>
      </c>
    </row>
    <row r="48" spans="1:307" x14ac:dyDescent="0.25">
      <c r="A48" s="76">
        <v>19629</v>
      </c>
      <c r="B48" s="3">
        <v>15.25</v>
      </c>
      <c r="C48" s="8">
        <f t="shared" si="0"/>
        <v>5.0000000000000711E-2</v>
      </c>
      <c r="D48" s="8">
        <f t="shared" si="1"/>
        <v>5.0000000000000711E-2</v>
      </c>
      <c r="E48" s="3">
        <v>15.2</v>
      </c>
      <c r="F48" s="3">
        <v>15.3</v>
      </c>
      <c r="G48" s="25" t="s">
        <v>211</v>
      </c>
      <c r="H48" s="4" t="s">
        <v>138</v>
      </c>
      <c r="I48" s="4" t="s">
        <v>137</v>
      </c>
      <c r="J48" s="11" t="s">
        <v>4</v>
      </c>
      <c r="K48" s="11" t="s">
        <v>0</v>
      </c>
      <c r="L48" s="5">
        <v>-29.5</v>
      </c>
      <c r="M48" s="4" t="s">
        <v>134</v>
      </c>
      <c r="N48" s="5">
        <f t="shared" si="8"/>
        <v>-26</v>
      </c>
      <c r="O48" s="5">
        <v>1.7</v>
      </c>
      <c r="P48" s="4" t="s">
        <v>295</v>
      </c>
      <c r="Q48" s="12">
        <f t="shared" si="2"/>
        <v>-10.388569429870589</v>
      </c>
      <c r="R48" s="12">
        <f t="shared" si="3"/>
        <v>-9.68856942987059</v>
      </c>
      <c r="S48" s="12">
        <f t="shared" si="4"/>
        <v>16.746848634629828</v>
      </c>
      <c r="T48" s="12">
        <v>12.9</v>
      </c>
      <c r="W48" s="1"/>
      <c r="X48" s="5">
        <f t="shared" si="5"/>
        <v>285.89999999999998</v>
      </c>
      <c r="Y48" s="5"/>
      <c r="Z48" s="23"/>
      <c r="AA48" s="4" t="s">
        <v>345</v>
      </c>
      <c r="AB48" s="5" t="s">
        <v>343</v>
      </c>
      <c r="AC48" s="11">
        <v>170</v>
      </c>
      <c r="AD48" s="3">
        <f t="shared" si="11"/>
        <v>17.430263679040912</v>
      </c>
      <c r="AE48" s="3">
        <v>34</v>
      </c>
      <c r="AF48" s="57">
        <f t="shared" si="6"/>
        <v>4.1426149969017265E-2</v>
      </c>
      <c r="AG48" s="12">
        <f t="shared" si="7"/>
        <v>420.75509532208656</v>
      </c>
    </row>
    <row r="49" spans="1:33" x14ac:dyDescent="0.25">
      <c r="A49" s="76">
        <v>19630</v>
      </c>
      <c r="B49" s="3">
        <v>15.6</v>
      </c>
      <c r="C49" s="8">
        <f t="shared" si="0"/>
        <v>9.9999999999999645E-2</v>
      </c>
      <c r="D49" s="8">
        <f t="shared" si="1"/>
        <v>9.9999999999999645E-2</v>
      </c>
      <c r="E49" s="3">
        <v>15.5</v>
      </c>
      <c r="F49" s="3">
        <v>15.7</v>
      </c>
      <c r="G49" s="4" t="s">
        <v>435</v>
      </c>
      <c r="H49" s="53" t="s">
        <v>442</v>
      </c>
      <c r="I49" s="4" t="s">
        <v>168</v>
      </c>
      <c r="J49" s="11" t="s">
        <v>4</v>
      </c>
      <c r="K49" s="11" t="s">
        <v>27</v>
      </c>
      <c r="L49" s="5">
        <v>-25.69</v>
      </c>
      <c r="M49" s="4" t="s">
        <v>293</v>
      </c>
      <c r="N49" s="5">
        <f t="shared" si="8"/>
        <v>-22.19</v>
      </c>
      <c r="O49" s="5">
        <v>2</v>
      </c>
      <c r="P49" s="4" t="s">
        <v>445</v>
      </c>
      <c r="Q49" s="12">
        <f t="shared" si="2"/>
        <v>-9.5550366923418188</v>
      </c>
      <c r="R49" s="12">
        <f t="shared" si="3"/>
        <v>-8.5550366923418188</v>
      </c>
      <c r="S49" s="12">
        <f t="shared" si="4"/>
        <v>13.944389306366434</v>
      </c>
      <c r="T49" s="12">
        <f>U49+V49</f>
        <v>19.97666666666667</v>
      </c>
      <c r="U49" s="12">
        <v>17.09</v>
      </c>
      <c r="V49" s="12">
        <v>2.8866666666666698</v>
      </c>
      <c r="W49" s="5" t="s">
        <v>341</v>
      </c>
      <c r="X49" s="5">
        <f t="shared" si="5"/>
        <v>292.97666666666669</v>
      </c>
      <c r="Y49" s="5">
        <v>30.036666666666701</v>
      </c>
      <c r="Z49" s="23" t="s">
        <v>471</v>
      </c>
      <c r="AA49" s="4" t="s">
        <v>342</v>
      </c>
      <c r="AB49" s="5" t="s">
        <v>169</v>
      </c>
      <c r="AC49" s="3">
        <v>170</v>
      </c>
      <c r="AD49" s="3">
        <f>AC49/([2]S2!$AC$1-S49)</f>
        <v>13.539763548594255</v>
      </c>
      <c r="AE49" s="11">
        <v>34</v>
      </c>
      <c r="AF49" s="57">
        <f t="shared" si="6"/>
        <v>3.3532886832452369E-2</v>
      </c>
      <c r="AG49" s="12">
        <f t="shared" si="7"/>
        <v>403.77566107701705</v>
      </c>
    </row>
    <row r="50" spans="1:33" x14ac:dyDescent="0.25">
      <c r="A50" s="76">
        <v>19631</v>
      </c>
      <c r="B50" s="3">
        <v>15.7</v>
      </c>
      <c r="C50" s="8">
        <f t="shared" si="0"/>
        <v>0.19999999999999929</v>
      </c>
      <c r="D50" s="8">
        <f t="shared" si="1"/>
        <v>5.0000000000000711E-2</v>
      </c>
      <c r="E50" s="3">
        <v>15.5</v>
      </c>
      <c r="F50" s="3">
        <v>15.75</v>
      </c>
      <c r="G50" s="25" t="s">
        <v>211</v>
      </c>
      <c r="H50" s="4" t="s">
        <v>138</v>
      </c>
      <c r="I50" s="4" t="s">
        <v>137</v>
      </c>
      <c r="J50" s="11" t="s">
        <v>4</v>
      </c>
      <c r="K50" s="11" t="s">
        <v>0</v>
      </c>
      <c r="L50" s="5">
        <v>-30.8</v>
      </c>
      <c r="M50" s="4" t="s">
        <v>134</v>
      </c>
      <c r="N50" s="5">
        <f t="shared" si="8"/>
        <v>-27.3</v>
      </c>
      <c r="O50" s="5">
        <v>1.8</v>
      </c>
      <c r="P50" s="4" t="s">
        <v>295</v>
      </c>
      <c r="Q50" s="12">
        <f t="shared" si="2"/>
        <v>-10.042049861495844</v>
      </c>
      <c r="R50" s="12">
        <f t="shared" si="3"/>
        <v>-9.2420498614958433</v>
      </c>
      <c r="S50" s="12">
        <f t="shared" si="4"/>
        <v>18.564768313461542</v>
      </c>
      <c r="T50" s="12">
        <v>15.8</v>
      </c>
      <c r="W50" s="1"/>
      <c r="X50" s="5">
        <f t="shared" si="5"/>
        <v>288.8</v>
      </c>
      <c r="Y50" s="5"/>
      <c r="Z50" s="23"/>
      <c r="AA50" s="4" t="s">
        <v>345</v>
      </c>
      <c r="AB50" s="5" t="s">
        <v>343</v>
      </c>
      <c r="AC50" s="11">
        <v>170</v>
      </c>
      <c r="AD50" s="3">
        <f>AC50/($AL$8-S50)</f>
        <v>21.423445050557579</v>
      </c>
      <c r="AE50" s="3">
        <v>34</v>
      </c>
      <c r="AF50" s="57">
        <f t="shared" si="6"/>
        <v>3.7870071779691018E-2</v>
      </c>
      <c r="AG50" s="12">
        <f t="shared" si="7"/>
        <v>565.70912184134158</v>
      </c>
    </row>
    <row r="51" spans="1:33" x14ac:dyDescent="0.25">
      <c r="A51" s="76">
        <v>19632</v>
      </c>
      <c r="B51" s="3">
        <v>15.9</v>
      </c>
      <c r="C51" s="8">
        <f t="shared" si="0"/>
        <v>0.15000000000000036</v>
      </c>
      <c r="D51" s="8">
        <f t="shared" si="1"/>
        <v>0</v>
      </c>
      <c r="E51" s="3">
        <v>15.75</v>
      </c>
      <c r="F51" s="3">
        <v>15.9</v>
      </c>
      <c r="G51" s="25" t="s">
        <v>211</v>
      </c>
      <c r="H51" s="4" t="s">
        <v>138</v>
      </c>
      <c r="I51" s="4" t="s">
        <v>137</v>
      </c>
      <c r="J51" s="11" t="s">
        <v>4</v>
      </c>
      <c r="K51" s="11" t="s">
        <v>0</v>
      </c>
      <c r="L51" s="5">
        <v>-31</v>
      </c>
      <c r="M51" s="4" t="s">
        <v>134</v>
      </c>
      <c r="N51" s="5">
        <f t="shared" si="8"/>
        <v>-27.5</v>
      </c>
      <c r="O51" s="5">
        <v>2.1</v>
      </c>
      <c r="P51" s="4" t="s">
        <v>295</v>
      </c>
      <c r="Q51" s="12">
        <f t="shared" si="2"/>
        <v>-10.256306620209056</v>
      </c>
      <c r="R51" s="12">
        <f t="shared" si="3"/>
        <v>-9.1563066202090564</v>
      </c>
      <c r="S51" s="12">
        <f t="shared" si="4"/>
        <v>18.862409645029167</v>
      </c>
      <c r="T51" s="12">
        <v>14</v>
      </c>
      <c r="W51" s="1"/>
      <c r="X51" s="5">
        <f t="shared" si="5"/>
        <v>287</v>
      </c>
      <c r="Y51" s="5"/>
      <c r="Z51" s="23"/>
      <c r="AA51" s="4" t="s">
        <v>345</v>
      </c>
      <c r="AB51" s="5" t="s">
        <v>343</v>
      </c>
      <c r="AC51" s="11">
        <v>170</v>
      </c>
      <c r="AD51" s="3">
        <f>AC51/($AL$8-S51)</f>
        <v>22.258329145573718</v>
      </c>
      <c r="AE51" s="3">
        <v>34</v>
      </c>
      <c r="AF51" s="57">
        <f t="shared" si="6"/>
        <v>4.0018666712443481E-2</v>
      </c>
      <c r="AG51" s="12">
        <f t="shared" si="7"/>
        <v>556.19866862412664</v>
      </c>
    </row>
    <row r="52" spans="1:33" x14ac:dyDescent="0.25">
      <c r="A52" s="76">
        <v>19633</v>
      </c>
      <c r="B52" s="3">
        <v>16.100000000000001</v>
      </c>
      <c r="C52" s="8">
        <f t="shared" si="0"/>
        <v>0.10000000000000142</v>
      </c>
      <c r="D52" s="8">
        <f t="shared" si="1"/>
        <v>0.19999999999999929</v>
      </c>
      <c r="E52" s="3">
        <v>16</v>
      </c>
      <c r="F52" s="3">
        <v>16.3</v>
      </c>
      <c r="G52" s="25" t="s">
        <v>435</v>
      </c>
      <c r="H52" s="53" t="s">
        <v>443</v>
      </c>
      <c r="I52" s="4" t="s">
        <v>168</v>
      </c>
      <c r="J52" s="11" t="s">
        <v>4</v>
      </c>
      <c r="K52" s="11" t="s">
        <v>27</v>
      </c>
      <c r="L52" s="5">
        <v>-26.07</v>
      </c>
      <c r="M52" s="4" t="s">
        <v>293</v>
      </c>
      <c r="N52" s="5">
        <f t="shared" si="8"/>
        <v>-22.57</v>
      </c>
      <c r="O52" s="5">
        <v>2.2000000000000002</v>
      </c>
      <c r="P52" s="4" t="s">
        <v>445</v>
      </c>
      <c r="Q52" s="12">
        <f t="shared" si="2"/>
        <v>-9.5567608959078818</v>
      </c>
      <c r="R52" s="12">
        <f t="shared" si="3"/>
        <v>-8.3567608959078825</v>
      </c>
      <c r="S52" s="12">
        <f t="shared" si="4"/>
        <v>14.54143939115049</v>
      </c>
      <c r="T52" s="12">
        <f>U52+V52</f>
        <v>19.96166666666667</v>
      </c>
      <c r="U52" s="12">
        <v>17.09</v>
      </c>
      <c r="V52" s="12">
        <v>2.8716666666666701</v>
      </c>
      <c r="W52" s="5" t="s">
        <v>341</v>
      </c>
      <c r="X52" s="5">
        <f t="shared" si="5"/>
        <v>292.96166666666664</v>
      </c>
      <c r="Y52" s="5">
        <v>29.816666666666698</v>
      </c>
      <c r="Z52" s="23" t="s">
        <v>472</v>
      </c>
      <c r="AA52" s="4" t="s">
        <v>342</v>
      </c>
      <c r="AB52" s="5" t="s">
        <v>169</v>
      </c>
      <c r="AC52" s="3">
        <v>170</v>
      </c>
      <c r="AD52" s="3">
        <f>AC52/([2]S2!$AC$1-S52)</f>
        <v>14.21575769530302</v>
      </c>
      <c r="AE52" s="11">
        <v>34</v>
      </c>
      <c r="AF52" s="57">
        <f t="shared" si="6"/>
        <v>3.3547012327593592E-2</v>
      </c>
      <c r="AG52" s="12">
        <f t="shared" si="7"/>
        <v>423.75629628305416</v>
      </c>
    </row>
    <row r="53" spans="1:33" x14ac:dyDescent="0.25">
      <c r="A53" s="76">
        <v>19634</v>
      </c>
      <c r="B53" s="3">
        <v>16.100000000000001</v>
      </c>
      <c r="C53" s="8">
        <f t="shared" si="0"/>
        <v>0.10000000000000142</v>
      </c>
      <c r="D53" s="8">
        <f t="shared" si="1"/>
        <v>9.9999999999997868E-2</v>
      </c>
      <c r="E53" s="3">
        <v>16</v>
      </c>
      <c r="F53" s="3">
        <v>16.2</v>
      </c>
      <c r="G53" s="25" t="s">
        <v>211</v>
      </c>
      <c r="H53" s="4" t="s">
        <v>138</v>
      </c>
      <c r="I53" s="4" t="s">
        <v>137</v>
      </c>
      <c r="J53" s="11" t="s">
        <v>4</v>
      </c>
      <c r="K53" s="11" t="s">
        <v>0</v>
      </c>
      <c r="L53" s="5">
        <v>-29.2</v>
      </c>
      <c r="M53" s="4" t="s">
        <v>134</v>
      </c>
      <c r="N53" s="5">
        <f t="shared" si="8"/>
        <v>-25.7</v>
      </c>
      <c r="O53" s="5">
        <v>2.1</v>
      </c>
      <c r="P53" s="4" t="s">
        <v>295</v>
      </c>
      <c r="Q53" s="12">
        <f t="shared" si="2"/>
        <v>-10.220410720501217</v>
      </c>
      <c r="R53" s="12">
        <f t="shared" si="3"/>
        <v>-9.1204107205012175</v>
      </c>
      <c r="S53" s="12">
        <f t="shared" si="4"/>
        <v>17.016924232268195</v>
      </c>
      <c r="T53" s="12">
        <v>14.3</v>
      </c>
      <c r="W53" s="1"/>
      <c r="X53" s="5">
        <f t="shared" si="5"/>
        <v>287.3</v>
      </c>
      <c r="Y53" s="5"/>
      <c r="Z53" s="23"/>
      <c r="AA53" s="4" t="s">
        <v>345</v>
      </c>
      <c r="AB53" s="5" t="s">
        <v>343</v>
      </c>
      <c r="AC53" s="11">
        <v>170</v>
      </c>
      <c r="AD53" s="3">
        <f>AC53/($AL$8-S53)</f>
        <v>17.926673176909688</v>
      </c>
      <c r="AE53" s="3">
        <v>34</v>
      </c>
      <c r="AF53" s="57">
        <f t="shared" si="6"/>
        <v>3.9647597968974005E-2</v>
      </c>
      <c r="AG53" s="12">
        <f t="shared" si="7"/>
        <v>452.15029649307132</v>
      </c>
    </row>
    <row r="54" spans="1:33" ht="13.2" customHeight="1" x14ac:dyDescent="0.25">
      <c r="A54" s="76">
        <v>19635</v>
      </c>
      <c r="B54" s="3">
        <v>16.25</v>
      </c>
      <c r="C54" s="8">
        <f t="shared" si="0"/>
        <v>0.14999999999999858</v>
      </c>
      <c r="D54" s="8">
        <f t="shared" si="1"/>
        <v>5.0000000000000711E-2</v>
      </c>
      <c r="E54" s="3">
        <v>16.100000000000001</v>
      </c>
      <c r="F54" s="3">
        <v>16.3</v>
      </c>
      <c r="G54" s="25" t="s">
        <v>211</v>
      </c>
      <c r="H54" s="4" t="s">
        <v>138</v>
      </c>
      <c r="I54" s="4" t="s">
        <v>137</v>
      </c>
      <c r="J54" s="11" t="s">
        <v>4</v>
      </c>
      <c r="K54" s="11" t="s">
        <v>0</v>
      </c>
      <c r="L54" s="5">
        <v>-29.7</v>
      </c>
      <c r="M54" s="4" t="s">
        <v>134</v>
      </c>
      <c r="N54" s="5">
        <f t="shared" si="8"/>
        <v>-26.2</v>
      </c>
      <c r="O54" s="5">
        <v>2.1</v>
      </c>
      <c r="P54" s="4" t="s">
        <v>295</v>
      </c>
      <c r="Q54" s="12">
        <f t="shared" si="2"/>
        <v>-10.220410720501217</v>
      </c>
      <c r="R54" s="12">
        <f t="shared" si="3"/>
        <v>-9.1204107205012175</v>
      </c>
      <c r="S54" s="12">
        <f t="shared" si="4"/>
        <v>17.539114068082505</v>
      </c>
      <c r="T54" s="12">
        <v>14.3</v>
      </c>
      <c r="W54" s="1"/>
      <c r="X54" s="5">
        <f t="shared" si="5"/>
        <v>287.3</v>
      </c>
      <c r="Y54" s="5"/>
      <c r="Z54" s="23"/>
      <c r="AA54" s="4" t="s">
        <v>345</v>
      </c>
      <c r="AB54" s="5" t="s">
        <v>343</v>
      </c>
      <c r="AC54" s="11">
        <v>170</v>
      </c>
      <c r="AD54" s="3">
        <f>AC54/($AL$8-S54)</f>
        <v>18.971338469389771</v>
      </c>
      <c r="AE54" s="3">
        <v>34</v>
      </c>
      <c r="AF54" s="57">
        <f t="shared" si="6"/>
        <v>3.9647597968974005E-2</v>
      </c>
      <c r="AG54" s="12">
        <f t="shared" si="7"/>
        <v>478.49906277388305</v>
      </c>
    </row>
    <row r="55" spans="1:33" ht="13.2" customHeight="1" x14ac:dyDescent="0.25">
      <c r="A55" s="76">
        <v>19636</v>
      </c>
      <c r="B55" s="3">
        <v>16.3</v>
      </c>
      <c r="C55" s="8">
        <f t="shared" si="0"/>
        <v>5.0000000000000711E-2</v>
      </c>
      <c r="D55" s="8">
        <f t="shared" si="1"/>
        <v>0.19999999999999929</v>
      </c>
      <c r="E55" s="3">
        <v>16.25</v>
      </c>
      <c r="F55" s="3">
        <v>16.5</v>
      </c>
      <c r="G55" s="25" t="s">
        <v>211</v>
      </c>
      <c r="H55" s="4" t="s">
        <v>138</v>
      </c>
      <c r="I55" s="4" t="s">
        <v>137</v>
      </c>
      <c r="J55" s="11" t="s">
        <v>4</v>
      </c>
      <c r="K55" s="11" t="s">
        <v>0</v>
      </c>
      <c r="L55" s="5">
        <v>-30.8</v>
      </c>
      <c r="M55" s="4" t="s">
        <v>134</v>
      </c>
      <c r="N55" s="5">
        <f t="shared" si="8"/>
        <v>-27.3</v>
      </c>
      <c r="O55" s="5">
        <v>2.1</v>
      </c>
      <c r="P55" s="4" t="s">
        <v>295</v>
      </c>
      <c r="Q55" s="12">
        <f t="shared" si="2"/>
        <v>-10.220410720501217</v>
      </c>
      <c r="R55" s="12">
        <f t="shared" si="3"/>
        <v>-9.1204107205012175</v>
      </c>
      <c r="S55" s="12">
        <f t="shared" si="4"/>
        <v>18.689821403823139</v>
      </c>
      <c r="T55" s="12">
        <v>14.3</v>
      </c>
      <c r="W55" s="1"/>
      <c r="X55" s="5">
        <f t="shared" si="5"/>
        <v>287.3</v>
      </c>
      <c r="Y55" s="5"/>
      <c r="Z55" s="23"/>
      <c r="AA55" s="4" t="s">
        <v>345</v>
      </c>
      <c r="AB55" s="5" t="s">
        <v>343</v>
      </c>
      <c r="AC55" s="11">
        <v>170</v>
      </c>
      <c r="AD55" s="3">
        <f>AC55/($AL$8-S55)</f>
        <v>21.766467681445366</v>
      </c>
      <c r="AE55" s="3">
        <v>34</v>
      </c>
      <c r="AF55" s="57">
        <f t="shared" si="6"/>
        <v>3.9647597968974005E-2</v>
      </c>
      <c r="AG55" s="12">
        <f t="shared" si="7"/>
        <v>548.99839577869477</v>
      </c>
    </row>
    <row r="56" spans="1:33" ht="13.2" customHeight="1" x14ac:dyDescent="0.25">
      <c r="A56" s="76">
        <v>19637</v>
      </c>
      <c r="B56" s="3">
        <v>16.399999999999999</v>
      </c>
      <c r="C56" s="8">
        <f t="shared" si="0"/>
        <v>0.19999999999999929</v>
      </c>
      <c r="D56" s="8">
        <f t="shared" si="1"/>
        <v>0.20000000000000284</v>
      </c>
      <c r="E56" s="3">
        <v>16.2</v>
      </c>
      <c r="F56" s="3">
        <v>16.600000000000001</v>
      </c>
      <c r="G56" s="25" t="s">
        <v>435</v>
      </c>
      <c r="H56" s="53" t="s">
        <v>444</v>
      </c>
      <c r="I56" s="4" t="s">
        <v>168</v>
      </c>
      <c r="J56" s="11" t="s">
        <v>4</v>
      </c>
      <c r="K56" s="11" t="s">
        <v>27</v>
      </c>
      <c r="L56" s="5">
        <v>-25.89</v>
      </c>
      <c r="M56" s="4" t="s">
        <v>293</v>
      </c>
      <c r="N56" s="5">
        <f t="shared" si="8"/>
        <v>-22.39</v>
      </c>
      <c r="O56" s="5">
        <v>2.2000000000000002</v>
      </c>
      <c r="P56" s="4" t="s">
        <v>445</v>
      </c>
      <c r="Q56" s="12">
        <f t="shared" si="2"/>
        <v>-9.5584852760456975</v>
      </c>
      <c r="R56" s="12">
        <f t="shared" si="3"/>
        <v>-8.3584852760456982</v>
      </c>
      <c r="S56" s="12">
        <f t="shared" si="4"/>
        <v>14.352875608836024</v>
      </c>
      <c r="T56" s="12">
        <f>U56+V56</f>
        <v>19.946666666666669</v>
      </c>
      <c r="U56" s="12">
        <v>17.09</v>
      </c>
      <c r="V56" s="12">
        <v>2.85666666666667</v>
      </c>
      <c r="W56" s="5" t="s">
        <v>341</v>
      </c>
      <c r="X56" s="5">
        <f t="shared" si="5"/>
        <v>292.94666666666666</v>
      </c>
      <c r="Y56" s="5">
        <v>29.5966666666667</v>
      </c>
      <c r="Z56" s="23" t="s">
        <v>473</v>
      </c>
      <c r="AA56" s="4" t="s">
        <v>342</v>
      </c>
      <c r="AB56" s="5" t="s">
        <v>169</v>
      </c>
      <c r="AC56" s="3">
        <v>170</v>
      </c>
      <c r="AD56" s="3">
        <f>AC56/([2]S2!$AC$1-S56)</f>
        <v>13.995081842058099</v>
      </c>
      <c r="AE56" s="11">
        <v>34</v>
      </c>
      <c r="AF56" s="57">
        <f t="shared" si="6"/>
        <v>3.356114750746348E-2</v>
      </c>
      <c r="AG56" s="12">
        <f t="shared" si="7"/>
        <v>417.00248297367688</v>
      </c>
    </row>
    <row r="57" spans="1:33" ht="13.2" customHeight="1" x14ac:dyDescent="0.25">
      <c r="A57" s="76">
        <v>19638</v>
      </c>
      <c r="B57" s="3">
        <v>16.7</v>
      </c>
      <c r="C57" s="8">
        <f t="shared" si="0"/>
        <v>0.19999999999999929</v>
      </c>
      <c r="D57" s="8">
        <f t="shared" si="1"/>
        <v>0.10000000000000142</v>
      </c>
      <c r="E57" s="3">
        <v>16.5</v>
      </c>
      <c r="F57" s="3">
        <v>16.8</v>
      </c>
      <c r="G57" s="25" t="s">
        <v>211</v>
      </c>
      <c r="H57" s="4" t="s">
        <v>138</v>
      </c>
      <c r="I57" s="4" t="s">
        <v>137</v>
      </c>
      <c r="J57" s="11" t="s">
        <v>4</v>
      </c>
      <c r="K57" s="11" t="s">
        <v>0</v>
      </c>
      <c r="L57" s="5">
        <v>-30.3</v>
      </c>
      <c r="M57" s="4" t="s">
        <v>134</v>
      </c>
      <c r="N57" s="5">
        <f t="shared" si="8"/>
        <v>-26.8</v>
      </c>
      <c r="O57" s="5">
        <v>1.8</v>
      </c>
      <c r="P57" s="4" t="s">
        <v>295</v>
      </c>
      <c r="Q57" s="12">
        <f t="shared" si="2"/>
        <v>-10.280278940027895</v>
      </c>
      <c r="R57" s="12">
        <f t="shared" si="3"/>
        <v>-9.480278940027894</v>
      </c>
      <c r="S57" s="12">
        <f t="shared" si="4"/>
        <v>17.796671865980329</v>
      </c>
      <c r="T57" s="12">
        <v>13.8</v>
      </c>
      <c r="W57" s="1"/>
      <c r="X57" s="5">
        <f t="shared" si="5"/>
        <v>286.8</v>
      </c>
      <c r="Y57" s="5"/>
      <c r="Z57" s="23"/>
      <c r="AA57" s="4" t="s">
        <v>345</v>
      </c>
      <c r="AB57" s="5" t="s">
        <v>343</v>
      </c>
      <c r="AC57" s="11">
        <v>170</v>
      </c>
      <c r="AD57" s="3">
        <f t="shared" ref="AD57:AD120" si="12">AC57/($AL$8-S57)</f>
        <v>19.532757743041081</v>
      </c>
      <c r="AE57" s="3">
        <v>34</v>
      </c>
      <c r="AF57" s="57">
        <f t="shared" si="6"/>
        <v>4.0269038851952543E-2</v>
      </c>
      <c r="AG57" s="12">
        <f t="shared" si="7"/>
        <v>485.05646769599986</v>
      </c>
    </row>
    <row r="58" spans="1:33" ht="13.2" customHeight="1" x14ac:dyDescent="0.25">
      <c r="A58" s="76">
        <v>19639</v>
      </c>
      <c r="B58" s="3">
        <v>17</v>
      </c>
      <c r="C58" s="8">
        <f t="shared" si="0"/>
        <v>0.10000000000000142</v>
      </c>
      <c r="D58" s="8">
        <f t="shared" si="1"/>
        <v>0.10000000000000142</v>
      </c>
      <c r="E58" s="3">
        <v>16.899999999999999</v>
      </c>
      <c r="F58" s="3">
        <v>17.100000000000001</v>
      </c>
      <c r="G58" s="25" t="s">
        <v>211</v>
      </c>
      <c r="H58" s="4" t="s">
        <v>138</v>
      </c>
      <c r="I58" s="4" t="s">
        <v>137</v>
      </c>
      <c r="J58" s="11" t="s">
        <v>4</v>
      </c>
      <c r="K58" s="11" t="s">
        <v>0</v>
      </c>
      <c r="L58" s="5">
        <v>-30.1</v>
      </c>
      <c r="M58" s="4" t="s">
        <v>134</v>
      </c>
      <c r="N58" s="5">
        <f t="shared" si="8"/>
        <v>-26.6</v>
      </c>
      <c r="O58" s="5">
        <v>1.8</v>
      </c>
      <c r="P58" s="4" t="s">
        <v>295</v>
      </c>
      <c r="Q58" s="12">
        <f t="shared" si="2"/>
        <v>-10.352396925227115</v>
      </c>
      <c r="R58" s="12">
        <f t="shared" si="3"/>
        <v>-9.5523969252271144</v>
      </c>
      <c r="S58" s="12">
        <f t="shared" si="4"/>
        <v>17.513461141126953</v>
      </c>
      <c r="T58" s="12">
        <v>13.2</v>
      </c>
      <c r="W58" s="1"/>
      <c r="X58" s="5">
        <f t="shared" si="5"/>
        <v>286.2</v>
      </c>
      <c r="Y58" s="5"/>
      <c r="Z58" s="23"/>
      <c r="AA58" s="4" t="s">
        <v>345</v>
      </c>
      <c r="AB58" s="5" t="s">
        <v>343</v>
      </c>
      <c r="AC58" s="11">
        <v>170</v>
      </c>
      <c r="AD58" s="3">
        <f t="shared" si="12"/>
        <v>18.917182985543644</v>
      </c>
      <c r="AE58" s="3">
        <v>34</v>
      </c>
      <c r="AF58" s="57">
        <f t="shared" si="6"/>
        <v>4.1034827064051468E-2</v>
      </c>
      <c r="AG58" s="12">
        <f t="shared" si="7"/>
        <v>461.00311221040891</v>
      </c>
    </row>
    <row r="59" spans="1:33" ht="13.2" customHeight="1" x14ac:dyDescent="0.25">
      <c r="A59" s="76">
        <v>19640</v>
      </c>
      <c r="B59" s="3">
        <v>17.2</v>
      </c>
      <c r="C59" s="8">
        <f t="shared" si="0"/>
        <v>9.9999999999997868E-2</v>
      </c>
      <c r="D59" s="8">
        <f t="shared" si="1"/>
        <v>0.19999999999999929</v>
      </c>
      <c r="E59" s="3">
        <v>17.100000000000001</v>
      </c>
      <c r="F59" s="3">
        <v>17.399999999999999</v>
      </c>
      <c r="G59" s="25" t="s">
        <v>211</v>
      </c>
      <c r="H59" s="4" t="s">
        <v>138</v>
      </c>
      <c r="I59" s="4" t="s">
        <v>137</v>
      </c>
      <c r="J59" s="11" t="s">
        <v>4</v>
      </c>
      <c r="K59" s="11" t="s">
        <v>0</v>
      </c>
      <c r="L59" s="5">
        <v>-29.4</v>
      </c>
      <c r="M59" s="4" t="s">
        <v>134</v>
      </c>
      <c r="N59" s="5">
        <f t="shared" si="8"/>
        <v>-25.9</v>
      </c>
      <c r="O59" s="5">
        <v>1.9</v>
      </c>
      <c r="P59" s="4" t="s">
        <v>295</v>
      </c>
      <c r="Q59" s="12">
        <f t="shared" si="2"/>
        <v>-10.36444599790283</v>
      </c>
      <c r="R59" s="12">
        <f t="shared" si="3"/>
        <v>-9.4644459979028301</v>
      </c>
      <c r="S59" s="12">
        <f t="shared" si="4"/>
        <v>16.872553128115307</v>
      </c>
      <c r="T59" s="12">
        <v>13.1</v>
      </c>
      <c r="W59" s="1"/>
      <c r="X59" s="5">
        <f t="shared" si="5"/>
        <v>286.10000000000002</v>
      </c>
      <c r="Y59" s="5"/>
      <c r="Z59" s="23"/>
      <c r="AA59" s="4" t="s">
        <v>345</v>
      </c>
      <c r="AB59" s="5" t="s">
        <v>343</v>
      </c>
      <c r="AC59" s="11">
        <v>170</v>
      </c>
      <c r="AD59" s="3">
        <f t="shared" si="12"/>
        <v>17.657848676003169</v>
      </c>
      <c r="AE59" s="3">
        <v>34</v>
      </c>
      <c r="AF59" s="57">
        <f t="shared" si="6"/>
        <v>4.1164635259048302E-2</v>
      </c>
      <c r="AG59" s="12">
        <f t="shared" si="7"/>
        <v>428.95676264061734</v>
      </c>
    </row>
    <row r="60" spans="1:33" ht="13.2" customHeight="1" x14ac:dyDescent="0.25">
      <c r="A60" s="76">
        <v>19641</v>
      </c>
      <c r="B60" s="3">
        <v>17.600000000000001</v>
      </c>
      <c r="C60" s="8">
        <f t="shared" si="0"/>
        <v>0.10000000000000142</v>
      </c>
      <c r="D60" s="8">
        <f t="shared" si="1"/>
        <v>0.14999999999999858</v>
      </c>
      <c r="E60" s="3">
        <v>17.5</v>
      </c>
      <c r="F60" s="3">
        <v>17.75</v>
      </c>
      <c r="G60" s="25" t="s">
        <v>211</v>
      </c>
      <c r="H60" s="4" t="s">
        <v>138</v>
      </c>
      <c r="I60" s="4" t="s">
        <v>137</v>
      </c>
      <c r="J60" s="11" t="s">
        <v>4</v>
      </c>
      <c r="K60" s="11" t="s">
        <v>0</v>
      </c>
      <c r="L60" s="5">
        <v>-29.6</v>
      </c>
      <c r="M60" s="4" t="s">
        <v>134</v>
      </c>
      <c r="N60" s="5">
        <f t="shared" si="8"/>
        <v>-26.1</v>
      </c>
      <c r="O60" s="5">
        <v>1.95</v>
      </c>
      <c r="P60" s="4" t="s">
        <v>295</v>
      </c>
      <c r="Q60" s="12">
        <f t="shared" si="2"/>
        <v>-10.101297259798816</v>
      </c>
      <c r="R60" s="12">
        <f t="shared" si="3"/>
        <v>-9.1512972597988167</v>
      </c>
      <c r="S60" s="12">
        <f t="shared" si="4"/>
        <v>17.402918924120712</v>
      </c>
      <c r="T60" s="12">
        <v>15.3</v>
      </c>
      <c r="W60" s="1"/>
      <c r="X60" s="5">
        <f t="shared" si="5"/>
        <v>288.3</v>
      </c>
      <c r="Y60" s="5"/>
      <c r="Z60" s="23"/>
      <c r="AA60" s="4" t="s">
        <v>345</v>
      </c>
      <c r="AB60" s="5" t="s">
        <v>343</v>
      </c>
      <c r="AC60" s="11">
        <v>170</v>
      </c>
      <c r="AD60" s="3">
        <f t="shared" si="12"/>
        <v>18.687312840461683</v>
      </c>
      <c r="AE60" s="3">
        <v>34</v>
      </c>
      <c r="AF60" s="57">
        <f t="shared" si="6"/>
        <v>3.8448521250536945E-2</v>
      </c>
      <c r="AG60" s="12">
        <f t="shared" si="7"/>
        <v>486.03463105101105</v>
      </c>
    </row>
    <row r="61" spans="1:33" ht="13.2" customHeight="1" x14ac:dyDescent="0.25">
      <c r="A61" s="76">
        <v>19642</v>
      </c>
      <c r="B61" s="3">
        <v>17.899999999999999</v>
      </c>
      <c r="C61" s="8">
        <f t="shared" si="0"/>
        <v>9.9999999999997868E-2</v>
      </c>
      <c r="D61" s="8">
        <f t="shared" si="1"/>
        <v>0.20000000000000284</v>
      </c>
      <c r="E61" s="3">
        <v>17.8</v>
      </c>
      <c r="F61" s="3">
        <v>18.100000000000001</v>
      </c>
      <c r="G61" s="25" t="s">
        <v>211</v>
      </c>
      <c r="H61" s="4" t="s">
        <v>138</v>
      </c>
      <c r="I61" s="4" t="s">
        <v>137</v>
      </c>
      <c r="J61" s="11" t="s">
        <v>4</v>
      </c>
      <c r="K61" s="11" t="s">
        <v>0</v>
      </c>
      <c r="L61" s="5">
        <v>-30</v>
      </c>
      <c r="M61" s="4" t="s">
        <v>134</v>
      </c>
      <c r="N61" s="5">
        <f t="shared" si="8"/>
        <v>-26.5</v>
      </c>
      <c r="O61" s="5">
        <v>1.55</v>
      </c>
      <c r="P61" s="4" t="s">
        <v>295</v>
      </c>
      <c r="Q61" s="12">
        <f t="shared" si="2"/>
        <v>-10.31630017452007</v>
      </c>
      <c r="R61" s="12">
        <f t="shared" si="3"/>
        <v>-9.7663001745200688</v>
      </c>
      <c r="S61" s="12">
        <f t="shared" si="4"/>
        <v>17.189213996384069</v>
      </c>
      <c r="T61" s="12">
        <v>13.5</v>
      </c>
      <c r="W61" s="1"/>
      <c r="X61" s="5">
        <f t="shared" si="5"/>
        <v>286.5</v>
      </c>
      <c r="Y61" s="5"/>
      <c r="Z61" s="23"/>
      <c r="AA61" s="4" t="s">
        <v>345</v>
      </c>
      <c r="AB61" s="5" t="s">
        <v>343</v>
      </c>
      <c r="AC61" s="11">
        <v>170</v>
      </c>
      <c r="AD61" s="3">
        <f t="shared" si="12"/>
        <v>18.258394074783688</v>
      </c>
      <c r="AE61" s="3">
        <v>34</v>
      </c>
      <c r="AF61" s="57">
        <f t="shared" si="6"/>
        <v>4.0649155610352303E-2</v>
      </c>
      <c r="AG61" s="12">
        <f t="shared" si="7"/>
        <v>449.170316102058</v>
      </c>
    </row>
    <row r="62" spans="1:33" ht="13.2" customHeight="1" x14ac:dyDescent="0.25">
      <c r="A62" s="76">
        <v>19643</v>
      </c>
      <c r="B62" s="3">
        <v>18</v>
      </c>
      <c r="C62" s="8">
        <f t="shared" si="0"/>
        <v>12.667</v>
      </c>
      <c r="D62" s="8">
        <f t="shared" si="1"/>
        <v>5.0300000000000011</v>
      </c>
      <c r="E62" s="3">
        <v>5.3330000000000002</v>
      </c>
      <c r="F62" s="3">
        <v>23.03</v>
      </c>
      <c r="G62" s="4" t="s">
        <v>211</v>
      </c>
      <c r="H62" s="4" t="s">
        <v>153</v>
      </c>
      <c r="I62" s="4" t="s">
        <v>152</v>
      </c>
      <c r="J62" s="11" t="s">
        <v>4</v>
      </c>
      <c r="K62" s="11" t="s">
        <v>27</v>
      </c>
      <c r="L62" s="5">
        <v>-23.3</v>
      </c>
      <c r="M62" s="4" t="s">
        <v>151</v>
      </c>
      <c r="N62" s="5">
        <f t="shared" si="8"/>
        <v>-19.8</v>
      </c>
      <c r="O62" s="5">
        <v>1.2</v>
      </c>
      <c r="P62" s="4" t="s">
        <v>352</v>
      </c>
      <c r="Q62" s="12">
        <f t="shared" si="2"/>
        <v>-8.7677629254308478</v>
      </c>
      <c r="R62" s="12">
        <f t="shared" si="3"/>
        <v>-8.5677629254308485</v>
      </c>
      <c r="S62" s="12">
        <f t="shared" si="4"/>
        <v>11.459127805110159</v>
      </c>
      <c r="T62" s="12">
        <f>U62+V62</f>
        <v>26.99</v>
      </c>
      <c r="U62" s="12">
        <v>20.93</v>
      </c>
      <c r="V62" s="12">
        <v>6.06</v>
      </c>
      <c r="W62" s="5" t="s">
        <v>341</v>
      </c>
      <c r="X62" s="5">
        <f t="shared" si="5"/>
        <v>299.99</v>
      </c>
      <c r="Y62" s="5"/>
      <c r="Z62" s="23" t="s">
        <v>273</v>
      </c>
      <c r="AA62" s="4" t="s">
        <v>170</v>
      </c>
      <c r="AB62" s="5" t="s">
        <v>169</v>
      </c>
      <c r="AC62" s="3">
        <v>170</v>
      </c>
      <c r="AD62" s="3">
        <f t="shared" si="12"/>
        <v>11.302536036291682</v>
      </c>
      <c r="AE62" s="3">
        <v>34</v>
      </c>
      <c r="AF62" s="57">
        <f t="shared" si="6"/>
        <v>2.7868206053205488E-2</v>
      </c>
      <c r="AG62" s="12">
        <f t="shared" si="7"/>
        <v>405.57099422593188</v>
      </c>
    </row>
    <row r="63" spans="1:33" ht="13.2" customHeight="1" x14ac:dyDescent="0.25">
      <c r="A63" s="76">
        <v>19644</v>
      </c>
      <c r="B63" s="3">
        <v>18.2</v>
      </c>
      <c r="C63" s="8">
        <f t="shared" si="0"/>
        <v>0.19999999999999929</v>
      </c>
      <c r="D63" s="8">
        <f t="shared" si="1"/>
        <v>0.10000000000000142</v>
      </c>
      <c r="E63" s="3">
        <v>18</v>
      </c>
      <c r="F63" s="3">
        <v>18.3</v>
      </c>
      <c r="G63" s="25" t="s">
        <v>211</v>
      </c>
      <c r="H63" s="4" t="s">
        <v>138</v>
      </c>
      <c r="I63" s="4" t="s">
        <v>137</v>
      </c>
      <c r="J63" s="11" t="s">
        <v>4</v>
      </c>
      <c r="K63" s="11" t="s">
        <v>0</v>
      </c>
      <c r="L63" s="5">
        <v>-29.3</v>
      </c>
      <c r="M63" s="4" t="s">
        <v>134</v>
      </c>
      <c r="N63" s="5">
        <f t="shared" si="8"/>
        <v>-25.8</v>
      </c>
      <c r="O63" s="5">
        <v>1.45</v>
      </c>
      <c r="P63" s="4" t="s">
        <v>295</v>
      </c>
      <c r="Q63" s="12">
        <f t="shared" si="2"/>
        <v>-10.376503496503492</v>
      </c>
      <c r="R63" s="12">
        <f t="shared" si="3"/>
        <v>-9.9265034965034928</v>
      </c>
      <c r="S63" s="12">
        <f t="shared" si="4"/>
        <v>16.293878570618368</v>
      </c>
      <c r="T63" s="12">
        <v>13</v>
      </c>
      <c r="W63" s="1"/>
      <c r="X63" s="5">
        <f t="shared" si="5"/>
        <v>286</v>
      </c>
      <c r="Y63" s="5"/>
      <c r="Z63" s="23"/>
      <c r="AA63" s="4" t="s">
        <v>345</v>
      </c>
      <c r="AB63" s="5" t="s">
        <v>343</v>
      </c>
      <c r="AC63" s="11">
        <v>170</v>
      </c>
      <c r="AD63" s="3">
        <f t="shared" si="12"/>
        <v>16.656670330278438</v>
      </c>
      <c r="AE63" s="3">
        <v>34</v>
      </c>
      <c r="AF63" s="57">
        <f t="shared" si="6"/>
        <v>4.1295075008635315E-2</v>
      </c>
      <c r="AG63" s="12">
        <f t="shared" si="7"/>
        <v>403.35730899617738</v>
      </c>
    </row>
    <row r="64" spans="1:33" ht="13.2" customHeight="1" x14ac:dyDescent="0.25">
      <c r="A64" s="76">
        <v>19645</v>
      </c>
      <c r="B64" s="3">
        <v>18.3</v>
      </c>
      <c r="C64" s="8">
        <f t="shared" si="0"/>
        <v>0.10000000000000142</v>
      </c>
      <c r="D64" s="8">
        <f t="shared" si="1"/>
        <v>0.19999999999999929</v>
      </c>
      <c r="E64" s="3">
        <v>18.2</v>
      </c>
      <c r="F64" s="3">
        <v>18.5</v>
      </c>
      <c r="G64" s="25" t="s">
        <v>211</v>
      </c>
      <c r="H64" s="4" t="s">
        <v>138</v>
      </c>
      <c r="I64" s="4" t="s">
        <v>137</v>
      </c>
      <c r="J64" s="11" t="s">
        <v>4</v>
      </c>
      <c r="K64" s="11" t="s">
        <v>0</v>
      </c>
      <c r="L64" s="5">
        <v>-29</v>
      </c>
      <c r="M64" s="4" t="s">
        <v>134</v>
      </c>
      <c r="N64" s="5">
        <f t="shared" si="8"/>
        <v>-25.5</v>
      </c>
      <c r="O64" s="5">
        <v>1.5</v>
      </c>
      <c r="P64" s="4" t="s">
        <v>295</v>
      </c>
      <c r="Q64" s="12">
        <f t="shared" si="2"/>
        <v>-10.436917688266195</v>
      </c>
      <c r="R64" s="12">
        <f t="shared" si="3"/>
        <v>-9.9369176882661954</v>
      </c>
      <c r="S64" s="12">
        <f t="shared" si="4"/>
        <v>15.970325614913961</v>
      </c>
      <c r="T64" s="12">
        <v>12.5</v>
      </c>
      <c r="W64" s="1"/>
      <c r="X64" s="5">
        <f t="shared" si="5"/>
        <v>285.5</v>
      </c>
      <c r="Y64" s="5"/>
      <c r="Z64" s="23"/>
      <c r="AA64" s="4" t="s">
        <v>345</v>
      </c>
      <c r="AB64" s="5" t="s">
        <v>343</v>
      </c>
      <c r="AC64" s="11">
        <v>170</v>
      </c>
      <c r="AD64" s="3">
        <f t="shared" si="12"/>
        <v>16.144848718283601</v>
      </c>
      <c r="AE64" s="3">
        <v>34</v>
      </c>
      <c r="AF64" s="57">
        <f t="shared" si="6"/>
        <v>4.1956875909107724E-2</v>
      </c>
      <c r="AG64" s="12">
        <f t="shared" si="7"/>
        <v>384.79625492752626</v>
      </c>
    </row>
    <row r="65" spans="1:33" ht="13.2" customHeight="1" x14ac:dyDescent="0.25">
      <c r="A65" s="76">
        <v>19646</v>
      </c>
      <c r="B65" s="3">
        <v>18.600000000000001</v>
      </c>
      <c r="C65" s="8">
        <f t="shared" si="0"/>
        <v>0.10000000000000142</v>
      </c>
      <c r="D65" s="8">
        <f t="shared" si="1"/>
        <v>0.14999999999999858</v>
      </c>
      <c r="E65" s="3">
        <v>18.5</v>
      </c>
      <c r="F65" s="3">
        <v>18.75</v>
      </c>
      <c r="G65" s="25" t="s">
        <v>211</v>
      </c>
      <c r="H65" s="4" t="s">
        <v>138</v>
      </c>
      <c r="I65" s="4" t="s">
        <v>137</v>
      </c>
      <c r="J65" s="11" t="s">
        <v>4</v>
      </c>
      <c r="K65" s="11" t="s">
        <v>0</v>
      </c>
      <c r="L65" s="5">
        <v>-30.3</v>
      </c>
      <c r="M65" s="4" t="s">
        <v>134</v>
      </c>
      <c r="N65" s="5">
        <f t="shared" si="8"/>
        <v>-26.8</v>
      </c>
      <c r="O65" s="5">
        <v>1.5</v>
      </c>
      <c r="P65" s="4" t="s">
        <v>295</v>
      </c>
      <c r="Q65" s="12">
        <f t="shared" si="2"/>
        <v>-10.461142656852434</v>
      </c>
      <c r="R65" s="12">
        <f t="shared" si="3"/>
        <v>-9.9611426568524344</v>
      </c>
      <c r="S65" s="12">
        <f t="shared" si="4"/>
        <v>17.302566115030338</v>
      </c>
      <c r="T65" s="12">
        <v>12.3</v>
      </c>
      <c r="W65" s="1"/>
      <c r="X65" s="5">
        <f t="shared" si="5"/>
        <v>285.3</v>
      </c>
      <c r="Y65" s="5"/>
      <c r="Z65" s="23"/>
      <c r="AA65" s="4" t="s">
        <v>345</v>
      </c>
      <c r="AB65" s="5" t="s">
        <v>343</v>
      </c>
      <c r="AC65" s="11">
        <v>170</v>
      </c>
      <c r="AD65" s="3">
        <f t="shared" si="12"/>
        <v>18.483416366581551</v>
      </c>
      <c r="AE65" s="3">
        <v>34</v>
      </c>
      <c r="AF65" s="57">
        <f t="shared" si="6"/>
        <v>4.2226147034434482E-2</v>
      </c>
      <c r="AG65" s="12">
        <f t="shared" si="7"/>
        <v>437.72443532460437</v>
      </c>
    </row>
    <row r="66" spans="1:33" ht="13.2" customHeight="1" x14ac:dyDescent="0.25">
      <c r="A66" s="76">
        <v>19647</v>
      </c>
      <c r="B66" s="3">
        <v>18.75</v>
      </c>
      <c r="C66" s="8">
        <f t="shared" si="0"/>
        <v>0.14999999999999858</v>
      </c>
      <c r="D66" s="8">
        <f t="shared" si="1"/>
        <v>0.14999999999999858</v>
      </c>
      <c r="E66" s="3">
        <v>18.600000000000001</v>
      </c>
      <c r="F66" s="3">
        <v>18.899999999999999</v>
      </c>
      <c r="G66" s="25" t="s">
        <v>211</v>
      </c>
      <c r="H66" s="4" t="s">
        <v>138</v>
      </c>
      <c r="I66" s="4" t="s">
        <v>137</v>
      </c>
      <c r="J66" s="11" t="s">
        <v>4</v>
      </c>
      <c r="K66" s="11" t="s">
        <v>0</v>
      </c>
      <c r="L66" s="5">
        <v>-29.5</v>
      </c>
      <c r="M66" s="4" t="s">
        <v>134</v>
      </c>
      <c r="N66" s="5">
        <f t="shared" si="8"/>
        <v>-26</v>
      </c>
      <c r="O66" s="5">
        <v>1.5</v>
      </c>
      <c r="P66" s="4" t="s">
        <v>295</v>
      </c>
      <c r="Q66" s="12">
        <f t="shared" si="2"/>
        <v>-10.497543859649124</v>
      </c>
      <c r="R66" s="12">
        <f t="shared" si="3"/>
        <v>-9.9975438596491237</v>
      </c>
      <c r="S66" s="12">
        <f t="shared" si="4"/>
        <v>16.429626427465038</v>
      </c>
      <c r="T66" s="12">
        <v>12</v>
      </c>
      <c r="W66" s="1"/>
      <c r="X66" s="5">
        <f t="shared" si="5"/>
        <v>285</v>
      </c>
      <c r="Y66" s="5"/>
      <c r="Z66" s="23"/>
      <c r="AA66" s="4" t="s">
        <v>345</v>
      </c>
      <c r="AB66" s="5" t="s">
        <v>343</v>
      </c>
      <c r="AC66" s="11">
        <v>170</v>
      </c>
      <c r="AD66" s="3">
        <f t="shared" si="12"/>
        <v>16.881200957990558</v>
      </c>
      <c r="AE66" s="3">
        <v>34</v>
      </c>
      <c r="AF66" s="57">
        <f t="shared" si="6"/>
        <v>4.2635024720750953E-2</v>
      </c>
      <c r="AG66" s="12">
        <f t="shared" si="7"/>
        <v>395.94678479860914</v>
      </c>
    </row>
    <row r="67" spans="1:33" ht="13.2" customHeight="1" x14ac:dyDescent="0.25">
      <c r="A67" s="76">
        <v>19648</v>
      </c>
      <c r="B67" s="3">
        <v>18.899999999999999</v>
      </c>
      <c r="C67" s="8">
        <f t="shared" ref="C67:C130" si="13">ABS(B67-E67)</f>
        <v>0.19999999999999929</v>
      </c>
      <c r="D67" s="8">
        <f t="shared" ref="D67:D130" si="14">ABS(F67-B67)</f>
        <v>0.10000000000000142</v>
      </c>
      <c r="E67" s="3">
        <v>18.7</v>
      </c>
      <c r="F67" s="3">
        <v>19</v>
      </c>
      <c r="G67" s="25" t="s">
        <v>211</v>
      </c>
      <c r="H67" s="4" t="s">
        <v>138</v>
      </c>
      <c r="I67" s="4" t="s">
        <v>137</v>
      </c>
      <c r="J67" s="11" t="s">
        <v>4</v>
      </c>
      <c r="K67" s="11" t="s">
        <v>0</v>
      </c>
      <c r="L67" s="5">
        <v>-30</v>
      </c>
      <c r="M67" s="4" t="s">
        <v>134</v>
      </c>
      <c r="N67" s="5">
        <f t="shared" si="8"/>
        <v>-26.5</v>
      </c>
      <c r="O67" s="5">
        <v>1.5</v>
      </c>
      <c r="P67" s="4" t="s">
        <v>295</v>
      </c>
      <c r="Q67" s="12">
        <f t="shared" ref="Q67:Q130" si="15">24.12-9866/X67</f>
        <v>-10.136944444444442</v>
      </c>
      <c r="R67" s="12">
        <f t="shared" ref="R67:R130" si="16">O67-1+Q67</f>
        <v>-9.6369444444444419</v>
      </c>
      <c r="S67" s="12">
        <f t="shared" ref="S67:S130" si="17">1000*((R67+1000)/(N67+1000)-1)</f>
        <v>17.322090966158665</v>
      </c>
      <c r="T67" s="12">
        <v>15</v>
      </c>
      <c r="W67" s="1"/>
      <c r="X67" s="5">
        <f t="shared" ref="X67:X130" si="18">T67+273</f>
        <v>288</v>
      </c>
      <c r="Y67" s="5"/>
      <c r="Z67" s="23"/>
      <c r="AA67" s="4" t="s">
        <v>345</v>
      </c>
      <c r="AB67" s="5" t="s">
        <v>343</v>
      </c>
      <c r="AC67" s="11">
        <v>170</v>
      </c>
      <c r="AD67" s="3">
        <f t="shared" si="12"/>
        <v>18.522737518226194</v>
      </c>
      <c r="AE67" s="3">
        <v>34</v>
      </c>
      <c r="AF67" s="57">
        <f t="shared" ref="AF67:AF130" si="19">EXP($AJ$4+$AJ$5*(100/X67)+$AJ$6*LN(X67/100)+AE67*($AM$4+$AM$5*(X67/100)+$AM$6*(X67/100)^2))</f>
        <v>3.8802250054332382E-2</v>
      </c>
      <c r="AG67" s="12">
        <f t="shared" ref="AG67:AG130" si="20">AD67/AF67</f>
        <v>477.36245945247902</v>
      </c>
    </row>
    <row r="68" spans="1:33" ht="13.2" customHeight="1" x14ac:dyDescent="0.25">
      <c r="A68" s="76">
        <v>19649</v>
      </c>
      <c r="B68" s="3">
        <v>19.2</v>
      </c>
      <c r="C68" s="8">
        <f t="shared" si="13"/>
        <v>0.19999999999999929</v>
      </c>
      <c r="D68" s="8">
        <f t="shared" si="14"/>
        <v>0</v>
      </c>
      <c r="E68" s="3">
        <v>19</v>
      </c>
      <c r="F68" s="3">
        <v>19.2</v>
      </c>
      <c r="G68" s="25" t="s">
        <v>211</v>
      </c>
      <c r="H68" s="4" t="s">
        <v>138</v>
      </c>
      <c r="I68" s="4" t="s">
        <v>137</v>
      </c>
      <c r="J68" s="11" t="s">
        <v>4</v>
      </c>
      <c r="K68" s="11" t="s">
        <v>0</v>
      </c>
      <c r="L68" s="5">
        <v>-30.3</v>
      </c>
      <c r="M68" s="4" t="s">
        <v>134</v>
      </c>
      <c r="N68" s="5">
        <f t="shared" ref="N68:N131" si="21">L68+3.5</f>
        <v>-26.8</v>
      </c>
      <c r="O68" s="5">
        <v>1.5</v>
      </c>
      <c r="P68" s="4" t="s">
        <v>295</v>
      </c>
      <c r="Q68" s="12">
        <f t="shared" si="15"/>
        <v>-10.136944444444442</v>
      </c>
      <c r="R68" s="12">
        <f t="shared" si="16"/>
        <v>-9.6369444444444419</v>
      </c>
      <c r="S68" s="12">
        <f t="shared" si="17"/>
        <v>17.635692103941114</v>
      </c>
      <c r="T68" s="12">
        <v>15</v>
      </c>
      <c r="W68" s="1"/>
      <c r="X68" s="5">
        <f t="shared" si="18"/>
        <v>288</v>
      </c>
      <c r="Y68" s="5"/>
      <c r="Z68" s="23"/>
      <c r="AA68" s="4" t="s">
        <v>345</v>
      </c>
      <c r="AB68" s="5" t="s">
        <v>343</v>
      </c>
      <c r="AC68" s="11">
        <v>170</v>
      </c>
      <c r="AD68" s="3">
        <f t="shared" si="12"/>
        <v>19.178034201134057</v>
      </c>
      <c r="AE68" s="3">
        <v>34</v>
      </c>
      <c r="AF68" s="57">
        <f t="shared" si="19"/>
        <v>3.8802250054332382E-2</v>
      </c>
      <c r="AG68" s="12">
        <f t="shared" si="20"/>
        <v>494.25056985819754</v>
      </c>
    </row>
    <row r="69" spans="1:33" ht="13.2" customHeight="1" x14ac:dyDescent="0.25">
      <c r="A69" s="76">
        <v>19650</v>
      </c>
      <c r="B69" s="3">
        <v>19.2</v>
      </c>
      <c r="C69" s="8">
        <f t="shared" si="13"/>
        <v>0.19999999999999929</v>
      </c>
      <c r="D69" s="8">
        <f t="shared" si="14"/>
        <v>0.10000000000000142</v>
      </c>
      <c r="E69" s="3">
        <v>19</v>
      </c>
      <c r="F69" s="3">
        <v>19.3</v>
      </c>
      <c r="G69" s="25" t="s">
        <v>211</v>
      </c>
      <c r="H69" s="4" t="s">
        <v>136</v>
      </c>
      <c r="I69" s="4" t="s">
        <v>135</v>
      </c>
      <c r="J69" s="11" t="s">
        <v>4</v>
      </c>
      <c r="K69" s="11" t="s">
        <v>0</v>
      </c>
      <c r="L69" s="5">
        <v>-29.7</v>
      </c>
      <c r="M69" s="4" t="s">
        <v>134</v>
      </c>
      <c r="N69" s="5">
        <f t="shared" si="21"/>
        <v>-26.2</v>
      </c>
      <c r="O69" s="5">
        <v>1.75</v>
      </c>
      <c r="P69" s="4" t="s">
        <v>295</v>
      </c>
      <c r="Q69" s="12">
        <f t="shared" si="15"/>
        <v>-9.3808488964346317</v>
      </c>
      <c r="R69" s="12">
        <f t="shared" si="16"/>
        <v>-8.6308488964346317</v>
      </c>
      <c r="S69" s="12">
        <f t="shared" si="17"/>
        <v>18.041847508282416</v>
      </c>
      <c r="T69" s="12">
        <v>21.5</v>
      </c>
      <c r="W69" s="1"/>
      <c r="X69" s="5">
        <f t="shared" si="18"/>
        <v>294.5</v>
      </c>
      <c r="Y69" s="5"/>
      <c r="Z69" s="23"/>
      <c r="AA69" s="4" t="s">
        <v>346</v>
      </c>
      <c r="AB69" s="5" t="s">
        <v>344</v>
      </c>
      <c r="AC69" s="11">
        <v>170</v>
      </c>
      <c r="AD69" s="3">
        <f t="shared" si="12"/>
        <v>20.098951888898654</v>
      </c>
      <c r="AE69" s="3">
        <v>34</v>
      </c>
      <c r="AF69" s="57">
        <f t="shared" si="19"/>
        <v>3.2147419213494843E-2</v>
      </c>
      <c r="AG69" s="12">
        <f t="shared" si="20"/>
        <v>625.21198841558999</v>
      </c>
    </row>
    <row r="70" spans="1:33" ht="13.2" customHeight="1" x14ac:dyDescent="0.25">
      <c r="A70" s="76">
        <v>19651</v>
      </c>
      <c r="B70" s="3">
        <v>19.399999999999999</v>
      </c>
      <c r="C70" s="8">
        <f t="shared" si="13"/>
        <v>0.19999999999999929</v>
      </c>
      <c r="D70" s="8">
        <f t="shared" si="14"/>
        <v>0.10000000000000142</v>
      </c>
      <c r="E70" s="3">
        <v>19.2</v>
      </c>
      <c r="F70" s="3">
        <v>19.5</v>
      </c>
      <c r="G70" s="25" t="s">
        <v>211</v>
      </c>
      <c r="H70" s="4" t="s">
        <v>136</v>
      </c>
      <c r="I70" s="4" t="s">
        <v>135</v>
      </c>
      <c r="J70" s="11" t="s">
        <v>4</v>
      </c>
      <c r="K70" s="11" t="s">
        <v>0</v>
      </c>
      <c r="L70" s="5">
        <v>-29.8</v>
      </c>
      <c r="M70" s="4" t="s">
        <v>134</v>
      </c>
      <c r="N70" s="5">
        <f t="shared" si="21"/>
        <v>-26.3</v>
      </c>
      <c r="O70" s="5">
        <v>1.75</v>
      </c>
      <c r="P70" s="4" t="s">
        <v>295</v>
      </c>
      <c r="Q70" s="12">
        <f t="shared" si="15"/>
        <v>-9.3808488964346317</v>
      </c>
      <c r="R70" s="12">
        <f t="shared" si="16"/>
        <v>-8.6308488964346317</v>
      </c>
      <c r="S70" s="12">
        <f t="shared" si="17"/>
        <v>18.146401462016293</v>
      </c>
      <c r="T70" s="12">
        <v>21.5</v>
      </c>
      <c r="W70" s="1"/>
      <c r="X70" s="5">
        <f t="shared" si="18"/>
        <v>294.5</v>
      </c>
      <c r="Y70" s="5"/>
      <c r="Z70" s="23"/>
      <c r="AA70" s="4" t="s">
        <v>346</v>
      </c>
      <c r="AB70" s="5" t="s">
        <v>344</v>
      </c>
      <c r="AC70" s="11">
        <v>170</v>
      </c>
      <c r="AD70" s="3">
        <f t="shared" si="12"/>
        <v>20.350511127271936</v>
      </c>
      <c r="AE70" s="3">
        <v>34</v>
      </c>
      <c r="AF70" s="57">
        <f t="shared" si="19"/>
        <v>3.2147419213494843E-2</v>
      </c>
      <c r="AG70" s="12">
        <f t="shared" si="20"/>
        <v>633.03716519580519</v>
      </c>
    </row>
    <row r="71" spans="1:33" ht="13.2" customHeight="1" x14ac:dyDescent="0.25">
      <c r="A71" s="76">
        <v>19652</v>
      </c>
      <c r="B71" s="3">
        <v>19.600000000000001</v>
      </c>
      <c r="C71" s="8">
        <f t="shared" si="13"/>
        <v>0.10000000000000142</v>
      </c>
      <c r="D71" s="8">
        <f t="shared" si="14"/>
        <v>9.9999999999997868E-2</v>
      </c>
      <c r="E71" s="3">
        <v>19.5</v>
      </c>
      <c r="F71" s="3">
        <v>19.7</v>
      </c>
      <c r="G71" s="25" t="s">
        <v>211</v>
      </c>
      <c r="H71" s="4" t="s">
        <v>136</v>
      </c>
      <c r="I71" s="4" t="s">
        <v>135</v>
      </c>
      <c r="J71" s="11" t="s">
        <v>4</v>
      </c>
      <c r="K71" s="11" t="s">
        <v>0</v>
      </c>
      <c r="L71" s="5">
        <v>-29.1</v>
      </c>
      <c r="M71" s="4" t="s">
        <v>134</v>
      </c>
      <c r="N71" s="5">
        <f t="shared" si="21"/>
        <v>-25.6</v>
      </c>
      <c r="O71" s="5">
        <v>1.6</v>
      </c>
      <c r="P71" s="4" t="s">
        <v>295</v>
      </c>
      <c r="Q71" s="12">
        <f t="shared" si="15"/>
        <v>-9.3808488964346317</v>
      </c>
      <c r="R71" s="12">
        <f t="shared" si="16"/>
        <v>-8.7808488964346321</v>
      </c>
      <c r="S71" s="12">
        <f t="shared" si="17"/>
        <v>17.261033562772312</v>
      </c>
      <c r="T71" s="12">
        <v>21.5</v>
      </c>
      <c r="W71" s="1"/>
      <c r="X71" s="5">
        <f t="shared" si="18"/>
        <v>294.5</v>
      </c>
      <c r="Y71" s="5"/>
      <c r="Z71" s="23"/>
      <c r="AA71" s="4" t="s">
        <v>346</v>
      </c>
      <c r="AB71" s="5" t="s">
        <v>344</v>
      </c>
      <c r="AC71" s="11">
        <v>170</v>
      </c>
      <c r="AD71" s="3">
        <f t="shared" si="12"/>
        <v>18.400326611751545</v>
      </c>
      <c r="AE71" s="3">
        <v>34</v>
      </c>
      <c r="AF71" s="57">
        <f t="shared" si="19"/>
        <v>3.2147419213494843E-2</v>
      </c>
      <c r="AG71" s="12">
        <f t="shared" si="20"/>
        <v>572.37336812491174</v>
      </c>
    </row>
    <row r="72" spans="1:33" ht="13.2" customHeight="1" x14ac:dyDescent="0.25">
      <c r="A72" s="76">
        <v>19653</v>
      </c>
      <c r="B72" s="3">
        <v>20.25</v>
      </c>
      <c r="C72" s="8">
        <f t="shared" si="13"/>
        <v>5.0000000000000711E-2</v>
      </c>
      <c r="D72" s="8">
        <f t="shared" si="14"/>
        <v>5.0000000000000711E-2</v>
      </c>
      <c r="E72" s="3">
        <v>20.2</v>
      </c>
      <c r="F72" s="3">
        <v>20.3</v>
      </c>
      <c r="G72" s="25" t="s">
        <v>211</v>
      </c>
      <c r="H72" s="4" t="s">
        <v>136</v>
      </c>
      <c r="I72" s="4" t="s">
        <v>135</v>
      </c>
      <c r="J72" s="11" t="s">
        <v>4</v>
      </c>
      <c r="K72" s="11" t="s">
        <v>0</v>
      </c>
      <c r="L72" s="5">
        <v>-29.8</v>
      </c>
      <c r="M72" s="4" t="s">
        <v>134</v>
      </c>
      <c r="N72" s="5">
        <f t="shared" si="21"/>
        <v>-26.3</v>
      </c>
      <c r="O72" s="5">
        <v>1.7</v>
      </c>
      <c r="P72" s="4" t="s">
        <v>295</v>
      </c>
      <c r="Q72" s="12">
        <f t="shared" si="15"/>
        <v>-9.3808488964346317</v>
      </c>
      <c r="R72" s="12">
        <f t="shared" si="16"/>
        <v>-8.6808488964346324</v>
      </c>
      <c r="S72" s="12">
        <f t="shared" si="17"/>
        <v>18.095050943376158</v>
      </c>
      <c r="T72" s="12">
        <v>21.5</v>
      </c>
      <c r="W72" s="1"/>
      <c r="X72" s="5">
        <f t="shared" si="18"/>
        <v>294.5</v>
      </c>
      <c r="Y72" s="5"/>
      <c r="Z72" s="23"/>
      <c r="AA72" s="4" t="s">
        <v>346</v>
      </c>
      <c r="AB72" s="5" t="s">
        <v>344</v>
      </c>
      <c r="AC72" s="11">
        <v>170</v>
      </c>
      <c r="AD72" s="3">
        <f t="shared" si="12"/>
        <v>20.226178511578841</v>
      </c>
      <c r="AE72" s="3">
        <v>34</v>
      </c>
      <c r="AF72" s="57">
        <f t="shared" si="19"/>
        <v>3.2147419213494843E-2</v>
      </c>
      <c r="AG72" s="12">
        <f t="shared" si="20"/>
        <v>629.16958830363262</v>
      </c>
    </row>
    <row r="73" spans="1:33" x14ac:dyDescent="0.25">
      <c r="A73" s="76">
        <v>19654</v>
      </c>
      <c r="B73" s="3">
        <v>20.45</v>
      </c>
      <c r="C73" s="8">
        <f t="shared" si="13"/>
        <v>5.0000000000000711E-2</v>
      </c>
      <c r="D73" s="8">
        <f t="shared" si="14"/>
        <v>5.0000000000000711E-2</v>
      </c>
      <c r="E73" s="3">
        <v>20.399999999999999</v>
      </c>
      <c r="F73" s="3">
        <v>20.5</v>
      </c>
      <c r="G73" s="25" t="s">
        <v>211</v>
      </c>
      <c r="H73" s="4" t="s">
        <v>136</v>
      </c>
      <c r="I73" s="4" t="s">
        <v>135</v>
      </c>
      <c r="J73" s="11" t="s">
        <v>4</v>
      </c>
      <c r="K73" s="11" t="s">
        <v>0</v>
      </c>
      <c r="L73" s="5">
        <v>-29.5</v>
      </c>
      <c r="M73" s="4" t="s">
        <v>134</v>
      </c>
      <c r="N73" s="5">
        <f t="shared" si="21"/>
        <v>-26</v>
      </c>
      <c r="O73" s="5">
        <v>1.7</v>
      </c>
      <c r="P73" s="4" t="s">
        <v>295</v>
      </c>
      <c r="Q73" s="12">
        <f t="shared" si="15"/>
        <v>-9.3808488964346317</v>
      </c>
      <c r="R73" s="12">
        <f t="shared" si="16"/>
        <v>-8.6808488964346324</v>
      </c>
      <c r="S73" s="12">
        <f t="shared" si="17"/>
        <v>17.781469305508502</v>
      </c>
      <c r="T73" s="12">
        <v>21.5</v>
      </c>
      <c r="W73" s="1"/>
      <c r="X73" s="5">
        <f t="shared" si="18"/>
        <v>294.5</v>
      </c>
      <c r="Y73" s="5"/>
      <c r="Z73" s="23"/>
      <c r="AA73" s="4" t="s">
        <v>346</v>
      </c>
      <c r="AB73" s="5" t="s">
        <v>344</v>
      </c>
      <c r="AC73" s="11">
        <v>170</v>
      </c>
      <c r="AD73" s="3">
        <f t="shared" si="12"/>
        <v>19.49869834230309</v>
      </c>
      <c r="AE73" s="3">
        <v>34</v>
      </c>
      <c r="AF73" s="57">
        <f t="shared" si="19"/>
        <v>3.2147419213494843E-2</v>
      </c>
      <c r="AG73" s="12">
        <f t="shared" si="20"/>
        <v>606.54008375633236</v>
      </c>
    </row>
    <row r="74" spans="1:33" x14ac:dyDescent="0.25">
      <c r="A74" s="76">
        <v>19655</v>
      </c>
      <c r="B74" s="3">
        <v>20.8</v>
      </c>
      <c r="C74" s="8">
        <f t="shared" si="13"/>
        <v>5.0000000000000711E-2</v>
      </c>
      <c r="D74" s="8">
        <f t="shared" si="14"/>
        <v>9.9999999999997868E-2</v>
      </c>
      <c r="E74" s="3">
        <v>20.75</v>
      </c>
      <c r="F74" s="3">
        <v>20.9</v>
      </c>
      <c r="G74" s="25" t="s">
        <v>211</v>
      </c>
      <c r="H74" s="4" t="s">
        <v>136</v>
      </c>
      <c r="I74" s="4" t="s">
        <v>135</v>
      </c>
      <c r="J74" s="11" t="s">
        <v>4</v>
      </c>
      <c r="K74" s="11" t="s">
        <v>0</v>
      </c>
      <c r="L74" s="5">
        <v>-29.4</v>
      </c>
      <c r="M74" s="4" t="s">
        <v>134</v>
      </c>
      <c r="N74" s="5">
        <f t="shared" si="21"/>
        <v>-25.9</v>
      </c>
      <c r="O74" s="5">
        <v>2</v>
      </c>
      <c r="P74" s="4" t="s">
        <v>295</v>
      </c>
      <c r="Q74" s="12">
        <f t="shared" si="15"/>
        <v>-9.3808488964346317</v>
      </c>
      <c r="R74" s="12">
        <f t="shared" si="16"/>
        <v>-8.3808488964346317</v>
      </c>
      <c r="S74" s="12">
        <f t="shared" si="17"/>
        <v>17.984961609244898</v>
      </c>
      <c r="T74" s="12">
        <v>21.5</v>
      </c>
      <c r="W74" s="1"/>
      <c r="X74" s="5">
        <f t="shared" si="18"/>
        <v>294.5</v>
      </c>
      <c r="Y74" s="5"/>
      <c r="Z74" s="23"/>
      <c r="AA74" s="4" t="s">
        <v>346</v>
      </c>
      <c r="AB74" s="5" t="s">
        <v>344</v>
      </c>
      <c r="AC74" s="11">
        <v>170</v>
      </c>
      <c r="AD74" s="3">
        <f t="shared" si="12"/>
        <v>19.964678043562483</v>
      </c>
      <c r="AE74" s="3">
        <v>34</v>
      </c>
      <c r="AF74" s="57">
        <f t="shared" si="19"/>
        <v>3.2147419213494843E-2</v>
      </c>
      <c r="AG74" s="12">
        <f t="shared" si="20"/>
        <v>621.03517271401086</v>
      </c>
    </row>
    <row r="75" spans="1:33" x14ac:dyDescent="0.25">
      <c r="A75" s="76">
        <v>19656</v>
      </c>
      <c r="B75" s="3">
        <v>21.5</v>
      </c>
      <c r="C75" s="8">
        <f t="shared" si="13"/>
        <v>1.1000000000000014</v>
      </c>
      <c r="D75" s="8">
        <f t="shared" si="14"/>
        <v>0.89999999999999858</v>
      </c>
      <c r="E75" s="3">
        <v>20.399999999999999</v>
      </c>
      <c r="F75" s="3">
        <v>20.6</v>
      </c>
      <c r="G75" s="25" t="s">
        <v>211</v>
      </c>
      <c r="H75" s="4" t="s">
        <v>136</v>
      </c>
      <c r="I75" s="4" t="s">
        <v>135</v>
      </c>
      <c r="J75" s="11" t="s">
        <v>4</v>
      </c>
      <c r="K75" s="11" t="s">
        <v>0</v>
      </c>
      <c r="L75" s="5">
        <v>-30</v>
      </c>
      <c r="M75" s="4" t="s">
        <v>134</v>
      </c>
      <c r="N75" s="5">
        <f t="shared" si="21"/>
        <v>-26.5</v>
      </c>
      <c r="O75" s="5">
        <v>1.85</v>
      </c>
      <c r="P75" s="4" t="s">
        <v>295</v>
      </c>
      <c r="Q75" s="12">
        <f t="shared" si="15"/>
        <v>-9.3808488964346317</v>
      </c>
      <c r="R75" s="12">
        <f t="shared" si="16"/>
        <v>-8.5308488964346321</v>
      </c>
      <c r="S75" s="12">
        <f t="shared" si="17"/>
        <v>18.458295946138126</v>
      </c>
      <c r="T75" s="12">
        <v>21.5</v>
      </c>
      <c r="W75" s="1"/>
      <c r="X75" s="5">
        <f t="shared" si="18"/>
        <v>294.5</v>
      </c>
      <c r="Y75" s="5"/>
      <c r="Z75" s="23"/>
      <c r="AA75" s="4" t="s">
        <v>346</v>
      </c>
      <c r="AB75" s="5" t="s">
        <v>344</v>
      </c>
      <c r="AC75" s="11">
        <v>170</v>
      </c>
      <c r="AD75" s="3">
        <f t="shared" si="12"/>
        <v>21.139798090227004</v>
      </c>
      <c r="AE75" s="3">
        <v>34</v>
      </c>
      <c r="AF75" s="57">
        <f t="shared" si="19"/>
        <v>3.2147419213494843E-2</v>
      </c>
      <c r="AG75" s="12">
        <f t="shared" si="20"/>
        <v>657.58927489124665</v>
      </c>
    </row>
    <row r="76" spans="1:33" ht="13.2" customHeight="1" x14ac:dyDescent="0.25">
      <c r="A76" s="76">
        <v>19657</v>
      </c>
      <c r="B76" s="3">
        <v>24</v>
      </c>
      <c r="C76" s="8">
        <f t="shared" si="13"/>
        <v>0.96999999999999886</v>
      </c>
      <c r="D76" s="8">
        <f t="shared" si="14"/>
        <v>4.1000000000000014</v>
      </c>
      <c r="E76" s="3">
        <v>23.03</v>
      </c>
      <c r="F76" s="3">
        <v>28.1</v>
      </c>
      <c r="G76" s="4" t="s">
        <v>237</v>
      </c>
      <c r="H76" s="4" t="s">
        <v>126</v>
      </c>
      <c r="I76" s="4" t="s">
        <v>119</v>
      </c>
      <c r="J76" s="11" t="s">
        <v>4</v>
      </c>
      <c r="K76" s="11" t="s">
        <v>0</v>
      </c>
      <c r="L76" s="5">
        <v>-28.9</v>
      </c>
      <c r="M76" s="4" t="s">
        <v>118</v>
      </c>
      <c r="N76" s="5">
        <f t="shared" si="21"/>
        <v>-25.4</v>
      </c>
      <c r="O76" s="5">
        <v>2.25</v>
      </c>
      <c r="P76" s="4" t="s">
        <v>2</v>
      </c>
      <c r="Q76" s="12">
        <f t="shared" si="15"/>
        <v>-9.4812533206184817</v>
      </c>
      <c r="R76" s="12">
        <f t="shared" si="16"/>
        <v>-8.2312533206184817</v>
      </c>
      <c r="S76" s="12">
        <f t="shared" si="17"/>
        <v>17.61619811141135</v>
      </c>
      <c r="T76" s="12">
        <f t="shared" ref="T76:T91" si="22">U76+V76</f>
        <v>20.62</v>
      </c>
      <c r="U76" s="12">
        <v>14</v>
      </c>
      <c r="V76" s="12">
        <v>6.62</v>
      </c>
      <c r="W76" s="5" t="s">
        <v>341</v>
      </c>
      <c r="X76" s="5">
        <f t="shared" si="18"/>
        <v>293.62</v>
      </c>
      <c r="Y76" s="5"/>
      <c r="Z76" s="23"/>
      <c r="AA76" s="4" t="s">
        <v>367</v>
      </c>
      <c r="AB76" s="5" t="s">
        <v>368</v>
      </c>
      <c r="AC76" s="11">
        <v>170</v>
      </c>
      <c r="AD76" s="3">
        <f t="shared" si="12"/>
        <v>19.135951266356699</v>
      </c>
      <c r="AE76" s="3">
        <v>34</v>
      </c>
      <c r="AF76" s="57">
        <f t="shared" si="19"/>
        <v>3.2936065529779235E-2</v>
      </c>
      <c r="AG76" s="12">
        <f t="shared" si="20"/>
        <v>581.00295097648734</v>
      </c>
    </row>
    <row r="77" spans="1:33" ht="13.5" customHeight="1" x14ac:dyDescent="0.25">
      <c r="A77" s="76">
        <v>19658</v>
      </c>
      <c r="B77" s="3">
        <v>24</v>
      </c>
      <c r="C77" s="8">
        <f t="shared" si="13"/>
        <v>0.96999999999999886</v>
      </c>
      <c r="D77" s="8">
        <f t="shared" si="14"/>
        <v>4.1000000000000014</v>
      </c>
      <c r="E77" s="3">
        <v>23.03</v>
      </c>
      <c r="F77" s="3">
        <v>28.1</v>
      </c>
      <c r="G77" s="4" t="s">
        <v>237</v>
      </c>
      <c r="H77" s="4" t="s">
        <v>127</v>
      </c>
      <c r="I77" s="4" t="s">
        <v>119</v>
      </c>
      <c r="J77" s="11" t="s">
        <v>4</v>
      </c>
      <c r="K77" s="11" t="s">
        <v>0</v>
      </c>
      <c r="L77" s="5">
        <v>-29.8</v>
      </c>
      <c r="M77" s="4" t="s">
        <v>118</v>
      </c>
      <c r="N77" s="5">
        <f t="shared" si="21"/>
        <v>-26.3</v>
      </c>
      <c r="O77" s="5">
        <v>2.25</v>
      </c>
      <c r="P77" s="4" t="s">
        <v>2</v>
      </c>
      <c r="Q77" s="12">
        <f t="shared" si="15"/>
        <v>-9.4812533206184817</v>
      </c>
      <c r="R77" s="12">
        <f t="shared" si="16"/>
        <v>-8.2312533206184817</v>
      </c>
      <c r="S77" s="12">
        <f t="shared" si="17"/>
        <v>18.556790263306368</v>
      </c>
      <c r="T77" s="12">
        <f t="shared" si="22"/>
        <v>20.62</v>
      </c>
      <c r="U77" s="12">
        <v>14</v>
      </c>
      <c r="V77" s="12">
        <v>6.62</v>
      </c>
      <c r="W77" s="5" t="s">
        <v>341</v>
      </c>
      <c r="X77" s="5">
        <f t="shared" si="18"/>
        <v>293.62</v>
      </c>
      <c r="Y77" s="5"/>
      <c r="Z77" s="23"/>
      <c r="AA77" s="4" t="s">
        <v>367</v>
      </c>
      <c r="AB77" s="5" t="s">
        <v>368</v>
      </c>
      <c r="AC77" s="11">
        <v>170</v>
      </c>
      <c r="AD77" s="3">
        <f t="shared" si="12"/>
        <v>21.401927638229864</v>
      </c>
      <c r="AE77" s="3">
        <v>34</v>
      </c>
      <c r="AF77" s="57">
        <f t="shared" si="19"/>
        <v>3.2936065529779235E-2</v>
      </c>
      <c r="AG77" s="12">
        <f t="shared" si="20"/>
        <v>649.80219385582814</v>
      </c>
    </row>
    <row r="78" spans="1:33" ht="13.2" customHeight="1" x14ac:dyDescent="0.25">
      <c r="A78" s="76">
        <v>19659</v>
      </c>
      <c r="B78" s="3">
        <v>25</v>
      </c>
      <c r="C78" s="8">
        <f t="shared" si="13"/>
        <v>1.9699999999999989</v>
      </c>
      <c r="D78" s="8">
        <f t="shared" si="14"/>
        <v>3.1000000000000014</v>
      </c>
      <c r="E78" s="3">
        <v>23.03</v>
      </c>
      <c r="F78" s="3">
        <v>28.1</v>
      </c>
      <c r="G78" s="4" t="s">
        <v>237</v>
      </c>
      <c r="H78" s="4" t="s">
        <v>130</v>
      </c>
      <c r="I78" s="4" t="s">
        <v>119</v>
      </c>
      <c r="J78" s="11" t="s">
        <v>4</v>
      </c>
      <c r="K78" s="11" t="s">
        <v>0</v>
      </c>
      <c r="L78" s="5">
        <v>-30.2</v>
      </c>
      <c r="M78" s="4" t="s">
        <v>118</v>
      </c>
      <c r="N78" s="5">
        <f t="shared" si="21"/>
        <v>-26.7</v>
      </c>
      <c r="O78" s="5">
        <v>2.2000000000000002</v>
      </c>
      <c r="P78" s="4" t="s">
        <v>2</v>
      </c>
      <c r="Q78" s="12">
        <f t="shared" si="15"/>
        <v>-9.5719031519994537</v>
      </c>
      <c r="R78" s="12">
        <f t="shared" si="16"/>
        <v>-8.3719031519994545</v>
      </c>
      <c r="S78" s="12">
        <f t="shared" si="17"/>
        <v>18.830881380869748</v>
      </c>
      <c r="T78" s="12">
        <f t="shared" si="22"/>
        <v>19.829999999999998</v>
      </c>
      <c r="U78" s="12">
        <v>14</v>
      </c>
      <c r="V78" s="12">
        <v>5.83</v>
      </c>
      <c r="W78" s="5" t="s">
        <v>341</v>
      </c>
      <c r="X78" s="5">
        <f t="shared" si="18"/>
        <v>292.83</v>
      </c>
      <c r="Y78" s="5"/>
      <c r="Z78" s="23"/>
      <c r="AA78" s="4" t="s">
        <v>367</v>
      </c>
      <c r="AB78" s="5" t="s">
        <v>368</v>
      </c>
      <c r="AC78" s="11">
        <v>170</v>
      </c>
      <c r="AD78" s="3">
        <f t="shared" si="12"/>
        <v>22.166823652452457</v>
      </c>
      <c r="AE78" s="3">
        <v>34</v>
      </c>
      <c r="AF78" s="57">
        <f t="shared" si="19"/>
        <v>3.3671419267398778E-2</v>
      </c>
      <c r="AG78" s="12">
        <f t="shared" si="20"/>
        <v>658.32757082249691</v>
      </c>
    </row>
    <row r="79" spans="1:33" ht="13.2" customHeight="1" x14ac:dyDescent="0.25">
      <c r="A79" s="76">
        <v>19660</v>
      </c>
      <c r="B79" s="3">
        <v>25</v>
      </c>
      <c r="C79" s="8">
        <f t="shared" si="13"/>
        <v>1.9699999999999989</v>
      </c>
      <c r="D79" s="8">
        <f t="shared" si="14"/>
        <v>3.1000000000000014</v>
      </c>
      <c r="E79" s="3">
        <v>23.03</v>
      </c>
      <c r="F79" s="3">
        <v>28.1</v>
      </c>
      <c r="G79" s="4" t="s">
        <v>237</v>
      </c>
      <c r="H79" s="4" t="s">
        <v>131</v>
      </c>
      <c r="I79" s="4" t="s">
        <v>119</v>
      </c>
      <c r="J79" s="11" t="s">
        <v>4</v>
      </c>
      <c r="K79" s="11" t="s">
        <v>0</v>
      </c>
      <c r="L79" s="5">
        <v>-30.1</v>
      </c>
      <c r="M79" s="4" t="s">
        <v>118</v>
      </c>
      <c r="N79" s="5">
        <f t="shared" si="21"/>
        <v>-26.6</v>
      </c>
      <c r="O79" s="5">
        <v>2.2000000000000002</v>
      </c>
      <c r="P79" s="4" t="s">
        <v>2</v>
      </c>
      <c r="Q79" s="12">
        <f t="shared" si="15"/>
        <v>-9.5719031519994537</v>
      </c>
      <c r="R79" s="12">
        <f t="shared" si="16"/>
        <v>-8.3719031519994545</v>
      </c>
      <c r="S79" s="12">
        <f t="shared" si="17"/>
        <v>18.726214144237254</v>
      </c>
      <c r="T79" s="12">
        <f t="shared" si="22"/>
        <v>19.829999999999998</v>
      </c>
      <c r="U79" s="12">
        <v>14</v>
      </c>
      <c r="V79" s="12">
        <v>5.83</v>
      </c>
      <c r="W79" s="5" t="s">
        <v>341</v>
      </c>
      <c r="X79" s="5">
        <f t="shared" si="18"/>
        <v>292.83</v>
      </c>
      <c r="Y79" s="5"/>
      <c r="Z79" s="23"/>
      <c r="AA79" s="4" t="s">
        <v>367</v>
      </c>
      <c r="AB79" s="5" t="s">
        <v>368</v>
      </c>
      <c r="AC79" s="11">
        <v>170</v>
      </c>
      <c r="AD79" s="3">
        <f t="shared" si="12"/>
        <v>21.86836673330513</v>
      </c>
      <c r="AE79" s="3">
        <v>34</v>
      </c>
      <c r="AF79" s="57">
        <f t="shared" si="19"/>
        <v>3.3671419267398778E-2</v>
      </c>
      <c r="AG79" s="12">
        <f t="shared" si="20"/>
        <v>649.46376508929768</v>
      </c>
    </row>
    <row r="80" spans="1:33" ht="13.5" customHeight="1" x14ac:dyDescent="0.25">
      <c r="A80" s="76">
        <v>19661</v>
      </c>
      <c r="B80" s="3">
        <v>27</v>
      </c>
      <c r="C80" s="8">
        <f t="shared" si="13"/>
        <v>3.9699999999999989</v>
      </c>
      <c r="D80" s="8">
        <f t="shared" si="14"/>
        <v>1.1000000000000014</v>
      </c>
      <c r="E80" s="3">
        <v>23.03</v>
      </c>
      <c r="F80" s="3">
        <v>28.1</v>
      </c>
      <c r="G80" s="4" t="s">
        <v>237</v>
      </c>
      <c r="H80" s="4" t="s">
        <v>128</v>
      </c>
      <c r="I80" s="4" t="s">
        <v>119</v>
      </c>
      <c r="J80" s="11" t="s">
        <v>4</v>
      </c>
      <c r="K80" s="11" t="s">
        <v>0</v>
      </c>
      <c r="L80" s="5">
        <v>-31.8</v>
      </c>
      <c r="M80" s="4" t="s">
        <v>118</v>
      </c>
      <c r="N80" s="5">
        <f t="shared" si="21"/>
        <v>-28.3</v>
      </c>
      <c r="O80" s="5">
        <v>2.1</v>
      </c>
      <c r="P80" s="4" t="s">
        <v>2</v>
      </c>
      <c r="Q80" s="12">
        <f t="shared" si="15"/>
        <v>-9.7581677082617908</v>
      </c>
      <c r="R80" s="12">
        <f t="shared" si="16"/>
        <v>-8.6581677082617912</v>
      </c>
      <c r="S80" s="12">
        <f t="shared" si="17"/>
        <v>20.213885244147576</v>
      </c>
      <c r="T80" s="12">
        <f t="shared" si="22"/>
        <v>18.22</v>
      </c>
      <c r="U80" s="12">
        <v>14</v>
      </c>
      <c r="V80" s="12">
        <v>4.22</v>
      </c>
      <c r="W80" s="5" t="s">
        <v>341</v>
      </c>
      <c r="X80" s="5">
        <f t="shared" si="18"/>
        <v>291.22000000000003</v>
      </c>
      <c r="Y80" s="5"/>
      <c r="Z80" s="23"/>
      <c r="AA80" s="4" t="s">
        <v>367</v>
      </c>
      <c r="AB80" s="5" t="s">
        <v>368</v>
      </c>
      <c r="AC80" s="11">
        <v>170</v>
      </c>
      <c r="AD80" s="3">
        <f t="shared" si="12"/>
        <v>27.043731557991148</v>
      </c>
      <c r="AE80" s="3">
        <v>34</v>
      </c>
      <c r="AF80" s="57">
        <f t="shared" si="19"/>
        <v>3.5255093317660996E-2</v>
      </c>
      <c r="AG80" s="12">
        <f t="shared" si="20"/>
        <v>767.08722096740621</v>
      </c>
    </row>
    <row r="81" spans="1:33" ht="13.5" customHeight="1" x14ac:dyDescent="0.25">
      <c r="A81" s="76">
        <v>19662</v>
      </c>
      <c r="B81" s="3">
        <v>27</v>
      </c>
      <c r="C81" s="8">
        <f t="shared" si="13"/>
        <v>3.9699999999999989</v>
      </c>
      <c r="D81" s="8">
        <f t="shared" si="14"/>
        <v>1.1000000000000014</v>
      </c>
      <c r="E81" s="3">
        <v>23.03</v>
      </c>
      <c r="F81" s="3">
        <v>28.1</v>
      </c>
      <c r="G81" s="4" t="s">
        <v>237</v>
      </c>
      <c r="H81" s="4" t="s">
        <v>129</v>
      </c>
      <c r="I81" s="4" t="s">
        <v>119</v>
      </c>
      <c r="J81" s="11" t="s">
        <v>4</v>
      </c>
      <c r="K81" s="11" t="s">
        <v>0</v>
      </c>
      <c r="L81" s="5">
        <v>-31.2</v>
      </c>
      <c r="M81" s="4" t="s">
        <v>118</v>
      </c>
      <c r="N81" s="5">
        <f t="shared" si="21"/>
        <v>-27.7</v>
      </c>
      <c r="O81" s="5">
        <v>2.1</v>
      </c>
      <c r="P81" s="4" t="s">
        <v>2</v>
      </c>
      <c r="Q81" s="12">
        <f t="shared" si="15"/>
        <v>-9.7581677082617908</v>
      </c>
      <c r="R81" s="12">
        <f t="shared" si="16"/>
        <v>-8.6581677082617912</v>
      </c>
      <c r="S81" s="12">
        <f t="shared" si="17"/>
        <v>19.584317897499037</v>
      </c>
      <c r="T81" s="12">
        <f t="shared" si="22"/>
        <v>18.22</v>
      </c>
      <c r="U81" s="12">
        <v>14</v>
      </c>
      <c r="V81" s="12">
        <v>4.22</v>
      </c>
      <c r="W81" s="5" t="s">
        <v>341</v>
      </c>
      <c r="X81" s="5">
        <f t="shared" si="18"/>
        <v>291.22000000000003</v>
      </c>
      <c r="Y81" s="5"/>
      <c r="Z81" s="23"/>
      <c r="AA81" s="4" t="s">
        <v>367</v>
      </c>
      <c r="AB81" s="5" t="s">
        <v>368</v>
      </c>
      <c r="AC81" s="11">
        <v>170</v>
      </c>
      <c r="AD81" s="3">
        <f t="shared" si="12"/>
        <v>24.5818123910759</v>
      </c>
      <c r="AE81" s="3">
        <v>34</v>
      </c>
      <c r="AF81" s="57">
        <f t="shared" si="19"/>
        <v>3.5255093317660996E-2</v>
      </c>
      <c r="AG81" s="12">
        <f t="shared" si="20"/>
        <v>697.25563252903578</v>
      </c>
    </row>
    <row r="82" spans="1:33" ht="13.5" customHeight="1" x14ac:dyDescent="0.25">
      <c r="A82" s="76">
        <v>19663</v>
      </c>
      <c r="B82" s="24">
        <v>28</v>
      </c>
      <c r="C82" s="8">
        <f t="shared" si="13"/>
        <v>2</v>
      </c>
      <c r="D82" s="8">
        <f t="shared" si="14"/>
        <v>2</v>
      </c>
      <c r="E82" s="24">
        <v>26</v>
      </c>
      <c r="F82" s="24">
        <v>30</v>
      </c>
      <c r="G82" s="25" t="s">
        <v>543</v>
      </c>
      <c r="H82" s="26">
        <v>17035</v>
      </c>
      <c r="I82" s="25" t="s">
        <v>212</v>
      </c>
      <c r="J82" s="35" t="s">
        <v>1</v>
      </c>
      <c r="K82" s="35" t="s">
        <v>0</v>
      </c>
      <c r="L82" s="27">
        <v>-30.234000000000002</v>
      </c>
      <c r="M82" s="25" t="s">
        <v>293</v>
      </c>
      <c r="N82" s="5">
        <f t="shared" si="21"/>
        <v>-26.734000000000002</v>
      </c>
      <c r="O82" s="5">
        <v>2.2000000000000002</v>
      </c>
      <c r="P82" s="4" t="s">
        <v>2</v>
      </c>
      <c r="Q82" s="12">
        <f t="shared" si="15"/>
        <v>-9.3252015322553312</v>
      </c>
      <c r="R82" s="12">
        <f t="shared" si="16"/>
        <v>-8.1252015322553319</v>
      </c>
      <c r="S82" s="12">
        <f t="shared" si="17"/>
        <v>19.119951244310094</v>
      </c>
      <c r="T82" s="12">
        <f t="shared" si="22"/>
        <v>21.99</v>
      </c>
      <c r="U82" s="12">
        <v>18.29</v>
      </c>
      <c r="V82" s="12">
        <v>3.7</v>
      </c>
      <c r="W82" s="5" t="s">
        <v>341</v>
      </c>
      <c r="X82" s="5">
        <f t="shared" si="18"/>
        <v>294.99</v>
      </c>
      <c r="Y82" s="5"/>
      <c r="Z82" s="23"/>
      <c r="AA82" s="4" t="s">
        <v>259</v>
      </c>
      <c r="AB82" s="5" t="s">
        <v>169</v>
      </c>
      <c r="AC82" s="11">
        <v>170</v>
      </c>
      <c r="AD82" s="3">
        <f t="shared" si="12"/>
        <v>23.035078171933833</v>
      </c>
      <c r="AE82" s="3">
        <v>34</v>
      </c>
      <c r="AF82" s="57">
        <f t="shared" si="19"/>
        <v>3.1721682892435717E-2</v>
      </c>
      <c r="AG82" s="12">
        <f t="shared" si="20"/>
        <v>726.1619205400583</v>
      </c>
    </row>
    <row r="83" spans="1:33" ht="13.5" customHeight="1" x14ac:dyDescent="0.25">
      <c r="A83" s="76">
        <v>19664</v>
      </c>
      <c r="B83" s="24">
        <v>30</v>
      </c>
      <c r="C83" s="8">
        <f t="shared" si="13"/>
        <v>1.8999999999999986</v>
      </c>
      <c r="D83" s="8">
        <f t="shared" si="14"/>
        <v>3.8999999999999986</v>
      </c>
      <c r="E83" s="3">
        <v>28.1</v>
      </c>
      <c r="F83" s="24">
        <v>33.9</v>
      </c>
      <c r="G83" s="4" t="s">
        <v>236</v>
      </c>
      <c r="H83" s="4" t="s">
        <v>120</v>
      </c>
      <c r="I83" s="4" t="s">
        <v>119</v>
      </c>
      <c r="J83" s="11" t="s">
        <v>4</v>
      </c>
      <c r="K83" s="11" t="s">
        <v>0</v>
      </c>
      <c r="L83" s="5">
        <v>-32.299999999999997</v>
      </c>
      <c r="M83" s="4" t="s">
        <v>118</v>
      </c>
      <c r="N83" s="5">
        <f t="shared" si="21"/>
        <v>-28.799999999999997</v>
      </c>
      <c r="O83" s="5">
        <v>2.2000000000000002</v>
      </c>
      <c r="P83" s="4" t="s">
        <v>2</v>
      </c>
      <c r="Q83" s="12">
        <f t="shared" si="15"/>
        <v>-9.8047644591156065</v>
      </c>
      <c r="R83" s="12">
        <f t="shared" si="16"/>
        <v>-8.6047644591156072</v>
      </c>
      <c r="S83" s="12">
        <f t="shared" si="17"/>
        <v>20.794105787566242</v>
      </c>
      <c r="T83" s="12">
        <f t="shared" si="22"/>
        <v>17.82</v>
      </c>
      <c r="U83" s="12">
        <v>14</v>
      </c>
      <c r="V83" s="12">
        <v>3.82</v>
      </c>
      <c r="W83" s="5" t="s">
        <v>341</v>
      </c>
      <c r="X83" s="5">
        <f t="shared" si="18"/>
        <v>290.82</v>
      </c>
      <c r="Y83" s="5"/>
      <c r="Z83" s="23"/>
      <c r="AA83" s="4" t="s">
        <v>367</v>
      </c>
      <c r="AB83" s="5" t="s">
        <v>368</v>
      </c>
      <c r="AC83" s="11">
        <v>170</v>
      </c>
      <c r="AD83" s="3">
        <f t="shared" si="12"/>
        <v>29.793752507635293</v>
      </c>
      <c r="AE83" s="3">
        <v>34</v>
      </c>
      <c r="AF83" s="57">
        <f t="shared" si="19"/>
        <v>3.5667169820823214E-2</v>
      </c>
      <c r="AG83" s="12">
        <f t="shared" si="20"/>
        <v>835.32707129011112</v>
      </c>
    </row>
    <row r="84" spans="1:33" ht="13.5" customHeight="1" x14ac:dyDescent="0.25">
      <c r="A84" s="76">
        <v>19665</v>
      </c>
      <c r="B84" s="24">
        <v>30</v>
      </c>
      <c r="C84" s="8">
        <f t="shared" si="13"/>
        <v>1.8999999999999986</v>
      </c>
      <c r="D84" s="8">
        <f t="shared" si="14"/>
        <v>3.8999999999999986</v>
      </c>
      <c r="E84" s="3">
        <v>28.1</v>
      </c>
      <c r="F84" s="24">
        <v>33.9</v>
      </c>
      <c r="G84" s="4" t="s">
        <v>236</v>
      </c>
      <c r="H84" s="4" t="s">
        <v>121</v>
      </c>
      <c r="I84" s="4" t="s">
        <v>119</v>
      </c>
      <c r="J84" s="11" t="s">
        <v>4</v>
      </c>
      <c r="K84" s="11" t="s">
        <v>0</v>
      </c>
      <c r="L84" s="5">
        <v>-33</v>
      </c>
      <c r="M84" s="4" t="s">
        <v>118</v>
      </c>
      <c r="N84" s="5">
        <f t="shared" si="21"/>
        <v>-29.5</v>
      </c>
      <c r="O84" s="5">
        <v>2.2000000000000002</v>
      </c>
      <c r="P84" s="4" t="s">
        <v>2</v>
      </c>
      <c r="Q84" s="12">
        <f t="shared" si="15"/>
        <v>-9.8047644591156065</v>
      </c>
      <c r="R84" s="12">
        <f t="shared" si="16"/>
        <v>-8.6047644591156072</v>
      </c>
      <c r="S84" s="12">
        <f t="shared" si="17"/>
        <v>21.530381804105492</v>
      </c>
      <c r="T84" s="12">
        <f t="shared" si="22"/>
        <v>17.82</v>
      </c>
      <c r="U84" s="12">
        <v>14</v>
      </c>
      <c r="V84" s="12">
        <v>3.82</v>
      </c>
      <c r="W84" s="5" t="s">
        <v>341</v>
      </c>
      <c r="X84" s="5">
        <f t="shared" si="18"/>
        <v>290.82</v>
      </c>
      <c r="Y84" s="5"/>
      <c r="Z84" s="23"/>
      <c r="AA84" s="4" t="s">
        <v>367</v>
      </c>
      <c r="AB84" s="5" t="s">
        <v>368</v>
      </c>
      <c r="AC84" s="11">
        <v>170</v>
      </c>
      <c r="AD84" s="3">
        <f t="shared" si="12"/>
        <v>34.20785929599986</v>
      </c>
      <c r="AE84" s="3">
        <v>34</v>
      </c>
      <c r="AF84" s="57">
        <f t="shared" si="19"/>
        <v>3.5667169820823214E-2</v>
      </c>
      <c r="AG84" s="12">
        <f t="shared" si="20"/>
        <v>959.08532882888346</v>
      </c>
    </row>
    <row r="85" spans="1:33" ht="13.5" customHeight="1" x14ac:dyDescent="0.25">
      <c r="A85" s="76">
        <v>19666</v>
      </c>
      <c r="B85" s="24">
        <v>30</v>
      </c>
      <c r="C85" s="8">
        <f t="shared" si="13"/>
        <v>1.8999999999999986</v>
      </c>
      <c r="D85" s="8">
        <f t="shared" si="14"/>
        <v>3.8999999999999986</v>
      </c>
      <c r="E85" s="3">
        <v>28.1</v>
      </c>
      <c r="F85" s="24">
        <v>33.9</v>
      </c>
      <c r="G85" s="4" t="s">
        <v>236</v>
      </c>
      <c r="H85" s="4" t="s">
        <v>122</v>
      </c>
      <c r="I85" s="4" t="s">
        <v>119</v>
      </c>
      <c r="J85" s="11" t="s">
        <v>4</v>
      </c>
      <c r="K85" s="11" t="s">
        <v>0</v>
      </c>
      <c r="L85" s="5">
        <v>-32.9</v>
      </c>
      <c r="M85" s="4" t="s">
        <v>118</v>
      </c>
      <c r="N85" s="5">
        <f t="shared" si="21"/>
        <v>-29.4</v>
      </c>
      <c r="O85" s="5">
        <v>2.2000000000000002</v>
      </c>
      <c r="P85" s="4" t="s">
        <v>2</v>
      </c>
      <c r="Q85" s="12">
        <f t="shared" si="15"/>
        <v>-9.8047644591156065</v>
      </c>
      <c r="R85" s="12">
        <f t="shared" si="16"/>
        <v>-8.6047644591156072</v>
      </c>
      <c r="S85" s="12">
        <f t="shared" si="17"/>
        <v>21.425134495038467</v>
      </c>
      <c r="T85" s="12">
        <f t="shared" si="22"/>
        <v>17.82</v>
      </c>
      <c r="U85" s="12">
        <v>14</v>
      </c>
      <c r="V85" s="12">
        <v>3.82</v>
      </c>
      <c r="W85" s="5" t="s">
        <v>341</v>
      </c>
      <c r="X85" s="5">
        <f t="shared" si="18"/>
        <v>290.82</v>
      </c>
      <c r="Y85" s="5"/>
      <c r="Z85" s="23"/>
      <c r="AA85" s="4" t="s">
        <v>367</v>
      </c>
      <c r="AB85" s="5" t="s">
        <v>368</v>
      </c>
      <c r="AC85" s="11">
        <v>170</v>
      </c>
      <c r="AD85" s="3">
        <f t="shared" si="12"/>
        <v>33.49842470382643</v>
      </c>
      <c r="AE85" s="3">
        <v>34</v>
      </c>
      <c r="AF85" s="57">
        <f t="shared" si="19"/>
        <v>3.5667169820823214E-2</v>
      </c>
      <c r="AG85" s="12">
        <f t="shared" si="20"/>
        <v>939.19491992519613</v>
      </c>
    </row>
    <row r="86" spans="1:33" ht="13.2" customHeight="1" x14ac:dyDescent="0.25">
      <c r="A86" s="76">
        <v>19667</v>
      </c>
      <c r="B86" s="24">
        <v>31</v>
      </c>
      <c r="C86" s="8">
        <f t="shared" si="13"/>
        <v>2.8999999999999986</v>
      </c>
      <c r="D86" s="8">
        <f t="shared" si="14"/>
        <v>2.8999999999999986</v>
      </c>
      <c r="E86" s="24">
        <v>28.1</v>
      </c>
      <c r="F86" s="24">
        <v>33.9</v>
      </c>
      <c r="G86" s="25" t="s">
        <v>542</v>
      </c>
      <c r="H86" s="28">
        <v>16985</v>
      </c>
      <c r="I86" s="29" t="s">
        <v>212</v>
      </c>
      <c r="J86" s="34" t="s">
        <v>1</v>
      </c>
      <c r="K86" s="34" t="s">
        <v>0</v>
      </c>
      <c r="L86" s="30">
        <f>AVERAGE(-28.89,-28.89,-29.04)</f>
        <v>-28.939999999999998</v>
      </c>
      <c r="M86" s="25" t="s">
        <v>293</v>
      </c>
      <c r="N86" s="5">
        <f t="shared" si="21"/>
        <v>-25.439999999999998</v>
      </c>
      <c r="O86" s="5">
        <v>2.2000000000000002</v>
      </c>
      <c r="P86" s="4" t="s">
        <v>2</v>
      </c>
      <c r="Q86" s="12">
        <f t="shared" si="15"/>
        <v>-9.3070709808571941</v>
      </c>
      <c r="R86" s="12">
        <f t="shared" si="16"/>
        <v>-8.1070709808571948</v>
      </c>
      <c r="S86" s="12">
        <f t="shared" si="17"/>
        <v>17.785389323533572</v>
      </c>
      <c r="T86" s="12">
        <f t="shared" si="22"/>
        <v>22.15</v>
      </c>
      <c r="U86" s="12">
        <v>18.45</v>
      </c>
      <c r="V86" s="12">
        <v>3.7</v>
      </c>
      <c r="W86" s="5" t="s">
        <v>369</v>
      </c>
      <c r="X86" s="5">
        <f t="shared" si="18"/>
        <v>295.14999999999998</v>
      </c>
      <c r="Y86" s="5"/>
      <c r="Z86" s="23"/>
      <c r="AA86" s="4" t="s">
        <v>259</v>
      </c>
      <c r="AB86" s="5" t="s">
        <v>169</v>
      </c>
      <c r="AC86" s="11">
        <v>170</v>
      </c>
      <c r="AD86" s="3">
        <f t="shared" si="12"/>
        <v>19.507469273306771</v>
      </c>
      <c r="AE86" s="3">
        <v>34</v>
      </c>
      <c r="AF86" s="57">
        <f t="shared" si="19"/>
        <v>3.1584686533911041E-2</v>
      </c>
      <c r="AG86" s="12">
        <f t="shared" si="20"/>
        <v>617.62427980288771</v>
      </c>
    </row>
    <row r="87" spans="1:33" ht="13.5" customHeight="1" x14ac:dyDescent="0.25">
      <c r="A87" s="76">
        <v>19668</v>
      </c>
      <c r="B87" s="24">
        <v>31</v>
      </c>
      <c r="C87" s="8">
        <f t="shared" si="13"/>
        <v>2.8999999999999986</v>
      </c>
      <c r="D87" s="8">
        <f t="shared" si="14"/>
        <v>2.8999999999999986</v>
      </c>
      <c r="E87" s="3">
        <v>28.1</v>
      </c>
      <c r="F87" s="24">
        <v>33.9</v>
      </c>
      <c r="G87" s="4" t="s">
        <v>236</v>
      </c>
      <c r="H87" s="4" t="s">
        <v>123</v>
      </c>
      <c r="I87" s="4" t="s">
        <v>119</v>
      </c>
      <c r="J87" s="11" t="s">
        <v>4</v>
      </c>
      <c r="K87" s="11" t="s">
        <v>0</v>
      </c>
      <c r="L87" s="5">
        <v>-32</v>
      </c>
      <c r="M87" s="4" t="s">
        <v>118</v>
      </c>
      <c r="N87" s="5">
        <f t="shared" si="21"/>
        <v>-28.5</v>
      </c>
      <c r="O87" s="5">
        <v>2.25</v>
      </c>
      <c r="P87" s="4" t="s">
        <v>2</v>
      </c>
      <c r="Q87" s="12">
        <f t="shared" si="15"/>
        <v>-9.7663128971320639</v>
      </c>
      <c r="R87" s="12">
        <f t="shared" si="16"/>
        <v>-8.5163128971320639</v>
      </c>
      <c r="S87" s="12">
        <f t="shared" si="17"/>
        <v>20.569930111032477</v>
      </c>
      <c r="T87" s="12">
        <f t="shared" si="22"/>
        <v>18.149999999999999</v>
      </c>
      <c r="U87" s="12">
        <v>14</v>
      </c>
      <c r="V87" s="12">
        <v>4.1500000000000004</v>
      </c>
      <c r="W87" s="5" t="s">
        <v>341</v>
      </c>
      <c r="X87" s="5">
        <f t="shared" si="18"/>
        <v>291.14999999999998</v>
      </c>
      <c r="Y87" s="5"/>
      <c r="Z87" s="23"/>
      <c r="AA87" s="4" t="s">
        <v>367</v>
      </c>
      <c r="AB87" s="5" t="s">
        <v>368</v>
      </c>
      <c r="AC87" s="11">
        <v>170</v>
      </c>
      <c r="AD87" s="3">
        <f t="shared" si="12"/>
        <v>28.667453028888076</v>
      </c>
      <c r="AE87" s="3">
        <v>34</v>
      </c>
      <c r="AF87" s="57">
        <f t="shared" si="19"/>
        <v>3.5326655279122439E-2</v>
      </c>
      <c r="AG87" s="12">
        <f t="shared" si="20"/>
        <v>811.49638431323956</v>
      </c>
    </row>
    <row r="88" spans="1:33" ht="13.5" customHeight="1" x14ac:dyDescent="0.25">
      <c r="A88" s="76">
        <v>19669</v>
      </c>
      <c r="B88" s="24">
        <v>31</v>
      </c>
      <c r="C88" s="8">
        <f t="shared" si="13"/>
        <v>2.8999999999999986</v>
      </c>
      <c r="D88" s="8">
        <f t="shared" si="14"/>
        <v>2.8999999999999986</v>
      </c>
      <c r="E88" s="3">
        <v>28.1</v>
      </c>
      <c r="F88" s="24">
        <v>33.9</v>
      </c>
      <c r="G88" s="4" t="s">
        <v>236</v>
      </c>
      <c r="H88" s="4" t="s">
        <v>124</v>
      </c>
      <c r="I88" s="4" t="s">
        <v>119</v>
      </c>
      <c r="J88" s="11" t="s">
        <v>4</v>
      </c>
      <c r="K88" s="11" t="s">
        <v>0</v>
      </c>
      <c r="L88" s="5">
        <v>-32.200000000000003</v>
      </c>
      <c r="M88" s="4" t="s">
        <v>118</v>
      </c>
      <c r="N88" s="5">
        <f t="shared" si="21"/>
        <v>-28.700000000000003</v>
      </c>
      <c r="O88" s="5">
        <v>2.25</v>
      </c>
      <c r="P88" s="4" t="s">
        <v>2</v>
      </c>
      <c r="Q88" s="12">
        <f t="shared" si="15"/>
        <v>-9.7663128971320639</v>
      </c>
      <c r="R88" s="12">
        <f t="shared" si="16"/>
        <v>-8.5163128971320639</v>
      </c>
      <c r="S88" s="12">
        <f t="shared" si="17"/>
        <v>20.780075262913698</v>
      </c>
      <c r="T88" s="12">
        <f t="shared" si="22"/>
        <v>18.149999999999999</v>
      </c>
      <c r="U88" s="12">
        <v>14</v>
      </c>
      <c r="V88" s="12">
        <v>4.1500000000000004</v>
      </c>
      <c r="W88" s="5" t="s">
        <v>341</v>
      </c>
      <c r="X88" s="5">
        <f t="shared" si="18"/>
        <v>291.14999999999998</v>
      </c>
      <c r="Y88" s="5"/>
      <c r="Z88" s="23"/>
      <c r="AA88" s="4" t="s">
        <v>367</v>
      </c>
      <c r="AB88" s="5" t="s">
        <v>368</v>
      </c>
      <c r="AC88" s="11">
        <v>170</v>
      </c>
      <c r="AD88" s="3">
        <f t="shared" si="12"/>
        <v>29.720670780468531</v>
      </c>
      <c r="AE88" s="3">
        <v>34</v>
      </c>
      <c r="AF88" s="57">
        <f t="shared" si="19"/>
        <v>3.5326655279122439E-2</v>
      </c>
      <c r="AG88" s="12">
        <f t="shared" si="20"/>
        <v>841.3100687183661</v>
      </c>
    </row>
    <row r="89" spans="1:33" ht="13.5" customHeight="1" x14ac:dyDescent="0.25">
      <c r="A89" s="76">
        <v>19670</v>
      </c>
      <c r="B89" s="24">
        <v>31</v>
      </c>
      <c r="C89" s="8">
        <f t="shared" si="13"/>
        <v>2.8999999999999986</v>
      </c>
      <c r="D89" s="8">
        <f t="shared" si="14"/>
        <v>2.8999999999999986</v>
      </c>
      <c r="E89" s="3">
        <v>28.1</v>
      </c>
      <c r="F89" s="24">
        <v>33.9</v>
      </c>
      <c r="G89" s="4" t="s">
        <v>236</v>
      </c>
      <c r="H89" s="4" t="s">
        <v>125</v>
      </c>
      <c r="I89" s="4" t="s">
        <v>119</v>
      </c>
      <c r="J89" s="11" t="s">
        <v>4</v>
      </c>
      <c r="K89" s="11" t="s">
        <v>0</v>
      </c>
      <c r="L89" s="5">
        <v>-31.8</v>
      </c>
      <c r="M89" s="4" t="s">
        <v>118</v>
      </c>
      <c r="N89" s="5">
        <f t="shared" si="21"/>
        <v>-28.3</v>
      </c>
      <c r="O89" s="5">
        <v>2.25</v>
      </c>
      <c r="P89" s="4" t="s">
        <v>2</v>
      </c>
      <c r="Q89" s="12">
        <f t="shared" si="15"/>
        <v>-9.7663128971320639</v>
      </c>
      <c r="R89" s="12">
        <f t="shared" si="16"/>
        <v>-8.5163128971320639</v>
      </c>
      <c r="S89" s="12">
        <f t="shared" si="17"/>
        <v>20.359871465337022</v>
      </c>
      <c r="T89" s="12">
        <f t="shared" si="22"/>
        <v>18.149999999999999</v>
      </c>
      <c r="U89" s="12">
        <v>14</v>
      </c>
      <c r="V89" s="12">
        <v>4.1500000000000004</v>
      </c>
      <c r="W89" s="5" t="s">
        <v>341</v>
      </c>
      <c r="X89" s="5">
        <f t="shared" si="18"/>
        <v>291.14999999999998</v>
      </c>
      <c r="Y89" s="5"/>
      <c r="Z89" s="23"/>
      <c r="AA89" s="4" t="s">
        <v>367</v>
      </c>
      <c r="AB89" s="5" t="s">
        <v>368</v>
      </c>
      <c r="AC89" s="11">
        <v>170</v>
      </c>
      <c r="AD89" s="3">
        <f t="shared" si="12"/>
        <v>27.686716823645622</v>
      </c>
      <c r="AE89" s="3">
        <v>34</v>
      </c>
      <c r="AF89" s="57">
        <f t="shared" si="19"/>
        <v>3.5326655279122439E-2</v>
      </c>
      <c r="AG89" s="12">
        <f t="shared" si="20"/>
        <v>783.7344522114463</v>
      </c>
    </row>
    <row r="90" spans="1:33" ht="13.5" customHeight="1" x14ac:dyDescent="0.25">
      <c r="A90" s="76">
        <v>19671</v>
      </c>
      <c r="B90" s="24">
        <v>32</v>
      </c>
      <c r="C90" s="8">
        <f t="shared" si="13"/>
        <v>3.8999999999999986</v>
      </c>
      <c r="D90" s="8">
        <f t="shared" si="14"/>
        <v>1.8999999999999986</v>
      </c>
      <c r="E90" s="3">
        <v>28.1</v>
      </c>
      <c r="F90" s="24">
        <v>33.9</v>
      </c>
      <c r="G90" s="4" t="s">
        <v>236</v>
      </c>
      <c r="H90" s="4" t="s">
        <v>132</v>
      </c>
      <c r="I90" s="4" t="s">
        <v>119</v>
      </c>
      <c r="J90" s="11" t="s">
        <v>4</v>
      </c>
      <c r="K90" s="11" t="s">
        <v>0</v>
      </c>
      <c r="L90" s="5">
        <v>-31.7</v>
      </c>
      <c r="M90" s="4" t="s">
        <v>118</v>
      </c>
      <c r="N90" s="5">
        <f t="shared" si="21"/>
        <v>-28.2</v>
      </c>
      <c r="O90" s="5">
        <v>2.2999999999999998</v>
      </c>
      <c r="P90" s="4" t="s">
        <v>2</v>
      </c>
      <c r="Q90" s="12">
        <f t="shared" si="15"/>
        <v>-9.7907719804770714</v>
      </c>
      <c r="R90" s="12">
        <f t="shared" si="16"/>
        <v>-8.4907719804770707</v>
      </c>
      <c r="S90" s="12">
        <f t="shared" si="17"/>
        <v>20.281156636677178</v>
      </c>
      <c r="T90" s="12">
        <f t="shared" si="22"/>
        <v>17.940000000000001</v>
      </c>
      <c r="U90" s="12">
        <v>14</v>
      </c>
      <c r="V90" s="12">
        <v>3.94</v>
      </c>
      <c r="W90" s="5" t="s">
        <v>341</v>
      </c>
      <c r="X90" s="5">
        <f t="shared" si="18"/>
        <v>290.94</v>
      </c>
      <c r="Y90" s="5"/>
      <c r="Z90" s="23"/>
      <c r="AA90" s="4" t="s">
        <v>367</v>
      </c>
      <c r="AB90" s="5" t="s">
        <v>368</v>
      </c>
      <c r="AC90" s="11">
        <v>170</v>
      </c>
      <c r="AD90" s="3">
        <f t="shared" si="12"/>
        <v>27.336273012215962</v>
      </c>
      <c r="AE90" s="3">
        <v>34</v>
      </c>
      <c r="AF90" s="57">
        <f t="shared" si="19"/>
        <v>3.5542741697041511E-2</v>
      </c>
      <c r="AG90" s="12">
        <f t="shared" si="20"/>
        <v>769.10985779387318</v>
      </c>
    </row>
    <row r="91" spans="1:33" ht="13.2" customHeight="1" x14ac:dyDescent="0.25">
      <c r="A91" s="76">
        <v>19672</v>
      </c>
      <c r="B91" s="24">
        <v>32</v>
      </c>
      <c r="C91" s="8">
        <f t="shared" si="13"/>
        <v>3.8999999999999986</v>
      </c>
      <c r="D91" s="8">
        <f t="shared" si="14"/>
        <v>1.8999999999999986</v>
      </c>
      <c r="E91" s="3">
        <v>28.1</v>
      </c>
      <c r="F91" s="24">
        <v>33.9</v>
      </c>
      <c r="G91" s="4" t="s">
        <v>236</v>
      </c>
      <c r="H91" s="4" t="s">
        <v>133</v>
      </c>
      <c r="I91" s="4" t="s">
        <v>119</v>
      </c>
      <c r="J91" s="11" t="s">
        <v>4</v>
      </c>
      <c r="K91" s="11" t="s">
        <v>0</v>
      </c>
      <c r="L91" s="5">
        <v>-32.1</v>
      </c>
      <c r="M91" s="4" t="s">
        <v>118</v>
      </c>
      <c r="N91" s="5">
        <f t="shared" si="21"/>
        <v>-28.6</v>
      </c>
      <c r="O91" s="5">
        <v>2.2999999999999998</v>
      </c>
      <c r="P91" s="4" t="s">
        <v>2</v>
      </c>
      <c r="Q91" s="12">
        <f t="shared" si="15"/>
        <v>-9.7907719804770714</v>
      </c>
      <c r="R91" s="12">
        <f t="shared" si="16"/>
        <v>-8.4907719804770707</v>
      </c>
      <c r="S91" s="12">
        <f t="shared" si="17"/>
        <v>20.701284763766648</v>
      </c>
      <c r="T91" s="12">
        <f t="shared" si="22"/>
        <v>17.940000000000001</v>
      </c>
      <c r="U91" s="12">
        <v>14</v>
      </c>
      <c r="V91" s="12">
        <v>3.94</v>
      </c>
      <c r="W91" s="5" t="s">
        <v>341</v>
      </c>
      <c r="X91" s="5">
        <f t="shared" si="18"/>
        <v>290.94</v>
      </c>
      <c r="Y91" s="5"/>
      <c r="Z91" s="23"/>
      <c r="AA91" s="4" t="s">
        <v>367</v>
      </c>
      <c r="AB91" s="5" t="s">
        <v>368</v>
      </c>
      <c r="AC91" s="11">
        <v>170</v>
      </c>
      <c r="AD91" s="3">
        <f t="shared" si="12"/>
        <v>29.316838829703627</v>
      </c>
      <c r="AE91" s="3">
        <v>34</v>
      </c>
      <c r="AF91" s="57">
        <f t="shared" si="19"/>
        <v>3.5542741697041511E-2</v>
      </c>
      <c r="AG91" s="12">
        <f t="shared" si="20"/>
        <v>824.83335358858619</v>
      </c>
    </row>
    <row r="92" spans="1:33" x14ac:dyDescent="0.25">
      <c r="A92" s="76">
        <v>19673</v>
      </c>
      <c r="B92" s="3">
        <v>51</v>
      </c>
      <c r="C92" s="8">
        <f t="shared" si="13"/>
        <v>1</v>
      </c>
      <c r="D92" s="8">
        <f t="shared" si="14"/>
        <v>2.5</v>
      </c>
      <c r="E92" s="3">
        <v>50</v>
      </c>
      <c r="F92" s="3">
        <v>53.5</v>
      </c>
      <c r="G92" s="4" t="s">
        <v>117</v>
      </c>
      <c r="H92" s="4" t="s">
        <v>239</v>
      </c>
      <c r="I92" s="4" t="s">
        <v>116</v>
      </c>
      <c r="J92" s="11" t="s">
        <v>4</v>
      </c>
      <c r="K92" s="11" t="s">
        <v>27</v>
      </c>
      <c r="L92" s="5">
        <v>-34.200000000000003</v>
      </c>
      <c r="M92" s="4" t="s">
        <v>115</v>
      </c>
      <c r="N92" s="5">
        <f t="shared" si="21"/>
        <v>-30.700000000000003</v>
      </c>
      <c r="O92" s="5">
        <v>1.5</v>
      </c>
      <c r="P92" s="4" t="s">
        <v>115</v>
      </c>
      <c r="Q92" s="12">
        <f t="shared" si="15"/>
        <v>-9.8421342512908758</v>
      </c>
      <c r="R92" s="12">
        <f t="shared" si="16"/>
        <v>-9.3421342512908758</v>
      </c>
      <c r="S92" s="12">
        <f t="shared" si="17"/>
        <v>22.034319352841393</v>
      </c>
      <c r="T92" s="12">
        <v>17.5</v>
      </c>
      <c r="W92" s="5"/>
      <c r="X92" s="5">
        <f t="shared" si="18"/>
        <v>290.5</v>
      </c>
      <c r="Y92" s="5"/>
      <c r="Z92" s="5"/>
      <c r="AA92" s="4" t="s">
        <v>353</v>
      </c>
      <c r="AB92" s="4" t="s">
        <v>115</v>
      </c>
      <c r="AC92" s="11">
        <v>170</v>
      </c>
      <c r="AD92" s="3">
        <f t="shared" si="12"/>
        <v>38.068105050943679</v>
      </c>
      <c r="AE92" s="3">
        <v>34</v>
      </c>
      <c r="AF92" s="57">
        <f t="shared" si="19"/>
        <v>3.6002397185502286E-2</v>
      </c>
      <c r="AG92" s="12">
        <f t="shared" si="20"/>
        <v>1057.3769533955708</v>
      </c>
    </row>
    <row r="93" spans="1:33" x14ac:dyDescent="0.25">
      <c r="A93" s="76">
        <v>19674</v>
      </c>
      <c r="B93" s="3">
        <v>51</v>
      </c>
      <c r="C93" s="8">
        <f t="shared" si="13"/>
        <v>1</v>
      </c>
      <c r="D93" s="8">
        <f t="shared" si="14"/>
        <v>2.5</v>
      </c>
      <c r="E93" s="3">
        <v>50</v>
      </c>
      <c r="F93" s="3">
        <v>53.5</v>
      </c>
      <c r="G93" s="4" t="s">
        <v>117</v>
      </c>
      <c r="H93" s="4" t="s">
        <v>240</v>
      </c>
      <c r="I93" s="4" t="s">
        <v>116</v>
      </c>
      <c r="J93" s="11" t="s">
        <v>4</v>
      </c>
      <c r="K93" s="11" t="s">
        <v>27</v>
      </c>
      <c r="L93" s="5">
        <v>-33.299999999999997</v>
      </c>
      <c r="M93" s="4" t="s">
        <v>115</v>
      </c>
      <c r="N93" s="5">
        <f t="shared" si="21"/>
        <v>-29.799999999999997</v>
      </c>
      <c r="O93" s="5">
        <v>1.5</v>
      </c>
      <c r="P93" s="4" t="s">
        <v>115</v>
      </c>
      <c r="Q93" s="12">
        <f t="shared" si="15"/>
        <v>-9.8421342512908758</v>
      </c>
      <c r="R93" s="12">
        <f t="shared" si="16"/>
        <v>-9.3421342512908758</v>
      </c>
      <c r="S93" s="12">
        <f t="shared" si="17"/>
        <v>21.086235568654963</v>
      </c>
      <c r="T93" s="12">
        <v>17.5</v>
      </c>
      <c r="W93" s="5"/>
      <c r="X93" s="5">
        <f t="shared" si="18"/>
        <v>290.5</v>
      </c>
      <c r="Y93" s="5"/>
      <c r="Z93" s="5"/>
      <c r="AA93" s="4" t="s">
        <v>353</v>
      </c>
      <c r="AB93" s="4" t="s">
        <v>115</v>
      </c>
      <c r="AC93" s="11">
        <v>170</v>
      </c>
      <c r="AD93" s="3">
        <f t="shared" si="12"/>
        <v>31.401440191176533</v>
      </c>
      <c r="AE93" s="3">
        <v>34</v>
      </c>
      <c r="AF93" s="57">
        <f t="shared" si="19"/>
        <v>3.6002397185502286E-2</v>
      </c>
      <c r="AG93" s="12">
        <f t="shared" si="20"/>
        <v>872.20414877877909</v>
      </c>
    </row>
    <row r="94" spans="1:33" x14ac:dyDescent="0.25">
      <c r="A94" s="76">
        <v>19675</v>
      </c>
      <c r="B94" s="3">
        <v>52</v>
      </c>
      <c r="C94" s="8">
        <f t="shared" si="13"/>
        <v>2</v>
      </c>
      <c r="D94" s="8">
        <f t="shared" si="14"/>
        <v>1.5</v>
      </c>
      <c r="E94" s="3">
        <v>50</v>
      </c>
      <c r="F94" s="3">
        <v>53.5</v>
      </c>
      <c r="G94" s="4" t="s">
        <v>117</v>
      </c>
      <c r="H94" s="4" t="s">
        <v>241</v>
      </c>
      <c r="I94" s="4" t="s">
        <v>116</v>
      </c>
      <c r="J94" s="11" t="s">
        <v>4</v>
      </c>
      <c r="K94" s="11" t="s">
        <v>27</v>
      </c>
      <c r="L94" s="5">
        <v>-32.9</v>
      </c>
      <c r="M94" s="4" t="s">
        <v>115</v>
      </c>
      <c r="N94" s="5">
        <f t="shared" si="21"/>
        <v>-29.4</v>
      </c>
      <c r="O94" s="5">
        <v>1.5</v>
      </c>
      <c r="P94" s="4" t="s">
        <v>115</v>
      </c>
      <c r="Q94" s="12">
        <f t="shared" si="15"/>
        <v>-9.8421342512908758</v>
      </c>
      <c r="R94" s="12">
        <f t="shared" si="16"/>
        <v>-9.3421342512908758</v>
      </c>
      <c r="S94" s="12">
        <f t="shared" si="17"/>
        <v>20.665429372253463</v>
      </c>
      <c r="T94" s="12">
        <v>17.5</v>
      </c>
      <c r="W94" s="5"/>
      <c r="X94" s="5">
        <f t="shared" si="18"/>
        <v>290.5</v>
      </c>
      <c r="Y94" s="5"/>
      <c r="Z94" s="5"/>
      <c r="AA94" s="4" t="s">
        <v>353</v>
      </c>
      <c r="AB94" s="4" t="s">
        <v>115</v>
      </c>
      <c r="AC94" s="11">
        <v>170</v>
      </c>
      <c r="AD94" s="3">
        <f t="shared" si="12"/>
        <v>29.136677031821009</v>
      </c>
      <c r="AE94" s="3">
        <v>34</v>
      </c>
      <c r="AF94" s="57">
        <f t="shared" si="19"/>
        <v>3.6002397185502286E-2</v>
      </c>
      <c r="AG94" s="12">
        <f t="shared" si="20"/>
        <v>809.29824982748607</v>
      </c>
    </row>
    <row r="95" spans="1:33" x14ac:dyDescent="0.25">
      <c r="A95" s="76">
        <v>19676</v>
      </c>
      <c r="B95" s="3">
        <v>52</v>
      </c>
      <c r="C95" s="8">
        <f t="shared" si="13"/>
        <v>2</v>
      </c>
      <c r="D95" s="8">
        <f t="shared" si="14"/>
        <v>1.5</v>
      </c>
      <c r="E95" s="3">
        <v>50</v>
      </c>
      <c r="F95" s="3">
        <v>53.5</v>
      </c>
      <c r="G95" s="4" t="s">
        <v>117</v>
      </c>
      <c r="H95" s="4" t="s">
        <v>242</v>
      </c>
      <c r="I95" s="4" t="s">
        <v>116</v>
      </c>
      <c r="J95" s="11" t="s">
        <v>4</v>
      </c>
      <c r="K95" s="11" t="s">
        <v>27</v>
      </c>
      <c r="L95" s="5">
        <v>-32.6</v>
      </c>
      <c r="M95" s="4" t="s">
        <v>115</v>
      </c>
      <c r="N95" s="5">
        <f t="shared" si="21"/>
        <v>-29.1</v>
      </c>
      <c r="O95" s="5">
        <v>1.5</v>
      </c>
      <c r="P95" s="4" t="s">
        <v>115</v>
      </c>
      <c r="Q95" s="12">
        <f t="shared" si="15"/>
        <v>-9.8421342512908758</v>
      </c>
      <c r="R95" s="12">
        <f t="shared" si="16"/>
        <v>-9.3421342512908758</v>
      </c>
      <c r="S95" s="12">
        <f t="shared" si="17"/>
        <v>20.350052269759054</v>
      </c>
      <c r="T95" s="12">
        <v>17.5</v>
      </c>
      <c r="W95" s="5"/>
      <c r="X95" s="5">
        <f t="shared" si="18"/>
        <v>290.5</v>
      </c>
      <c r="Y95" s="5"/>
      <c r="Z95" s="5"/>
      <c r="AA95" s="4" t="s">
        <v>353</v>
      </c>
      <c r="AB95" s="4" t="s">
        <v>115</v>
      </c>
      <c r="AC95" s="11">
        <v>170</v>
      </c>
      <c r="AD95" s="3">
        <f t="shared" si="12"/>
        <v>27.64251136055422</v>
      </c>
      <c r="AE95" s="3">
        <v>34</v>
      </c>
      <c r="AF95" s="57">
        <f t="shared" si="19"/>
        <v>3.6002397185502286E-2</v>
      </c>
      <c r="AG95" s="12">
        <f t="shared" si="20"/>
        <v>767.79641139244791</v>
      </c>
    </row>
    <row r="96" spans="1:33" x14ac:dyDescent="0.25">
      <c r="A96" s="76">
        <v>19677</v>
      </c>
      <c r="B96" s="3">
        <v>52</v>
      </c>
      <c r="C96" s="8">
        <f t="shared" si="13"/>
        <v>2</v>
      </c>
      <c r="D96" s="8">
        <f t="shared" si="14"/>
        <v>1.5</v>
      </c>
      <c r="E96" s="3">
        <v>50</v>
      </c>
      <c r="F96" s="3">
        <v>53.5</v>
      </c>
      <c r="G96" s="4" t="s">
        <v>117</v>
      </c>
      <c r="H96" s="4" t="s">
        <v>243</v>
      </c>
      <c r="I96" s="4" t="s">
        <v>116</v>
      </c>
      <c r="J96" s="11" t="s">
        <v>4</v>
      </c>
      <c r="K96" s="11" t="s">
        <v>27</v>
      </c>
      <c r="L96" s="5">
        <v>-33.5</v>
      </c>
      <c r="M96" s="4" t="s">
        <v>115</v>
      </c>
      <c r="N96" s="5">
        <f t="shared" si="21"/>
        <v>-30</v>
      </c>
      <c r="O96" s="5">
        <v>1.5</v>
      </c>
      <c r="P96" s="4" t="s">
        <v>115</v>
      </c>
      <c r="Q96" s="12">
        <f t="shared" si="15"/>
        <v>-9.8421342512908758</v>
      </c>
      <c r="R96" s="12">
        <f t="shared" si="16"/>
        <v>-9.3421342512908758</v>
      </c>
      <c r="S96" s="12">
        <f t="shared" si="17"/>
        <v>21.296768813102275</v>
      </c>
      <c r="T96" s="12">
        <v>17.5</v>
      </c>
      <c r="W96" s="5"/>
      <c r="X96" s="5">
        <f t="shared" si="18"/>
        <v>290.5</v>
      </c>
      <c r="Y96" s="5"/>
      <c r="Z96" s="5"/>
      <c r="AA96" s="4" t="s">
        <v>353</v>
      </c>
      <c r="AB96" s="4" t="s">
        <v>115</v>
      </c>
      <c r="AC96" s="11">
        <v>170</v>
      </c>
      <c r="AD96" s="3">
        <f t="shared" si="12"/>
        <v>32.672005892814759</v>
      </c>
      <c r="AE96" s="3">
        <v>34</v>
      </c>
      <c r="AF96" s="57">
        <f t="shared" si="19"/>
        <v>3.6002397185502286E-2</v>
      </c>
      <c r="AG96" s="12">
        <f t="shared" si="20"/>
        <v>907.49529050724902</v>
      </c>
    </row>
    <row r="97" spans="1:307" x14ac:dyDescent="0.25">
      <c r="A97" s="76">
        <v>19678</v>
      </c>
      <c r="B97" s="3">
        <v>52</v>
      </c>
      <c r="C97" s="8">
        <f t="shared" si="13"/>
        <v>2</v>
      </c>
      <c r="D97" s="8">
        <f t="shared" si="14"/>
        <v>1.5</v>
      </c>
      <c r="E97" s="3">
        <v>50</v>
      </c>
      <c r="F97" s="3">
        <v>53.5</v>
      </c>
      <c r="G97" s="4" t="s">
        <v>117</v>
      </c>
      <c r="H97" s="4" t="s">
        <v>244</v>
      </c>
      <c r="I97" s="4" t="s">
        <v>116</v>
      </c>
      <c r="J97" s="11" t="s">
        <v>4</v>
      </c>
      <c r="K97" s="11" t="s">
        <v>27</v>
      </c>
      <c r="L97" s="5">
        <v>-33.799999999999997</v>
      </c>
      <c r="M97" s="4" t="s">
        <v>115</v>
      </c>
      <c r="N97" s="5">
        <f t="shared" si="21"/>
        <v>-30.299999999999997</v>
      </c>
      <c r="O97" s="5">
        <v>1.5</v>
      </c>
      <c r="P97" s="4" t="s">
        <v>115</v>
      </c>
      <c r="Q97" s="12">
        <f t="shared" si="15"/>
        <v>-9.8421342512908758</v>
      </c>
      <c r="R97" s="12">
        <f t="shared" si="16"/>
        <v>-9.3421342512908758</v>
      </c>
      <c r="S97" s="12">
        <f t="shared" si="17"/>
        <v>21.612731513570349</v>
      </c>
      <c r="T97" s="12">
        <v>17.5</v>
      </c>
      <c r="W97" s="5"/>
      <c r="X97" s="5">
        <f t="shared" si="18"/>
        <v>290.5</v>
      </c>
      <c r="Y97" s="5"/>
      <c r="Z97" s="5"/>
      <c r="AA97" s="4" t="s">
        <v>353</v>
      </c>
      <c r="AB97" s="4" t="s">
        <v>115</v>
      </c>
      <c r="AC97" s="11">
        <v>170</v>
      </c>
      <c r="AD97" s="3">
        <f t="shared" si="12"/>
        <v>34.784256373889527</v>
      </c>
      <c r="AE97" s="3">
        <v>34</v>
      </c>
      <c r="AF97" s="57">
        <f t="shared" si="19"/>
        <v>3.6002397185502286E-2</v>
      </c>
      <c r="AG97" s="12">
        <f t="shared" si="20"/>
        <v>966.16500825385901</v>
      </c>
    </row>
    <row r="98" spans="1:307" x14ac:dyDescent="0.25">
      <c r="A98" s="76">
        <v>19679</v>
      </c>
      <c r="B98" s="3">
        <v>53</v>
      </c>
      <c r="C98" s="8">
        <f t="shared" si="13"/>
        <v>3</v>
      </c>
      <c r="D98" s="8">
        <f t="shared" si="14"/>
        <v>0.5</v>
      </c>
      <c r="E98" s="3">
        <v>50</v>
      </c>
      <c r="F98" s="3">
        <v>53.5</v>
      </c>
      <c r="G98" s="4" t="s">
        <v>117</v>
      </c>
      <c r="H98" s="4" t="s">
        <v>245</v>
      </c>
      <c r="I98" s="4" t="s">
        <v>116</v>
      </c>
      <c r="J98" s="11" t="s">
        <v>4</v>
      </c>
      <c r="K98" s="11" t="s">
        <v>27</v>
      </c>
      <c r="L98" s="5">
        <v>-33.799999999999997</v>
      </c>
      <c r="M98" s="4" t="s">
        <v>115</v>
      </c>
      <c r="N98" s="5">
        <f t="shared" si="21"/>
        <v>-30.299999999999997</v>
      </c>
      <c r="O98" s="5">
        <v>1.5</v>
      </c>
      <c r="P98" s="4" t="s">
        <v>115</v>
      </c>
      <c r="Q98" s="12">
        <f t="shared" si="15"/>
        <v>-9.8421342512908758</v>
      </c>
      <c r="R98" s="12">
        <f t="shared" si="16"/>
        <v>-9.3421342512908758</v>
      </c>
      <c r="S98" s="12">
        <f t="shared" si="17"/>
        <v>21.612731513570349</v>
      </c>
      <c r="T98" s="12">
        <v>17.5</v>
      </c>
      <c r="W98" s="5"/>
      <c r="X98" s="5">
        <f t="shared" si="18"/>
        <v>290.5</v>
      </c>
      <c r="Y98" s="5"/>
      <c r="Z98" s="5"/>
      <c r="AA98" s="4" t="s">
        <v>353</v>
      </c>
      <c r="AB98" s="4" t="s">
        <v>115</v>
      </c>
      <c r="AC98" s="11">
        <v>170</v>
      </c>
      <c r="AD98" s="3">
        <f t="shared" si="12"/>
        <v>34.784256373889527</v>
      </c>
      <c r="AE98" s="3">
        <v>34</v>
      </c>
      <c r="AF98" s="57">
        <f t="shared" si="19"/>
        <v>3.6002397185502286E-2</v>
      </c>
      <c r="AG98" s="12">
        <f t="shared" si="20"/>
        <v>966.16500825385901</v>
      </c>
    </row>
    <row r="99" spans="1:307" x14ac:dyDescent="0.25">
      <c r="A99" s="76">
        <v>19680</v>
      </c>
      <c r="B99" s="3">
        <v>53</v>
      </c>
      <c r="C99" s="8">
        <f t="shared" si="13"/>
        <v>3</v>
      </c>
      <c r="D99" s="8">
        <f t="shared" si="14"/>
        <v>0.5</v>
      </c>
      <c r="E99" s="3">
        <v>50</v>
      </c>
      <c r="F99" s="3">
        <v>53.5</v>
      </c>
      <c r="G99" s="4" t="s">
        <v>117</v>
      </c>
      <c r="H99" s="4" t="s">
        <v>246</v>
      </c>
      <c r="I99" s="4" t="s">
        <v>116</v>
      </c>
      <c r="J99" s="11" t="s">
        <v>4</v>
      </c>
      <c r="K99" s="11" t="s">
        <v>27</v>
      </c>
      <c r="L99" s="5">
        <v>-33.299999999999997</v>
      </c>
      <c r="M99" s="4" t="s">
        <v>115</v>
      </c>
      <c r="N99" s="5">
        <f t="shared" si="21"/>
        <v>-29.799999999999997</v>
      </c>
      <c r="O99" s="5">
        <v>1.5</v>
      </c>
      <c r="P99" s="4" t="s">
        <v>115</v>
      </c>
      <c r="Q99" s="12">
        <f t="shared" si="15"/>
        <v>-9.8421342512908758</v>
      </c>
      <c r="R99" s="12">
        <f t="shared" si="16"/>
        <v>-9.3421342512908758</v>
      </c>
      <c r="S99" s="12">
        <f t="shared" si="17"/>
        <v>21.086235568654963</v>
      </c>
      <c r="T99" s="12">
        <v>17.5</v>
      </c>
      <c r="W99" s="5"/>
      <c r="X99" s="5">
        <f t="shared" si="18"/>
        <v>290.5</v>
      </c>
      <c r="Y99" s="5"/>
      <c r="Z99" s="5"/>
      <c r="AA99" s="4" t="s">
        <v>353</v>
      </c>
      <c r="AB99" s="4" t="s">
        <v>115</v>
      </c>
      <c r="AC99" s="11">
        <v>170</v>
      </c>
      <c r="AD99" s="3">
        <f t="shared" si="12"/>
        <v>31.401440191176533</v>
      </c>
      <c r="AE99" s="3">
        <v>34</v>
      </c>
      <c r="AF99" s="57">
        <f t="shared" si="19"/>
        <v>3.6002397185502286E-2</v>
      </c>
      <c r="AG99" s="12">
        <f t="shared" si="20"/>
        <v>872.20414877877909</v>
      </c>
    </row>
    <row r="100" spans="1:307" x14ac:dyDescent="0.25">
      <c r="A100" s="76">
        <v>19681</v>
      </c>
      <c r="B100" s="3">
        <v>53</v>
      </c>
      <c r="C100" s="8">
        <f t="shared" si="13"/>
        <v>3</v>
      </c>
      <c r="D100" s="8">
        <f t="shared" si="14"/>
        <v>0.5</v>
      </c>
      <c r="E100" s="3">
        <v>50</v>
      </c>
      <c r="F100" s="3">
        <v>53.5</v>
      </c>
      <c r="G100" s="4" t="s">
        <v>117</v>
      </c>
      <c r="H100" s="4" t="s">
        <v>247</v>
      </c>
      <c r="I100" s="4" t="s">
        <v>116</v>
      </c>
      <c r="J100" s="11" t="s">
        <v>4</v>
      </c>
      <c r="K100" s="11" t="s">
        <v>27</v>
      </c>
      <c r="L100" s="5">
        <v>-33.4</v>
      </c>
      <c r="M100" s="4" t="s">
        <v>115</v>
      </c>
      <c r="N100" s="5">
        <f t="shared" si="21"/>
        <v>-29.9</v>
      </c>
      <c r="O100" s="5">
        <v>1.5</v>
      </c>
      <c r="P100" s="4" t="s">
        <v>115</v>
      </c>
      <c r="Q100" s="12">
        <f t="shared" si="15"/>
        <v>-9.8421342512908758</v>
      </c>
      <c r="R100" s="12">
        <f t="shared" si="16"/>
        <v>-9.3421342512908758</v>
      </c>
      <c r="S100" s="12">
        <f t="shared" si="17"/>
        <v>21.191491339768163</v>
      </c>
      <c r="T100" s="12">
        <v>17.5</v>
      </c>
      <c r="W100" s="5"/>
      <c r="X100" s="5">
        <f t="shared" si="18"/>
        <v>290.5</v>
      </c>
      <c r="Y100" s="5"/>
      <c r="Z100" s="5"/>
      <c r="AA100" s="4" t="s">
        <v>353</v>
      </c>
      <c r="AB100" s="4" t="s">
        <v>115</v>
      </c>
      <c r="AC100" s="11">
        <v>170</v>
      </c>
      <c r="AD100" s="3">
        <f t="shared" si="12"/>
        <v>32.02406002905073</v>
      </c>
      <c r="AE100" s="3">
        <v>34</v>
      </c>
      <c r="AF100" s="57">
        <f t="shared" si="19"/>
        <v>3.6002397185502286E-2</v>
      </c>
      <c r="AG100" s="12">
        <f t="shared" si="20"/>
        <v>889.49799270439746</v>
      </c>
    </row>
    <row r="101" spans="1:307" x14ac:dyDescent="0.25">
      <c r="A101" s="76">
        <v>19682</v>
      </c>
      <c r="B101" s="3">
        <v>54</v>
      </c>
      <c r="C101" s="8">
        <f t="shared" si="13"/>
        <v>0</v>
      </c>
      <c r="D101" s="8">
        <f t="shared" si="14"/>
        <v>2</v>
      </c>
      <c r="E101" s="3">
        <v>54</v>
      </c>
      <c r="F101" s="3">
        <v>56</v>
      </c>
      <c r="G101" s="4" t="s">
        <v>117</v>
      </c>
      <c r="H101" s="4" t="s">
        <v>248</v>
      </c>
      <c r="I101" s="4" t="s">
        <v>116</v>
      </c>
      <c r="J101" s="11" t="s">
        <v>4</v>
      </c>
      <c r="K101" s="11" t="s">
        <v>27</v>
      </c>
      <c r="L101" s="5">
        <v>-34.700000000000003</v>
      </c>
      <c r="M101" s="4" t="s">
        <v>115</v>
      </c>
      <c r="N101" s="5">
        <f t="shared" si="21"/>
        <v>-31.200000000000003</v>
      </c>
      <c r="O101" s="5">
        <v>2</v>
      </c>
      <c r="P101" s="4" t="s">
        <v>115</v>
      </c>
      <c r="Q101" s="12">
        <f t="shared" si="15"/>
        <v>-9.7256260720411625</v>
      </c>
      <c r="R101" s="12">
        <f t="shared" si="16"/>
        <v>-8.7256260720411625</v>
      </c>
      <c r="S101" s="12">
        <f t="shared" si="17"/>
        <v>23.198156407884916</v>
      </c>
      <c r="T101" s="12">
        <v>18.5</v>
      </c>
      <c r="W101" s="5"/>
      <c r="X101" s="5">
        <f t="shared" si="18"/>
        <v>291.5</v>
      </c>
      <c r="Y101" s="5"/>
      <c r="Z101" s="5"/>
      <c r="AA101" s="4" t="s">
        <v>353</v>
      </c>
      <c r="AB101" s="4" t="s">
        <v>115</v>
      </c>
      <c r="AC101" s="11">
        <v>170</v>
      </c>
      <c r="AD101" s="3">
        <f t="shared" si="12"/>
        <v>51.486387909459381</v>
      </c>
      <c r="AE101" s="3">
        <v>34</v>
      </c>
      <c r="AF101" s="57">
        <f t="shared" si="19"/>
        <v>3.497115586278253E-2</v>
      </c>
      <c r="AG101" s="12">
        <f t="shared" si="20"/>
        <v>1472.2529650286142</v>
      </c>
    </row>
    <row r="102" spans="1:307" x14ac:dyDescent="0.25">
      <c r="A102" s="76">
        <v>19683</v>
      </c>
      <c r="B102" s="3">
        <v>54</v>
      </c>
      <c r="C102" s="8">
        <f t="shared" si="13"/>
        <v>0</v>
      </c>
      <c r="D102" s="8">
        <f t="shared" si="14"/>
        <v>2</v>
      </c>
      <c r="E102" s="3">
        <v>54</v>
      </c>
      <c r="F102" s="3">
        <v>56</v>
      </c>
      <c r="G102" s="4" t="s">
        <v>117</v>
      </c>
      <c r="H102" s="4" t="s">
        <v>249</v>
      </c>
      <c r="I102" s="4" t="s">
        <v>116</v>
      </c>
      <c r="J102" s="11" t="s">
        <v>4</v>
      </c>
      <c r="K102" s="11" t="s">
        <v>27</v>
      </c>
      <c r="L102" s="5">
        <v>-33</v>
      </c>
      <c r="M102" s="4" t="s">
        <v>115</v>
      </c>
      <c r="N102" s="5">
        <f t="shared" si="21"/>
        <v>-29.5</v>
      </c>
      <c r="O102" s="5">
        <v>2</v>
      </c>
      <c r="P102" s="4" t="s">
        <v>115</v>
      </c>
      <c r="Q102" s="12">
        <f t="shared" si="15"/>
        <v>-9.7256260720411625</v>
      </c>
      <c r="R102" s="12">
        <f t="shared" si="16"/>
        <v>-8.7256260720411625</v>
      </c>
      <c r="S102" s="12">
        <f t="shared" si="17"/>
        <v>21.405846396660433</v>
      </c>
      <c r="T102" s="12">
        <v>18.5</v>
      </c>
      <c r="W102" s="5"/>
      <c r="X102" s="5">
        <f t="shared" si="18"/>
        <v>291.5</v>
      </c>
      <c r="Y102" s="5"/>
      <c r="Z102" s="5"/>
      <c r="AA102" s="4" t="s">
        <v>353</v>
      </c>
      <c r="AB102" s="4" t="s">
        <v>115</v>
      </c>
      <c r="AC102" s="11">
        <v>170</v>
      </c>
      <c r="AD102" s="3">
        <f t="shared" si="12"/>
        <v>33.371588930603373</v>
      </c>
      <c r="AE102" s="3">
        <v>34</v>
      </c>
      <c r="AF102" s="57">
        <f t="shared" si="19"/>
        <v>3.497115586278253E-2</v>
      </c>
      <c r="AG102" s="12">
        <f t="shared" si="20"/>
        <v>954.26039280899295</v>
      </c>
    </row>
    <row r="103" spans="1:307" x14ac:dyDescent="0.25">
      <c r="A103" s="76">
        <v>19684</v>
      </c>
      <c r="B103" s="3">
        <v>54</v>
      </c>
      <c r="C103" s="8">
        <f t="shared" si="13"/>
        <v>0</v>
      </c>
      <c r="D103" s="8">
        <f t="shared" si="14"/>
        <v>2</v>
      </c>
      <c r="E103" s="3">
        <v>54</v>
      </c>
      <c r="F103" s="3">
        <v>56</v>
      </c>
      <c r="G103" s="4" t="s">
        <v>117</v>
      </c>
      <c r="H103" s="4" t="s">
        <v>250</v>
      </c>
      <c r="I103" s="4" t="s">
        <v>116</v>
      </c>
      <c r="J103" s="11" t="s">
        <v>4</v>
      </c>
      <c r="K103" s="11" t="s">
        <v>27</v>
      </c>
      <c r="L103" s="5">
        <v>-32.6</v>
      </c>
      <c r="M103" s="4" t="s">
        <v>115</v>
      </c>
      <c r="N103" s="5">
        <f t="shared" si="21"/>
        <v>-29.1</v>
      </c>
      <c r="O103" s="5">
        <v>2</v>
      </c>
      <c r="P103" s="4" t="s">
        <v>115</v>
      </c>
      <c r="Q103" s="12">
        <f t="shared" si="15"/>
        <v>-9.7256260720411625</v>
      </c>
      <c r="R103" s="12">
        <f t="shared" si="16"/>
        <v>-8.7256260720411625</v>
      </c>
      <c r="S103" s="12">
        <f t="shared" si="17"/>
        <v>20.985038549756752</v>
      </c>
      <c r="T103" s="12">
        <v>18.5</v>
      </c>
      <c r="W103" s="5"/>
      <c r="X103" s="5">
        <f t="shared" si="18"/>
        <v>291.5</v>
      </c>
      <c r="Y103" s="5"/>
      <c r="Z103" s="5"/>
      <c r="AA103" s="4" t="s">
        <v>353</v>
      </c>
      <c r="AB103" s="4" t="s">
        <v>115</v>
      </c>
      <c r="AC103" s="11">
        <v>170</v>
      </c>
      <c r="AD103" s="3">
        <f t="shared" si="12"/>
        <v>30.825238133351196</v>
      </c>
      <c r="AE103" s="3">
        <v>34</v>
      </c>
      <c r="AF103" s="57">
        <f t="shared" si="19"/>
        <v>3.497115586278253E-2</v>
      </c>
      <c r="AG103" s="12">
        <f t="shared" si="20"/>
        <v>881.44750646221678</v>
      </c>
    </row>
    <row r="104" spans="1:307" x14ac:dyDescent="0.25">
      <c r="A104" s="76">
        <v>19685</v>
      </c>
      <c r="B104" s="3">
        <v>54</v>
      </c>
      <c r="C104" s="8">
        <f t="shared" si="13"/>
        <v>0</v>
      </c>
      <c r="D104" s="8">
        <f t="shared" si="14"/>
        <v>2</v>
      </c>
      <c r="E104" s="3">
        <v>54</v>
      </c>
      <c r="F104" s="3">
        <v>56</v>
      </c>
      <c r="G104" s="4" t="s">
        <v>117</v>
      </c>
      <c r="H104" s="4" t="s">
        <v>251</v>
      </c>
      <c r="I104" s="4" t="s">
        <v>116</v>
      </c>
      <c r="J104" s="11" t="s">
        <v>4</v>
      </c>
      <c r="K104" s="11" t="s">
        <v>27</v>
      </c>
      <c r="L104" s="5">
        <v>-34.6</v>
      </c>
      <c r="M104" s="4" t="s">
        <v>115</v>
      </c>
      <c r="N104" s="5">
        <f t="shared" si="21"/>
        <v>-31.1</v>
      </c>
      <c r="O104" s="5">
        <v>2</v>
      </c>
      <c r="P104" s="4" t="s">
        <v>115</v>
      </c>
      <c r="Q104" s="12">
        <f t="shared" si="15"/>
        <v>-9.7256260720411625</v>
      </c>
      <c r="R104" s="12">
        <f t="shared" si="16"/>
        <v>-8.7256260720411625</v>
      </c>
      <c r="S104" s="12">
        <f t="shared" si="17"/>
        <v>23.092552304633031</v>
      </c>
      <c r="T104" s="12">
        <v>18.5</v>
      </c>
      <c r="W104" s="5"/>
      <c r="X104" s="5">
        <f t="shared" si="18"/>
        <v>291.5</v>
      </c>
      <c r="Y104" s="5"/>
      <c r="Z104" s="5"/>
      <c r="AA104" s="4" t="s">
        <v>353</v>
      </c>
      <c r="AB104" s="4" t="s">
        <v>115</v>
      </c>
      <c r="AC104" s="11">
        <v>170</v>
      </c>
      <c r="AD104" s="3">
        <f t="shared" si="12"/>
        <v>49.890714457963725</v>
      </c>
      <c r="AE104" s="3">
        <v>34</v>
      </c>
      <c r="AF104" s="57">
        <f t="shared" si="19"/>
        <v>3.497115586278253E-2</v>
      </c>
      <c r="AG104" s="12">
        <f t="shared" si="20"/>
        <v>1426.6246918952738</v>
      </c>
    </row>
    <row r="105" spans="1:307" x14ac:dyDescent="0.25">
      <c r="A105" s="76">
        <v>19686</v>
      </c>
      <c r="B105" s="3">
        <v>54</v>
      </c>
      <c r="C105" s="8">
        <f t="shared" si="13"/>
        <v>0</v>
      </c>
      <c r="D105" s="8">
        <f t="shared" si="14"/>
        <v>2</v>
      </c>
      <c r="E105" s="3">
        <v>54</v>
      </c>
      <c r="F105" s="3">
        <v>56</v>
      </c>
      <c r="G105" s="4" t="s">
        <v>117</v>
      </c>
      <c r="H105" s="4" t="s">
        <v>252</v>
      </c>
      <c r="I105" s="4" t="s">
        <v>116</v>
      </c>
      <c r="J105" s="11" t="s">
        <v>4</v>
      </c>
      <c r="K105" s="11" t="s">
        <v>27</v>
      </c>
      <c r="L105" s="5">
        <v>-34.5</v>
      </c>
      <c r="M105" s="4" t="s">
        <v>115</v>
      </c>
      <c r="N105" s="5">
        <f t="shared" si="21"/>
        <v>-31</v>
      </c>
      <c r="O105" s="5">
        <v>2</v>
      </c>
      <c r="P105" s="4" t="s">
        <v>115</v>
      </c>
      <c r="Q105" s="12">
        <f t="shared" si="15"/>
        <v>-9.7256260720411625</v>
      </c>
      <c r="R105" s="12">
        <f t="shared" si="16"/>
        <v>-8.7256260720411625</v>
      </c>
      <c r="S105" s="12">
        <f t="shared" si="17"/>
        <v>22.986969997893514</v>
      </c>
      <c r="T105" s="12">
        <v>18.5</v>
      </c>
      <c r="W105" s="5"/>
      <c r="X105" s="5">
        <f t="shared" si="18"/>
        <v>291.5</v>
      </c>
      <c r="Y105" s="5"/>
      <c r="Z105" s="5"/>
      <c r="AA105" s="4" t="s">
        <v>353</v>
      </c>
      <c r="AB105" s="4" t="s">
        <v>115</v>
      </c>
      <c r="AC105" s="11">
        <v>170</v>
      </c>
      <c r="AD105" s="3">
        <f t="shared" si="12"/>
        <v>48.39127473948826</v>
      </c>
      <c r="AE105" s="3">
        <v>34</v>
      </c>
      <c r="AF105" s="57">
        <f t="shared" si="19"/>
        <v>3.497115586278253E-2</v>
      </c>
      <c r="AG105" s="12">
        <f t="shared" si="20"/>
        <v>1383.7482218020671</v>
      </c>
    </row>
    <row r="106" spans="1:307" x14ac:dyDescent="0.25">
      <c r="A106" s="76">
        <v>19687</v>
      </c>
      <c r="B106" s="3">
        <v>55</v>
      </c>
      <c r="C106" s="8">
        <f t="shared" si="13"/>
        <v>1</v>
      </c>
      <c r="D106" s="8">
        <f t="shared" si="14"/>
        <v>1</v>
      </c>
      <c r="E106" s="3">
        <v>54</v>
      </c>
      <c r="F106" s="3">
        <v>56</v>
      </c>
      <c r="G106" s="4" t="s">
        <v>117</v>
      </c>
      <c r="H106" s="4" t="s">
        <v>253</v>
      </c>
      <c r="I106" s="4" t="s">
        <v>116</v>
      </c>
      <c r="J106" s="11" t="s">
        <v>4</v>
      </c>
      <c r="K106" s="11" t="s">
        <v>27</v>
      </c>
      <c r="L106" s="5">
        <v>-34.4</v>
      </c>
      <c r="M106" s="4" t="s">
        <v>115</v>
      </c>
      <c r="N106" s="5">
        <f t="shared" si="21"/>
        <v>-30.9</v>
      </c>
      <c r="O106" s="5">
        <v>2</v>
      </c>
      <c r="P106" s="4" t="s">
        <v>115</v>
      </c>
      <c r="Q106" s="12">
        <f t="shared" si="15"/>
        <v>-9.7256260720411625</v>
      </c>
      <c r="R106" s="12">
        <f t="shared" si="16"/>
        <v>-8.7256260720411625</v>
      </c>
      <c r="S106" s="12">
        <f t="shared" si="17"/>
        <v>22.881409480919324</v>
      </c>
      <c r="T106" s="12">
        <v>18.5</v>
      </c>
      <c r="W106" s="5"/>
      <c r="X106" s="5">
        <f t="shared" si="18"/>
        <v>291.5</v>
      </c>
      <c r="Y106" s="5"/>
      <c r="Z106" s="5"/>
      <c r="AA106" s="4" t="s">
        <v>353</v>
      </c>
      <c r="AB106" s="4" t="s">
        <v>115</v>
      </c>
      <c r="AC106" s="11">
        <v>170</v>
      </c>
      <c r="AD106" s="3">
        <f t="shared" si="12"/>
        <v>46.979617921286511</v>
      </c>
      <c r="AE106" s="3">
        <v>34</v>
      </c>
      <c r="AF106" s="57">
        <f t="shared" si="19"/>
        <v>3.497115586278253E-2</v>
      </c>
      <c r="AG106" s="12">
        <f t="shared" si="20"/>
        <v>1343.3819032353972</v>
      </c>
    </row>
    <row r="107" spans="1:307" x14ac:dyDescent="0.25">
      <c r="A107" s="76">
        <v>19688</v>
      </c>
      <c r="B107" s="3">
        <v>55</v>
      </c>
      <c r="C107" s="8">
        <f t="shared" si="13"/>
        <v>1</v>
      </c>
      <c r="D107" s="8">
        <f t="shared" si="14"/>
        <v>1</v>
      </c>
      <c r="E107" s="3">
        <v>54</v>
      </c>
      <c r="F107" s="3">
        <v>56</v>
      </c>
      <c r="G107" s="4" t="s">
        <v>117</v>
      </c>
      <c r="H107" s="4" t="s">
        <v>254</v>
      </c>
      <c r="I107" s="4" t="s">
        <v>116</v>
      </c>
      <c r="J107" s="11" t="s">
        <v>4</v>
      </c>
      <c r="K107" s="11" t="s">
        <v>27</v>
      </c>
      <c r="L107" s="5">
        <v>-34.5</v>
      </c>
      <c r="M107" s="4" t="s">
        <v>115</v>
      </c>
      <c r="N107" s="5">
        <f t="shared" si="21"/>
        <v>-31</v>
      </c>
      <c r="O107" s="5">
        <v>2</v>
      </c>
      <c r="P107" s="4" t="s">
        <v>115</v>
      </c>
      <c r="Q107" s="12">
        <f t="shared" si="15"/>
        <v>-9.7256260720411625</v>
      </c>
      <c r="R107" s="12">
        <f t="shared" si="16"/>
        <v>-8.7256260720411625</v>
      </c>
      <c r="S107" s="12">
        <f t="shared" si="17"/>
        <v>22.986969997893514</v>
      </c>
      <c r="T107" s="12">
        <v>18.5</v>
      </c>
      <c r="W107" s="5"/>
      <c r="X107" s="5">
        <f t="shared" si="18"/>
        <v>291.5</v>
      </c>
      <c r="Y107" s="5"/>
      <c r="Z107" s="5"/>
      <c r="AA107" s="4" t="s">
        <v>353</v>
      </c>
      <c r="AB107" s="4" t="s">
        <v>115</v>
      </c>
      <c r="AC107" s="11">
        <v>170</v>
      </c>
      <c r="AD107" s="3">
        <f t="shared" si="12"/>
        <v>48.39127473948826</v>
      </c>
      <c r="AE107" s="3">
        <v>34</v>
      </c>
      <c r="AF107" s="57">
        <f t="shared" si="19"/>
        <v>3.497115586278253E-2</v>
      </c>
      <c r="AG107" s="12">
        <f t="shared" si="20"/>
        <v>1383.7482218020671</v>
      </c>
    </row>
    <row r="108" spans="1:307" x14ac:dyDescent="0.25">
      <c r="A108" s="76">
        <v>19689</v>
      </c>
      <c r="B108" s="3">
        <v>55</v>
      </c>
      <c r="C108" s="8">
        <f t="shared" si="13"/>
        <v>1</v>
      </c>
      <c r="D108" s="8">
        <f t="shared" si="14"/>
        <v>1</v>
      </c>
      <c r="E108" s="3">
        <v>54</v>
      </c>
      <c r="F108" s="3">
        <v>56</v>
      </c>
      <c r="G108" s="4" t="s">
        <v>117</v>
      </c>
      <c r="H108" s="4" t="s">
        <v>255</v>
      </c>
      <c r="I108" s="4" t="s">
        <v>116</v>
      </c>
      <c r="J108" s="11" t="s">
        <v>4</v>
      </c>
      <c r="K108" s="11" t="s">
        <v>27</v>
      </c>
      <c r="L108" s="5">
        <v>-32.700000000000003</v>
      </c>
      <c r="M108" s="4" t="s">
        <v>115</v>
      </c>
      <c r="N108" s="5">
        <f t="shared" si="21"/>
        <v>-29.200000000000003</v>
      </c>
      <c r="O108" s="5">
        <v>2</v>
      </c>
      <c r="P108" s="4" t="s">
        <v>115</v>
      </c>
      <c r="Q108" s="12">
        <f t="shared" si="15"/>
        <v>-9.7256260720411625</v>
      </c>
      <c r="R108" s="12">
        <f t="shared" si="16"/>
        <v>-8.7256260720411625</v>
      </c>
      <c r="S108" s="12">
        <f t="shared" si="17"/>
        <v>21.09020800160577</v>
      </c>
      <c r="T108" s="12">
        <v>18.5</v>
      </c>
      <c r="W108" s="5"/>
      <c r="X108" s="5">
        <f t="shared" si="18"/>
        <v>291.5</v>
      </c>
      <c r="Y108" s="5"/>
      <c r="Z108" s="5"/>
      <c r="AA108" s="4" t="s">
        <v>353</v>
      </c>
      <c r="AB108" s="4" t="s">
        <v>115</v>
      </c>
      <c r="AC108" s="11">
        <v>170</v>
      </c>
      <c r="AD108" s="3">
        <f t="shared" si="12"/>
        <v>31.424498400393311</v>
      </c>
      <c r="AE108" s="3">
        <v>34</v>
      </c>
      <c r="AF108" s="57">
        <f t="shared" si="19"/>
        <v>3.497115586278253E-2</v>
      </c>
      <c r="AG108" s="12">
        <f t="shared" si="20"/>
        <v>898.58335033862318</v>
      </c>
    </row>
    <row r="109" spans="1:307" x14ac:dyDescent="0.25">
      <c r="A109" s="76">
        <v>19690</v>
      </c>
      <c r="B109" s="3">
        <v>55</v>
      </c>
      <c r="C109" s="8">
        <f t="shared" si="13"/>
        <v>1</v>
      </c>
      <c r="D109" s="8">
        <f t="shared" si="14"/>
        <v>1</v>
      </c>
      <c r="E109" s="3">
        <v>54</v>
      </c>
      <c r="F109" s="3">
        <v>56</v>
      </c>
      <c r="G109" s="4" t="s">
        <v>117</v>
      </c>
      <c r="H109" s="4" t="s">
        <v>256</v>
      </c>
      <c r="I109" s="4" t="s">
        <v>116</v>
      </c>
      <c r="J109" s="11" t="s">
        <v>4</v>
      </c>
      <c r="K109" s="11" t="s">
        <v>27</v>
      </c>
      <c r="L109" s="5">
        <v>-33.6</v>
      </c>
      <c r="M109" s="4" t="s">
        <v>115</v>
      </c>
      <c r="N109" s="5">
        <f t="shared" si="21"/>
        <v>-30.1</v>
      </c>
      <c r="O109" s="5">
        <v>2</v>
      </c>
      <c r="P109" s="4" t="s">
        <v>115</v>
      </c>
      <c r="Q109" s="12">
        <f t="shared" si="15"/>
        <v>-9.7256260720411625</v>
      </c>
      <c r="R109" s="12">
        <f t="shared" si="16"/>
        <v>-8.7256260720411625</v>
      </c>
      <c r="S109" s="12">
        <f t="shared" si="17"/>
        <v>22.037708967892478</v>
      </c>
      <c r="T109" s="12">
        <v>18.5</v>
      </c>
      <c r="W109" s="5"/>
      <c r="X109" s="5">
        <f t="shared" si="18"/>
        <v>291.5</v>
      </c>
      <c r="Y109" s="5"/>
      <c r="Z109" s="5"/>
      <c r="AA109" s="4" t="s">
        <v>353</v>
      </c>
      <c r="AB109" s="4" t="s">
        <v>115</v>
      </c>
      <c r="AC109" s="11">
        <v>170</v>
      </c>
      <c r="AD109" s="3">
        <f t="shared" si="12"/>
        <v>38.097022085022921</v>
      </c>
      <c r="AE109" s="3">
        <v>34</v>
      </c>
      <c r="AF109" s="57">
        <f t="shared" si="19"/>
        <v>3.497115586278253E-2</v>
      </c>
      <c r="AG109" s="12">
        <f t="shared" si="20"/>
        <v>1089.3841265786425</v>
      </c>
    </row>
    <row r="110" spans="1:307" x14ac:dyDescent="0.25">
      <c r="A110" s="76">
        <v>19691</v>
      </c>
      <c r="B110" s="3">
        <v>56</v>
      </c>
      <c r="C110" s="8">
        <f t="shared" si="13"/>
        <v>2</v>
      </c>
      <c r="D110" s="8">
        <f t="shared" si="14"/>
        <v>0</v>
      </c>
      <c r="E110" s="3">
        <v>54</v>
      </c>
      <c r="F110" s="3">
        <v>56</v>
      </c>
      <c r="G110" s="4" t="s">
        <v>117</v>
      </c>
      <c r="H110" s="4" t="s">
        <v>257</v>
      </c>
      <c r="I110" s="4" t="s">
        <v>116</v>
      </c>
      <c r="J110" s="11" t="s">
        <v>4</v>
      </c>
      <c r="K110" s="11" t="s">
        <v>27</v>
      </c>
      <c r="L110" s="5">
        <v>-34.4</v>
      </c>
      <c r="M110" s="4" t="s">
        <v>115</v>
      </c>
      <c r="N110" s="5">
        <f t="shared" si="21"/>
        <v>-30.9</v>
      </c>
      <c r="O110" s="5">
        <v>2</v>
      </c>
      <c r="P110" s="4" t="s">
        <v>115</v>
      </c>
      <c r="Q110" s="12">
        <f t="shared" si="15"/>
        <v>-9.7256260720411625</v>
      </c>
      <c r="R110" s="12">
        <f t="shared" si="16"/>
        <v>-8.7256260720411625</v>
      </c>
      <c r="S110" s="12">
        <f t="shared" si="17"/>
        <v>22.881409480919324</v>
      </c>
      <c r="T110" s="12">
        <v>18.5</v>
      </c>
      <c r="W110" s="5"/>
      <c r="X110" s="5">
        <f t="shared" si="18"/>
        <v>291.5</v>
      </c>
      <c r="Y110" s="5"/>
      <c r="Z110" s="5"/>
      <c r="AA110" s="4" t="s">
        <v>353</v>
      </c>
      <c r="AB110" s="4" t="s">
        <v>115</v>
      </c>
      <c r="AC110" s="11">
        <v>170</v>
      </c>
      <c r="AD110" s="3">
        <f t="shared" si="12"/>
        <v>46.979617921286511</v>
      </c>
      <c r="AE110" s="3">
        <v>34</v>
      </c>
      <c r="AF110" s="57">
        <f t="shared" si="19"/>
        <v>3.497115586278253E-2</v>
      </c>
      <c r="AG110" s="12">
        <f t="shared" si="20"/>
        <v>1343.3819032353972</v>
      </c>
    </row>
    <row r="111" spans="1:307" x14ac:dyDescent="0.25">
      <c r="A111" s="76">
        <v>19692</v>
      </c>
      <c r="B111" s="3">
        <v>56</v>
      </c>
      <c r="C111" s="8">
        <f t="shared" si="13"/>
        <v>2</v>
      </c>
      <c r="D111" s="8">
        <f t="shared" si="14"/>
        <v>0</v>
      </c>
      <c r="E111" s="3">
        <v>54</v>
      </c>
      <c r="F111" s="3">
        <v>56</v>
      </c>
      <c r="G111" s="4" t="s">
        <v>117</v>
      </c>
      <c r="H111" s="4" t="s">
        <v>258</v>
      </c>
      <c r="I111" s="4" t="s">
        <v>116</v>
      </c>
      <c r="J111" s="11" t="s">
        <v>4</v>
      </c>
      <c r="K111" s="11" t="s">
        <v>27</v>
      </c>
      <c r="L111" s="5">
        <v>-34.5</v>
      </c>
      <c r="M111" s="4" t="s">
        <v>115</v>
      </c>
      <c r="N111" s="5">
        <f t="shared" si="21"/>
        <v>-31</v>
      </c>
      <c r="O111" s="5">
        <v>2</v>
      </c>
      <c r="P111" s="4" t="s">
        <v>115</v>
      </c>
      <c r="Q111" s="12">
        <f t="shared" si="15"/>
        <v>-9.7256260720411625</v>
      </c>
      <c r="R111" s="12">
        <f t="shared" si="16"/>
        <v>-8.7256260720411625</v>
      </c>
      <c r="S111" s="12">
        <f t="shared" si="17"/>
        <v>22.986969997893514</v>
      </c>
      <c r="T111" s="12">
        <v>18.5</v>
      </c>
      <c r="W111" s="5"/>
      <c r="X111" s="5">
        <f t="shared" si="18"/>
        <v>291.5</v>
      </c>
      <c r="Y111" s="5"/>
      <c r="Z111" s="5"/>
      <c r="AA111" s="4" t="s">
        <v>353</v>
      </c>
      <c r="AB111" s="4" t="s">
        <v>115</v>
      </c>
      <c r="AC111" s="11">
        <v>170</v>
      </c>
      <c r="AD111" s="3">
        <f t="shared" si="12"/>
        <v>48.39127473948826</v>
      </c>
      <c r="AE111" s="3">
        <v>34</v>
      </c>
      <c r="AF111" s="57">
        <f t="shared" si="19"/>
        <v>3.497115586278253E-2</v>
      </c>
      <c r="AG111" s="12">
        <f t="shared" si="20"/>
        <v>1383.7482218020671</v>
      </c>
    </row>
    <row r="112" spans="1:307" s="38" customFormat="1" ht="13.8" x14ac:dyDescent="0.25">
      <c r="A112" s="76">
        <v>19693</v>
      </c>
      <c r="B112" s="24">
        <v>78</v>
      </c>
      <c r="C112" s="8">
        <f t="shared" si="13"/>
        <v>5.9000000000000057</v>
      </c>
      <c r="D112" s="8">
        <f t="shared" si="14"/>
        <v>5.5999999999999943</v>
      </c>
      <c r="E112" s="8">
        <v>72.099999999999994</v>
      </c>
      <c r="F112" s="8">
        <v>83.6</v>
      </c>
      <c r="G112" s="4" t="s">
        <v>393</v>
      </c>
      <c r="H112" s="31" t="s">
        <v>196</v>
      </c>
      <c r="I112" s="4" t="s">
        <v>205</v>
      </c>
      <c r="J112" s="11" t="s">
        <v>1</v>
      </c>
      <c r="K112" s="11" t="s">
        <v>0</v>
      </c>
      <c r="L112" s="31">
        <v>-30.7</v>
      </c>
      <c r="M112" s="4" t="s">
        <v>206</v>
      </c>
      <c r="N112" s="5">
        <f t="shared" si="21"/>
        <v>-27.2</v>
      </c>
      <c r="O112" s="5">
        <v>1.8</v>
      </c>
      <c r="P112" s="4" t="s">
        <v>2</v>
      </c>
      <c r="Q112" s="12">
        <f t="shared" si="15"/>
        <v>-8.5299544965665568</v>
      </c>
      <c r="R112" s="12">
        <f t="shared" si="16"/>
        <v>-7.729954496566557</v>
      </c>
      <c r="S112" s="12">
        <f t="shared" si="17"/>
        <v>20.014438223102005</v>
      </c>
      <c r="T112" s="12">
        <f>U112+V112</f>
        <v>29.174999999999997</v>
      </c>
      <c r="U112" s="12">
        <f>SUM(20.6+18.6+19.6+22.2+27+29.6+31.8+33+32.1+29.9+26.2+22.9)/12</f>
        <v>26.124999999999996</v>
      </c>
      <c r="V112" s="12">
        <f>6.1/2</f>
        <v>3.05</v>
      </c>
      <c r="W112" s="5" t="s">
        <v>176</v>
      </c>
      <c r="X112" s="5">
        <f t="shared" si="18"/>
        <v>302.17500000000001</v>
      </c>
      <c r="Y112" s="5">
        <v>8.4</v>
      </c>
      <c r="Z112" s="23" t="s">
        <v>265</v>
      </c>
      <c r="AA112" s="4" t="s">
        <v>380</v>
      </c>
      <c r="AB112" s="5" t="s">
        <v>169</v>
      </c>
      <c r="AC112" s="11">
        <v>170</v>
      </c>
      <c r="AD112" s="3">
        <f t="shared" si="12"/>
        <v>26.212070110187117</v>
      </c>
      <c r="AE112" s="3">
        <v>34</v>
      </c>
      <c r="AF112" s="57">
        <f t="shared" si="19"/>
        <v>2.643041627322391E-2</v>
      </c>
      <c r="AG112" s="12">
        <f t="shared" si="20"/>
        <v>991.73882996091913</v>
      </c>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row>
    <row r="113" spans="1:307" s="39" customFormat="1" ht="13.2" customHeight="1" x14ac:dyDescent="0.25">
      <c r="A113" s="76">
        <v>19694</v>
      </c>
      <c r="B113" s="24">
        <v>81</v>
      </c>
      <c r="C113" s="8">
        <f t="shared" si="13"/>
        <v>9</v>
      </c>
      <c r="D113" s="8">
        <f t="shared" si="14"/>
        <v>8.7999999999999972</v>
      </c>
      <c r="E113" s="24">
        <v>72</v>
      </c>
      <c r="F113" s="24">
        <v>89.8</v>
      </c>
      <c r="G113" s="25" t="s">
        <v>544</v>
      </c>
      <c r="H113" s="28">
        <v>285978</v>
      </c>
      <c r="I113" s="29" t="s">
        <v>215</v>
      </c>
      <c r="J113" s="34" t="s">
        <v>1</v>
      </c>
      <c r="K113" s="34" t="s">
        <v>0</v>
      </c>
      <c r="L113" s="30">
        <f>AVERAGE(-29.142,-28.92)</f>
        <v>-29.030999999999999</v>
      </c>
      <c r="M113" s="25" t="s">
        <v>293</v>
      </c>
      <c r="N113" s="5">
        <f t="shared" si="21"/>
        <v>-25.530999999999999</v>
      </c>
      <c r="O113" s="5">
        <v>0.83</v>
      </c>
      <c r="P113" s="4" t="s">
        <v>379</v>
      </c>
      <c r="Q113" s="12">
        <f t="shared" si="15"/>
        <v>-8.9319262981574532</v>
      </c>
      <c r="R113" s="12">
        <f t="shared" si="16"/>
        <v>-9.1019262981574531</v>
      </c>
      <c r="S113" s="12">
        <f t="shared" si="17"/>
        <v>16.859513952565575</v>
      </c>
      <c r="T113" s="12">
        <f>U113+V113</f>
        <v>25.5</v>
      </c>
      <c r="U113" s="12">
        <v>24.8</v>
      </c>
      <c r="V113" s="12">
        <v>0.7</v>
      </c>
      <c r="W113" s="5" t="s">
        <v>176</v>
      </c>
      <c r="X113" s="5">
        <f t="shared" si="18"/>
        <v>298.5</v>
      </c>
      <c r="Y113" s="5"/>
      <c r="Z113" s="5"/>
      <c r="AA113" s="4" t="s">
        <v>259</v>
      </c>
      <c r="AB113" s="47" t="s">
        <v>169</v>
      </c>
      <c r="AC113" s="11">
        <v>170</v>
      </c>
      <c r="AD113" s="3">
        <f t="shared" si="12"/>
        <v>17.63396566973314</v>
      </c>
      <c r="AE113" s="3">
        <v>34</v>
      </c>
      <c r="AF113" s="57">
        <f t="shared" si="19"/>
        <v>2.8929361653709997E-2</v>
      </c>
      <c r="AG113" s="12">
        <f t="shared" si="20"/>
        <v>609.55253284932758</v>
      </c>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row>
    <row r="114" spans="1:307" s="39" customFormat="1" ht="13.2" customHeight="1" x14ac:dyDescent="0.25">
      <c r="A114" s="76">
        <v>19695</v>
      </c>
      <c r="B114" s="24">
        <v>85</v>
      </c>
      <c r="C114" s="8">
        <f t="shared" si="13"/>
        <v>1.4000000000000057</v>
      </c>
      <c r="D114" s="8">
        <f t="shared" si="14"/>
        <v>1.2999999999999972</v>
      </c>
      <c r="E114" s="8">
        <v>83.6</v>
      </c>
      <c r="F114" s="8">
        <v>86.3</v>
      </c>
      <c r="G114" s="4" t="s">
        <v>375</v>
      </c>
      <c r="H114" s="31" t="s">
        <v>373</v>
      </c>
      <c r="I114" s="4" t="s">
        <v>205</v>
      </c>
      <c r="J114" s="11" t="s">
        <v>1</v>
      </c>
      <c r="K114" s="11" t="s">
        <v>0</v>
      </c>
      <c r="L114" s="31">
        <v>-28.6</v>
      </c>
      <c r="M114" s="4" t="s">
        <v>206</v>
      </c>
      <c r="N114" s="5">
        <f t="shared" si="21"/>
        <v>-25.1</v>
      </c>
      <c r="O114" s="5">
        <v>0.8</v>
      </c>
      <c r="P114" s="4" t="s">
        <v>2</v>
      </c>
      <c r="Q114" s="12">
        <f t="shared" si="15"/>
        <v>-8.5245528993299651</v>
      </c>
      <c r="R114" s="12">
        <f t="shared" si="16"/>
        <v>-8.7245528993299644</v>
      </c>
      <c r="S114" s="12">
        <f t="shared" si="17"/>
        <v>16.797053134341986</v>
      </c>
      <c r="T114" s="12">
        <f>U114+V114</f>
        <v>29.224999999999998</v>
      </c>
      <c r="U114" s="12">
        <f>SUM(20.6+18.6+19.6+22.2+27+29.6+31.8+33+32.1+29.9+26.2+22.9)/12</f>
        <v>26.124999999999996</v>
      </c>
      <c r="V114" s="12">
        <f>6.2/2</f>
        <v>3.1</v>
      </c>
      <c r="W114" s="5" t="s">
        <v>176</v>
      </c>
      <c r="X114" s="5">
        <f t="shared" si="18"/>
        <v>302.22500000000002</v>
      </c>
      <c r="Y114" s="5">
        <v>7.9</v>
      </c>
      <c r="Z114" s="23" t="s">
        <v>265</v>
      </c>
      <c r="AA114" s="4" t="s">
        <v>380</v>
      </c>
      <c r="AB114" s="5" t="s">
        <v>169</v>
      </c>
      <c r="AC114" s="11">
        <v>170</v>
      </c>
      <c r="AD114" s="3">
        <f t="shared" si="12"/>
        <v>17.520450472802967</v>
      </c>
      <c r="AE114" s="3">
        <v>34</v>
      </c>
      <c r="AF114" s="57">
        <f t="shared" si="19"/>
        <v>2.6399061493721711E-2</v>
      </c>
      <c r="AG114" s="12">
        <f t="shared" si="20"/>
        <v>663.67702037323272</v>
      </c>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row>
    <row r="115" spans="1:307" x14ac:dyDescent="0.25">
      <c r="A115" s="76">
        <v>19696</v>
      </c>
      <c r="B115" s="3">
        <v>86</v>
      </c>
      <c r="C115" s="8">
        <f t="shared" si="13"/>
        <v>2</v>
      </c>
      <c r="D115" s="8">
        <f t="shared" si="14"/>
        <v>1</v>
      </c>
      <c r="E115" s="8">
        <v>84</v>
      </c>
      <c r="F115" s="8">
        <v>87</v>
      </c>
      <c r="G115" s="4" t="s">
        <v>375</v>
      </c>
      <c r="H115" s="4" t="s">
        <v>275</v>
      </c>
      <c r="I115" s="4" t="s">
        <v>287</v>
      </c>
      <c r="J115" s="11" t="s">
        <v>4</v>
      </c>
      <c r="K115" s="11" t="s">
        <v>0</v>
      </c>
      <c r="L115" s="5">
        <v>-26.8</v>
      </c>
      <c r="M115" s="4" t="s">
        <v>286</v>
      </c>
      <c r="N115" s="5">
        <f t="shared" si="21"/>
        <v>-23.3</v>
      </c>
      <c r="O115" s="5">
        <v>0.2</v>
      </c>
      <c r="P115" s="4" t="s">
        <v>286</v>
      </c>
      <c r="Q115" s="12">
        <f t="shared" si="15"/>
        <v>-8.041251765728564</v>
      </c>
      <c r="R115" s="12">
        <f t="shared" si="16"/>
        <v>-8.8412517657285647</v>
      </c>
      <c r="S115" s="12">
        <f t="shared" si="17"/>
        <v>14.803673834618003</v>
      </c>
      <c r="T115" s="12">
        <f>AVERAGE(34.1,33.7,33.5)</f>
        <v>33.766666666666673</v>
      </c>
      <c r="W115" s="5"/>
      <c r="X115" s="5">
        <f t="shared" si="18"/>
        <v>306.76666666666665</v>
      </c>
      <c r="Y115" s="5"/>
      <c r="Z115" s="23"/>
      <c r="AA115" s="4"/>
      <c r="AB115" s="4" t="s">
        <v>286</v>
      </c>
      <c r="AC115" s="11">
        <v>170</v>
      </c>
      <c r="AD115" s="3">
        <f t="shared" si="12"/>
        <v>14.534478399136527</v>
      </c>
      <c r="AE115" s="3">
        <v>34</v>
      </c>
      <c r="AF115" s="57">
        <f t="shared" si="19"/>
        <v>2.3809466377487907E-2</v>
      </c>
      <c r="AG115" s="12">
        <f t="shared" si="20"/>
        <v>610.44956525691077</v>
      </c>
    </row>
    <row r="116" spans="1:307" x14ac:dyDescent="0.25">
      <c r="A116" s="76">
        <v>19697</v>
      </c>
      <c r="B116" s="3">
        <v>88</v>
      </c>
      <c r="C116" s="8">
        <f t="shared" si="13"/>
        <v>1</v>
      </c>
      <c r="D116" s="8">
        <f t="shared" si="14"/>
        <v>1</v>
      </c>
      <c r="E116" s="8">
        <v>87</v>
      </c>
      <c r="F116" s="8">
        <v>89</v>
      </c>
      <c r="G116" s="4" t="s">
        <v>376</v>
      </c>
      <c r="H116" s="4" t="s">
        <v>276</v>
      </c>
      <c r="I116" s="4" t="s">
        <v>287</v>
      </c>
      <c r="J116" s="11" t="s">
        <v>4</v>
      </c>
      <c r="K116" s="11" t="s">
        <v>0</v>
      </c>
      <c r="L116" s="5">
        <v>-29.7</v>
      </c>
      <c r="M116" s="4" t="s">
        <v>286</v>
      </c>
      <c r="N116" s="5">
        <f t="shared" si="21"/>
        <v>-26.2</v>
      </c>
      <c r="O116" s="5">
        <v>-0.6</v>
      </c>
      <c r="P116" s="4" t="s">
        <v>286</v>
      </c>
      <c r="Q116" s="12">
        <f t="shared" si="15"/>
        <v>-7.9889173356476455</v>
      </c>
      <c r="R116" s="12">
        <f t="shared" si="16"/>
        <v>-9.5889173356476451</v>
      </c>
      <c r="S116" s="12">
        <f t="shared" si="17"/>
        <v>17.058002325274657</v>
      </c>
      <c r="T116" s="12">
        <f>AVERAGE(33.8,34.2,34.8)</f>
        <v>34.266666666666666</v>
      </c>
      <c r="W116" s="5"/>
      <c r="X116" s="5">
        <f t="shared" si="18"/>
        <v>307.26666666666665</v>
      </c>
      <c r="Y116" s="5"/>
      <c r="Z116" s="23"/>
      <c r="AA116" s="4"/>
      <c r="AB116" s="4" t="s">
        <v>286</v>
      </c>
      <c r="AC116" s="11">
        <v>170</v>
      </c>
      <c r="AD116" s="3">
        <f t="shared" si="12"/>
        <v>18.004664463650709</v>
      </c>
      <c r="AE116" s="3">
        <v>34</v>
      </c>
      <c r="AF116" s="57">
        <f t="shared" si="19"/>
        <v>2.3553155219003384E-2</v>
      </c>
      <c r="AG116" s="12">
        <f t="shared" si="20"/>
        <v>764.4268590020589</v>
      </c>
    </row>
    <row r="117" spans="1:307" x14ac:dyDescent="0.25">
      <c r="A117" s="76">
        <v>19698</v>
      </c>
      <c r="B117" s="3">
        <v>89.5</v>
      </c>
      <c r="C117" s="8">
        <f t="shared" si="13"/>
        <v>1</v>
      </c>
      <c r="D117" s="8">
        <f t="shared" si="14"/>
        <v>1</v>
      </c>
      <c r="E117" s="8">
        <v>88.5</v>
      </c>
      <c r="F117" s="8">
        <v>90.5</v>
      </c>
      <c r="G117" s="4" t="s">
        <v>238</v>
      </c>
      <c r="H117" s="4" t="s">
        <v>277</v>
      </c>
      <c r="I117" s="4" t="s">
        <v>287</v>
      </c>
      <c r="J117" s="11" t="s">
        <v>4</v>
      </c>
      <c r="K117" s="11" t="s">
        <v>0</v>
      </c>
      <c r="L117" s="5">
        <v>-31.4</v>
      </c>
      <c r="M117" s="4" t="s">
        <v>286</v>
      </c>
      <c r="N117" s="5">
        <f t="shared" si="21"/>
        <v>-27.9</v>
      </c>
      <c r="O117" s="5">
        <v>-1.3</v>
      </c>
      <c r="P117" s="4" t="s">
        <v>286</v>
      </c>
      <c r="Q117" s="12">
        <f t="shared" si="15"/>
        <v>-7.9367529513700852</v>
      </c>
      <c r="R117" s="12">
        <f t="shared" si="16"/>
        <v>-10.236752951370086</v>
      </c>
      <c r="S117" s="12">
        <f t="shared" si="17"/>
        <v>18.17019550316834</v>
      </c>
      <c r="T117" s="12">
        <f>AVERAGE(34.4,34.6,35.3)</f>
        <v>34.766666666666666</v>
      </c>
      <c r="W117" s="5"/>
      <c r="X117" s="5">
        <f t="shared" si="18"/>
        <v>307.76666666666665</v>
      </c>
      <c r="Y117" s="5"/>
      <c r="Z117" s="23"/>
      <c r="AA117" s="4"/>
      <c r="AB117" s="4" t="s">
        <v>286</v>
      </c>
      <c r="AC117" s="11">
        <v>170</v>
      </c>
      <c r="AD117" s="3">
        <f t="shared" si="12"/>
        <v>20.408642251407166</v>
      </c>
      <c r="AE117" s="3">
        <v>34</v>
      </c>
      <c r="AF117" s="57">
        <f t="shared" si="19"/>
        <v>2.3302062872434619E-2</v>
      </c>
      <c r="AG117" s="12">
        <f t="shared" si="20"/>
        <v>875.82985090773866</v>
      </c>
    </row>
    <row r="118" spans="1:307" x14ac:dyDescent="0.25">
      <c r="A118" s="76">
        <v>19699</v>
      </c>
      <c r="B118" s="3">
        <v>91</v>
      </c>
      <c r="C118" s="8">
        <f t="shared" si="13"/>
        <v>1</v>
      </c>
      <c r="D118" s="8">
        <f t="shared" si="14"/>
        <v>1</v>
      </c>
      <c r="E118" s="8">
        <v>90</v>
      </c>
      <c r="F118" s="8">
        <v>92</v>
      </c>
      <c r="G118" s="4" t="s">
        <v>238</v>
      </c>
      <c r="H118" s="4" t="s">
        <v>281</v>
      </c>
      <c r="I118" s="4" t="s">
        <v>287</v>
      </c>
      <c r="J118" s="11" t="s">
        <v>4</v>
      </c>
      <c r="K118" s="11" t="s">
        <v>0</v>
      </c>
      <c r="L118" s="5">
        <v>-27.4</v>
      </c>
      <c r="M118" s="4" t="s">
        <v>286</v>
      </c>
      <c r="N118" s="5">
        <f t="shared" si="21"/>
        <v>-23.9</v>
      </c>
      <c r="O118" s="5">
        <v>0.1</v>
      </c>
      <c r="P118" s="4" t="s">
        <v>286</v>
      </c>
      <c r="Q118" s="12">
        <f t="shared" si="15"/>
        <v>-7.7109404742700427</v>
      </c>
      <c r="R118" s="12">
        <f t="shared" si="16"/>
        <v>-8.6109404742700431</v>
      </c>
      <c r="S118" s="12">
        <f t="shared" si="17"/>
        <v>15.663415147761484</v>
      </c>
      <c r="T118" s="12">
        <f>AVERAGE(37.2,36.7)</f>
        <v>36.950000000000003</v>
      </c>
      <c r="W118" s="5"/>
      <c r="X118" s="5">
        <f t="shared" si="18"/>
        <v>309.95</v>
      </c>
      <c r="Y118" s="5"/>
      <c r="Z118" s="23"/>
      <c r="AA118" s="4"/>
      <c r="AB118" s="4" t="s">
        <v>286</v>
      </c>
      <c r="AC118" s="11">
        <v>170</v>
      </c>
      <c r="AD118" s="3">
        <f t="shared" si="12"/>
        <v>15.687599213038327</v>
      </c>
      <c r="AE118" s="3">
        <v>34</v>
      </c>
      <c r="AF118" s="57">
        <f t="shared" si="19"/>
        <v>2.2263826336340869E-2</v>
      </c>
      <c r="AG118" s="12">
        <f t="shared" si="20"/>
        <v>704.62278029144181</v>
      </c>
    </row>
    <row r="119" spans="1:307" x14ac:dyDescent="0.25">
      <c r="A119" s="76">
        <v>19700</v>
      </c>
      <c r="B119" s="24">
        <v>94</v>
      </c>
      <c r="C119" s="8">
        <f t="shared" si="13"/>
        <v>2</v>
      </c>
      <c r="D119" s="8">
        <f t="shared" si="14"/>
        <v>2</v>
      </c>
      <c r="E119" s="8">
        <v>92</v>
      </c>
      <c r="F119" s="8">
        <v>96</v>
      </c>
      <c r="G119" s="4" t="s">
        <v>225</v>
      </c>
      <c r="H119" s="43">
        <v>55001</v>
      </c>
      <c r="I119" s="44" t="s">
        <v>215</v>
      </c>
      <c r="J119" s="45" t="s">
        <v>1</v>
      </c>
      <c r="K119" s="45" t="s">
        <v>0</v>
      </c>
      <c r="L119" s="46">
        <f>AVERAGE(-27.43,-27.46,-27.38)</f>
        <v>-27.423333333333332</v>
      </c>
      <c r="M119" s="47" t="s">
        <v>293</v>
      </c>
      <c r="N119" s="5">
        <f t="shared" si="21"/>
        <v>-23.923333333333332</v>
      </c>
      <c r="O119" s="5">
        <v>0.83</v>
      </c>
      <c r="P119" s="4" t="s">
        <v>379</v>
      </c>
      <c r="Q119" s="12">
        <f t="shared" si="15"/>
        <v>-8.9651777330650582</v>
      </c>
      <c r="R119" s="12">
        <f t="shared" si="16"/>
        <v>-9.1351777330650581</v>
      </c>
      <c r="S119" s="12">
        <f t="shared" si="17"/>
        <v>15.150608661479659</v>
      </c>
      <c r="T119" s="12">
        <f>U119+V119</f>
        <v>25.2</v>
      </c>
      <c r="U119" s="48">
        <v>24.8</v>
      </c>
      <c r="V119" s="12">
        <v>0.4</v>
      </c>
      <c r="W119" s="5" t="s">
        <v>176</v>
      </c>
      <c r="X119" s="5">
        <f t="shared" si="18"/>
        <v>298.2</v>
      </c>
      <c r="Y119" s="47"/>
      <c r="Z119" s="47"/>
      <c r="AA119" s="4" t="s">
        <v>259</v>
      </c>
      <c r="AB119" s="47" t="s">
        <v>169</v>
      </c>
      <c r="AC119" s="11">
        <v>170</v>
      </c>
      <c r="AD119" s="3">
        <f t="shared" si="12"/>
        <v>14.978776828587486</v>
      </c>
      <c r="AE119" s="3">
        <v>33</v>
      </c>
      <c r="AF119" s="57">
        <f t="shared" si="19"/>
        <v>2.9281677942160848E-2</v>
      </c>
      <c r="AG119" s="12">
        <f t="shared" si="20"/>
        <v>511.54093212057654</v>
      </c>
    </row>
    <row r="120" spans="1:307" x14ac:dyDescent="0.25">
      <c r="A120" s="76">
        <v>19701</v>
      </c>
      <c r="B120" s="24">
        <v>94</v>
      </c>
      <c r="C120" s="8">
        <f t="shared" si="13"/>
        <v>2</v>
      </c>
      <c r="D120" s="8">
        <f t="shared" si="14"/>
        <v>2</v>
      </c>
      <c r="E120" s="8">
        <v>92</v>
      </c>
      <c r="F120" s="8">
        <v>96</v>
      </c>
      <c r="G120" s="4" t="s">
        <v>225</v>
      </c>
      <c r="H120" s="28">
        <v>36925</v>
      </c>
      <c r="I120" s="29" t="s">
        <v>214</v>
      </c>
      <c r="J120" s="34" t="s">
        <v>1</v>
      </c>
      <c r="K120" s="34" t="s">
        <v>0</v>
      </c>
      <c r="L120" s="30">
        <f>AVERAGE(-29.92,-29.87,-30.2)</f>
        <v>-29.99666666666667</v>
      </c>
      <c r="M120" s="25" t="s">
        <v>293</v>
      </c>
      <c r="N120" s="5">
        <f t="shared" si="21"/>
        <v>-26.49666666666667</v>
      </c>
      <c r="O120" s="5">
        <v>0.83</v>
      </c>
      <c r="P120" s="4" t="s">
        <v>379</v>
      </c>
      <c r="Q120" s="12">
        <f t="shared" si="15"/>
        <v>-8.7666666666666622</v>
      </c>
      <c r="R120" s="12">
        <f t="shared" si="16"/>
        <v>-8.9366666666666621</v>
      </c>
      <c r="S120" s="12">
        <f t="shared" si="17"/>
        <v>18.037945427339828</v>
      </c>
      <c r="T120" s="12">
        <f>U120+V120</f>
        <v>27</v>
      </c>
      <c r="U120" s="12">
        <v>26.6</v>
      </c>
      <c r="V120" s="12">
        <v>0.4</v>
      </c>
      <c r="W120" s="5" t="s">
        <v>176</v>
      </c>
      <c r="X120" s="5">
        <f t="shared" si="18"/>
        <v>300</v>
      </c>
      <c r="Y120" s="5"/>
      <c r="Z120" s="5"/>
      <c r="AA120" s="4" t="s">
        <v>259</v>
      </c>
      <c r="AB120" s="47" t="s">
        <v>169</v>
      </c>
      <c r="AC120" s="11">
        <v>170</v>
      </c>
      <c r="AD120" s="3">
        <f t="shared" si="12"/>
        <v>20.089683721639954</v>
      </c>
      <c r="AE120" s="3">
        <v>34</v>
      </c>
      <c r="AF120" s="57">
        <f t="shared" si="19"/>
        <v>2.7861313375427174E-2</v>
      </c>
      <c r="AG120" s="12">
        <f t="shared" si="20"/>
        <v>721.06018301916947</v>
      </c>
    </row>
    <row r="121" spans="1:307" x14ac:dyDescent="0.25">
      <c r="A121" s="76">
        <v>19702</v>
      </c>
      <c r="B121" s="24">
        <v>94</v>
      </c>
      <c r="C121" s="8">
        <f t="shared" si="13"/>
        <v>2</v>
      </c>
      <c r="D121" s="8">
        <f t="shared" si="14"/>
        <v>2</v>
      </c>
      <c r="E121" s="8">
        <v>92</v>
      </c>
      <c r="F121" s="8">
        <v>96</v>
      </c>
      <c r="G121" s="4" t="s">
        <v>225</v>
      </c>
      <c r="H121" s="31" t="s">
        <v>197</v>
      </c>
      <c r="I121" s="4" t="s">
        <v>205</v>
      </c>
      <c r="J121" s="11" t="s">
        <v>1</v>
      </c>
      <c r="K121" s="11" t="s">
        <v>0</v>
      </c>
      <c r="L121" s="31">
        <v>-28.7</v>
      </c>
      <c r="M121" s="4" t="s">
        <v>206</v>
      </c>
      <c r="N121" s="5">
        <f t="shared" si="21"/>
        <v>-25.2</v>
      </c>
      <c r="O121" s="5">
        <v>3</v>
      </c>
      <c r="P121" s="4" t="s">
        <v>2</v>
      </c>
      <c r="Q121" s="12">
        <f t="shared" si="15"/>
        <v>-8.4329984327311713</v>
      </c>
      <c r="R121" s="12">
        <f t="shared" si="16"/>
        <v>-6.4329984327311713</v>
      </c>
      <c r="S121" s="12">
        <f t="shared" si="17"/>
        <v>19.252155895844059</v>
      </c>
      <c r="T121" s="12">
        <f>U121+V121</f>
        <v>30.074999999999996</v>
      </c>
      <c r="U121" s="12">
        <f>SUM(20.6+18.6+19.6+22.2+27+29.6+31.8+33+32.1+29.9+26.2+22.9)/12</f>
        <v>26.124999999999996</v>
      </c>
      <c r="V121" s="12">
        <f>7.9/2</f>
        <v>3.95</v>
      </c>
      <c r="W121" s="5" t="s">
        <v>176</v>
      </c>
      <c r="X121" s="5">
        <f t="shared" si="18"/>
        <v>303.07499999999999</v>
      </c>
      <c r="Y121" s="5">
        <v>5.4</v>
      </c>
      <c r="Z121" s="23" t="s">
        <v>265</v>
      </c>
      <c r="AA121" s="4" t="s">
        <v>380</v>
      </c>
      <c r="AB121" s="5" t="s">
        <v>169</v>
      </c>
      <c r="AC121" s="11">
        <v>170</v>
      </c>
      <c r="AD121" s="3">
        <f t="shared" ref="AD121:AD184" si="23">AC121/($AL$8-S121)</f>
        <v>23.455250631359654</v>
      </c>
      <c r="AE121" s="3">
        <v>34</v>
      </c>
      <c r="AF121" s="57">
        <f t="shared" si="19"/>
        <v>2.5876086943070378E-2</v>
      </c>
      <c r="AG121" s="12">
        <f t="shared" si="20"/>
        <v>906.44503873260385</v>
      </c>
    </row>
    <row r="122" spans="1:307" x14ac:dyDescent="0.25">
      <c r="A122" s="76">
        <v>19703</v>
      </c>
      <c r="B122" s="24">
        <v>94</v>
      </c>
      <c r="C122" s="8">
        <f t="shared" si="13"/>
        <v>2</v>
      </c>
      <c r="D122" s="8">
        <f t="shared" si="14"/>
        <v>2</v>
      </c>
      <c r="E122" s="8">
        <v>92</v>
      </c>
      <c r="F122" s="8">
        <v>96</v>
      </c>
      <c r="G122" s="4" t="s">
        <v>225</v>
      </c>
      <c r="H122" s="31" t="s">
        <v>198</v>
      </c>
      <c r="I122" s="4" t="s">
        <v>205</v>
      </c>
      <c r="J122" s="11" t="s">
        <v>1</v>
      </c>
      <c r="K122" s="11" t="s">
        <v>0</v>
      </c>
      <c r="L122" s="31">
        <v>-29.7</v>
      </c>
      <c r="M122" s="4" t="s">
        <v>206</v>
      </c>
      <c r="N122" s="5">
        <f t="shared" si="21"/>
        <v>-26.2</v>
      </c>
      <c r="O122" s="5">
        <v>3</v>
      </c>
      <c r="P122" s="4" t="s">
        <v>2</v>
      </c>
      <c r="Q122" s="12">
        <f t="shared" si="15"/>
        <v>-8.4329984327311713</v>
      </c>
      <c r="R122" s="12">
        <f t="shared" si="16"/>
        <v>-6.4329984327311713</v>
      </c>
      <c r="S122" s="12">
        <f t="shared" si="17"/>
        <v>20.29883093784024</v>
      </c>
      <c r="T122" s="12">
        <f>U122+V122</f>
        <v>30.074999999999996</v>
      </c>
      <c r="U122" s="12">
        <f>SUM(20.6+18.6+19.6+22.2+27+29.6+31.8+33+32.1+29.9+26.2+22.9)/12</f>
        <v>26.124999999999996</v>
      </c>
      <c r="V122" s="12">
        <f>7.9/2</f>
        <v>3.95</v>
      </c>
      <c r="W122" s="5" t="s">
        <v>176</v>
      </c>
      <c r="X122" s="5">
        <f t="shared" si="18"/>
        <v>303.07499999999999</v>
      </c>
      <c r="Y122" s="5">
        <v>5.4</v>
      </c>
      <c r="Z122" s="23" t="s">
        <v>265</v>
      </c>
      <c r="AA122" s="4" t="s">
        <v>380</v>
      </c>
      <c r="AB122" s="5" t="s">
        <v>169</v>
      </c>
      <c r="AC122" s="11">
        <v>170</v>
      </c>
      <c r="AD122" s="3">
        <f t="shared" si="23"/>
        <v>27.414185663371018</v>
      </c>
      <c r="AE122" s="3">
        <v>34</v>
      </c>
      <c r="AF122" s="57">
        <f t="shared" si="19"/>
        <v>2.5876086943070378E-2</v>
      </c>
      <c r="AG122" s="12">
        <f t="shared" si="20"/>
        <v>1059.4409318412243</v>
      </c>
    </row>
    <row r="123" spans="1:307" x14ac:dyDescent="0.25">
      <c r="A123" s="76">
        <v>19704</v>
      </c>
      <c r="B123" s="3">
        <v>94</v>
      </c>
      <c r="C123" s="8">
        <f t="shared" si="13"/>
        <v>9.9999999999994316E-2</v>
      </c>
      <c r="D123" s="8">
        <f t="shared" si="14"/>
        <v>3</v>
      </c>
      <c r="E123" s="3">
        <v>93.9</v>
      </c>
      <c r="F123" s="3">
        <v>97</v>
      </c>
      <c r="G123" s="4" t="s">
        <v>378</v>
      </c>
      <c r="H123" s="4" t="s">
        <v>99</v>
      </c>
      <c r="I123" s="4" t="s">
        <v>85</v>
      </c>
      <c r="J123" s="11" t="s">
        <v>4</v>
      </c>
      <c r="K123" s="11" t="s">
        <v>27</v>
      </c>
      <c r="L123" s="5">
        <v>-30.7</v>
      </c>
      <c r="M123" s="4" t="s">
        <v>88</v>
      </c>
      <c r="N123" s="5">
        <f t="shared" si="21"/>
        <v>-27.2</v>
      </c>
      <c r="O123" s="5">
        <v>0.19</v>
      </c>
      <c r="P123" s="4" t="s">
        <v>388</v>
      </c>
      <c r="Q123" s="12">
        <f t="shared" si="15"/>
        <v>-8.1745990180032742</v>
      </c>
      <c r="R123" s="12">
        <f t="shared" si="16"/>
        <v>-8.9845990180032747</v>
      </c>
      <c r="S123" s="12">
        <f t="shared" si="17"/>
        <v>18.724713180506612</v>
      </c>
      <c r="T123" s="12">
        <v>32.5</v>
      </c>
      <c r="W123" s="5"/>
      <c r="X123" s="5">
        <f t="shared" si="18"/>
        <v>305.5</v>
      </c>
      <c r="Y123" s="5"/>
      <c r="Z123" s="5"/>
      <c r="AA123" s="4" t="s">
        <v>363</v>
      </c>
      <c r="AB123" s="4" t="s">
        <v>364</v>
      </c>
      <c r="AC123" s="11">
        <v>170</v>
      </c>
      <c r="AD123" s="3">
        <f t="shared" si="23"/>
        <v>21.864145200893905</v>
      </c>
      <c r="AE123" s="3">
        <v>34</v>
      </c>
      <c r="AF123" s="57">
        <f t="shared" si="19"/>
        <v>2.448299956954382E-2</v>
      </c>
      <c r="AG123" s="12">
        <f t="shared" si="20"/>
        <v>893.03376160216499</v>
      </c>
    </row>
    <row r="124" spans="1:307" x14ac:dyDescent="0.25">
      <c r="A124" s="76">
        <v>19705</v>
      </c>
      <c r="B124" s="3">
        <v>94</v>
      </c>
      <c r="C124" s="8">
        <f t="shared" si="13"/>
        <v>9.9999999999994316E-2</v>
      </c>
      <c r="D124" s="8">
        <f t="shared" si="14"/>
        <v>3</v>
      </c>
      <c r="E124" s="3">
        <v>93.9</v>
      </c>
      <c r="F124" s="3">
        <v>97</v>
      </c>
      <c r="G124" s="4" t="s">
        <v>378</v>
      </c>
      <c r="H124" s="4" t="s">
        <v>92</v>
      </c>
      <c r="I124" s="4" t="s">
        <v>85</v>
      </c>
      <c r="J124" s="11" t="s">
        <v>4</v>
      </c>
      <c r="K124" s="11" t="s">
        <v>27</v>
      </c>
      <c r="L124" s="5">
        <v>-31.6</v>
      </c>
      <c r="M124" s="4" t="s">
        <v>88</v>
      </c>
      <c r="N124" s="5">
        <f t="shared" si="21"/>
        <v>-28.1</v>
      </c>
      <c r="O124" s="5">
        <v>0.19</v>
      </c>
      <c r="P124" s="4" t="s">
        <v>388</v>
      </c>
      <c r="Q124" s="12">
        <f t="shared" si="15"/>
        <v>-8.1745990180032742</v>
      </c>
      <c r="R124" s="12">
        <f t="shared" si="16"/>
        <v>-8.9845990180032747</v>
      </c>
      <c r="S124" s="12">
        <f t="shared" si="17"/>
        <v>19.668073857389334</v>
      </c>
      <c r="T124" s="12">
        <v>32.5</v>
      </c>
      <c r="W124" s="5"/>
      <c r="X124" s="5">
        <f t="shared" si="18"/>
        <v>305.5</v>
      </c>
      <c r="Y124" s="5"/>
      <c r="Z124" s="5"/>
      <c r="AA124" s="4" t="s">
        <v>363</v>
      </c>
      <c r="AB124" s="4" t="s">
        <v>364</v>
      </c>
      <c r="AC124" s="11">
        <v>170</v>
      </c>
      <c r="AD124" s="3">
        <f t="shared" si="23"/>
        <v>24.883172981000399</v>
      </c>
      <c r="AE124" s="3">
        <v>34</v>
      </c>
      <c r="AF124" s="57">
        <f t="shared" si="19"/>
        <v>2.448299956954382E-2</v>
      </c>
      <c r="AG124" s="12">
        <f t="shared" si="20"/>
        <v>1016.3449503121498</v>
      </c>
    </row>
    <row r="125" spans="1:307" x14ac:dyDescent="0.25">
      <c r="A125" s="76">
        <v>19706</v>
      </c>
      <c r="B125" s="24">
        <v>94</v>
      </c>
      <c r="C125" s="8">
        <f t="shared" si="13"/>
        <v>9.9999999999994316E-2</v>
      </c>
      <c r="D125" s="8">
        <f t="shared" si="14"/>
        <v>3</v>
      </c>
      <c r="E125" s="3">
        <v>93.9</v>
      </c>
      <c r="F125" s="3">
        <v>97</v>
      </c>
      <c r="G125" s="4" t="s">
        <v>378</v>
      </c>
      <c r="H125" s="4" t="s">
        <v>113</v>
      </c>
      <c r="I125" s="4" t="s">
        <v>90</v>
      </c>
      <c r="J125" s="11" t="s">
        <v>4</v>
      </c>
      <c r="K125" s="11" t="s">
        <v>27</v>
      </c>
      <c r="L125" s="5">
        <v>-29.3</v>
      </c>
      <c r="M125" s="4" t="s">
        <v>89</v>
      </c>
      <c r="N125" s="5">
        <f t="shared" si="21"/>
        <v>-25.8</v>
      </c>
      <c r="O125" s="5">
        <v>1.5</v>
      </c>
      <c r="P125" s="4" t="s">
        <v>71</v>
      </c>
      <c r="Q125" s="12">
        <f t="shared" si="15"/>
        <v>-8.2275409836065556</v>
      </c>
      <c r="R125" s="12">
        <f t="shared" si="16"/>
        <v>-7.7275409836065556</v>
      </c>
      <c r="S125" s="12">
        <f t="shared" si="17"/>
        <v>18.551076797776123</v>
      </c>
      <c r="T125" s="12">
        <v>32</v>
      </c>
      <c r="W125" s="5"/>
      <c r="X125" s="5">
        <f t="shared" si="18"/>
        <v>305</v>
      </c>
      <c r="Y125" s="5"/>
      <c r="Z125" s="23"/>
      <c r="AA125" s="4" t="s">
        <v>365</v>
      </c>
      <c r="AB125" s="5" t="s">
        <v>364</v>
      </c>
      <c r="AC125" s="11">
        <v>170</v>
      </c>
      <c r="AD125" s="3">
        <f t="shared" si="23"/>
        <v>21.386544526237081</v>
      </c>
      <c r="AE125" s="3">
        <v>34</v>
      </c>
      <c r="AF125" s="57">
        <f t="shared" si="19"/>
        <v>2.4758776095312345E-2</v>
      </c>
      <c r="AG125" s="12">
        <f t="shared" si="20"/>
        <v>863.79651578521532</v>
      </c>
    </row>
    <row r="126" spans="1:307" s="39" customFormat="1" x14ac:dyDescent="0.25">
      <c r="A126" s="76">
        <v>19707</v>
      </c>
      <c r="B126" s="24">
        <v>94</v>
      </c>
      <c r="C126" s="8">
        <f t="shared" si="13"/>
        <v>9.9999999999994316E-2</v>
      </c>
      <c r="D126" s="8">
        <f t="shared" si="14"/>
        <v>3</v>
      </c>
      <c r="E126" s="3">
        <v>93.9</v>
      </c>
      <c r="F126" s="3">
        <v>97</v>
      </c>
      <c r="G126" s="4" t="s">
        <v>378</v>
      </c>
      <c r="H126" s="4" t="s">
        <v>109</v>
      </c>
      <c r="I126" s="4" t="s">
        <v>90</v>
      </c>
      <c r="J126" s="11" t="s">
        <v>4</v>
      </c>
      <c r="K126" s="11" t="s">
        <v>27</v>
      </c>
      <c r="L126" s="5">
        <v>-30.5</v>
      </c>
      <c r="M126" s="4" t="s">
        <v>89</v>
      </c>
      <c r="N126" s="5">
        <f t="shared" si="21"/>
        <v>-27</v>
      </c>
      <c r="O126" s="5">
        <v>1.5</v>
      </c>
      <c r="P126" s="4" t="s">
        <v>71</v>
      </c>
      <c r="Q126" s="12">
        <f t="shared" si="15"/>
        <v>-8.2275409836065556</v>
      </c>
      <c r="R126" s="12">
        <f t="shared" si="16"/>
        <v>-7.7275409836065556</v>
      </c>
      <c r="S126" s="12">
        <f t="shared" si="17"/>
        <v>19.807254898657199</v>
      </c>
      <c r="T126" s="12">
        <v>32</v>
      </c>
      <c r="U126" s="12"/>
      <c r="V126" s="12"/>
      <c r="W126" s="5"/>
      <c r="X126" s="5">
        <f t="shared" si="18"/>
        <v>305</v>
      </c>
      <c r="Y126" s="5"/>
      <c r="Z126" s="23"/>
      <c r="AA126" s="4" t="s">
        <v>365</v>
      </c>
      <c r="AB126" s="5" t="s">
        <v>364</v>
      </c>
      <c r="AC126" s="11">
        <v>170</v>
      </c>
      <c r="AD126" s="3">
        <f t="shared" si="23"/>
        <v>25.40063866557416</v>
      </c>
      <c r="AE126" s="3">
        <v>34</v>
      </c>
      <c r="AF126" s="57">
        <f t="shared" si="19"/>
        <v>2.4758776095312345E-2</v>
      </c>
      <c r="AG126" s="12">
        <f t="shared" si="20"/>
        <v>1025.9246486090781</v>
      </c>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row>
    <row r="127" spans="1:307" s="39" customFormat="1" x14ac:dyDescent="0.25">
      <c r="A127" s="76">
        <v>19708</v>
      </c>
      <c r="B127" s="24">
        <v>94</v>
      </c>
      <c r="C127" s="8">
        <f t="shared" si="13"/>
        <v>9.9999999999994316E-2</v>
      </c>
      <c r="D127" s="8">
        <f t="shared" si="14"/>
        <v>3</v>
      </c>
      <c r="E127" s="3">
        <v>93.9</v>
      </c>
      <c r="F127" s="3">
        <v>97</v>
      </c>
      <c r="G127" s="4" t="s">
        <v>378</v>
      </c>
      <c r="H127" s="4" t="s">
        <v>108</v>
      </c>
      <c r="I127" s="4" t="s">
        <v>90</v>
      </c>
      <c r="J127" s="11" t="s">
        <v>4</v>
      </c>
      <c r="K127" s="11" t="s">
        <v>27</v>
      </c>
      <c r="L127" s="5">
        <v>-30.8</v>
      </c>
      <c r="M127" s="4" t="s">
        <v>89</v>
      </c>
      <c r="N127" s="5">
        <f t="shared" si="21"/>
        <v>-27.3</v>
      </c>
      <c r="O127" s="5">
        <v>1.5</v>
      </c>
      <c r="P127" s="4" t="s">
        <v>71</v>
      </c>
      <c r="Q127" s="12">
        <f t="shared" si="15"/>
        <v>-8.2275409836065556</v>
      </c>
      <c r="R127" s="12">
        <f t="shared" si="16"/>
        <v>-7.7275409836065556</v>
      </c>
      <c r="S127" s="12">
        <f t="shared" si="17"/>
        <v>20.121783711723353</v>
      </c>
      <c r="T127" s="12">
        <v>32</v>
      </c>
      <c r="U127" s="12"/>
      <c r="V127" s="12"/>
      <c r="W127" s="5"/>
      <c r="X127" s="5">
        <f t="shared" si="18"/>
        <v>305</v>
      </c>
      <c r="Y127" s="5"/>
      <c r="Z127" s="23"/>
      <c r="AA127" s="4" t="s">
        <v>365</v>
      </c>
      <c r="AB127" s="5" t="s">
        <v>364</v>
      </c>
      <c r="AC127" s="11">
        <v>170</v>
      </c>
      <c r="AD127" s="3">
        <f t="shared" si="23"/>
        <v>26.653219695993236</v>
      </c>
      <c r="AE127" s="3">
        <v>34</v>
      </c>
      <c r="AF127" s="57">
        <f t="shared" si="19"/>
        <v>2.4758776095312345E-2</v>
      </c>
      <c r="AG127" s="12">
        <f t="shared" si="20"/>
        <v>1076.5160439832716</v>
      </c>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row>
    <row r="128" spans="1:307" s="39" customFormat="1" x14ac:dyDescent="0.25">
      <c r="A128" s="76">
        <v>19709</v>
      </c>
      <c r="B128" s="3">
        <v>94</v>
      </c>
      <c r="C128" s="8">
        <f t="shared" si="13"/>
        <v>9.9999999999994316E-2</v>
      </c>
      <c r="D128" s="8">
        <f t="shared" si="14"/>
        <v>3</v>
      </c>
      <c r="E128" s="3">
        <v>93.9</v>
      </c>
      <c r="F128" s="3">
        <v>97</v>
      </c>
      <c r="G128" s="4" t="s">
        <v>378</v>
      </c>
      <c r="H128" s="4" t="s">
        <v>358</v>
      </c>
      <c r="I128" s="4" t="s">
        <v>179</v>
      </c>
      <c r="J128" s="11" t="s">
        <v>4</v>
      </c>
      <c r="K128" s="11" t="s">
        <v>27</v>
      </c>
      <c r="L128" s="5">
        <v>-30.5</v>
      </c>
      <c r="M128" s="4" t="s">
        <v>71</v>
      </c>
      <c r="N128" s="5">
        <f t="shared" si="21"/>
        <v>-27</v>
      </c>
      <c r="O128" s="5">
        <v>1.5</v>
      </c>
      <c r="P128" s="4" t="s">
        <v>71</v>
      </c>
      <c r="Q128" s="12">
        <f t="shared" si="15"/>
        <v>-8.0692332789559522</v>
      </c>
      <c r="R128" s="12">
        <f t="shared" si="16"/>
        <v>-7.5692332789559522</v>
      </c>
      <c r="S128" s="12">
        <f t="shared" si="17"/>
        <v>19.969955520086291</v>
      </c>
      <c r="T128" s="12">
        <v>33.5</v>
      </c>
      <c r="U128" s="12"/>
      <c r="V128" s="12"/>
      <c r="W128" s="5"/>
      <c r="X128" s="5">
        <f t="shared" si="18"/>
        <v>306.5</v>
      </c>
      <c r="Y128" s="5"/>
      <c r="Z128" s="1"/>
      <c r="AA128" s="4" t="s">
        <v>361</v>
      </c>
      <c r="AB128" s="5" t="s">
        <v>362</v>
      </c>
      <c r="AC128" s="11">
        <v>170</v>
      </c>
      <c r="AD128" s="3">
        <f t="shared" si="23"/>
        <v>26.033513327959209</v>
      </c>
      <c r="AE128" s="3">
        <v>34</v>
      </c>
      <c r="AF128" s="57">
        <f t="shared" si="19"/>
        <v>2.3948342576917272E-2</v>
      </c>
      <c r="AG128" s="12">
        <f t="shared" si="20"/>
        <v>1087.0695224249773</v>
      </c>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row>
    <row r="129" spans="1:307" s="39" customFormat="1" x14ac:dyDescent="0.25">
      <c r="A129" s="76">
        <v>19710</v>
      </c>
      <c r="B129" s="3">
        <v>94</v>
      </c>
      <c r="C129" s="8">
        <f t="shared" si="13"/>
        <v>9.9999999999994316E-2</v>
      </c>
      <c r="D129" s="8">
        <f t="shared" si="14"/>
        <v>3</v>
      </c>
      <c r="E129" s="3">
        <v>93.9</v>
      </c>
      <c r="F129" s="3">
        <v>97</v>
      </c>
      <c r="G129" s="4" t="s">
        <v>378</v>
      </c>
      <c r="H129" s="4" t="s">
        <v>356</v>
      </c>
      <c r="I129" s="4" t="s">
        <v>179</v>
      </c>
      <c r="J129" s="11" t="s">
        <v>4</v>
      </c>
      <c r="K129" s="11" t="s">
        <v>27</v>
      </c>
      <c r="L129" s="5">
        <v>-31.1</v>
      </c>
      <c r="M129" s="4" t="s">
        <v>71</v>
      </c>
      <c r="N129" s="5">
        <f t="shared" si="21"/>
        <v>-27.6</v>
      </c>
      <c r="O129" s="5">
        <v>1.5</v>
      </c>
      <c r="P129" s="4" t="s">
        <v>71</v>
      </c>
      <c r="Q129" s="12">
        <f t="shared" si="15"/>
        <v>-8.0692332789559522</v>
      </c>
      <c r="R129" s="12">
        <f t="shared" si="16"/>
        <v>-7.5692332789559522</v>
      </c>
      <c r="S129" s="12">
        <f t="shared" si="17"/>
        <v>20.599307611110838</v>
      </c>
      <c r="T129" s="12">
        <v>33.5</v>
      </c>
      <c r="U129" s="12"/>
      <c r="V129" s="12"/>
      <c r="W129" s="5"/>
      <c r="X129" s="5">
        <f t="shared" si="18"/>
        <v>306.5</v>
      </c>
      <c r="Y129" s="5"/>
      <c r="Z129" s="1"/>
      <c r="AA129" s="4" t="s">
        <v>361</v>
      </c>
      <c r="AB129" s="5" t="s">
        <v>362</v>
      </c>
      <c r="AC129" s="11">
        <v>170</v>
      </c>
      <c r="AD129" s="3">
        <f t="shared" si="23"/>
        <v>28.810178330954045</v>
      </c>
      <c r="AE129" s="3">
        <v>34</v>
      </c>
      <c r="AF129" s="57">
        <f t="shared" si="19"/>
        <v>2.3948342576917272E-2</v>
      </c>
      <c r="AG129" s="12">
        <f t="shared" si="20"/>
        <v>1203.0134544142891</v>
      </c>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row>
    <row r="130" spans="1:307" s="39" customFormat="1" x14ac:dyDescent="0.25">
      <c r="A130" s="76">
        <v>19711</v>
      </c>
      <c r="B130" s="3">
        <v>94</v>
      </c>
      <c r="C130" s="8">
        <f t="shared" si="13"/>
        <v>9.9999999999994316E-2</v>
      </c>
      <c r="D130" s="8">
        <f t="shared" si="14"/>
        <v>6</v>
      </c>
      <c r="E130" s="3">
        <v>93.9</v>
      </c>
      <c r="F130" s="3">
        <v>100</v>
      </c>
      <c r="G130" s="4" t="s">
        <v>377</v>
      </c>
      <c r="H130" s="4" t="s">
        <v>391</v>
      </c>
      <c r="I130" s="4" t="s">
        <v>315</v>
      </c>
      <c r="J130" s="11" t="s">
        <v>4</v>
      </c>
      <c r="K130" s="11" t="s">
        <v>27</v>
      </c>
      <c r="L130" s="5">
        <v>-30.8</v>
      </c>
      <c r="M130" s="4" t="s">
        <v>72</v>
      </c>
      <c r="N130" s="5">
        <f t="shared" si="21"/>
        <v>-27.3</v>
      </c>
      <c r="O130" s="5">
        <v>0</v>
      </c>
      <c r="P130" s="4" t="s">
        <v>72</v>
      </c>
      <c r="Q130" s="12">
        <f t="shared" si="15"/>
        <v>-8.8766555183946458</v>
      </c>
      <c r="R130" s="12">
        <f t="shared" si="16"/>
        <v>-9.8766555183946458</v>
      </c>
      <c r="S130" s="12">
        <f t="shared" si="17"/>
        <v>17.912351682538574</v>
      </c>
      <c r="T130" s="12">
        <v>26</v>
      </c>
      <c r="U130" s="12"/>
      <c r="V130" s="12"/>
      <c r="W130" s="5"/>
      <c r="X130" s="5">
        <f t="shared" si="18"/>
        <v>299</v>
      </c>
      <c r="Y130" s="5"/>
      <c r="Z130" s="23"/>
      <c r="AA130" s="4"/>
      <c r="AB130" s="4" t="s">
        <v>392</v>
      </c>
      <c r="AC130" s="11">
        <v>170</v>
      </c>
      <c r="AD130" s="3">
        <f t="shared" si="23"/>
        <v>19.795873528534678</v>
      </c>
      <c r="AE130" s="3">
        <v>35</v>
      </c>
      <c r="AF130" s="57">
        <f t="shared" si="19"/>
        <v>2.8439542570064136E-2</v>
      </c>
      <c r="AG130" s="12">
        <f t="shared" si="20"/>
        <v>696.06863330397209</v>
      </c>
      <c r="AH130" s="11"/>
      <c r="AI130" s="11"/>
      <c r="AJ130" s="12"/>
      <c r="AK130" s="12"/>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row>
    <row r="131" spans="1:307" s="39" customFormat="1" x14ac:dyDescent="0.25">
      <c r="A131" s="76">
        <v>19712</v>
      </c>
      <c r="B131" s="3">
        <v>94</v>
      </c>
      <c r="C131" s="8">
        <f t="shared" ref="C131:C194" si="24">ABS(B131-E131)</f>
        <v>9.9999999999994316E-2</v>
      </c>
      <c r="D131" s="8">
        <f t="shared" ref="D131:D194" si="25">ABS(F131-B131)</f>
        <v>6</v>
      </c>
      <c r="E131" s="3">
        <v>93.9</v>
      </c>
      <c r="F131" s="3">
        <v>100</v>
      </c>
      <c r="G131" s="4" t="s">
        <v>377</v>
      </c>
      <c r="H131" s="4" t="s">
        <v>391</v>
      </c>
      <c r="I131" s="4" t="s">
        <v>315</v>
      </c>
      <c r="J131" s="11" t="s">
        <v>4</v>
      </c>
      <c r="K131" s="11" t="s">
        <v>27</v>
      </c>
      <c r="L131" s="5">
        <v>-29.7</v>
      </c>
      <c r="M131" s="4" t="s">
        <v>72</v>
      </c>
      <c r="N131" s="5">
        <f t="shared" si="21"/>
        <v>-26.2</v>
      </c>
      <c r="O131" s="5">
        <v>0</v>
      </c>
      <c r="P131" s="4" t="s">
        <v>72</v>
      </c>
      <c r="Q131" s="12">
        <f t="shared" ref="Q131:Q194" si="26">24.12-9866/X131</f>
        <v>-8.8766555183946458</v>
      </c>
      <c r="R131" s="12">
        <f t="shared" ref="R131:R194" si="27">O131-1+Q131</f>
        <v>-9.8766555183946458</v>
      </c>
      <c r="S131" s="12">
        <f t="shared" ref="S131:S194" si="28">1000*((R131+1000)/(N131+1000)-1)</f>
        <v>16.762522573018579</v>
      </c>
      <c r="T131" s="12">
        <v>26</v>
      </c>
      <c r="U131" s="12"/>
      <c r="V131" s="12"/>
      <c r="W131" s="5"/>
      <c r="X131" s="5">
        <f t="shared" ref="X131:X194" si="29">T131+273</f>
        <v>299</v>
      </c>
      <c r="Y131" s="5"/>
      <c r="Z131" s="23"/>
      <c r="AA131" s="4"/>
      <c r="AB131" s="4" t="s">
        <v>392</v>
      </c>
      <c r="AC131" s="11">
        <v>170</v>
      </c>
      <c r="AD131" s="3">
        <f t="shared" si="23"/>
        <v>17.458320317020679</v>
      </c>
      <c r="AE131" s="3">
        <v>36</v>
      </c>
      <c r="AF131" s="57">
        <f t="shared" ref="AF131:AF194" si="30">EXP($AJ$4+$AJ$5*(100/X131)+$AJ$6*LN(X131/100)+AE131*($AM$4+$AM$5*(X131/100)+$AM$6*(X131/100)^2))</f>
        <v>2.8314063892851939E-2</v>
      </c>
      <c r="AG131" s="12">
        <f t="shared" ref="AG131:AG194" si="31">AD131/AF131</f>
        <v>616.59535639559465</v>
      </c>
      <c r="AH131" s="11"/>
      <c r="AI131" s="11"/>
      <c r="AJ131" s="12"/>
      <c r="AK131" s="12"/>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row>
    <row r="132" spans="1:307" s="39" customFormat="1" x14ac:dyDescent="0.25">
      <c r="A132" s="76">
        <v>19713</v>
      </c>
      <c r="B132" s="3">
        <v>94</v>
      </c>
      <c r="C132" s="8">
        <f t="shared" si="24"/>
        <v>9.9999999999994316E-2</v>
      </c>
      <c r="D132" s="8">
        <f t="shared" si="25"/>
        <v>6</v>
      </c>
      <c r="E132" s="3">
        <v>93.9</v>
      </c>
      <c r="F132" s="3">
        <v>100</v>
      </c>
      <c r="G132" s="4" t="s">
        <v>377</v>
      </c>
      <c r="H132" s="4" t="s">
        <v>391</v>
      </c>
      <c r="I132" s="4" t="s">
        <v>315</v>
      </c>
      <c r="J132" s="11" t="s">
        <v>4</v>
      </c>
      <c r="K132" s="11" t="s">
        <v>27</v>
      </c>
      <c r="L132" s="5">
        <v>-30</v>
      </c>
      <c r="M132" s="4" t="s">
        <v>72</v>
      </c>
      <c r="N132" s="5">
        <f t="shared" ref="N132:N195" si="32">L132+3.5</f>
        <v>-26.5</v>
      </c>
      <c r="O132" s="5">
        <v>0</v>
      </c>
      <c r="P132" s="4" t="s">
        <v>72</v>
      </c>
      <c r="Q132" s="12">
        <f t="shared" si="26"/>
        <v>-8.8766555183946458</v>
      </c>
      <c r="R132" s="12">
        <f t="shared" si="27"/>
        <v>-9.8766555183946458</v>
      </c>
      <c r="S132" s="12">
        <f t="shared" si="28"/>
        <v>17.075854629281295</v>
      </c>
      <c r="T132" s="12">
        <v>26</v>
      </c>
      <c r="U132" s="12"/>
      <c r="V132" s="12"/>
      <c r="W132" s="5"/>
      <c r="X132" s="5">
        <f t="shared" si="29"/>
        <v>299</v>
      </c>
      <c r="Y132" s="5"/>
      <c r="Z132" s="23"/>
      <c r="AA132" s="4"/>
      <c r="AB132" s="4" t="s">
        <v>392</v>
      </c>
      <c r="AC132" s="11">
        <v>170</v>
      </c>
      <c r="AD132" s="3">
        <f t="shared" si="23"/>
        <v>18.038770977387358</v>
      </c>
      <c r="AE132" s="3">
        <v>37</v>
      </c>
      <c r="AF132" s="57">
        <f t="shared" si="30"/>
        <v>2.8189138842632726E-2</v>
      </c>
      <c r="AG132" s="12">
        <f t="shared" si="31"/>
        <v>639.91919292354748</v>
      </c>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row>
    <row r="133" spans="1:307" s="39" customFormat="1" x14ac:dyDescent="0.25">
      <c r="A133" s="76">
        <v>19714</v>
      </c>
      <c r="B133" s="24">
        <v>94</v>
      </c>
      <c r="C133" s="8">
        <f t="shared" si="24"/>
        <v>2</v>
      </c>
      <c r="D133" s="8">
        <f t="shared" si="25"/>
        <v>2</v>
      </c>
      <c r="E133" s="8">
        <v>92</v>
      </c>
      <c r="F133" s="8">
        <v>96</v>
      </c>
      <c r="G133" s="4" t="s">
        <v>225</v>
      </c>
      <c r="H133" s="28" t="s">
        <v>218</v>
      </c>
      <c r="I133" s="29" t="s">
        <v>219</v>
      </c>
      <c r="J133" s="34" t="s">
        <v>1</v>
      </c>
      <c r="K133" s="34" t="s">
        <v>0</v>
      </c>
      <c r="L133" s="30">
        <f>AVERAGE(-27.03,-27.126)</f>
        <v>-27.078000000000003</v>
      </c>
      <c r="M133" s="25" t="s">
        <v>293</v>
      </c>
      <c r="N133" s="5">
        <f t="shared" si="32"/>
        <v>-23.578000000000003</v>
      </c>
      <c r="O133" s="5">
        <v>1.3</v>
      </c>
      <c r="P133" s="4" t="s">
        <v>2</v>
      </c>
      <c r="Q133" s="12">
        <f t="shared" si="26"/>
        <v>-8.3339473684210539</v>
      </c>
      <c r="R133" s="12">
        <f t="shared" si="27"/>
        <v>-8.0339473684210532</v>
      </c>
      <c r="S133" s="12">
        <f t="shared" si="28"/>
        <v>15.919400250689719</v>
      </c>
      <c r="T133" s="12">
        <f>U133+V133</f>
        <v>31</v>
      </c>
      <c r="U133" s="12">
        <v>28.5</v>
      </c>
      <c r="V133" s="12">
        <v>2.5</v>
      </c>
      <c r="W133" s="5" t="s">
        <v>176</v>
      </c>
      <c r="X133" s="5">
        <f t="shared" si="29"/>
        <v>304</v>
      </c>
      <c r="Y133" s="5"/>
      <c r="Z133" s="5"/>
      <c r="AA133" s="4" t="s">
        <v>259</v>
      </c>
      <c r="AB133" s="47" t="s">
        <v>169</v>
      </c>
      <c r="AC133" s="11">
        <v>170</v>
      </c>
      <c r="AD133" s="3">
        <f t="shared" si="23"/>
        <v>16.067142130679485</v>
      </c>
      <c r="AE133" s="3">
        <v>34</v>
      </c>
      <c r="AF133" s="57">
        <f t="shared" si="30"/>
        <v>2.5327916818999149E-2</v>
      </c>
      <c r="AG133" s="12">
        <f t="shared" si="31"/>
        <v>634.36492805547641</v>
      </c>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row>
    <row r="134" spans="1:307" s="40" customFormat="1" x14ac:dyDescent="0.25">
      <c r="A134" s="76">
        <v>19715</v>
      </c>
      <c r="B134" s="24">
        <v>94</v>
      </c>
      <c r="C134" s="8">
        <f t="shared" si="24"/>
        <v>2</v>
      </c>
      <c r="D134" s="8">
        <f t="shared" si="25"/>
        <v>2</v>
      </c>
      <c r="E134" s="8">
        <v>92</v>
      </c>
      <c r="F134" s="8">
        <v>96</v>
      </c>
      <c r="G134" s="4" t="s">
        <v>225</v>
      </c>
      <c r="H134" s="28">
        <v>326476</v>
      </c>
      <c r="I134" s="29" t="s">
        <v>219</v>
      </c>
      <c r="J134" s="34" t="s">
        <v>1</v>
      </c>
      <c r="K134" s="34" t="s">
        <v>0</v>
      </c>
      <c r="L134" s="30">
        <f>AVERAGE(-29.25,-29.128)</f>
        <v>-29.189</v>
      </c>
      <c r="M134" s="25" t="s">
        <v>293</v>
      </c>
      <c r="N134" s="5">
        <f t="shared" si="32"/>
        <v>-25.689</v>
      </c>
      <c r="O134" s="5">
        <v>1.3</v>
      </c>
      <c r="P134" s="4" t="s">
        <v>2</v>
      </c>
      <c r="Q134" s="12">
        <f t="shared" si="26"/>
        <v>-8.3339473684210539</v>
      </c>
      <c r="R134" s="12">
        <f t="shared" si="27"/>
        <v>-8.0339473684210532</v>
      </c>
      <c r="S134" s="12">
        <f t="shared" si="28"/>
        <v>18.120551478510329</v>
      </c>
      <c r="T134" s="12">
        <f>U134+V134</f>
        <v>31</v>
      </c>
      <c r="U134" s="12">
        <v>28.5</v>
      </c>
      <c r="V134" s="12">
        <v>2.5</v>
      </c>
      <c r="W134" s="5" t="s">
        <v>176</v>
      </c>
      <c r="X134" s="5">
        <f t="shared" si="29"/>
        <v>304</v>
      </c>
      <c r="Y134" s="5"/>
      <c r="Z134" s="5"/>
      <c r="AA134" s="4" t="s">
        <v>259</v>
      </c>
      <c r="AB134" s="47" t="s">
        <v>169</v>
      </c>
      <c r="AC134" s="11">
        <v>170</v>
      </c>
      <c r="AD134" s="3">
        <f t="shared" si="23"/>
        <v>20.287731294490722</v>
      </c>
      <c r="AE134" s="3">
        <v>34</v>
      </c>
      <c r="AF134" s="57">
        <f t="shared" si="30"/>
        <v>2.5327916818999149E-2</v>
      </c>
      <c r="AG134" s="12">
        <f t="shared" si="31"/>
        <v>801.00276068785695</v>
      </c>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row>
    <row r="135" spans="1:307" s="39" customFormat="1" x14ac:dyDescent="0.25">
      <c r="A135" s="76">
        <v>19716</v>
      </c>
      <c r="B135" s="3">
        <v>95</v>
      </c>
      <c r="C135" s="8">
        <f t="shared" si="24"/>
        <v>1</v>
      </c>
      <c r="D135" s="8">
        <f t="shared" si="25"/>
        <v>1</v>
      </c>
      <c r="E135" s="3">
        <v>94</v>
      </c>
      <c r="F135" s="3">
        <v>96</v>
      </c>
      <c r="G135" s="4" t="s">
        <v>377</v>
      </c>
      <c r="H135" s="4" t="s">
        <v>282</v>
      </c>
      <c r="I135" s="4" t="s">
        <v>287</v>
      </c>
      <c r="J135" s="11" t="s">
        <v>4</v>
      </c>
      <c r="K135" s="11" t="s">
        <v>0</v>
      </c>
      <c r="L135" s="5">
        <v>-30</v>
      </c>
      <c r="M135" s="4" t="s">
        <v>286</v>
      </c>
      <c r="N135" s="5">
        <f t="shared" si="32"/>
        <v>-26.5</v>
      </c>
      <c r="O135" s="5">
        <v>0.5</v>
      </c>
      <c r="P135" s="4" t="s">
        <v>286</v>
      </c>
      <c r="Q135" s="12">
        <f t="shared" si="26"/>
        <v>-8.3767061923583661</v>
      </c>
      <c r="R135" s="12">
        <f t="shared" si="27"/>
        <v>-8.8767061923583661</v>
      </c>
      <c r="S135" s="12">
        <f t="shared" si="28"/>
        <v>18.103023942107388</v>
      </c>
      <c r="T135" s="12">
        <f>AVERAGE(30.3,30.9)</f>
        <v>30.6</v>
      </c>
      <c r="U135" s="12"/>
      <c r="V135" s="12"/>
      <c r="W135" s="5"/>
      <c r="X135" s="5">
        <f t="shared" si="29"/>
        <v>303.60000000000002</v>
      </c>
      <c r="Y135" s="5"/>
      <c r="Z135" s="23"/>
      <c r="AA135" s="4"/>
      <c r="AB135" s="4" t="s">
        <v>286</v>
      </c>
      <c r="AC135" s="11">
        <v>170</v>
      </c>
      <c r="AD135" s="3">
        <f t="shared" si="23"/>
        <v>20.245383436601685</v>
      </c>
      <c r="AE135" s="3">
        <v>34</v>
      </c>
      <c r="AF135" s="57">
        <f t="shared" si="30"/>
        <v>2.5562343807813175E-2</v>
      </c>
      <c r="AG135" s="12">
        <f t="shared" si="31"/>
        <v>792.00027934894013</v>
      </c>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row>
    <row r="136" spans="1:307" x14ac:dyDescent="0.25">
      <c r="A136" s="76">
        <v>19717</v>
      </c>
      <c r="B136" s="3">
        <v>95</v>
      </c>
      <c r="C136" s="8">
        <f t="shared" si="24"/>
        <v>1.5</v>
      </c>
      <c r="D136" s="8">
        <f t="shared" si="25"/>
        <v>2</v>
      </c>
      <c r="E136" s="3">
        <v>93.5</v>
      </c>
      <c r="F136" s="3">
        <v>97</v>
      </c>
      <c r="G136" s="4" t="s">
        <v>377</v>
      </c>
      <c r="H136" s="4" t="s">
        <v>384</v>
      </c>
      <c r="I136" s="4" t="s">
        <v>94</v>
      </c>
      <c r="J136" s="11" t="s">
        <v>4</v>
      </c>
      <c r="K136" s="11" t="s">
        <v>27</v>
      </c>
      <c r="L136" s="5">
        <v>-31.5</v>
      </c>
      <c r="M136" s="4" t="s">
        <v>93</v>
      </c>
      <c r="N136" s="5">
        <f t="shared" si="32"/>
        <v>-28</v>
      </c>
      <c r="O136" s="5">
        <v>0.98</v>
      </c>
      <c r="P136" s="4" t="s">
        <v>388</v>
      </c>
      <c r="Q136" s="12">
        <f t="shared" si="26"/>
        <v>-8.1218300653594788</v>
      </c>
      <c r="R136" s="12">
        <f t="shared" si="27"/>
        <v>-8.1418300653594784</v>
      </c>
      <c r="S136" s="12">
        <f t="shared" si="28"/>
        <v>20.430215982140343</v>
      </c>
      <c r="T136" s="12">
        <v>33</v>
      </c>
      <c r="W136" s="5"/>
      <c r="X136" s="5">
        <f t="shared" si="29"/>
        <v>306</v>
      </c>
      <c r="Y136" s="5">
        <v>20</v>
      </c>
      <c r="Z136" s="23"/>
      <c r="AA136" s="4"/>
      <c r="AB136" s="5" t="s">
        <v>390</v>
      </c>
      <c r="AC136" s="11">
        <v>170</v>
      </c>
      <c r="AD136" s="3">
        <f t="shared" si="23"/>
        <v>28.007586349002551</v>
      </c>
      <c r="AE136" s="3">
        <v>34</v>
      </c>
      <c r="AF136" s="57">
        <f t="shared" si="30"/>
        <v>2.421289985168593E-2</v>
      </c>
      <c r="AG136" s="12">
        <f t="shared" si="31"/>
        <v>1156.7216863969477</v>
      </c>
    </row>
    <row r="137" spans="1:307" x14ac:dyDescent="0.25">
      <c r="A137" s="76">
        <v>19718</v>
      </c>
      <c r="B137" s="3">
        <v>95</v>
      </c>
      <c r="C137" s="8">
        <f t="shared" si="24"/>
        <v>1.5</v>
      </c>
      <c r="D137" s="8">
        <f t="shared" si="25"/>
        <v>2</v>
      </c>
      <c r="E137" s="3">
        <v>93.5</v>
      </c>
      <c r="F137" s="3">
        <v>97</v>
      </c>
      <c r="G137" s="4" t="s">
        <v>377</v>
      </c>
      <c r="H137" s="4" t="s">
        <v>107</v>
      </c>
      <c r="I137" s="4" t="s">
        <v>90</v>
      </c>
      <c r="J137" s="11" t="s">
        <v>4</v>
      </c>
      <c r="K137" s="11" t="s">
        <v>27</v>
      </c>
      <c r="L137" s="5">
        <v>-33</v>
      </c>
      <c r="M137" s="4" t="s">
        <v>74</v>
      </c>
      <c r="N137" s="5">
        <f t="shared" si="32"/>
        <v>-29.5</v>
      </c>
      <c r="O137" s="5">
        <v>1.5</v>
      </c>
      <c r="P137" s="4" t="s">
        <v>71</v>
      </c>
      <c r="Q137" s="12">
        <f t="shared" si="26"/>
        <v>-8.2349667136719908</v>
      </c>
      <c r="R137" s="12">
        <f t="shared" si="27"/>
        <v>-7.7349667136719908</v>
      </c>
      <c r="S137" s="12">
        <f t="shared" si="28"/>
        <v>22.426618533053055</v>
      </c>
      <c r="T137" s="12">
        <f>U137+V137</f>
        <v>31.93</v>
      </c>
      <c r="U137" s="12">
        <v>27.73</v>
      </c>
      <c r="V137" s="12">
        <v>4.2</v>
      </c>
      <c r="W137" s="5" t="s">
        <v>176</v>
      </c>
      <c r="X137" s="5">
        <f t="shared" si="29"/>
        <v>304.93</v>
      </c>
      <c r="Y137" s="5">
        <v>1.3</v>
      </c>
      <c r="Z137" s="1" t="s">
        <v>269</v>
      </c>
      <c r="AA137" s="4" t="s">
        <v>178</v>
      </c>
      <c r="AB137" s="5" t="s">
        <v>169</v>
      </c>
      <c r="AC137" s="11">
        <v>170</v>
      </c>
      <c r="AD137" s="3">
        <f t="shared" si="23"/>
        <v>41.734367718675102</v>
      </c>
      <c r="AE137" s="3">
        <v>34</v>
      </c>
      <c r="AF137" s="57">
        <f t="shared" si="30"/>
        <v>2.47978456414794E-2</v>
      </c>
      <c r="AG137" s="12">
        <f t="shared" si="31"/>
        <v>1682.9836076108948</v>
      </c>
    </row>
    <row r="138" spans="1:307" x14ac:dyDescent="0.25">
      <c r="A138" s="76">
        <v>19719</v>
      </c>
      <c r="B138" s="3">
        <v>95</v>
      </c>
      <c r="C138" s="8">
        <f t="shared" si="24"/>
        <v>1.5</v>
      </c>
      <c r="D138" s="8">
        <f t="shared" si="25"/>
        <v>2</v>
      </c>
      <c r="E138" s="3">
        <v>93.5</v>
      </c>
      <c r="F138" s="3">
        <v>97</v>
      </c>
      <c r="G138" s="4" t="s">
        <v>377</v>
      </c>
      <c r="H138" s="4" t="s">
        <v>107</v>
      </c>
      <c r="I138" s="4" t="s">
        <v>90</v>
      </c>
      <c r="J138" s="11" t="s">
        <v>4</v>
      </c>
      <c r="K138" s="11" t="s">
        <v>27</v>
      </c>
      <c r="L138" s="5">
        <v>-32.5</v>
      </c>
      <c r="M138" s="4" t="s">
        <v>74</v>
      </c>
      <c r="N138" s="5">
        <f t="shared" si="32"/>
        <v>-29</v>
      </c>
      <c r="O138" s="5">
        <v>1.5</v>
      </c>
      <c r="P138" s="4" t="s">
        <v>71</v>
      </c>
      <c r="Q138" s="12">
        <f t="shared" si="26"/>
        <v>-8.2349667136719908</v>
      </c>
      <c r="R138" s="12">
        <f t="shared" si="27"/>
        <v>-7.7349667136719908</v>
      </c>
      <c r="S138" s="12">
        <f t="shared" si="28"/>
        <v>21.90013726707307</v>
      </c>
      <c r="T138" s="12">
        <f>U138+V138</f>
        <v>31.93</v>
      </c>
      <c r="U138" s="12">
        <v>27.73</v>
      </c>
      <c r="V138" s="12">
        <v>4.2</v>
      </c>
      <c r="W138" s="5" t="s">
        <v>176</v>
      </c>
      <c r="X138" s="5">
        <f t="shared" si="29"/>
        <v>304.93</v>
      </c>
      <c r="Y138" s="5">
        <v>1.3</v>
      </c>
      <c r="Z138" s="1" t="s">
        <v>269</v>
      </c>
      <c r="AA138" s="4" t="s">
        <v>178</v>
      </c>
      <c r="AB138" s="5" t="s">
        <v>169</v>
      </c>
      <c r="AC138" s="11">
        <v>170</v>
      </c>
      <c r="AD138" s="3">
        <f t="shared" si="23"/>
        <v>36.957624579337747</v>
      </c>
      <c r="AE138" s="3">
        <v>34</v>
      </c>
      <c r="AF138" s="57">
        <f t="shared" si="30"/>
        <v>2.47978456414794E-2</v>
      </c>
      <c r="AG138" s="12">
        <f t="shared" si="31"/>
        <v>1490.3562637521488</v>
      </c>
    </row>
    <row r="139" spans="1:307" x14ac:dyDescent="0.25">
      <c r="A139" s="76">
        <v>19720</v>
      </c>
      <c r="B139" s="3">
        <v>95</v>
      </c>
      <c r="C139" s="8">
        <f t="shared" si="24"/>
        <v>1.0999999999999943</v>
      </c>
      <c r="D139" s="8">
        <f t="shared" si="25"/>
        <v>2</v>
      </c>
      <c r="E139" s="3">
        <v>93.9</v>
      </c>
      <c r="F139" s="3">
        <v>97</v>
      </c>
      <c r="G139" s="4" t="s">
        <v>378</v>
      </c>
      <c r="H139" s="4" t="s">
        <v>97</v>
      </c>
      <c r="I139" s="4" t="s">
        <v>85</v>
      </c>
      <c r="J139" s="11" t="s">
        <v>4</v>
      </c>
      <c r="K139" s="11" t="s">
        <v>27</v>
      </c>
      <c r="L139" s="5">
        <v>-31.1</v>
      </c>
      <c r="M139" s="4" t="s">
        <v>88</v>
      </c>
      <c r="N139" s="5">
        <f t="shared" si="32"/>
        <v>-27.6</v>
      </c>
      <c r="O139" s="5">
        <v>0.99</v>
      </c>
      <c r="P139" s="4" t="s">
        <v>388</v>
      </c>
      <c r="Q139" s="12">
        <f t="shared" si="26"/>
        <v>-8.1745990180032742</v>
      </c>
      <c r="R139" s="12">
        <f t="shared" si="27"/>
        <v>-8.1845990180032739</v>
      </c>
      <c r="S139" s="12">
        <f t="shared" si="28"/>
        <v>19.966475711638012</v>
      </c>
      <c r="T139" s="12">
        <v>32.5</v>
      </c>
      <c r="W139" s="5"/>
      <c r="X139" s="5">
        <f t="shared" si="29"/>
        <v>305.5</v>
      </c>
      <c r="Y139" s="5"/>
      <c r="Z139" s="5"/>
      <c r="AA139" s="4" t="s">
        <v>363</v>
      </c>
      <c r="AB139" s="4" t="s">
        <v>364</v>
      </c>
      <c r="AC139" s="11">
        <v>170</v>
      </c>
      <c r="AD139" s="3">
        <f t="shared" si="23"/>
        <v>26.019647665933832</v>
      </c>
      <c r="AE139" s="3">
        <v>34</v>
      </c>
      <c r="AF139" s="57">
        <f t="shared" si="30"/>
        <v>2.448299956954382E-2</v>
      </c>
      <c r="AG139" s="12">
        <f t="shared" si="31"/>
        <v>1062.7638820163834</v>
      </c>
    </row>
    <row r="140" spans="1:307" x14ac:dyDescent="0.25">
      <c r="A140" s="76">
        <v>19721</v>
      </c>
      <c r="B140" s="3">
        <v>95</v>
      </c>
      <c r="C140" s="8">
        <f t="shared" si="24"/>
        <v>1.0999999999999943</v>
      </c>
      <c r="D140" s="8">
        <f t="shared" si="25"/>
        <v>2</v>
      </c>
      <c r="E140" s="3">
        <v>93.9</v>
      </c>
      <c r="F140" s="3">
        <v>97</v>
      </c>
      <c r="G140" s="4" t="s">
        <v>378</v>
      </c>
      <c r="H140" s="4" t="s">
        <v>104</v>
      </c>
      <c r="I140" s="4" t="s">
        <v>85</v>
      </c>
      <c r="J140" s="11" t="s">
        <v>4</v>
      </c>
      <c r="K140" s="11" t="s">
        <v>27</v>
      </c>
      <c r="L140" s="5">
        <v>-30</v>
      </c>
      <c r="M140" s="4" t="s">
        <v>88</v>
      </c>
      <c r="N140" s="5">
        <f t="shared" si="32"/>
        <v>-26.5</v>
      </c>
      <c r="O140" s="5">
        <v>0.99</v>
      </c>
      <c r="P140" s="4" t="s">
        <v>388</v>
      </c>
      <c r="Q140" s="12">
        <f t="shared" si="26"/>
        <v>-8.1745990180032742</v>
      </c>
      <c r="R140" s="12">
        <f t="shared" si="27"/>
        <v>-8.1845990180032739</v>
      </c>
      <c r="S140" s="12">
        <f t="shared" si="28"/>
        <v>18.813971219308499</v>
      </c>
      <c r="T140" s="12">
        <v>32.5</v>
      </c>
      <c r="W140" s="5"/>
      <c r="X140" s="5">
        <f t="shared" si="29"/>
        <v>305.5</v>
      </c>
      <c r="Y140" s="5"/>
      <c r="Z140" s="5"/>
      <c r="AA140" s="4" t="s">
        <v>363</v>
      </c>
      <c r="AB140" s="4" t="s">
        <v>364</v>
      </c>
      <c r="AC140" s="11">
        <v>170</v>
      </c>
      <c r="AD140" s="3">
        <f t="shared" si="23"/>
        <v>22.118054049845146</v>
      </c>
      <c r="AE140" s="3">
        <v>34</v>
      </c>
      <c r="AF140" s="57">
        <f t="shared" si="30"/>
        <v>2.448299956954382E-2</v>
      </c>
      <c r="AG140" s="12">
        <f t="shared" si="31"/>
        <v>903.40458435327503</v>
      </c>
    </row>
    <row r="141" spans="1:307" x14ac:dyDescent="0.25">
      <c r="A141" s="76">
        <v>19722</v>
      </c>
      <c r="B141" s="24">
        <v>95</v>
      </c>
      <c r="C141" s="8">
        <f t="shared" si="24"/>
        <v>1.0999999999999943</v>
      </c>
      <c r="D141" s="8">
        <f t="shared" si="25"/>
        <v>2</v>
      </c>
      <c r="E141" s="3">
        <v>93.9</v>
      </c>
      <c r="F141" s="3">
        <v>97</v>
      </c>
      <c r="G141" s="4" t="s">
        <v>378</v>
      </c>
      <c r="H141" s="4" t="s">
        <v>111</v>
      </c>
      <c r="I141" s="4" t="s">
        <v>90</v>
      </c>
      <c r="J141" s="11" t="s">
        <v>4</v>
      </c>
      <c r="K141" s="11" t="s">
        <v>27</v>
      </c>
      <c r="L141" s="5">
        <v>-30</v>
      </c>
      <c r="M141" s="4" t="s">
        <v>89</v>
      </c>
      <c r="N141" s="5">
        <f t="shared" si="32"/>
        <v>-26.5</v>
      </c>
      <c r="O141" s="5">
        <v>0.99</v>
      </c>
      <c r="P141" s="4" t="s">
        <v>388</v>
      </c>
      <c r="Q141" s="12">
        <f t="shared" si="26"/>
        <v>-8.2275409836065556</v>
      </c>
      <c r="R141" s="12">
        <f t="shared" si="27"/>
        <v>-8.2375409836065554</v>
      </c>
      <c r="S141" s="12">
        <f t="shared" si="28"/>
        <v>18.759588101071813</v>
      </c>
      <c r="T141" s="12">
        <v>32</v>
      </c>
      <c r="W141" s="5"/>
      <c r="X141" s="5">
        <f t="shared" si="29"/>
        <v>305</v>
      </c>
      <c r="Y141" s="5"/>
      <c r="Z141" s="23"/>
      <c r="AA141" s="4" t="s">
        <v>365</v>
      </c>
      <c r="AB141" s="5" t="s">
        <v>364</v>
      </c>
      <c r="AC141" s="11">
        <v>170</v>
      </c>
      <c r="AD141" s="3">
        <f t="shared" si="23"/>
        <v>21.962655504617249</v>
      </c>
      <c r="AE141" s="3">
        <v>34</v>
      </c>
      <c r="AF141" s="57">
        <f t="shared" si="30"/>
        <v>2.4758776095312345E-2</v>
      </c>
      <c r="AG141" s="12">
        <f t="shared" si="31"/>
        <v>887.06547609901872</v>
      </c>
    </row>
    <row r="142" spans="1:307" x14ac:dyDescent="0.25">
      <c r="A142" s="76">
        <v>19723</v>
      </c>
      <c r="B142" s="24">
        <v>95</v>
      </c>
      <c r="C142" s="8">
        <f t="shared" si="24"/>
        <v>1.0999999999999943</v>
      </c>
      <c r="D142" s="8">
        <f t="shared" si="25"/>
        <v>2</v>
      </c>
      <c r="E142" s="3">
        <v>93.9</v>
      </c>
      <c r="F142" s="3">
        <v>97</v>
      </c>
      <c r="G142" s="4" t="s">
        <v>378</v>
      </c>
      <c r="H142" s="4" t="s">
        <v>110</v>
      </c>
      <c r="I142" s="4" t="s">
        <v>90</v>
      </c>
      <c r="J142" s="11" t="s">
        <v>4</v>
      </c>
      <c r="K142" s="11" t="s">
        <v>27</v>
      </c>
      <c r="L142" s="5">
        <v>-30.1</v>
      </c>
      <c r="M142" s="4" t="s">
        <v>89</v>
      </c>
      <c r="N142" s="5">
        <f t="shared" si="32"/>
        <v>-26.6</v>
      </c>
      <c r="O142" s="5">
        <v>0.99</v>
      </c>
      <c r="P142" s="4" t="s">
        <v>388</v>
      </c>
      <c r="Q142" s="12">
        <f t="shared" si="26"/>
        <v>-8.2275409836065556</v>
      </c>
      <c r="R142" s="12">
        <f t="shared" si="27"/>
        <v>-8.2375409836065554</v>
      </c>
      <c r="S142" s="12">
        <f t="shared" si="28"/>
        <v>18.864248013553908</v>
      </c>
      <c r="T142" s="12">
        <v>32</v>
      </c>
      <c r="W142" s="5"/>
      <c r="X142" s="5">
        <f t="shared" si="29"/>
        <v>305</v>
      </c>
      <c r="Y142" s="5"/>
      <c r="Z142" s="23"/>
      <c r="AA142" s="4" t="s">
        <v>365</v>
      </c>
      <c r="AB142" s="5" t="s">
        <v>364</v>
      </c>
      <c r="AC142" s="11">
        <v>170</v>
      </c>
      <c r="AD142" s="3">
        <f t="shared" si="23"/>
        <v>22.263688016813536</v>
      </c>
      <c r="AE142" s="3">
        <v>34</v>
      </c>
      <c r="AF142" s="57">
        <f t="shared" si="30"/>
        <v>2.4758776095312345E-2</v>
      </c>
      <c r="AG142" s="12">
        <f t="shared" si="31"/>
        <v>899.22409456373691</v>
      </c>
    </row>
    <row r="143" spans="1:307" x14ac:dyDescent="0.25">
      <c r="A143" s="76">
        <v>19724</v>
      </c>
      <c r="B143" s="24">
        <v>95</v>
      </c>
      <c r="C143" s="8">
        <f t="shared" si="24"/>
        <v>1.0999999999999943</v>
      </c>
      <c r="D143" s="8">
        <f t="shared" si="25"/>
        <v>2</v>
      </c>
      <c r="E143" s="3">
        <v>93.9</v>
      </c>
      <c r="F143" s="3">
        <v>97</v>
      </c>
      <c r="G143" s="4" t="s">
        <v>378</v>
      </c>
      <c r="H143" s="4" t="s">
        <v>112</v>
      </c>
      <c r="I143" s="4" t="s">
        <v>90</v>
      </c>
      <c r="J143" s="11" t="s">
        <v>4</v>
      </c>
      <c r="K143" s="11" t="s">
        <v>27</v>
      </c>
      <c r="L143" s="5">
        <v>-29.5</v>
      </c>
      <c r="M143" s="4" t="s">
        <v>89</v>
      </c>
      <c r="N143" s="5">
        <f t="shared" si="32"/>
        <v>-26</v>
      </c>
      <c r="O143" s="5">
        <v>0.99</v>
      </c>
      <c r="P143" s="4" t="s">
        <v>388</v>
      </c>
      <c r="Q143" s="12">
        <f t="shared" si="26"/>
        <v>-8.2275409836065556</v>
      </c>
      <c r="R143" s="12">
        <f t="shared" si="27"/>
        <v>-8.2375409836065554</v>
      </c>
      <c r="S143" s="12">
        <f t="shared" si="28"/>
        <v>18.236610899788008</v>
      </c>
      <c r="T143" s="12">
        <v>32</v>
      </c>
      <c r="W143" s="5"/>
      <c r="X143" s="5">
        <f t="shared" si="29"/>
        <v>305</v>
      </c>
      <c r="Y143" s="5"/>
      <c r="Z143" s="23"/>
      <c r="AA143" s="4" t="s">
        <v>365</v>
      </c>
      <c r="AB143" s="5" t="s">
        <v>364</v>
      </c>
      <c r="AC143" s="11">
        <v>170</v>
      </c>
      <c r="AD143" s="3">
        <f t="shared" si="23"/>
        <v>20.572672778489732</v>
      </c>
      <c r="AE143" s="3">
        <v>34</v>
      </c>
      <c r="AF143" s="57">
        <f t="shared" si="30"/>
        <v>2.4758776095312345E-2</v>
      </c>
      <c r="AG143" s="12">
        <f t="shared" si="31"/>
        <v>830.92446489650274</v>
      </c>
    </row>
    <row r="144" spans="1:307" s="2" customFormat="1" x14ac:dyDescent="0.25">
      <c r="A144" s="76">
        <v>19725</v>
      </c>
      <c r="B144" s="3">
        <v>95</v>
      </c>
      <c r="C144" s="8">
        <f t="shared" si="24"/>
        <v>1.0999999999999943</v>
      </c>
      <c r="D144" s="8">
        <f t="shared" si="25"/>
        <v>2</v>
      </c>
      <c r="E144" s="3">
        <v>93.9</v>
      </c>
      <c r="F144" s="3">
        <v>97</v>
      </c>
      <c r="G144" s="4" t="s">
        <v>378</v>
      </c>
      <c r="H144" s="4" t="s">
        <v>359</v>
      </c>
      <c r="I144" s="4" t="s">
        <v>179</v>
      </c>
      <c r="J144" s="11" t="s">
        <v>4</v>
      </c>
      <c r="K144" s="11" t="s">
        <v>27</v>
      </c>
      <c r="L144" s="5">
        <v>-30.1</v>
      </c>
      <c r="M144" s="4" t="s">
        <v>71</v>
      </c>
      <c r="N144" s="5">
        <f t="shared" si="32"/>
        <v>-26.6</v>
      </c>
      <c r="O144" s="5">
        <v>1.5</v>
      </c>
      <c r="P144" s="4" t="s">
        <v>71</v>
      </c>
      <c r="Q144" s="12">
        <f t="shared" si="26"/>
        <v>-8.0692332789559522</v>
      </c>
      <c r="R144" s="12">
        <f t="shared" si="27"/>
        <v>-7.5692332789559522</v>
      </c>
      <c r="S144" s="12">
        <f t="shared" si="28"/>
        <v>19.550818492956701</v>
      </c>
      <c r="T144" s="12">
        <v>33.5</v>
      </c>
      <c r="U144" s="12"/>
      <c r="V144" s="12"/>
      <c r="W144" s="5"/>
      <c r="X144" s="5">
        <f t="shared" si="29"/>
        <v>306.5</v>
      </c>
      <c r="Y144" s="5"/>
      <c r="Z144" s="1"/>
      <c r="AA144" s="4" t="s">
        <v>361</v>
      </c>
      <c r="AB144" s="5" t="s">
        <v>362</v>
      </c>
      <c r="AC144" s="11">
        <v>170</v>
      </c>
      <c r="AD144" s="3">
        <f t="shared" si="23"/>
        <v>24.463312668937711</v>
      </c>
      <c r="AE144" s="3">
        <v>34</v>
      </c>
      <c r="AF144" s="57">
        <f t="shared" si="30"/>
        <v>2.3948342576917272E-2</v>
      </c>
      <c r="AG144" s="12">
        <f t="shared" si="31"/>
        <v>1021.5033708644537</v>
      </c>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row>
    <row r="145" spans="1:307" x14ac:dyDescent="0.25">
      <c r="A145" s="76">
        <v>19726</v>
      </c>
      <c r="B145" s="3">
        <v>95</v>
      </c>
      <c r="C145" s="8">
        <f t="shared" si="24"/>
        <v>1.0999999999999943</v>
      </c>
      <c r="D145" s="8">
        <f t="shared" si="25"/>
        <v>2</v>
      </c>
      <c r="E145" s="3">
        <v>93.9</v>
      </c>
      <c r="F145" s="3">
        <v>97</v>
      </c>
      <c r="G145" s="4" t="s">
        <v>378</v>
      </c>
      <c r="H145" s="4" t="s">
        <v>355</v>
      </c>
      <c r="I145" s="4" t="s">
        <v>179</v>
      </c>
      <c r="J145" s="11" t="s">
        <v>4</v>
      </c>
      <c r="K145" s="11" t="s">
        <v>27</v>
      </c>
      <c r="L145" s="5">
        <v>-30.4</v>
      </c>
      <c r="M145" s="4" t="s">
        <v>71</v>
      </c>
      <c r="N145" s="5">
        <f t="shared" si="32"/>
        <v>-26.9</v>
      </c>
      <c r="O145" s="5">
        <v>1.5</v>
      </c>
      <c r="P145" s="4" t="s">
        <v>71</v>
      </c>
      <c r="Q145" s="12">
        <f t="shared" si="26"/>
        <v>-8.0692332789559522</v>
      </c>
      <c r="R145" s="12">
        <f t="shared" si="27"/>
        <v>-7.5692332789559522</v>
      </c>
      <c r="S145" s="12">
        <f t="shared" si="28"/>
        <v>19.865138959042294</v>
      </c>
      <c r="T145" s="12">
        <v>33.5</v>
      </c>
      <c r="W145" s="5"/>
      <c r="X145" s="5">
        <f t="shared" si="29"/>
        <v>306.5</v>
      </c>
      <c r="Y145" s="5"/>
      <c r="Z145" s="1"/>
      <c r="AA145" s="4" t="s">
        <v>361</v>
      </c>
      <c r="AB145" s="5" t="s">
        <v>362</v>
      </c>
      <c r="AC145" s="11">
        <v>170</v>
      </c>
      <c r="AD145" s="3">
        <f t="shared" si="23"/>
        <v>25.622239704881814</v>
      </c>
      <c r="AE145" s="3">
        <v>34</v>
      </c>
      <c r="AF145" s="57">
        <f t="shared" si="30"/>
        <v>2.3948342576917272E-2</v>
      </c>
      <c r="AG145" s="12">
        <f t="shared" si="31"/>
        <v>1069.8961576396496</v>
      </c>
    </row>
    <row r="146" spans="1:307" x14ac:dyDescent="0.25">
      <c r="A146" s="76">
        <v>19727</v>
      </c>
      <c r="B146" s="3">
        <v>95</v>
      </c>
      <c r="C146" s="8">
        <f t="shared" si="24"/>
        <v>1.0999999999999943</v>
      </c>
      <c r="D146" s="8">
        <f t="shared" si="25"/>
        <v>2</v>
      </c>
      <c r="E146" s="3">
        <v>93.9</v>
      </c>
      <c r="F146" s="3">
        <v>97</v>
      </c>
      <c r="G146" s="4" t="s">
        <v>377</v>
      </c>
      <c r="H146" s="4" t="s">
        <v>87</v>
      </c>
      <c r="I146" s="4" t="s">
        <v>81</v>
      </c>
      <c r="J146" s="11" t="s">
        <v>4</v>
      </c>
      <c r="K146" s="11" t="s">
        <v>0</v>
      </c>
      <c r="L146" s="5">
        <v>-31.6</v>
      </c>
      <c r="M146" s="4" t="s">
        <v>80</v>
      </c>
      <c r="N146" s="5">
        <f t="shared" si="32"/>
        <v>-28.1</v>
      </c>
      <c r="O146" s="5">
        <v>0.01</v>
      </c>
      <c r="P146" s="4" t="s">
        <v>387</v>
      </c>
      <c r="Q146" s="12">
        <f t="shared" si="26"/>
        <v>-8.5560874365202046</v>
      </c>
      <c r="R146" s="12">
        <f t="shared" si="27"/>
        <v>-9.5460874365202049</v>
      </c>
      <c r="S146" s="12">
        <f t="shared" si="28"/>
        <v>19.090351438913356</v>
      </c>
      <c r="T146" s="12">
        <f>U146+V146</f>
        <v>28.933333333333334</v>
      </c>
      <c r="U146" s="12">
        <f>SUM(27.3+28.1+28.8+27.5+25.5+22.8+21+20.4+21.4+23.2+25.1+25.7)/12</f>
        <v>24.733333333333334</v>
      </c>
      <c r="V146" s="12">
        <v>4.2</v>
      </c>
      <c r="W146" s="5" t="s">
        <v>176</v>
      </c>
      <c r="X146" s="5">
        <f t="shared" si="29"/>
        <v>301.93333333333334</v>
      </c>
      <c r="Y146" s="5"/>
      <c r="Z146" s="23" t="s">
        <v>268</v>
      </c>
      <c r="AA146" s="4" t="s">
        <v>181</v>
      </c>
      <c r="AB146" s="4" t="s">
        <v>169</v>
      </c>
      <c r="AC146" s="11">
        <v>170</v>
      </c>
      <c r="AD146" s="3">
        <f t="shared" si="23"/>
        <v>22.943058445820412</v>
      </c>
      <c r="AE146" s="3">
        <v>34</v>
      </c>
      <c r="AF146" s="57">
        <f t="shared" si="30"/>
        <v>2.6582908560244985E-2</v>
      </c>
      <c r="AG146" s="12">
        <f t="shared" si="31"/>
        <v>863.0755507368367</v>
      </c>
    </row>
    <row r="147" spans="1:307" x14ac:dyDescent="0.25">
      <c r="A147" s="76">
        <v>19728</v>
      </c>
      <c r="B147" s="3">
        <v>95</v>
      </c>
      <c r="C147" s="8">
        <f t="shared" si="24"/>
        <v>1.0999999999999943</v>
      </c>
      <c r="D147" s="8">
        <f t="shared" si="25"/>
        <v>2</v>
      </c>
      <c r="E147" s="3">
        <v>93.9</v>
      </c>
      <c r="F147" s="3">
        <v>97</v>
      </c>
      <c r="G147" s="4" t="s">
        <v>377</v>
      </c>
      <c r="H147" s="4" t="s">
        <v>86</v>
      </c>
      <c r="I147" s="4" t="s">
        <v>81</v>
      </c>
      <c r="J147" s="11" t="s">
        <v>4</v>
      </c>
      <c r="K147" s="11" t="s">
        <v>0</v>
      </c>
      <c r="L147" s="5">
        <v>-32.5</v>
      </c>
      <c r="M147" s="4" t="s">
        <v>80</v>
      </c>
      <c r="N147" s="5">
        <f t="shared" si="32"/>
        <v>-29</v>
      </c>
      <c r="O147" s="5">
        <v>0.01</v>
      </c>
      <c r="P147" s="4" t="s">
        <v>387</v>
      </c>
      <c r="Q147" s="12">
        <f t="shared" si="26"/>
        <v>-8.5560874365202046</v>
      </c>
      <c r="R147" s="12">
        <f t="shared" si="27"/>
        <v>-9.5460874365202049</v>
      </c>
      <c r="S147" s="12">
        <f t="shared" si="28"/>
        <v>20.034925400082226</v>
      </c>
      <c r="T147" s="12">
        <f>U147+V147</f>
        <v>28.933333333333334</v>
      </c>
      <c r="U147" s="12">
        <f>SUM(27.3+28.1+28.8+27.5+25.5+22.8+21+20.4+21.4+23.2+25.1+25.7)/12</f>
        <v>24.733333333333334</v>
      </c>
      <c r="V147" s="12">
        <v>4.2</v>
      </c>
      <c r="W147" s="5" t="s">
        <v>176</v>
      </c>
      <c r="X147" s="5">
        <f t="shared" si="29"/>
        <v>301.93333333333334</v>
      </c>
      <c r="Y147" s="5"/>
      <c r="Z147" s="23" t="s">
        <v>268</v>
      </c>
      <c r="AA147" s="4" t="s">
        <v>181</v>
      </c>
      <c r="AB147" s="4" t="s">
        <v>169</v>
      </c>
      <c r="AC147" s="11">
        <v>170</v>
      </c>
      <c r="AD147" s="3">
        <f t="shared" si="23"/>
        <v>26.295133547594663</v>
      </c>
      <c r="AE147" s="3">
        <v>34</v>
      </c>
      <c r="AF147" s="57">
        <f t="shared" si="30"/>
        <v>2.6582908560244985E-2</v>
      </c>
      <c r="AG147" s="12">
        <f t="shared" si="31"/>
        <v>989.17443469370039</v>
      </c>
    </row>
    <row r="148" spans="1:307" s="2" customFormat="1" x14ac:dyDescent="0.25">
      <c r="A148" s="76">
        <v>19729</v>
      </c>
      <c r="B148" s="3">
        <v>95.5</v>
      </c>
      <c r="C148" s="8">
        <f t="shared" si="24"/>
        <v>1.5999999999999943</v>
      </c>
      <c r="D148" s="8">
        <f t="shared" si="25"/>
        <v>1.5</v>
      </c>
      <c r="E148" s="3">
        <v>93.9</v>
      </c>
      <c r="F148" s="3">
        <v>97</v>
      </c>
      <c r="G148" s="4" t="s">
        <v>378</v>
      </c>
      <c r="H148" s="4" t="s">
        <v>98</v>
      </c>
      <c r="I148" s="4" t="s">
        <v>85</v>
      </c>
      <c r="J148" s="11" t="s">
        <v>4</v>
      </c>
      <c r="K148" s="11" t="s">
        <v>27</v>
      </c>
      <c r="L148" s="5">
        <v>-30.9</v>
      </c>
      <c r="M148" s="4" t="s">
        <v>88</v>
      </c>
      <c r="N148" s="5">
        <f t="shared" si="32"/>
        <v>-27.4</v>
      </c>
      <c r="O148" s="5">
        <v>2.1</v>
      </c>
      <c r="P148" s="4" t="s">
        <v>388</v>
      </c>
      <c r="Q148" s="12">
        <f t="shared" si="26"/>
        <v>-8.1745990180032742</v>
      </c>
      <c r="R148" s="12">
        <f t="shared" si="27"/>
        <v>-7.0745990180032745</v>
      </c>
      <c r="S148" s="12">
        <f t="shared" si="28"/>
        <v>20.898006356155463</v>
      </c>
      <c r="T148" s="12">
        <v>32.5</v>
      </c>
      <c r="U148" s="12"/>
      <c r="V148" s="12"/>
      <c r="W148" s="5"/>
      <c r="X148" s="5">
        <f t="shared" si="29"/>
        <v>305.5</v>
      </c>
      <c r="Y148" s="5"/>
      <c r="Z148" s="5"/>
      <c r="AA148" s="4" t="s">
        <v>363</v>
      </c>
      <c r="AB148" s="4" t="s">
        <v>364</v>
      </c>
      <c r="AC148" s="11">
        <v>170</v>
      </c>
      <c r="AD148" s="3">
        <f t="shared" si="23"/>
        <v>30.346339322750886</v>
      </c>
      <c r="AE148" s="3">
        <v>34</v>
      </c>
      <c r="AF148" s="57">
        <f t="shared" si="30"/>
        <v>2.448299956954382E-2</v>
      </c>
      <c r="AG148" s="12">
        <f t="shared" si="31"/>
        <v>1239.4861682104058</v>
      </c>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row>
    <row r="149" spans="1:307" x14ac:dyDescent="0.25">
      <c r="A149" s="76">
        <v>19730</v>
      </c>
      <c r="B149" s="3">
        <v>95.9</v>
      </c>
      <c r="C149" s="8">
        <f t="shared" si="24"/>
        <v>2</v>
      </c>
      <c r="D149" s="8">
        <f t="shared" si="25"/>
        <v>1.0999999999999943</v>
      </c>
      <c r="E149" s="3">
        <v>93.9</v>
      </c>
      <c r="F149" s="3">
        <v>97</v>
      </c>
      <c r="G149" s="4" t="s">
        <v>378</v>
      </c>
      <c r="H149" s="4" t="s">
        <v>102</v>
      </c>
      <c r="I149" s="4" t="s">
        <v>85</v>
      </c>
      <c r="J149" s="11" t="s">
        <v>4</v>
      </c>
      <c r="K149" s="11" t="s">
        <v>27</v>
      </c>
      <c r="L149" s="5">
        <v>-30.3</v>
      </c>
      <c r="M149" s="4" t="s">
        <v>88</v>
      </c>
      <c r="N149" s="5">
        <f t="shared" si="32"/>
        <v>-26.8</v>
      </c>
      <c r="O149" s="5">
        <v>2.1</v>
      </c>
      <c r="P149" s="4" t="s">
        <v>388</v>
      </c>
      <c r="Q149" s="12">
        <f t="shared" si="26"/>
        <v>-8.1745990180032742</v>
      </c>
      <c r="R149" s="12">
        <f t="shared" si="27"/>
        <v>-7.0745990180032745</v>
      </c>
      <c r="S149" s="12">
        <f t="shared" si="28"/>
        <v>20.268599447181181</v>
      </c>
      <c r="T149" s="12">
        <v>32.5</v>
      </c>
      <c r="W149" s="5"/>
      <c r="X149" s="5">
        <f t="shared" si="29"/>
        <v>305.5</v>
      </c>
      <c r="Y149" s="5"/>
      <c r="Z149" s="5"/>
      <c r="AA149" s="4" t="s">
        <v>363</v>
      </c>
      <c r="AB149" s="4" t="s">
        <v>364</v>
      </c>
      <c r="AC149" s="11">
        <v>170</v>
      </c>
      <c r="AD149" s="3">
        <f t="shared" si="23"/>
        <v>27.28118639767095</v>
      </c>
      <c r="AE149" s="3">
        <v>34</v>
      </c>
      <c r="AF149" s="57">
        <f t="shared" si="30"/>
        <v>2.448299956954382E-2</v>
      </c>
      <c r="AG149" s="12">
        <f t="shared" si="31"/>
        <v>1114.2910132469224</v>
      </c>
    </row>
    <row r="150" spans="1:307" s="2" customFormat="1" x14ac:dyDescent="0.25">
      <c r="A150" s="76">
        <v>19731</v>
      </c>
      <c r="B150" s="3">
        <v>96</v>
      </c>
      <c r="C150" s="8">
        <f t="shared" si="24"/>
        <v>1</v>
      </c>
      <c r="D150" s="8">
        <f t="shared" si="25"/>
        <v>1</v>
      </c>
      <c r="E150" s="3">
        <v>95</v>
      </c>
      <c r="F150" s="3">
        <v>97</v>
      </c>
      <c r="G150" s="4" t="s">
        <v>377</v>
      </c>
      <c r="H150" s="4" t="s">
        <v>278</v>
      </c>
      <c r="I150" s="4" t="s">
        <v>287</v>
      </c>
      <c r="J150" s="11" t="s">
        <v>4</v>
      </c>
      <c r="K150" s="11" t="s">
        <v>0</v>
      </c>
      <c r="L150" s="5">
        <v>-29.1</v>
      </c>
      <c r="M150" s="4" t="s">
        <v>286</v>
      </c>
      <c r="N150" s="5">
        <f t="shared" si="32"/>
        <v>-25.6</v>
      </c>
      <c r="O150" s="5">
        <v>-0.2</v>
      </c>
      <c r="P150" s="4" t="s">
        <v>286</v>
      </c>
      <c r="Q150" s="12">
        <f t="shared" si="26"/>
        <v>-8.1218300653594788</v>
      </c>
      <c r="R150" s="12">
        <f t="shared" si="27"/>
        <v>-9.3218300653594781</v>
      </c>
      <c r="S150" s="12">
        <f t="shared" si="28"/>
        <v>16.705839423892144</v>
      </c>
      <c r="T150" s="12">
        <v>33</v>
      </c>
      <c r="U150" s="12"/>
      <c r="V150" s="12"/>
      <c r="W150" s="5"/>
      <c r="X150" s="5">
        <f t="shared" si="29"/>
        <v>306</v>
      </c>
      <c r="Y150" s="5"/>
      <c r="Z150" s="23"/>
      <c r="AA150" s="4"/>
      <c r="AB150" s="4" t="s">
        <v>286</v>
      </c>
      <c r="AC150" s="11">
        <v>170</v>
      </c>
      <c r="AD150" s="3">
        <f t="shared" si="23"/>
        <v>17.357281277856792</v>
      </c>
      <c r="AE150" s="3">
        <v>34</v>
      </c>
      <c r="AF150" s="57">
        <f t="shared" si="30"/>
        <v>2.421289985168593E-2</v>
      </c>
      <c r="AG150" s="12">
        <f t="shared" si="31"/>
        <v>716.86090407086101</v>
      </c>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row>
    <row r="151" spans="1:307" x14ac:dyDescent="0.25">
      <c r="A151" s="76">
        <v>19732</v>
      </c>
      <c r="B151" s="3">
        <v>96</v>
      </c>
      <c r="C151" s="8">
        <f t="shared" si="24"/>
        <v>1</v>
      </c>
      <c r="D151" s="8">
        <f t="shared" si="25"/>
        <v>1</v>
      </c>
      <c r="E151" s="3">
        <v>95</v>
      </c>
      <c r="F151" s="3">
        <v>97</v>
      </c>
      <c r="G151" s="4" t="s">
        <v>377</v>
      </c>
      <c r="H151" s="4" t="s">
        <v>279</v>
      </c>
      <c r="I151" s="4" t="s">
        <v>287</v>
      </c>
      <c r="J151" s="11" t="s">
        <v>4</v>
      </c>
      <c r="K151" s="11" t="s">
        <v>0</v>
      </c>
      <c r="L151" s="5">
        <v>-30.9</v>
      </c>
      <c r="M151" s="4" t="s">
        <v>286</v>
      </c>
      <c r="N151" s="5">
        <f t="shared" si="32"/>
        <v>-27.4</v>
      </c>
      <c r="O151" s="5">
        <v>-2.5</v>
      </c>
      <c r="P151" s="4" t="s">
        <v>286</v>
      </c>
      <c r="Q151" s="12">
        <f t="shared" si="26"/>
        <v>-8.1323700555737197</v>
      </c>
      <c r="R151" s="12">
        <f t="shared" si="27"/>
        <v>-11.63237005557372</v>
      </c>
      <c r="S151" s="12">
        <f t="shared" si="28"/>
        <v>16.211834201548704</v>
      </c>
      <c r="T151" s="12">
        <v>32.9</v>
      </c>
      <c r="W151" s="5"/>
      <c r="X151" s="5">
        <f t="shared" si="29"/>
        <v>305.89999999999998</v>
      </c>
      <c r="Y151" s="5"/>
      <c r="Z151" s="23"/>
      <c r="AA151" s="4"/>
      <c r="AB151" s="4" t="s">
        <v>286</v>
      </c>
      <c r="AC151" s="11">
        <v>170</v>
      </c>
      <c r="AD151" s="3">
        <f t="shared" si="23"/>
        <v>16.523839460828921</v>
      </c>
      <c r="AE151" s="3">
        <v>34</v>
      </c>
      <c r="AF151" s="57">
        <f t="shared" si="30"/>
        <v>2.426647215572866E-2</v>
      </c>
      <c r="AG151" s="12">
        <f t="shared" si="31"/>
        <v>680.93290836789754</v>
      </c>
    </row>
    <row r="152" spans="1:307" x14ac:dyDescent="0.25">
      <c r="A152" s="76">
        <v>19733</v>
      </c>
      <c r="B152" s="3">
        <v>96</v>
      </c>
      <c r="C152" s="8">
        <f t="shared" si="24"/>
        <v>1</v>
      </c>
      <c r="D152" s="8">
        <f t="shared" si="25"/>
        <v>1</v>
      </c>
      <c r="E152" s="3">
        <v>95</v>
      </c>
      <c r="F152" s="3">
        <v>97</v>
      </c>
      <c r="G152" s="4" t="s">
        <v>377</v>
      </c>
      <c r="H152" s="4" t="s">
        <v>283</v>
      </c>
      <c r="I152" s="4" t="s">
        <v>287</v>
      </c>
      <c r="J152" s="11" t="s">
        <v>4</v>
      </c>
      <c r="K152" s="11" t="s">
        <v>0</v>
      </c>
      <c r="L152" s="5">
        <v>-30.3</v>
      </c>
      <c r="M152" s="4" t="s">
        <v>286</v>
      </c>
      <c r="N152" s="5">
        <f t="shared" si="32"/>
        <v>-26.8</v>
      </c>
      <c r="O152" s="5">
        <v>0.2</v>
      </c>
      <c r="P152" s="4" t="s">
        <v>286</v>
      </c>
      <c r="Q152" s="12">
        <f t="shared" si="26"/>
        <v>-8.2169387086201233</v>
      </c>
      <c r="R152" s="12">
        <f t="shared" si="27"/>
        <v>-9.016938708620124</v>
      </c>
      <c r="S152" s="12">
        <f t="shared" si="28"/>
        <v>18.272771569440849</v>
      </c>
      <c r="T152" s="12">
        <v>32.1</v>
      </c>
      <c r="W152" s="5"/>
      <c r="X152" s="5">
        <f t="shared" si="29"/>
        <v>305.10000000000002</v>
      </c>
      <c r="Y152" s="5"/>
      <c r="Z152" s="23"/>
      <c r="AA152" s="4"/>
      <c r="AB152" s="4" t="s">
        <v>286</v>
      </c>
      <c r="AC152" s="11">
        <v>170</v>
      </c>
      <c r="AD152" s="3">
        <f t="shared" si="23"/>
        <v>20.663094678221569</v>
      </c>
      <c r="AE152" s="3">
        <v>34</v>
      </c>
      <c r="AF152" s="57">
        <f t="shared" si="30"/>
        <v>2.4703160064941224E-2</v>
      </c>
      <c r="AG152" s="12">
        <f t="shared" si="31"/>
        <v>836.45552325698907</v>
      </c>
    </row>
    <row r="153" spans="1:307" x14ac:dyDescent="0.25">
      <c r="A153" s="76">
        <v>19734</v>
      </c>
      <c r="B153" s="3">
        <v>96</v>
      </c>
      <c r="C153" s="8">
        <f t="shared" si="24"/>
        <v>2.5</v>
      </c>
      <c r="D153" s="8">
        <f t="shared" si="25"/>
        <v>1</v>
      </c>
      <c r="E153" s="3">
        <v>93.5</v>
      </c>
      <c r="F153" s="3">
        <v>97</v>
      </c>
      <c r="G153" s="4" t="s">
        <v>377</v>
      </c>
      <c r="H153" s="4" t="s">
        <v>385</v>
      </c>
      <c r="I153" s="4" t="s">
        <v>94</v>
      </c>
      <c r="J153" s="11" t="s">
        <v>4</v>
      </c>
      <c r="K153" s="11" t="s">
        <v>27</v>
      </c>
      <c r="L153" s="5">
        <v>-31.5</v>
      </c>
      <c r="M153" s="4" t="s">
        <v>93</v>
      </c>
      <c r="N153" s="5">
        <f t="shared" si="32"/>
        <v>-28</v>
      </c>
      <c r="O153" s="5">
        <v>2.1</v>
      </c>
      <c r="P153" s="4" t="s">
        <v>388</v>
      </c>
      <c r="Q153" s="12">
        <f t="shared" si="26"/>
        <v>-8.1218300653594788</v>
      </c>
      <c r="R153" s="12">
        <f t="shared" si="27"/>
        <v>-7.0218300653594792</v>
      </c>
      <c r="S153" s="12">
        <f t="shared" si="28"/>
        <v>21.582479356625939</v>
      </c>
      <c r="T153" s="12">
        <v>33</v>
      </c>
      <c r="W153" s="5"/>
      <c r="X153" s="5">
        <f t="shared" si="29"/>
        <v>306</v>
      </c>
      <c r="Y153" s="5">
        <v>20</v>
      </c>
      <c r="Z153" s="23"/>
      <c r="AA153" s="4"/>
      <c r="AB153" s="5" t="s">
        <v>390</v>
      </c>
      <c r="AC153" s="11">
        <v>170</v>
      </c>
      <c r="AD153" s="3">
        <f t="shared" si="23"/>
        <v>34.570266670676915</v>
      </c>
      <c r="AE153" s="3">
        <v>34</v>
      </c>
      <c r="AF153" s="57">
        <f t="shared" si="30"/>
        <v>2.421289985168593E-2</v>
      </c>
      <c r="AG153" s="12">
        <f t="shared" si="31"/>
        <v>1427.7623449662849</v>
      </c>
    </row>
    <row r="154" spans="1:307" hidden="1" x14ac:dyDescent="0.25">
      <c r="A154" s="76">
        <v>19735</v>
      </c>
      <c r="B154" s="24">
        <f>AVERAGE(E154:F154)</f>
        <v>95.45</v>
      </c>
      <c r="C154" s="8">
        <f t="shared" si="24"/>
        <v>1.5499999999999972</v>
      </c>
      <c r="D154" s="8">
        <f t="shared" si="25"/>
        <v>1.5499999999999972</v>
      </c>
      <c r="E154" s="3">
        <v>93.9</v>
      </c>
      <c r="F154" s="3">
        <v>97</v>
      </c>
      <c r="G154" s="4" t="s">
        <v>378</v>
      </c>
      <c r="H154" s="4" t="s">
        <v>18</v>
      </c>
      <c r="I154" s="4" t="s">
        <v>17</v>
      </c>
      <c r="J154" s="11" t="s">
        <v>4</v>
      </c>
      <c r="K154" s="11" t="s">
        <v>0</v>
      </c>
      <c r="L154" s="5">
        <v>-29.4</v>
      </c>
      <c r="M154" s="4" t="s">
        <v>89</v>
      </c>
      <c r="N154" s="5">
        <f t="shared" si="32"/>
        <v>-25.9</v>
      </c>
      <c r="O154" s="5">
        <v>1.5</v>
      </c>
      <c r="P154" s="4" t="s">
        <v>71</v>
      </c>
      <c r="Q154" s="12">
        <f t="shared" si="26"/>
        <v>-8.2275409836065556</v>
      </c>
      <c r="R154" s="12">
        <f t="shared" si="27"/>
        <v>-7.7275409836065556</v>
      </c>
      <c r="S154" s="12">
        <f t="shared" si="28"/>
        <v>18.655640094850099</v>
      </c>
      <c r="T154" s="12">
        <v>32</v>
      </c>
      <c r="W154" s="5"/>
      <c r="X154" s="5">
        <f t="shared" si="29"/>
        <v>305</v>
      </c>
      <c r="Y154" s="5"/>
      <c r="Z154" s="23"/>
      <c r="AA154" s="4" t="s">
        <v>365</v>
      </c>
      <c r="AB154" s="5" t="s">
        <v>364</v>
      </c>
      <c r="AC154" s="11">
        <v>170</v>
      </c>
      <c r="AD154" s="3">
        <f t="shared" si="23"/>
        <v>21.67162165626711</v>
      </c>
      <c r="AE154" s="3">
        <v>34</v>
      </c>
      <c r="AF154" s="57">
        <f t="shared" si="30"/>
        <v>2.4758776095312345E-2</v>
      </c>
      <c r="AG154" s="12">
        <f t="shared" si="31"/>
        <v>875.31070085367685</v>
      </c>
    </row>
    <row r="155" spans="1:307" x14ac:dyDescent="0.25">
      <c r="A155" s="76">
        <v>19736</v>
      </c>
      <c r="B155" s="3">
        <v>96</v>
      </c>
      <c r="C155" s="8">
        <f t="shared" si="24"/>
        <v>2.5</v>
      </c>
      <c r="D155" s="8">
        <f t="shared" si="25"/>
        <v>1</v>
      </c>
      <c r="E155" s="3">
        <v>93.5</v>
      </c>
      <c r="F155" s="3">
        <v>97</v>
      </c>
      <c r="G155" s="4" t="s">
        <v>377</v>
      </c>
      <c r="H155" s="4" t="s">
        <v>107</v>
      </c>
      <c r="I155" s="4" t="s">
        <v>90</v>
      </c>
      <c r="J155" s="11" t="s">
        <v>4</v>
      </c>
      <c r="K155" s="11" t="s">
        <v>27</v>
      </c>
      <c r="L155" s="5">
        <v>-32</v>
      </c>
      <c r="M155" s="4" t="s">
        <v>74</v>
      </c>
      <c r="N155" s="5">
        <f t="shared" si="32"/>
        <v>-28.5</v>
      </c>
      <c r="O155" s="5">
        <v>1.5</v>
      </c>
      <c r="P155" s="4" t="s">
        <v>71</v>
      </c>
      <c r="Q155" s="12">
        <f t="shared" si="26"/>
        <v>-8.2349667136719908</v>
      </c>
      <c r="R155" s="12">
        <f t="shared" si="27"/>
        <v>-7.7349667136719908</v>
      </c>
      <c r="S155" s="12">
        <f t="shared" si="28"/>
        <v>21.374197927254812</v>
      </c>
      <c r="T155" s="12">
        <f>U155+V155</f>
        <v>31.93</v>
      </c>
      <c r="U155" s="12">
        <v>27.73</v>
      </c>
      <c r="V155" s="12">
        <v>4.2</v>
      </c>
      <c r="W155" s="5" t="s">
        <v>176</v>
      </c>
      <c r="X155" s="5">
        <f t="shared" si="29"/>
        <v>304.93</v>
      </c>
      <c r="Y155" s="5">
        <v>1.3</v>
      </c>
      <c r="Z155" s="1" t="s">
        <v>269</v>
      </c>
      <c r="AA155" s="4" t="s">
        <v>178</v>
      </c>
      <c r="AB155" s="5" t="s">
        <v>169</v>
      </c>
      <c r="AC155" s="11">
        <v>170</v>
      </c>
      <c r="AD155" s="3">
        <f t="shared" si="23"/>
        <v>33.165541233814039</v>
      </c>
      <c r="AE155" s="3">
        <v>34</v>
      </c>
      <c r="AF155" s="57">
        <f t="shared" si="30"/>
        <v>2.47978456414794E-2</v>
      </c>
      <c r="AG155" s="12">
        <f t="shared" si="31"/>
        <v>1337.4363931977211</v>
      </c>
    </row>
    <row r="156" spans="1:307" x14ac:dyDescent="0.25">
      <c r="A156" s="76">
        <v>19737</v>
      </c>
      <c r="B156" s="3">
        <v>96</v>
      </c>
      <c r="C156" s="8">
        <f t="shared" si="24"/>
        <v>2.5</v>
      </c>
      <c r="D156" s="8">
        <f t="shared" si="25"/>
        <v>1</v>
      </c>
      <c r="E156" s="3">
        <v>93.5</v>
      </c>
      <c r="F156" s="3">
        <v>97</v>
      </c>
      <c r="G156" s="4" t="s">
        <v>377</v>
      </c>
      <c r="H156" s="4" t="s">
        <v>107</v>
      </c>
      <c r="I156" s="4" t="s">
        <v>90</v>
      </c>
      <c r="J156" s="11" t="s">
        <v>4</v>
      </c>
      <c r="K156" s="11" t="s">
        <v>27</v>
      </c>
      <c r="L156" s="5">
        <v>-32.299999999999997</v>
      </c>
      <c r="M156" s="4" t="s">
        <v>74</v>
      </c>
      <c r="N156" s="5">
        <f t="shared" si="32"/>
        <v>-28.799999999999997</v>
      </c>
      <c r="O156" s="5">
        <v>1.5</v>
      </c>
      <c r="P156" s="4" t="s">
        <v>71</v>
      </c>
      <c r="Q156" s="12">
        <f t="shared" si="26"/>
        <v>-8.2349667136719908</v>
      </c>
      <c r="R156" s="12">
        <f t="shared" si="27"/>
        <v>-7.7349667136719908</v>
      </c>
      <c r="S156" s="12">
        <f t="shared" si="28"/>
        <v>21.689696546878025</v>
      </c>
      <c r="T156" s="12">
        <f>U156+V156</f>
        <v>31.93</v>
      </c>
      <c r="U156" s="12">
        <v>27.73</v>
      </c>
      <c r="V156" s="12">
        <v>4.2</v>
      </c>
      <c r="W156" s="5" t="s">
        <v>176</v>
      </c>
      <c r="X156" s="5">
        <f t="shared" si="29"/>
        <v>304.93</v>
      </c>
      <c r="Y156" s="5">
        <v>1.3</v>
      </c>
      <c r="Z156" s="1" t="s">
        <v>269</v>
      </c>
      <c r="AA156" s="4" t="s">
        <v>178</v>
      </c>
      <c r="AB156" s="5" t="s">
        <v>169</v>
      </c>
      <c r="AC156" s="11">
        <v>170</v>
      </c>
      <c r="AD156" s="3">
        <f t="shared" si="23"/>
        <v>35.340805763442404</v>
      </c>
      <c r="AE156" s="3">
        <v>34</v>
      </c>
      <c r="AF156" s="57">
        <f t="shared" si="30"/>
        <v>2.47978456414794E-2</v>
      </c>
      <c r="AG156" s="12">
        <f t="shared" si="31"/>
        <v>1425.1562927840705</v>
      </c>
    </row>
    <row r="157" spans="1:307" x14ac:dyDescent="0.25">
      <c r="A157" s="76">
        <v>19738</v>
      </c>
      <c r="B157" s="24">
        <v>96</v>
      </c>
      <c r="C157" s="8">
        <f t="shared" si="24"/>
        <v>2.0999999999999943</v>
      </c>
      <c r="D157" s="8">
        <f t="shared" si="25"/>
        <v>1</v>
      </c>
      <c r="E157" s="3">
        <v>93.9</v>
      </c>
      <c r="F157" s="3">
        <v>97</v>
      </c>
      <c r="G157" s="4" t="s">
        <v>378</v>
      </c>
      <c r="H157" s="4" t="s">
        <v>114</v>
      </c>
      <c r="I157" s="4" t="s">
        <v>90</v>
      </c>
      <c r="J157" s="11" t="s">
        <v>4</v>
      </c>
      <c r="K157" s="11" t="s">
        <v>27</v>
      </c>
      <c r="L157" s="5">
        <v>-29.2</v>
      </c>
      <c r="M157" s="4" t="s">
        <v>89</v>
      </c>
      <c r="N157" s="5">
        <f t="shared" si="32"/>
        <v>-25.7</v>
      </c>
      <c r="O157" s="5">
        <v>2.1</v>
      </c>
      <c r="P157" s="4" t="s">
        <v>388</v>
      </c>
      <c r="Q157" s="12">
        <f t="shared" si="26"/>
        <v>-8.2275409836065556</v>
      </c>
      <c r="R157" s="12">
        <f t="shared" si="27"/>
        <v>-7.127540983606556</v>
      </c>
      <c r="S157" s="12">
        <f t="shared" si="28"/>
        <v>19.062361712402165</v>
      </c>
      <c r="T157" s="12">
        <v>32</v>
      </c>
      <c r="W157" s="5"/>
      <c r="X157" s="5">
        <f t="shared" si="29"/>
        <v>305</v>
      </c>
      <c r="Y157" s="5"/>
      <c r="Z157" s="23"/>
      <c r="AA157" s="4" t="s">
        <v>365</v>
      </c>
      <c r="AB157" s="5" t="s">
        <v>364</v>
      </c>
      <c r="AC157" s="11">
        <v>170</v>
      </c>
      <c r="AD157" s="3">
        <f t="shared" si="23"/>
        <v>22.856717875548316</v>
      </c>
      <c r="AE157" s="3">
        <v>34</v>
      </c>
      <c r="AF157" s="57">
        <f t="shared" si="30"/>
        <v>2.4758776095312345E-2</v>
      </c>
      <c r="AG157" s="12">
        <f t="shared" si="31"/>
        <v>923.17640369452067</v>
      </c>
    </row>
    <row r="158" spans="1:307" x14ac:dyDescent="0.25">
      <c r="A158" s="76">
        <v>19739</v>
      </c>
      <c r="B158" s="24">
        <v>96</v>
      </c>
      <c r="C158" s="8">
        <f t="shared" si="24"/>
        <v>2.0999999999999943</v>
      </c>
      <c r="D158" s="8">
        <f t="shared" si="25"/>
        <v>1</v>
      </c>
      <c r="E158" s="3">
        <v>93.9</v>
      </c>
      <c r="F158" s="3">
        <v>97</v>
      </c>
      <c r="G158" s="4" t="s">
        <v>378</v>
      </c>
      <c r="H158" s="4" t="s">
        <v>101</v>
      </c>
      <c r="I158" s="4" t="s">
        <v>90</v>
      </c>
      <c r="J158" s="11" t="s">
        <v>4</v>
      </c>
      <c r="K158" s="11" t="s">
        <v>27</v>
      </c>
      <c r="L158" s="5">
        <v>-30.5</v>
      </c>
      <c r="M158" s="4" t="s">
        <v>89</v>
      </c>
      <c r="N158" s="5">
        <f t="shared" si="32"/>
        <v>-27</v>
      </c>
      <c r="O158" s="5">
        <v>2.1</v>
      </c>
      <c r="P158" s="4" t="s">
        <v>388</v>
      </c>
      <c r="Q158" s="12">
        <f t="shared" si="26"/>
        <v>-8.2275409836065556</v>
      </c>
      <c r="R158" s="12">
        <f t="shared" si="27"/>
        <v>-7.127540983606556</v>
      </c>
      <c r="S158" s="12">
        <f t="shared" si="28"/>
        <v>20.423904436170037</v>
      </c>
      <c r="T158" s="12">
        <v>32</v>
      </c>
      <c r="W158" s="5"/>
      <c r="X158" s="5">
        <f t="shared" si="29"/>
        <v>305</v>
      </c>
      <c r="Y158" s="5"/>
      <c r="Z158" s="23"/>
      <c r="AA158" s="4" t="s">
        <v>365</v>
      </c>
      <c r="AB158" s="5" t="s">
        <v>364</v>
      </c>
      <c r="AC158" s="11">
        <v>170</v>
      </c>
      <c r="AD158" s="3">
        <f t="shared" si="23"/>
        <v>27.978493460830858</v>
      </c>
      <c r="AE158" s="3">
        <v>34</v>
      </c>
      <c r="AF158" s="57">
        <f t="shared" si="30"/>
        <v>2.4758776095312345E-2</v>
      </c>
      <c r="AG158" s="12">
        <f t="shared" si="31"/>
        <v>1130.0434784467441</v>
      </c>
    </row>
    <row r="159" spans="1:307" x14ac:dyDescent="0.25">
      <c r="A159" s="76">
        <v>19740</v>
      </c>
      <c r="B159" s="24">
        <v>96</v>
      </c>
      <c r="C159" s="8">
        <f t="shared" si="24"/>
        <v>2.0999999999999943</v>
      </c>
      <c r="D159" s="8">
        <f t="shared" si="25"/>
        <v>1</v>
      </c>
      <c r="E159" s="3">
        <v>93.9</v>
      </c>
      <c r="F159" s="3">
        <v>97</v>
      </c>
      <c r="G159" s="4" t="s">
        <v>378</v>
      </c>
      <c r="H159" s="4" t="s">
        <v>106</v>
      </c>
      <c r="I159" s="4" t="s">
        <v>90</v>
      </c>
      <c r="J159" s="11" t="s">
        <v>4</v>
      </c>
      <c r="K159" s="11" t="s">
        <v>27</v>
      </c>
      <c r="L159" s="5">
        <v>-29.9</v>
      </c>
      <c r="M159" s="4" t="s">
        <v>89</v>
      </c>
      <c r="N159" s="5">
        <f t="shared" si="32"/>
        <v>-26.4</v>
      </c>
      <c r="O159" s="5">
        <v>2.1</v>
      </c>
      <c r="P159" s="4" t="s">
        <v>388</v>
      </c>
      <c r="Q159" s="12">
        <f t="shared" si="26"/>
        <v>-8.2275409836065556</v>
      </c>
      <c r="R159" s="12">
        <f t="shared" si="27"/>
        <v>-7.127540983606556</v>
      </c>
      <c r="S159" s="12">
        <f t="shared" si="28"/>
        <v>19.795048291283422</v>
      </c>
      <c r="T159" s="12">
        <v>32</v>
      </c>
      <c r="W159" s="5"/>
      <c r="X159" s="5">
        <f t="shared" si="29"/>
        <v>305</v>
      </c>
      <c r="Y159" s="5"/>
      <c r="Z159" s="23"/>
      <c r="AA159" s="4" t="s">
        <v>365</v>
      </c>
      <c r="AB159" s="5" t="s">
        <v>364</v>
      </c>
      <c r="AC159" s="11">
        <v>170</v>
      </c>
      <c r="AD159" s="3">
        <f t="shared" si="23"/>
        <v>25.3543958831197</v>
      </c>
      <c r="AE159" s="3">
        <v>34</v>
      </c>
      <c r="AF159" s="57">
        <f t="shared" si="30"/>
        <v>2.4758776095312345E-2</v>
      </c>
      <c r="AG159" s="12">
        <f t="shared" si="31"/>
        <v>1024.0569156372849</v>
      </c>
    </row>
    <row r="160" spans="1:307" x14ac:dyDescent="0.25">
      <c r="A160" s="76">
        <v>19741</v>
      </c>
      <c r="B160" s="3">
        <v>96</v>
      </c>
      <c r="C160" s="8">
        <f t="shared" si="24"/>
        <v>2.0999999999999943</v>
      </c>
      <c r="D160" s="8">
        <f t="shared" si="25"/>
        <v>1</v>
      </c>
      <c r="E160" s="3">
        <v>93.9</v>
      </c>
      <c r="F160" s="3">
        <v>97</v>
      </c>
      <c r="G160" s="4" t="s">
        <v>378</v>
      </c>
      <c r="H160" s="4" t="s">
        <v>357</v>
      </c>
      <c r="I160" s="4" t="s">
        <v>179</v>
      </c>
      <c r="J160" s="11" t="s">
        <v>4</v>
      </c>
      <c r="K160" s="11" t="s">
        <v>27</v>
      </c>
      <c r="L160" s="5">
        <v>-31.2</v>
      </c>
      <c r="M160" s="4" t="s">
        <v>71</v>
      </c>
      <c r="N160" s="5">
        <f t="shared" si="32"/>
        <v>-27.7</v>
      </c>
      <c r="O160" s="5">
        <v>1.5</v>
      </c>
      <c r="P160" s="4" t="s">
        <v>71</v>
      </c>
      <c r="Q160" s="12">
        <f t="shared" si="26"/>
        <v>-8.0692332789559522</v>
      </c>
      <c r="R160" s="12">
        <f t="shared" si="27"/>
        <v>-7.5692332789559522</v>
      </c>
      <c r="S160" s="12">
        <f t="shared" si="28"/>
        <v>20.70427514249107</v>
      </c>
      <c r="T160" s="12">
        <v>33.5</v>
      </c>
      <c r="W160" s="5"/>
      <c r="X160" s="5">
        <f t="shared" si="29"/>
        <v>306.5</v>
      </c>
      <c r="Y160" s="5"/>
      <c r="Z160" s="1"/>
      <c r="AA160" s="4" t="s">
        <v>361</v>
      </c>
      <c r="AB160" s="5" t="s">
        <v>362</v>
      </c>
      <c r="AC160" s="11">
        <v>170</v>
      </c>
      <c r="AD160" s="3">
        <f t="shared" si="23"/>
        <v>29.331965229465361</v>
      </c>
      <c r="AE160" s="3">
        <v>34</v>
      </c>
      <c r="AF160" s="57">
        <f t="shared" si="30"/>
        <v>2.3948342576917272E-2</v>
      </c>
      <c r="AG160" s="12">
        <f t="shared" si="31"/>
        <v>1224.8014715530719</v>
      </c>
    </row>
    <row r="161" spans="1:307" x14ac:dyDescent="0.25">
      <c r="A161" s="76">
        <v>19742</v>
      </c>
      <c r="B161" s="3">
        <v>96</v>
      </c>
      <c r="C161" s="8">
        <f t="shared" si="24"/>
        <v>2.0999999999999943</v>
      </c>
      <c r="D161" s="8">
        <f t="shared" si="25"/>
        <v>1</v>
      </c>
      <c r="E161" s="3">
        <v>93.9</v>
      </c>
      <c r="F161" s="3">
        <v>97</v>
      </c>
      <c r="G161" s="4" t="s">
        <v>378</v>
      </c>
      <c r="H161" s="4" t="s">
        <v>360</v>
      </c>
      <c r="I161" s="4" t="s">
        <v>179</v>
      </c>
      <c r="J161" s="11" t="s">
        <v>4</v>
      </c>
      <c r="K161" s="11" t="s">
        <v>27</v>
      </c>
      <c r="L161" s="5">
        <v>-30.1</v>
      </c>
      <c r="M161" s="4" t="s">
        <v>71</v>
      </c>
      <c r="N161" s="5">
        <f t="shared" si="32"/>
        <v>-26.6</v>
      </c>
      <c r="O161" s="5">
        <v>1.5</v>
      </c>
      <c r="P161" s="4" t="s">
        <v>71</v>
      </c>
      <c r="Q161" s="12">
        <f t="shared" si="26"/>
        <v>-8.0692332789559522</v>
      </c>
      <c r="R161" s="12">
        <f t="shared" si="27"/>
        <v>-7.5692332789559522</v>
      </c>
      <c r="S161" s="12">
        <f t="shared" si="28"/>
        <v>19.550818492956701</v>
      </c>
      <c r="T161" s="12">
        <v>33.5</v>
      </c>
      <c r="W161" s="5"/>
      <c r="X161" s="5">
        <f t="shared" si="29"/>
        <v>306.5</v>
      </c>
      <c r="Y161" s="5"/>
      <c r="Z161" s="1"/>
      <c r="AA161" s="4" t="s">
        <v>361</v>
      </c>
      <c r="AB161" s="5" t="s">
        <v>362</v>
      </c>
      <c r="AC161" s="11">
        <v>170</v>
      </c>
      <c r="AD161" s="3">
        <f t="shared" si="23"/>
        <v>24.463312668937711</v>
      </c>
      <c r="AE161" s="3">
        <v>34</v>
      </c>
      <c r="AF161" s="57">
        <f t="shared" si="30"/>
        <v>2.3948342576917272E-2</v>
      </c>
      <c r="AG161" s="12">
        <f t="shared" si="31"/>
        <v>1021.5033708644537</v>
      </c>
    </row>
    <row r="162" spans="1:307" x14ac:dyDescent="0.25">
      <c r="A162" s="76">
        <v>19743</v>
      </c>
      <c r="B162" s="3">
        <v>96</v>
      </c>
      <c r="C162" s="8">
        <f t="shared" si="24"/>
        <v>2.0999999999999943</v>
      </c>
      <c r="D162" s="8">
        <f t="shared" si="25"/>
        <v>1</v>
      </c>
      <c r="E162" s="3">
        <v>93.9</v>
      </c>
      <c r="F162" s="3">
        <v>97</v>
      </c>
      <c r="G162" s="4" t="s">
        <v>377</v>
      </c>
      <c r="H162" s="4" t="s">
        <v>84</v>
      </c>
      <c r="I162" s="4" t="s">
        <v>81</v>
      </c>
      <c r="J162" s="11" t="s">
        <v>4</v>
      </c>
      <c r="K162" s="11" t="s">
        <v>0</v>
      </c>
      <c r="L162" s="5">
        <v>-32.25</v>
      </c>
      <c r="M162" s="4" t="s">
        <v>80</v>
      </c>
      <c r="N162" s="5">
        <f t="shared" si="32"/>
        <v>-28.75</v>
      </c>
      <c r="O162" s="5">
        <v>0.01</v>
      </c>
      <c r="P162" s="4" t="s">
        <v>387</v>
      </c>
      <c r="Q162" s="12">
        <f t="shared" si="26"/>
        <v>-8.5560874365202046</v>
      </c>
      <c r="R162" s="12">
        <f t="shared" si="27"/>
        <v>-9.5460874365202049</v>
      </c>
      <c r="S162" s="12">
        <f t="shared" si="28"/>
        <v>19.772368147726873</v>
      </c>
      <c r="T162" s="12">
        <f>U162+V162</f>
        <v>28.933333333333334</v>
      </c>
      <c r="U162" s="12">
        <f>SUM(27.3+28.1+28.8+27.5+25.5+22.8+21+20.4+21.4+23.2+25.1+25.7)/12</f>
        <v>24.733333333333334</v>
      </c>
      <c r="V162" s="12">
        <v>4.2</v>
      </c>
      <c r="W162" s="5" t="s">
        <v>176</v>
      </c>
      <c r="X162" s="5">
        <f t="shared" si="29"/>
        <v>301.93333333333334</v>
      </c>
      <c r="Y162" s="12">
        <v>-26.5</v>
      </c>
      <c r="Z162" s="23" t="s">
        <v>268</v>
      </c>
      <c r="AA162" s="4" t="s">
        <v>181</v>
      </c>
      <c r="AB162" s="4" t="s">
        <v>169</v>
      </c>
      <c r="AC162" s="11">
        <v>170</v>
      </c>
      <c r="AD162" s="3">
        <f t="shared" si="23"/>
        <v>25.268921328172933</v>
      </c>
      <c r="AE162" s="3">
        <v>34</v>
      </c>
      <c r="AF162" s="57">
        <f t="shared" si="30"/>
        <v>2.6582908560244985E-2</v>
      </c>
      <c r="AG162" s="12">
        <f t="shared" si="31"/>
        <v>950.57022337889941</v>
      </c>
    </row>
    <row r="163" spans="1:307" x14ac:dyDescent="0.25">
      <c r="A163" s="76">
        <v>19744</v>
      </c>
      <c r="B163" s="3">
        <v>96</v>
      </c>
      <c r="C163" s="8">
        <f t="shared" si="24"/>
        <v>2.0999999999999943</v>
      </c>
      <c r="D163" s="8">
        <f t="shared" si="25"/>
        <v>1</v>
      </c>
      <c r="E163" s="3">
        <v>93.9</v>
      </c>
      <c r="F163" s="3">
        <v>97</v>
      </c>
      <c r="G163" s="4" t="s">
        <v>377</v>
      </c>
      <c r="H163" s="4" t="s">
        <v>83</v>
      </c>
      <c r="I163" s="4" t="s">
        <v>81</v>
      </c>
      <c r="J163" s="11" t="s">
        <v>4</v>
      </c>
      <c r="K163" s="11" t="s">
        <v>0</v>
      </c>
      <c r="L163" s="5">
        <v>-31.5</v>
      </c>
      <c r="M163" s="4" t="s">
        <v>80</v>
      </c>
      <c r="N163" s="5">
        <f t="shared" si="32"/>
        <v>-28</v>
      </c>
      <c r="O163" s="5">
        <v>0.01</v>
      </c>
      <c r="P163" s="4" t="s">
        <v>387</v>
      </c>
      <c r="Q163" s="12">
        <f t="shared" si="26"/>
        <v>-8.5560874365202046</v>
      </c>
      <c r="R163" s="12">
        <f t="shared" si="27"/>
        <v>-9.5460874365202049</v>
      </c>
      <c r="S163" s="12">
        <f t="shared" si="28"/>
        <v>18.985506752551284</v>
      </c>
      <c r="T163" s="12">
        <f>U163+V163</f>
        <v>28.933333333333334</v>
      </c>
      <c r="U163" s="12">
        <f>SUM(27.3+28.1+28.8+27.5+25.5+22.8+21+20.4+21.4+23.2+25.1+25.7)/12</f>
        <v>24.733333333333334</v>
      </c>
      <c r="V163" s="12">
        <v>4.2</v>
      </c>
      <c r="W163" s="5" t="s">
        <v>176</v>
      </c>
      <c r="X163" s="5">
        <f t="shared" si="29"/>
        <v>301.93333333333334</v>
      </c>
      <c r="Y163" s="12">
        <v>-26.5</v>
      </c>
      <c r="Z163" s="23" t="s">
        <v>268</v>
      </c>
      <c r="AA163" s="4" t="s">
        <v>181</v>
      </c>
      <c r="AB163" s="4" t="s">
        <v>169</v>
      </c>
      <c r="AC163" s="11">
        <v>170</v>
      </c>
      <c r="AD163" s="3">
        <f t="shared" si="23"/>
        <v>22.622949332972997</v>
      </c>
      <c r="AE163" s="3">
        <v>34</v>
      </c>
      <c r="AF163" s="57">
        <f t="shared" si="30"/>
        <v>2.6582908560244985E-2</v>
      </c>
      <c r="AG163" s="12">
        <f t="shared" si="31"/>
        <v>851.03363620660582</v>
      </c>
    </row>
    <row r="164" spans="1:307" x14ac:dyDescent="0.25">
      <c r="A164" s="76">
        <v>19745</v>
      </c>
      <c r="B164" s="3">
        <v>96.3</v>
      </c>
      <c r="C164" s="8">
        <f t="shared" si="24"/>
        <v>2.3999999999999915</v>
      </c>
      <c r="D164" s="8">
        <f t="shared" si="25"/>
        <v>0.70000000000000284</v>
      </c>
      <c r="E164" s="3">
        <v>93.9</v>
      </c>
      <c r="F164" s="3">
        <v>97</v>
      </c>
      <c r="G164" s="4" t="s">
        <v>378</v>
      </c>
      <c r="H164" s="4" t="s">
        <v>100</v>
      </c>
      <c r="I164" s="4" t="s">
        <v>85</v>
      </c>
      <c r="J164" s="11" t="s">
        <v>4</v>
      </c>
      <c r="K164" s="11" t="s">
        <v>27</v>
      </c>
      <c r="L164" s="5">
        <v>-30.6</v>
      </c>
      <c r="M164" s="4" t="s">
        <v>88</v>
      </c>
      <c r="N164" s="5">
        <f t="shared" si="32"/>
        <v>-27.1</v>
      </c>
      <c r="O164" s="5">
        <v>2.1</v>
      </c>
      <c r="P164" s="4" t="s">
        <v>388</v>
      </c>
      <c r="Q164" s="12">
        <f t="shared" si="26"/>
        <v>-8.1745990180032742</v>
      </c>
      <c r="R164" s="12">
        <f t="shared" si="27"/>
        <v>-7.0745990180032745</v>
      </c>
      <c r="S164" s="12">
        <f t="shared" si="28"/>
        <v>20.583205860825071</v>
      </c>
      <c r="T164" s="12">
        <v>32.5</v>
      </c>
      <c r="W164" s="5"/>
      <c r="X164" s="5">
        <f t="shared" si="29"/>
        <v>305.5</v>
      </c>
      <c r="Y164" s="5"/>
      <c r="Z164" s="5"/>
      <c r="AA164" s="4" t="s">
        <v>363</v>
      </c>
      <c r="AB164" s="4" t="s">
        <v>364</v>
      </c>
      <c r="AC164" s="11">
        <v>170</v>
      </c>
      <c r="AD164" s="3">
        <f t="shared" si="23"/>
        <v>28.731775350173965</v>
      </c>
      <c r="AE164" s="3">
        <v>34</v>
      </c>
      <c r="AF164" s="57">
        <f t="shared" si="30"/>
        <v>2.448299956954382E-2</v>
      </c>
      <c r="AG164" s="12">
        <f t="shared" si="31"/>
        <v>1173.5398380644301</v>
      </c>
    </row>
    <row r="165" spans="1:307" x14ac:dyDescent="0.25">
      <c r="A165" s="76">
        <v>19746</v>
      </c>
      <c r="B165" s="3">
        <v>96.7</v>
      </c>
      <c r="C165" s="8">
        <f t="shared" si="24"/>
        <v>2.7999999999999972</v>
      </c>
      <c r="D165" s="8">
        <f t="shared" si="25"/>
        <v>0.29999999999999716</v>
      </c>
      <c r="E165" s="3">
        <v>93.9</v>
      </c>
      <c r="F165" s="3">
        <v>97</v>
      </c>
      <c r="G165" s="4" t="s">
        <v>378</v>
      </c>
      <c r="H165" s="4" t="s">
        <v>95</v>
      </c>
      <c r="I165" s="4" t="s">
        <v>85</v>
      </c>
      <c r="J165" s="11" t="s">
        <v>4</v>
      </c>
      <c r="K165" s="11" t="s">
        <v>27</v>
      </c>
      <c r="L165" s="5">
        <v>-31.3</v>
      </c>
      <c r="M165" s="4" t="s">
        <v>88</v>
      </c>
      <c r="N165" s="5">
        <f t="shared" si="32"/>
        <v>-27.8</v>
      </c>
      <c r="O165" s="5">
        <v>1.19</v>
      </c>
      <c r="P165" s="4" t="s">
        <v>388</v>
      </c>
      <c r="Q165" s="12">
        <f t="shared" si="26"/>
        <v>-8.1745990180032742</v>
      </c>
      <c r="R165" s="12">
        <f t="shared" si="27"/>
        <v>-7.9845990180032747</v>
      </c>
      <c r="S165" s="12">
        <f t="shared" si="28"/>
        <v>20.382021170537669</v>
      </c>
      <c r="T165" s="12">
        <v>32.5</v>
      </c>
      <c r="W165" s="5"/>
      <c r="X165" s="5">
        <f t="shared" si="29"/>
        <v>305.5</v>
      </c>
      <c r="Y165" s="5"/>
      <c r="Z165" s="5"/>
      <c r="AA165" s="4" t="s">
        <v>363</v>
      </c>
      <c r="AB165" s="4" t="s">
        <v>364</v>
      </c>
      <c r="AC165" s="11">
        <v>170</v>
      </c>
      <c r="AD165" s="3">
        <f t="shared" si="23"/>
        <v>27.786954603590903</v>
      </c>
      <c r="AE165" s="3">
        <v>34</v>
      </c>
      <c r="AF165" s="57">
        <f t="shared" si="30"/>
        <v>2.448299956954382E-2</v>
      </c>
      <c r="AG165" s="12">
        <f t="shared" si="31"/>
        <v>1134.9489479286317</v>
      </c>
    </row>
    <row r="166" spans="1:307" s="37" customFormat="1" x14ac:dyDescent="0.25">
      <c r="A166" s="76">
        <v>19747</v>
      </c>
      <c r="B166" s="3">
        <v>97</v>
      </c>
      <c r="C166" s="8">
        <f t="shared" si="24"/>
        <v>1</v>
      </c>
      <c r="D166" s="8">
        <f t="shared" si="25"/>
        <v>1</v>
      </c>
      <c r="E166" s="3">
        <v>96</v>
      </c>
      <c r="F166" s="3">
        <v>98</v>
      </c>
      <c r="G166" s="4" t="s">
        <v>377</v>
      </c>
      <c r="H166" s="4" t="s">
        <v>284</v>
      </c>
      <c r="I166" s="4" t="s">
        <v>287</v>
      </c>
      <c r="J166" s="11" t="s">
        <v>4</v>
      </c>
      <c r="K166" s="11" t="s">
        <v>0</v>
      </c>
      <c r="L166" s="5">
        <v>-31.9</v>
      </c>
      <c r="M166" s="4" t="s">
        <v>286</v>
      </c>
      <c r="N166" s="5">
        <f t="shared" si="32"/>
        <v>-28.4</v>
      </c>
      <c r="O166" s="5">
        <v>0.3</v>
      </c>
      <c r="P166" s="4" t="s">
        <v>286</v>
      </c>
      <c r="Q166" s="12">
        <f t="shared" si="26"/>
        <v>-7.9332813515269613</v>
      </c>
      <c r="R166" s="12">
        <f t="shared" si="27"/>
        <v>-8.6332813515269606</v>
      </c>
      <c r="S166" s="12">
        <f t="shared" si="28"/>
        <v>20.344502520042163</v>
      </c>
      <c r="T166" s="12">
        <v>34.799999999999997</v>
      </c>
      <c r="U166" s="12"/>
      <c r="V166" s="12"/>
      <c r="W166" s="5"/>
      <c r="X166" s="5">
        <f t="shared" si="29"/>
        <v>307.8</v>
      </c>
      <c r="Y166" s="5"/>
      <c r="Z166" s="23"/>
      <c r="AA166" s="4"/>
      <c r="AB166" s="4" t="s">
        <v>286</v>
      </c>
      <c r="AC166" s="11">
        <v>170</v>
      </c>
      <c r="AD166" s="3">
        <f t="shared" si="23"/>
        <v>27.61758908252602</v>
      </c>
      <c r="AE166" s="3">
        <v>34</v>
      </c>
      <c r="AF166" s="57">
        <f t="shared" si="30"/>
        <v>2.3285505946039099E-2</v>
      </c>
      <c r="AG166" s="12">
        <f t="shared" si="31"/>
        <v>1186.0420446317944</v>
      </c>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row>
    <row r="167" spans="1:307" s="36" customFormat="1" x14ac:dyDescent="0.25">
      <c r="A167" s="76">
        <v>19748</v>
      </c>
      <c r="B167" s="3">
        <v>97</v>
      </c>
      <c r="C167" s="8">
        <f t="shared" si="24"/>
        <v>0.5</v>
      </c>
      <c r="D167" s="8">
        <f t="shared" si="25"/>
        <v>2.5</v>
      </c>
      <c r="E167" s="3">
        <v>97.5</v>
      </c>
      <c r="F167" s="3">
        <v>99.5</v>
      </c>
      <c r="G167" s="4" t="s">
        <v>377</v>
      </c>
      <c r="H167" s="4" t="s">
        <v>285</v>
      </c>
      <c r="I167" s="4" t="s">
        <v>287</v>
      </c>
      <c r="J167" s="11" t="s">
        <v>4</v>
      </c>
      <c r="K167" s="11" t="s">
        <v>0</v>
      </c>
      <c r="L167" s="5">
        <v>-29.8</v>
      </c>
      <c r="M167" s="4" t="s">
        <v>286</v>
      </c>
      <c r="N167" s="5">
        <f t="shared" si="32"/>
        <v>-26.3</v>
      </c>
      <c r="O167" s="5">
        <v>0.6</v>
      </c>
      <c r="P167" s="4" t="s">
        <v>286</v>
      </c>
      <c r="Q167" s="12">
        <f t="shared" si="26"/>
        <v>-7.9332813515269613</v>
      </c>
      <c r="R167" s="12">
        <f t="shared" si="27"/>
        <v>-8.3332813515269617</v>
      </c>
      <c r="S167" s="12">
        <f t="shared" si="28"/>
        <v>18.452006417246647</v>
      </c>
      <c r="T167" s="12">
        <v>34.799999999999997</v>
      </c>
      <c r="U167" s="12"/>
      <c r="V167" s="12"/>
      <c r="W167" s="5"/>
      <c r="X167" s="5">
        <f t="shared" si="29"/>
        <v>307.8</v>
      </c>
      <c r="Y167" s="5"/>
      <c r="Z167" s="23"/>
      <c r="AA167" s="4"/>
      <c r="AB167" s="4" t="s">
        <v>286</v>
      </c>
      <c r="AC167" s="11">
        <v>170</v>
      </c>
      <c r="AD167" s="3">
        <f t="shared" si="23"/>
        <v>21.123277280477176</v>
      </c>
      <c r="AE167" s="3">
        <v>34</v>
      </c>
      <c r="AF167" s="57">
        <f t="shared" si="30"/>
        <v>2.3285505946039099E-2</v>
      </c>
      <c r="AG167" s="12">
        <f t="shared" si="31"/>
        <v>907.14272343609002</v>
      </c>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JT167" s="1"/>
      <c r="JU167" s="1"/>
      <c r="JV167" s="1"/>
      <c r="JW167" s="1"/>
      <c r="JX167" s="1"/>
      <c r="JY167" s="1"/>
      <c r="JZ167" s="1"/>
      <c r="KA167" s="1"/>
      <c r="KB167" s="1"/>
      <c r="KC167" s="1"/>
      <c r="KD167" s="1"/>
      <c r="KE167" s="1"/>
      <c r="KF167" s="1"/>
      <c r="KG167" s="1"/>
      <c r="KH167" s="1"/>
      <c r="KI167" s="1"/>
      <c r="KJ167" s="1"/>
      <c r="KK167" s="1"/>
      <c r="KL167" s="1"/>
      <c r="KM167" s="1"/>
      <c r="KN167" s="1"/>
      <c r="KO167" s="1"/>
      <c r="KP167" s="1"/>
      <c r="KQ167" s="1"/>
      <c r="KR167" s="1"/>
      <c r="KS167" s="1"/>
      <c r="KT167" s="1"/>
      <c r="KU167" s="1"/>
    </row>
    <row r="168" spans="1:307" s="36" customFormat="1" x14ac:dyDescent="0.25">
      <c r="A168" s="76">
        <v>19749</v>
      </c>
      <c r="B168" s="3">
        <v>97</v>
      </c>
      <c r="C168" s="8">
        <f t="shared" si="24"/>
        <v>3.5</v>
      </c>
      <c r="D168" s="8">
        <f t="shared" si="25"/>
        <v>0</v>
      </c>
      <c r="E168" s="3">
        <v>93.5</v>
      </c>
      <c r="F168" s="3">
        <v>97</v>
      </c>
      <c r="G168" s="4" t="s">
        <v>377</v>
      </c>
      <c r="H168" s="4" t="s">
        <v>386</v>
      </c>
      <c r="I168" s="4" t="s">
        <v>94</v>
      </c>
      <c r="J168" s="11" t="s">
        <v>4</v>
      </c>
      <c r="K168" s="11" t="s">
        <v>27</v>
      </c>
      <c r="L168" s="5">
        <v>-31</v>
      </c>
      <c r="M168" s="4" t="s">
        <v>93</v>
      </c>
      <c r="N168" s="5">
        <f t="shared" si="32"/>
        <v>-27.5</v>
      </c>
      <c r="O168" s="5">
        <v>1.1850000000000001</v>
      </c>
      <c r="P168" s="4" t="s">
        <v>388</v>
      </c>
      <c r="Q168" s="12">
        <f t="shared" si="26"/>
        <v>-8.1218300653594788</v>
      </c>
      <c r="R168" s="12">
        <f t="shared" si="27"/>
        <v>-7.9368300653594783</v>
      </c>
      <c r="S168" s="12">
        <f t="shared" si="28"/>
        <v>20.116370112740924</v>
      </c>
      <c r="T168" s="12">
        <v>33</v>
      </c>
      <c r="U168" s="12"/>
      <c r="V168" s="12"/>
      <c r="W168" s="5"/>
      <c r="X168" s="5">
        <f t="shared" si="29"/>
        <v>306</v>
      </c>
      <c r="Y168" s="5">
        <v>20</v>
      </c>
      <c r="Z168" s="23"/>
      <c r="AA168" s="4"/>
      <c r="AB168" s="5" t="s">
        <v>390</v>
      </c>
      <c r="AC168" s="11">
        <v>170</v>
      </c>
      <c r="AD168" s="3">
        <f t="shared" si="23"/>
        <v>26.630616593123399</v>
      </c>
      <c r="AE168" s="3">
        <v>34</v>
      </c>
      <c r="AF168" s="57">
        <f t="shared" si="30"/>
        <v>2.421289985168593E-2</v>
      </c>
      <c r="AG168" s="12">
        <f t="shared" si="31"/>
        <v>1099.852423966026</v>
      </c>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row>
    <row r="169" spans="1:307" s="36" customFormat="1" x14ac:dyDescent="0.25">
      <c r="A169" s="76">
        <v>19750</v>
      </c>
      <c r="B169" s="3">
        <v>97</v>
      </c>
      <c r="C169" s="8">
        <f t="shared" si="24"/>
        <v>3.5</v>
      </c>
      <c r="D169" s="8">
        <f t="shared" si="25"/>
        <v>0</v>
      </c>
      <c r="E169" s="3">
        <v>93.5</v>
      </c>
      <c r="F169" s="3">
        <v>97</v>
      </c>
      <c r="G169" s="4" t="s">
        <v>377</v>
      </c>
      <c r="H169" s="4" t="s">
        <v>107</v>
      </c>
      <c r="I169" s="4" t="s">
        <v>90</v>
      </c>
      <c r="J169" s="11" t="s">
        <v>4</v>
      </c>
      <c r="K169" s="11" t="s">
        <v>27</v>
      </c>
      <c r="L169" s="5">
        <v>-32.4</v>
      </c>
      <c r="M169" s="4" t="s">
        <v>74</v>
      </c>
      <c r="N169" s="5">
        <f t="shared" si="32"/>
        <v>-28.9</v>
      </c>
      <c r="O169" s="5">
        <v>1.5</v>
      </c>
      <c r="P169" s="4" t="s">
        <v>71</v>
      </c>
      <c r="Q169" s="12">
        <f t="shared" si="26"/>
        <v>-8.2349667136719908</v>
      </c>
      <c r="R169" s="12">
        <f t="shared" si="27"/>
        <v>-7.7349667136719908</v>
      </c>
      <c r="S169" s="12">
        <f t="shared" si="28"/>
        <v>21.794906071803233</v>
      </c>
      <c r="T169" s="12">
        <f>U169+V169</f>
        <v>31.93</v>
      </c>
      <c r="U169" s="12">
        <v>27.73</v>
      </c>
      <c r="V169" s="12">
        <v>4.2</v>
      </c>
      <c r="W169" s="5" t="s">
        <v>176</v>
      </c>
      <c r="X169" s="5">
        <f t="shared" si="29"/>
        <v>304.93</v>
      </c>
      <c r="Y169" s="5">
        <v>1.3</v>
      </c>
      <c r="Z169" s="1" t="s">
        <v>269</v>
      </c>
      <c r="AA169" s="4" t="s">
        <v>178</v>
      </c>
      <c r="AB169" s="5" t="s">
        <v>169</v>
      </c>
      <c r="AC169" s="11">
        <v>170</v>
      </c>
      <c r="AD169" s="3">
        <f t="shared" si="23"/>
        <v>36.131053406016214</v>
      </c>
      <c r="AE169" s="3">
        <v>34</v>
      </c>
      <c r="AF169" s="57">
        <f t="shared" si="30"/>
        <v>2.47978456414794E-2</v>
      </c>
      <c r="AG169" s="12">
        <f t="shared" si="31"/>
        <v>1457.0238853967112</v>
      </c>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JT169" s="1"/>
      <c r="JU169" s="1"/>
      <c r="JV169" s="1"/>
      <c r="JW169" s="1"/>
      <c r="JX169" s="1"/>
      <c r="JY169" s="1"/>
      <c r="JZ169" s="1"/>
      <c r="KA169" s="1"/>
      <c r="KB169" s="1"/>
      <c r="KC169" s="1"/>
      <c r="KD169" s="1"/>
      <c r="KE169" s="1"/>
      <c r="KF169" s="1"/>
      <c r="KG169" s="1"/>
      <c r="KH169" s="1"/>
      <c r="KI169" s="1"/>
      <c r="KJ169" s="1"/>
      <c r="KK169" s="1"/>
      <c r="KL169" s="1"/>
      <c r="KM169" s="1"/>
      <c r="KN169" s="1"/>
      <c r="KO169" s="1"/>
      <c r="KP169" s="1"/>
      <c r="KQ169" s="1"/>
      <c r="KR169" s="1"/>
      <c r="KS169" s="1"/>
      <c r="KT169" s="1"/>
      <c r="KU169" s="1"/>
    </row>
    <row r="170" spans="1:307" s="36" customFormat="1" x14ac:dyDescent="0.25">
      <c r="A170" s="76">
        <v>19751</v>
      </c>
      <c r="B170" s="24">
        <v>97</v>
      </c>
      <c r="C170" s="8">
        <f t="shared" si="24"/>
        <v>3.0999999999999943</v>
      </c>
      <c r="D170" s="8">
        <f t="shared" si="25"/>
        <v>0</v>
      </c>
      <c r="E170" s="3">
        <v>93.9</v>
      </c>
      <c r="F170" s="3">
        <v>97</v>
      </c>
      <c r="G170" s="4" t="s">
        <v>378</v>
      </c>
      <c r="H170" s="4" t="s">
        <v>105</v>
      </c>
      <c r="I170" s="4" t="s">
        <v>90</v>
      </c>
      <c r="J170" s="11" t="s">
        <v>4</v>
      </c>
      <c r="K170" s="11" t="s">
        <v>27</v>
      </c>
      <c r="L170" s="5">
        <v>-30</v>
      </c>
      <c r="M170" s="4" t="s">
        <v>89</v>
      </c>
      <c r="N170" s="5">
        <f t="shared" si="32"/>
        <v>-26.5</v>
      </c>
      <c r="O170" s="5">
        <v>1.19</v>
      </c>
      <c r="P170" s="4" t="s">
        <v>388</v>
      </c>
      <c r="Q170" s="12">
        <f t="shared" si="26"/>
        <v>-8.2275409836065556</v>
      </c>
      <c r="R170" s="12">
        <f t="shared" si="27"/>
        <v>-8.0375409836065561</v>
      </c>
      <c r="S170" s="12">
        <f t="shared" si="28"/>
        <v>18.965032374312685</v>
      </c>
      <c r="T170" s="12">
        <v>32</v>
      </c>
      <c r="U170" s="12"/>
      <c r="V170" s="12"/>
      <c r="W170" s="5"/>
      <c r="X170" s="5">
        <f t="shared" si="29"/>
        <v>305</v>
      </c>
      <c r="Y170" s="5"/>
      <c r="Z170" s="23"/>
      <c r="AA170" s="4" t="s">
        <v>365</v>
      </c>
      <c r="AB170" s="5" t="s">
        <v>364</v>
      </c>
      <c r="AC170" s="11">
        <v>170</v>
      </c>
      <c r="AD170" s="3">
        <f t="shared" si="23"/>
        <v>22.561477161554912</v>
      </c>
      <c r="AE170" s="3">
        <v>34</v>
      </c>
      <c r="AF170" s="57">
        <f t="shared" si="30"/>
        <v>2.4758776095312345E-2</v>
      </c>
      <c r="AG170" s="12">
        <f t="shared" si="31"/>
        <v>911.25171432955221</v>
      </c>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row>
    <row r="171" spans="1:307" s="36" customFormat="1" x14ac:dyDescent="0.25">
      <c r="A171" s="76">
        <v>19752</v>
      </c>
      <c r="B171" s="24">
        <v>97</v>
      </c>
      <c r="C171" s="8">
        <f t="shared" si="24"/>
        <v>3.0999999999999943</v>
      </c>
      <c r="D171" s="8">
        <f t="shared" si="25"/>
        <v>0</v>
      </c>
      <c r="E171" s="3">
        <v>93.9</v>
      </c>
      <c r="F171" s="3">
        <v>97</v>
      </c>
      <c r="G171" s="4" t="s">
        <v>378</v>
      </c>
      <c r="H171" s="4" t="s">
        <v>103</v>
      </c>
      <c r="I171" s="4" t="s">
        <v>90</v>
      </c>
      <c r="J171" s="11" t="s">
        <v>4</v>
      </c>
      <c r="K171" s="11" t="s">
        <v>27</v>
      </c>
      <c r="L171" s="5">
        <v>-30.1</v>
      </c>
      <c r="M171" s="4" t="s">
        <v>89</v>
      </c>
      <c r="N171" s="5">
        <f t="shared" si="32"/>
        <v>-26.6</v>
      </c>
      <c r="O171" s="5">
        <v>1.19</v>
      </c>
      <c r="P171" s="4" t="s">
        <v>388</v>
      </c>
      <c r="Q171" s="12">
        <f t="shared" si="26"/>
        <v>-8.2275409836065556</v>
      </c>
      <c r="R171" s="12">
        <f t="shared" si="27"/>
        <v>-8.0375409836065561</v>
      </c>
      <c r="S171" s="12">
        <f t="shared" si="28"/>
        <v>19.069713392637631</v>
      </c>
      <c r="T171" s="12">
        <v>32</v>
      </c>
      <c r="U171" s="12"/>
      <c r="V171" s="12"/>
      <c r="W171" s="5"/>
      <c r="X171" s="5">
        <f t="shared" si="29"/>
        <v>305</v>
      </c>
      <c r="Y171" s="5"/>
      <c r="Z171" s="23"/>
      <c r="AA171" s="4" t="s">
        <v>365</v>
      </c>
      <c r="AB171" s="5" t="s">
        <v>364</v>
      </c>
      <c r="AC171" s="11">
        <v>170</v>
      </c>
      <c r="AD171" s="3">
        <f t="shared" si="23"/>
        <v>22.879332787991505</v>
      </c>
      <c r="AE171" s="3">
        <v>34</v>
      </c>
      <c r="AF171" s="57">
        <f t="shared" si="30"/>
        <v>2.4758776095312345E-2</v>
      </c>
      <c r="AG171" s="12">
        <f t="shared" si="31"/>
        <v>924.08981364484009</v>
      </c>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row>
    <row r="172" spans="1:307" s="36" customFormat="1" x14ac:dyDescent="0.25">
      <c r="A172" s="76">
        <v>19753</v>
      </c>
      <c r="B172" s="24">
        <v>97</v>
      </c>
      <c r="C172" s="8">
        <f t="shared" si="24"/>
        <v>3.0999999999999943</v>
      </c>
      <c r="D172" s="8">
        <f t="shared" si="25"/>
        <v>0</v>
      </c>
      <c r="E172" s="3">
        <v>93.9</v>
      </c>
      <c r="F172" s="3">
        <v>97</v>
      </c>
      <c r="G172" s="4" t="s">
        <v>378</v>
      </c>
      <c r="H172" s="4" t="s">
        <v>96</v>
      </c>
      <c r="I172" s="4" t="s">
        <v>90</v>
      </c>
      <c r="J172" s="11" t="s">
        <v>4</v>
      </c>
      <c r="K172" s="11" t="s">
        <v>27</v>
      </c>
      <c r="L172" s="5">
        <v>-31.3</v>
      </c>
      <c r="M172" s="4" t="s">
        <v>89</v>
      </c>
      <c r="N172" s="5">
        <f t="shared" si="32"/>
        <v>-27.8</v>
      </c>
      <c r="O172" s="5">
        <v>1.19</v>
      </c>
      <c r="P172" s="4" t="s">
        <v>388</v>
      </c>
      <c r="Q172" s="12">
        <f t="shared" si="26"/>
        <v>-8.2275409836065556</v>
      </c>
      <c r="R172" s="12">
        <f t="shared" si="27"/>
        <v>-8.0375409836065561</v>
      </c>
      <c r="S172" s="12">
        <f t="shared" si="28"/>
        <v>20.327565332640908</v>
      </c>
      <c r="T172" s="12">
        <v>32</v>
      </c>
      <c r="U172" s="12"/>
      <c r="V172" s="12"/>
      <c r="W172" s="5"/>
      <c r="X172" s="5">
        <f t="shared" si="29"/>
        <v>305</v>
      </c>
      <c r="Y172" s="5"/>
      <c r="Z172" s="23"/>
      <c r="AA172" s="4" t="s">
        <v>365</v>
      </c>
      <c r="AB172" s="5" t="s">
        <v>364</v>
      </c>
      <c r="AC172" s="11">
        <v>170</v>
      </c>
      <c r="AD172" s="3">
        <f t="shared" si="23"/>
        <v>27.541806298734855</v>
      </c>
      <c r="AE172" s="3">
        <v>34</v>
      </c>
      <c r="AF172" s="57">
        <f t="shared" si="30"/>
        <v>2.4758776095312345E-2</v>
      </c>
      <c r="AG172" s="12">
        <f t="shared" si="31"/>
        <v>1112.4058068423435</v>
      </c>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row>
    <row r="173" spans="1:307" x14ac:dyDescent="0.25">
      <c r="A173" s="76">
        <v>19754</v>
      </c>
      <c r="B173" s="24">
        <v>97</v>
      </c>
      <c r="C173" s="8">
        <f t="shared" si="24"/>
        <v>3.0999999999999943</v>
      </c>
      <c r="D173" s="8">
        <f t="shared" si="25"/>
        <v>0</v>
      </c>
      <c r="E173" s="3">
        <v>93.9</v>
      </c>
      <c r="F173" s="3">
        <v>97</v>
      </c>
      <c r="G173" s="4" t="s">
        <v>378</v>
      </c>
      <c r="H173" s="4" t="s">
        <v>91</v>
      </c>
      <c r="I173" s="4" t="s">
        <v>90</v>
      </c>
      <c r="J173" s="11" t="s">
        <v>4</v>
      </c>
      <c r="K173" s="11" t="s">
        <v>27</v>
      </c>
      <c r="L173" s="5">
        <v>-31.7</v>
      </c>
      <c r="M173" s="4" t="s">
        <v>89</v>
      </c>
      <c r="N173" s="5">
        <f t="shared" si="32"/>
        <v>-28.2</v>
      </c>
      <c r="O173" s="5">
        <v>1.19</v>
      </c>
      <c r="P173" s="4" t="s">
        <v>388</v>
      </c>
      <c r="Q173" s="12">
        <f t="shared" si="26"/>
        <v>-8.2275409836065556</v>
      </c>
      <c r="R173" s="12">
        <f t="shared" si="27"/>
        <v>-8.0375409836065561</v>
      </c>
      <c r="S173" s="12">
        <f t="shared" si="28"/>
        <v>20.747539634074386</v>
      </c>
      <c r="T173" s="12">
        <v>32</v>
      </c>
      <c r="W173" s="5"/>
      <c r="X173" s="5">
        <f t="shared" si="29"/>
        <v>305</v>
      </c>
      <c r="Y173" s="5"/>
      <c r="Z173" s="23"/>
      <c r="AA173" s="4" t="s">
        <v>365</v>
      </c>
      <c r="AB173" s="5" t="s">
        <v>364</v>
      </c>
      <c r="AC173" s="11">
        <v>170</v>
      </c>
      <c r="AD173" s="3">
        <f t="shared" si="23"/>
        <v>29.55257214929906</v>
      </c>
      <c r="AE173" s="3">
        <v>34</v>
      </c>
      <c r="AF173" s="57">
        <f t="shared" si="30"/>
        <v>2.4758776095312345E-2</v>
      </c>
      <c r="AG173" s="12">
        <f t="shared" si="31"/>
        <v>1193.6200737682805</v>
      </c>
    </row>
    <row r="174" spans="1:307" x14ac:dyDescent="0.25">
      <c r="A174" s="76">
        <v>19755</v>
      </c>
      <c r="B174" s="3">
        <v>97</v>
      </c>
      <c r="C174" s="8">
        <f t="shared" si="24"/>
        <v>3.0999999999999943</v>
      </c>
      <c r="D174" s="8">
        <f t="shared" si="25"/>
        <v>0</v>
      </c>
      <c r="E174" s="3">
        <v>93.9</v>
      </c>
      <c r="F174" s="3">
        <v>97</v>
      </c>
      <c r="G174" s="4" t="s">
        <v>378</v>
      </c>
      <c r="H174" s="4" t="s">
        <v>354</v>
      </c>
      <c r="I174" s="4" t="s">
        <v>179</v>
      </c>
      <c r="J174" s="11" t="s">
        <v>4</v>
      </c>
      <c r="K174" s="11" t="s">
        <v>27</v>
      </c>
      <c r="L174" s="5">
        <v>-30.2</v>
      </c>
      <c r="M174" s="4" t="s">
        <v>71</v>
      </c>
      <c r="N174" s="5">
        <f t="shared" si="32"/>
        <v>-26.7</v>
      </c>
      <c r="O174" s="5">
        <v>1.5</v>
      </c>
      <c r="P174" s="4" t="s">
        <v>71</v>
      </c>
      <c r="Q174" s="12">
        <f t="shared" si="26"/>
        <v>-8.0692332789559522</v>
      </c>
      <c r="R174" s="12">
        <f t="shared" si="27"/>
        <v>-7.5692332789559522</v>
      </c>
      <c r="S174" s="12">
        <f t="shared" si="28"/>
        <v>19.655570452115523</v>
      </c>
      <c r="T174" s="12">
        <v>33.5</v>
      </c>
      <c r="W174" s="5"/>
      <c r="X174" s="5">
        <f t="shared" si="29"/>
        <v>306.5</v>
      </c>
      <c r="Y174" s="5"/>
      <c r="Z174" s="1"/>
      <c r="AA174" s="4" t="s">
        <v>361</v>
      </c>
      <c r="AB174" s="5" t="s">
        <v>362</v>
      </c>
      <c r="AC174" s="11">
        <v>170</v>
      </c>
      <c r="AD174" s="3">
        <f t="shared" si="23"/>
        <v>24.83771639559717</v>
      </c>
      <c r="AE174" s="3">
        <v>34</v>
      </c>
      <c r="AF174" s="57">
        <f t="shared" si="30"/>
        <v>2.3948342576917272E-2</v>
      </c>
      <c r="AG174" s="12">
        <f t="shared" si="31"/>
        <v>1037.1371762293531</v>
      </c>
    </row>
    <row r="175" spans="1:307" s="9" customFormat="1" x14ac:dyDescent="0.25">
      <c r="A175" s="76">
        <v>19756</v>
      </c>
      <c r="B175" s="3">
        <v>97</v>
      </c>
      <c r="C175" s="8">
        <f t="shared" si="24"/>
        <v>3.0999999999999943</v>
      </c>
      <c r="D175" s="8">
        <f t="shared" si="25"/>
        <v>0</v>
      </c>
      <c r="E175" s="3">
        <v>93.9</v>
      </c>
      <c r="F175" s="3">
        <v>97</v>
      </c>
      <c r="G175" s="4" t="s">
        <v>377</v>
      </c>
      <c r="H175" s="4" t="s">
        <v>82</v>
      </c>
      <c r="I175" s="4" t="s">
        <v>81</v>
      </c>
      <c r="J175" s="11" t="s">
        <v>4</v>
      </c>
      <c r="K175" s="11" t="s">
        <v>0</v>
      </c>
      <c r="L175" s="5">
        <v>-31.75</v>
      </c>
      <c r="M175" s="4" t="s">
        <v>80</v>
      </c>
      <c r="N175" s="5">
        <f t="shared" si="32"/>
        <v>-28.25</v>
      </c>
      <c r="O175" s="5">
        <v>0.17</v>
      </c>
      <c r="P175" s="4" t="s">
        <v>387</v>
      </c>
      <c r="Q175" s="12">
        <f t="shared" si="26"/>
        <v>-8.5560874365202046</v>
      </c>
      <c r="R175" s="12">
        <f t="shared" si="27"/>
        <v>-9.3860874365202047</v>
      </c>
      <c r="S175" s="12">
        <f t="shared" si="28"/>
        <v>19.412310330310987</v>
      </c>
      <c r="T175" s="12">
        <f>U175+V175</f>
        <v>28.933333333333334</v>
      </c>
      <c r="U175" s="12">
        <f>SUM(27.3+28.1+28.8+27.5+25.5+22.8+21+20.4+21.4+23.2+25.1+25.7)/12</f>
        <v>24.733333333333334</v>
      </c>
      <c r="V175" s="12">
        <v>4.2</v>
      </c>
      <c r="W175" s="5" t="s">
        <v>176</v>
      </c>
      <c r="X175" s="5">
        <f t="shared" si="29"/>
        <v>301.93333333333334</v>
      </c>
      <c r="Y175" s="12">
        <v>12.3</v>
      </c>
      <c r="Z175" s="1" t="s">
        <v>267</v>
      </c>
      <c r="AA175" s="4" t="s">
        <v>180</v>
      </c>
      <c r="AB175" s="5" t="s">
        <v>169</v>
      </c>
      <c r="AC175" s="11">
        <v>170</v>
      </c>
      <c r="AD175" s="3">
        <f t="shared" si="23"/>
        <v>23.985248779587032</v>
      </c>
      <c r="AE175" s="3">
        <v>34</v>
      </c>
      <c r="AF175" s="57">
        <f t="shared" si="30"/>
        <v>2.6582908560244985E-2</v>
      </c>
      <c r="AG175" s="12">
        <f t="shared" si="31"/>
        <v>902.28082924895659</v>
      </c>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row>
    <row r="176" spans="1:307" x14ac:dyDescent="0.25">
      <c r="A176" s="76">
        <v>19757</v>
      </c>
      <c r="B176" s="3">
        <v>97</v>
      </c>
      <c r="C176" s="8">
        <f t="shared" si="24"/>
        <v>3.0999999999999943</v>
      </c>
      <c r="D176" s="8">
        <f t="shared" si="25"/>
        <v>0</v>
      </c>
      <c r="E176" s="3">
        <v>93.9</v>
      </c>
      <c r="F176" s="3">
        <v>97</v>
      </c>
      <c r="G176" s="4" t="s">
        <v>377</v>
      </c>
      <c r="H176" s="4" t="s">
        <v>86</v>
      </c>
      <c r="I176" s="4" t="s">
        <v>81</v>
      </c>
      <c r="J176" s="11" t="s">
        <v>4</v>
      </c>
      <c r="K176" s="11" t="s">
        <v>27</v>
      </c>
      <c r="L176" s="5">
        <v>-31.75</v>
      </c>
      <c r="M176" s="4" t="s">
        <v>80</v>
      </c>
      <c r="N176" s="5">
        <f t="shared" si="32"/>
        <v>-28.25</v>
      </c>
      <c r="O176" s="5">
        <v>0.17</v>
      </c>
      <c r="P176" s="4" t="s">
        <v>387</v>
      </c>
      <c r="Q176" s="12">
        <f t="shared" si="26"/>
        <v>-8.5560874365202046</v>
      </c>
      <c r="R176" s="12">
        <f t="shared" si="27"/>
        <v>-9.3860874365202047</v>
      </c>
      <c r="S176" s="12">
        <f t="shared" si="28"/>
        <v>19.412310330310987</v>
      </c>
      <c r="T176" s="12">
        <f>U176+V176</f>
        <v>28.933333333333334</v>
      </c>
      <c r="U176" s="12">
        <f>SUM(27.3+28.1+28.8+27.5+25.5+22.8+21+20.4+21.4+23.2+25.1+25.7)/12</f>
        <v>24.733333333333334</v>
      </c>
      <c r="V176" s="12">
        <v>4.2</v>
      </c>
      <c r="W176" s="5" t="s">
        <v>176</v>
      </c>
      <c r="X176" s="5">
        <f t="shared" si="29"/>
        <v>301.93333333333334</v>
      </c>
      <c r="Y176" s="12">
        <v>-26.5</v>
      </c>
      <c r="Z176" s="5" t="s">
        <v>268</v>
      </c>
      <c r="AA176" s="4" t="s">
        <v>181</v>
      </c>
      <c r="AB176" s="4" t="s">
        <v>169</v>
      </c>
      <c r="AC176" s="11">
        <v>170</v>
      </c>
      <c r="AD176" s="3">
        <f t="shared" si="23"/>
        <v>23.985248779587032</v>
      </c>
      <c r="AE176" s="3">
        <v>34</v>
      </c>
      <c r="AF176" s="57">
        <f t="shared" si="30"/>
        <v>2.6582908560244985E-2</v>
      </c>
      <c r="AG176" s="12">
        <f t="shared" si="31"/>
        <v>902.28082924895659</v>
      </c>
    </row>
    <row r="177" spans="1:307" x14ac:dyDescent="0.25">
      <c r="A177" s="76">
        <v>19758</v>
      </c>
      <c r="B177" s="24">
        <v>97</v>
      </c>
      <c r="C177" s="8">
        <f t="shared" si="24"/>
        <v>3.0999999999999943</v>
      </c>
      <c r="D177" s="8">
        <f t="shared" si="25"/>
        <v>3</v>
      </c>
      <c r="E177" s="3">
        <v>93.9</v>
      </c>
      <c r="F177" s="3">
        <v>100</v>
      </c>
      <c r="G177" s="4" t="s">
        <v>377</v>
      </c>
      <c r="H177" s="28">
        <v>2098</v>
      </c>
      <c r="I177" s="29" t="s">
        <v>214</v>
      </c>
      <c r="J177" s="34" t="s">
        <v>1</v>
      </c>
      <c r="K177" s="34" t="s">
        <v>0</v>
      </c>
      <c r="L177" s="30">
        <f>AVERAGE(-28.29,-28.34,-28.36)</f>
        <v>-28.33</v>
      </c>
      <c r="M177" s="25" t="s">
        <v>293</v>
      </c>
      <c r="N177" s="5">
        <f t="shared" si="32"/>
        <v>-24.83</v>
      </c>
      <c r="O177" s="5">
        <v>3</v>
      </c>
      <c r="P177" s="4" t="s">
        <v>72</v>
      </c>
      <c r="Q177" s="12">
        <f t="shared" si="26"/>
        <v>-8.1957549950867978</v>
      </c>
      <c r="R177" s="12">
        <f t="shared" si="27"/>
        <v>-6.1957549950867978</v>
      </c>
      <c r="S177" s="12">
        <f t="shared" si="28"/>
        <v>19.10871438304418</v>
      </c>
      <c r="T177" s="12">
        <f>U177+V177</f>
        <v>32.300000000000004</v>
      </c>
      <c r="U177" s="12">
        <v>28.1</v>
      </c>
      <c r="V177" s="12">
        <v>4.2</v>
      </c>
      <c r="W177" s="5" t="s">
        <v>176</v>
      </c>
      <c r="X177" s="5">
        <f t="shared" si="29"/>
        <v>305.3</v>
      </c>
      <c r="Y177" s="5"/>
      <c r="Z177" s="5"/>
      <c r="AA177" s="4" t="s">
        <v>259</v>
      </c>
      <c r="AC177" s="11">
        <v>170</v>
      </c>
      <c r="AD177" s="3">
        <f t="shared" si="23"/>
        <v>23.000058286208716</v>
      </c>
      <c r="AE177" s="3">
        <v>34</v>
      </c>
      <c r="AF177" s="57">
        <f t="shared" si="30"/>
        <v>2.4592621307740554E-2</v>
      </c>
      <c r="AG177" s="12">
        <f t="shared" si="31"/>
        <v>935.24224190649511</v>
      </c>
    </row>
    <row r="178" spans="1:307" x14ac:dyDescent="0.25">
      <c r="A178" s="76">
        <v>19759</v>
      </c>
      <c r="B178" s="3">
        <v>99</v>
      </c>
      <c r="C178" s="8">
        <f t="shared" si="24"/>
        <v>1</v>
      </c>
      <c r="D178" s="8">
        <f t="shared" si="25"/>
        <v>1</v>
      </c>
      <c r="E178" s="3">
        <v>98</v>
      </c>
      <c r="F178" s="3">
        <v>100</v>
      </c>
      <c r="G178" s="4" t="s">
        <v>374</v>
      </c>
      <c r="H178" s="4" t="s">
        <v>280</v>
      </c>
      <c r="I178" s="4" t="s">
        <v>287</v>
      </c>
      <c r="J178" s="11" t="s">
        <v>4</v>
      </c>
      <c r="K178" s="11" t="s">
        <v>0</v>
      </c>
      <c r="L178" s="5">
        <v>-30.1</v>
      </c>
      <c r="M178" s="4" t="s">
        <v>286</v>
      </c>
      <c r="N178" s="5">
        <f t="shared" si="32"/>
        <v>-26.6</v>
      </c>
      <c r="O178" s="5">
        <v>-0.6</v>
      </c>
      <c r="P178" s="4" t="s">
        <v>286</v>
      </c>
      <c r="Q178" s="12">
        <f t="shared" si="26"/>
        <v>-8.137642635278727</v>
      </c>
      <c r="R178" s="12">
        <f t="shared" si="27"/>
        <v>-9.7376426352787266</v>
      </c>
      <c r="S178" s="12">
        <f t="shared" si="28"/>
        <v>17.323153240930147</v>
      </c>
      <c r="T178" s="12">
        <f>AVERAGE(32.9,32.8)</f>
        <v>32.849999999999994</v>
      </c>
      <c r="W178" s="5"/>
      <c r="X178" s="5">
        <f t="shared" si="29"/>
        <v>305.85000000000002</v>
      </c>
      <c r="Y178" s="5"/>
      <c r="Z178" s="23"/>
      <c r="AA178" s="4"/>
      <c r="AB178" s="4" t="s">
        <v>286</v>
      </c>
      <c r="AC178" s="11">
        <v>170</v>
      </c>
      <c r="AD178" s="3">
        <f t="shared" si="23"/>
        <v>18.524881635620869</v>
      </c>
      <c r="AE178" s="3">
        <v>34</v>
      </c>
      <c r="AF178" s="57">
        <f t="shared" si="30"/>
        <v>2.429334177162221E-2</v>
      </c>
      <c r="AG178" s="12">
        <f t="shared" si="31"/>
        <v>762.54974757158959</v>
      </c>
    </row>
    <row r="179" spans="1:307" x14ac:dyDescent="0.25">
      <c r="A179" s="76">
        <v>19760</v>
      </c>
      <c r="B179" s="3">
        <v>102</v>
      </c>
      <c r="C179" s="8">
        <f t="shared" si="24"/>
        <v>1.5</v>
      </c>
      <c r="D179" s="8">
        <f t="shared" si="25"/>
        <v>3</v>
      </c>
      <c r="E179" s="3">
        <v>100.5</v>
      </c>
      <c r="F179" s="3">
        <v>105</v>
      </c>
      <c r="G179" s="4" t="s">
        <v>394</v>
      </c>
      <c r="H179" s="31" t="s">
        <v>199</v>
      </c>
      <c r="I179" s="4" t="s">
        <v>205</v>
      </c>
      <c r="J179" s="11" t="s">
        <v>1</v>
      </c>
      <c r="K179" s="11" t="s">
        <v>0</v>
      </c>
      <c r="L179" s="31">
        <v>-30.1</v>
      </c>
      <c r="M179" s="4" t="s">
        <v>206</v>
      </c>
      <c r="N179" s="5">
        <f t="shared" si="32"/>
        <v>-26.6</v>
      </c>
      <c r="O179" s="5">
        <v>2.7</v>
      </c>
      <c r="P179" s="4" t="s">
        <v>2</v>
      </c>
      <c r="Q179" s="12">
        <f t="shared" si="26"/>
        <v>-8.3072801972062429</v>
      </c>
      <c r="R179" s="12">
        <f t="shared" si="27"/>
        <v>-6.6072801972062427</v>
      </c>
      <c r="S179" s="12">
        <f t="shared" si="28"/>
        <v>20.539058765968619</v>
      </c>
      <c r="T179" s="12">
        <f>U179+V179</f>
        <v>31.25</v>
      </c>
      <c r="U179" s="12">
        <v>27</v>
      </c>
      <c r="V179" s="12">
        <f>8.5/2</f>
        <v>4.25</v>
      </c>
      <c r="W179" s="5" t="s">
        <v>176</v>
      </c>
      <c r="X179" s="5">
        <f t="shared" si="29"/>
        <v>304.25</v>
      </c>
      <c r="Y179" s="5">
        <v>3.1</v>
      </c>
      <c r="Z179" s="23" t="s">
        <v>265</v>
      </c>
      <c r="AA179" s="4" t="s">
        <v>381</v>
      </c>
      <c r="AB179" s="5" t="s">
        <v>169</v>
      </c>
      <c r="AC179" s="11">
        <v>170</v>
      </c>
      <c r="AD179" s="3">
        <f t="shared" si="23"/>
        <v>28.518986067076039</v>
      </c>
      <c r="AE179" s="3">
        <v>34</v>
      </c>
      <c r="AF179" s="57">
        <f t="shared" si="30"/>
        <v>2.5183388529685945E-2</v>
      </c>
      <c r="AG179" s="12">
        <f t="shared" si="31"/>
        <v>1132.4522922504302</v>
      </c>
      <c r="AH179" s="11"/>
      <c r="AI179" s="11"/>
      <c r="AJ179" s="12"/>
      <c r="AK179" s="12"/>
    </row>
    <row r="180" spans="1:307" x14ac:dyDescent="0.25">
      <c r="A180" s="76">
        <v>19761</v>
      </c>
      <c r="B180" s="3">
        <v>102</v>
      </c>
      <c r="C180" s="8">
        <f t="shared" si="24"/>
        <v>1.5</v>
      </c>
      <c r="D180" s="8">
        <f t="shared" si="25"/>
        <v>3</v>
      </c>
      <c r="E180" s="3">
        <v>100.5</v>
      </c>
      <c r="F180" s="3">
        <v>105</v>
      </c>
      <c r="G180" s="4" t="s">
        <v>394</v>
      </c>
      <c r="H180" s="31" t="s">
        <v>200</v>
      </c>
      <c r="I180" s="4" t="s">
        <v>205</v>
      </c>
      <c r="J180" s="11" t="s">
        <v>1</v>
      </c>
      <c r="K180" s="11" t="s">
        <v>0</v>
      </c>
      <c r="L180" s="31">
        <v>-28.9</v>
      </c>
      <c r="M180" s="4" t="s">
        <v>206</v>
      </c>
      <c r="N180" s="5">
        <f t="shared" si="32"/>
        <v>-25.4</v>
      </c>
      <c r="O180" s="5">
        <v>2.7</v>
      </c>
      <c r="P180" s="4" t="s">
        <v>2</v>
      </c>
      <c r="Q180" s="12">
        <f t="shared" si="26"/>
        <v>-8.3072801972062429</v>
      </c>
      <c r="R180" s="12">
        <f t="shared" si="27"/>
        <v>-6.6072801972062427</v>
      </c>
      <c r="S180" s="12">
        <f t="shared" si="28"/>
        <v>19.282495180375172</v>
      </c>
      <c r="T180" s="12">
        <f>U180+V180</f>
        <v>31.25</v>
      </c>
      <c r="U180" s="12">
        <v>27</v>
      </c>
      <c r="V180" s="12">
        <f>8.5/2</f>
        <v>4.25</v>
      </c>
      <c r="W180" s="5" t="s">
        <v>176</v>
      </c>
      <c r="X180" s="5">
        <f t="shared" si="29"/>
        <v>304.25</v>
      </c>
      <c r="Y180" s="5">
        <v>3.1</v>
      </c>
      <c r="Z180" s="23" t="s">
        <v>265</v>
      </c>
      <c r="AA180" s="4" t="s">
        <v>381</v>
      </c>
      <c r="AB180" s="5" t="s">
        <v>169</v>
      </c>
      <c r="AC180" s="11">
        <v>170</v>
      </c>
      <c r="AD180" s="3">
        <f t="shared" si="23"/>
        <v>23.55384641209519</v>
      </c>
      <c r="AE180" s="3">
        <v>34</v>
      </c>
      <c r="AF180" s="57">
        <f t="shared" si="30"/>
        <v>2.5183388529685945E-2</v>
      </c>
      <c r="AG180" s="12">
        <f t="shared" si="31"/>
        <v>935.29297633359124</v>
      </c>
      <c r="AH180" s="11"/>
      <c r="AI180" s="11"/>
      <c r="AJ180" s="12"/>
      <c r="AK180" s="12"/>
    </row>
    <row r="181" spans="1:307" x14ac:dyDescent="0.25">
      <c r="A181" s="76">
        <v>19762</v>
      </c>
      <c r="B181" s="3">
        <v>111</v>
      </c>
      <c r="C181" s="8">
        <f t="shared" si="24"/>
        <v>1</v>
      </c>
      <c r="D181" s="8">
        <f t="shared" si="25"/>
        <v>2</v>
      </c>
      <c r="E181" s="3">
        <v>110</v>
      </c>
      <c r="F181" s="3">
        <v>113</v>
      </c>
      <c r="G181" s="4" t="s">
        <v>314</v>
      </c>
      <c r="H181" s="4" t="s">
        <v>76</v>
      </c>
      <c r="I181" s="4" t="s">
        <v>75</v>
      </c>
      <c r="J181" s="11" t="s">
        <v>4</v>
      </c>
      <c r="K181" s="11" t="s">
        <v>27</v>
      </c>
      <c r="L181" s="5">
        <v>-29.8</v>
      </c>
      <c r="M181" s="4" t="s">
        <v>74</v>
      </c>
      <c r="N181" s="5">
        <f t="shared" si="32"/>
        <v>-26.3</v>
      </c>
      <c r="O181" s="5">
        <v>2.8</v>
      </c>
      <c r="P181" s="4" t="s">
        <v>2</v>
      </c>
      <c r="Q181" s="12">
        <f t="shared" si="26"/>
        <v>-8.2275409836065556</v>
      </c>
      <c r="R181" s="12">
        <f t="shared" si="27"/>
        <v>-6.4275409836065558</v>
      </c>
      <c r="S181" s="12">
        <f t="shared" si="28"/>
        <v>20.409221542973643</v>
      </c>
      <c r="T181" s="12">
        <v>32</v>
      </c>
      <c r="W181" s="5"/>
      <c r="X181" s="5">
        <f t="shared" si="29"/>
        <v>305</v>
      </c>
      <c r="Y181" s="5"/>
      <c r="Z181" s="23"/>
      <c r="AA181" s="4"/>
      <c r="AB181" s="4" t="s">
        <v>389</v>
      </c>
      <c r="AC181" s="11">
        <v>170</v>
      </c>
      <c r="AD181" s="3">
        <f t="shared" si="23"/>
        <v>27.911046379282936</v>
      </c>
      <c r="AE181" s="3">
        <v>34</v>
      </c>
      <c r="AF181" s="57">
        <f t="shared" si="30"/>
        <v>2.4758776095312345E-2</v>
      </c>
      <c r="AG181" s="12">
        <f t="shared" si="31"/>
        <v>1127.3193098009162</v>
      </c>
      <c r="AH181" s="11"/>
      <c r="AI181" s="11"/>
      <c r="AJ181" s="12"/>
      <c r="AK181" s="12"/>
    </row>
    <row r="182" spans="1:307" x14ac:dyDescent="0.25">
      <c r="A182" s="76">
        <v>19763</v>
      </c>
      <c r="B182" s="3">
        <v>115</v>
      </c>
      <c r="C182" s="8">
        <f t="shared" si="24"/>
        <v>1.2000000000000028</v>
      </c>
      <c r="D182" s="8">
        <f t="shared" si="25"/>
        <v>0</v>
      </c>
      <c r="E182" s="3">
        <v>113.8</v>
      </c>
      <c r="F182" s="3">
        <v>115</v>
      </c>
      <c r="G182" s="4" t="s">
        <v>314</v>
      </c>
      <c r="H182" s="4" t="s">
        <v>77</v>
      </c>
      <c r="I182" s="4" t="s">
        <v>75</v>
      </c>
      <c r="J182" s="11" t="s">
        <v>4</v>
      </c>
      <c r="K182" s="11" t="s">
        <v>27</v>
      </c>
      <c r="L182" s="5">
        <v>-28.2</v>
      </c>
      <c r="M182" s="4" t="s">
        <v>74</v>
      </c>
      <c r="N182" s="5">
        <f t="shared" si="32"/>
        <v>-24.7</v>
      </c>
      <c r="O182" s="5">
        <v>3</v>
      </c>
      <c r="P182" s="4" t="s">
        <v>2</v>
      </c>
      <c r="Q182" s="12">
        <f t="shared" si="26"/>
        <v>-8.2275409836065556</v>
      </c>
      <c r="R182" s="12">
        <f t="shared" si="27"/>
        <v>-6.2275409836065556</v>
      </c>
      <c r="S182" s="12">
        <f t="shared" si="28"/>
        <v>18.940284031983445</v>
      </c>
      <c r="T182" s="12">
        <v>32</v>
      </c>
      <c r="W182" s="5"/>
      <c r="X182" s="5">
        <f t="shared" si="29"/>
        <v>305</v>
      </c>
      <c r="Y182" s="5"/>
      <c r="Z182" s="23"/>
      <c r="AA182" s="4"/>
      <c r="AB182" s="4" t="s">
        <v>389</v>
      </c>
      <c r="AC182" s="11">
        <v>170</v>
      </c>
      <c r="AD182" s="3">
        <f t="shared" si="23"/>
        <v>22.487617354836011</v>
      </c>
      <c r="AE182" s="3">
        <v>34</v>
      </c>
      <c r="AF182" s="57">
        <f t="shared" si="30"/>
        <v>2.4758776095312345E-2</v>
      </c>
      <c r="AG182" s="12">
        <f t="shared" si="31"/>
        <v>908.26853751844624</v>
      </c>
    </row>
    <row r="183" spans="1:307" s="9" customFormat="1" x14ac:dyDescent="0.25">
      <c r="A183" s="76">
        <v>19764</v>
      </c>
      <c r="B183" s="3">
        <v>115</v>
      </c>
      <c r="C183" s="8">
        <f t="shared" si="24"/>
        <v>2</v>
      </c>
      <c r="D183" s="8">
        <f t="shared" si="25"/>
        <v>0</v>
      </c>
      <c r="E183" s="3">
        <v>113</v>
      </c>
      <c r="F183" s="3">
        <v>115</v>
      </c>
      <c r="G183" s="4" t="s">
        <v>226</v>
      </c>
      <c r="H183" s="4" t="s">
        <v>297</v>
      </c>
      <c r="I183" s="4" t="s">
        <v>73</v>
      </c>
      <c r="J183" s="11" t="s">
        <v>4</v>
      </c>
      <c r="K183" s="11" t="s">
        <v>0</v>
      </c>
      <c r="L183" s="5">
        <v>-32</v>
      </c>
      <c r="M183" s="4" t="s">
        <v>72</v>
      </c>
      <c r="N183" s="5">
        <f t="shared" si="32"/>
        <v>-28.5</v>
      </c>
      <c r="O183" s="5">
        <v>2.23</v>
      </c>
      <c r="P183" s="4" t="s">
        <v>72</v>
      </c>
      <c r="Q183" s="12">
        <f t="shared" si="26"/>
        <v>-9.2718105563609505</v>
      </c>
      <c r="R183" s="12">
        <f t="shared" si="27"/>
        <v>-8.0418105563609501</v>
      </c>
      <c r="S183" s="12">
        <f t="shared" si="28"/>
        <v>21.058352489592423</v>
      </c>
      <c r="T183" s="12">
        <f>U183+V183</f>
        <v>22.461666666666666</v>
      </c>
      <c r="U183" s="12">
        <f>SUM(15.4+15.1+15.3+16.2+19+22.8+25.3+25.6+25.2+21.9+19.4+16.9)/12</f>
        <v>19.841666666666665</v>
      </c>
      <c r="V183" s="12">
        <f>5.24/2</f>
        <v>2.62</v>
      </c>
      <c r="W183" s="5" t="s">
        <v>176</v>
      </c>
      <c r="X183" s="5">
        <f t="shared" si="29"/>
        <v>295.46166666666664</v>
      </c>
      <c r="Y183" s="5" t="s">
        <v>274</v>
      </c>
      <c r="Z183" s="23" t="s">
        <v>266</v>
      </c>
      <c r="AA183" s="4" t="s">
        <v>182</v>
      </c>
      <c r="AB183" s="4" t="s">
        <v>169</v>
      </c>
      <c r="AC183" s="11">
        <v>170</v>
      </c>
      <c r="AD183" s="3">
        <f t="shared" si="23"/>
        <v>31.240538766037616</v>
      </c>
      <c r="AE183" s="3">
        <v>34</v>
      </c>
      <c r="AF183" s="57">
        <f t="shared" si="30"/>
        <v>3.1320635527317779E-2</v>
      </c>
      <c r="AG183" s="12">
        <f t="shared" si="31"/>
        <v>997.44268403461024</v>
      </c>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row>
    <row r="184" spans="1:307" x14ac:dyDescent="0.25">
      <c r="A184" s="76">
        <v>19765</v>
      </c>
      <c r="B184" s="3">
        <v>116</v>
      </c>
      <c r="C184" s="8">
        <f t="shared" si="24"/>
        <v>3</v>
      </c>
      <c r="D184" s="8">
        <f t="shared" si="25"/>
        <v>1</v>
      </c>
      <c r="E184" s="3">
        <v>113</v>
      </c>
      <c r="F184" s="3">
        <v>115</v>
      </c>
      <c r="G184" s="4" t="s">
        <v>226</v>
      </c>
      <c r="H184" s="4" t="s">
        <v>298</v>
      </c>
      <c r="I184" s="4" t="s">
        <v>73</v>
      </c>
      <c r="J184" s="11" t="s">
        <v>4</v>
      </c>
      <c r="K184" s="11" t="s">
        <v>0</v>
      </c>
      <c r="L184" s="5">
        <v>-32.799999999999997</v>
      </c>
      <c r="M184" s="4" t="s">
        <v>72</v>
      </c>
      <c r="N184" s="5">
        <f t="shared" si="32"/>
        <v>-29.299999999999997</v>
      </c>
      <c r="O184" s="5">
        <v>2.61</v>
      </c>
      <c r="P184" s="4" t="s">
        <v>72</v>
      </c>
      <c r="Q184" s="12">
        <f t="shared" si="26"/>
        <v>-9.2718105563609505</v>
      </c>
      <c r="R184" s="12">
        <f t="shared" si="27"/>
        <v>-7.6618105563609511</v>
      </c>
      <c r="S184" s="12">
        <f t="shared" si="28"/>
        <v>22.291325274172323</v>
      </c>
      <c r="T184" s="12">
        <f>U184+V184</f>
        <v>22.461666666666666</v>
      </c>
      <c r="U184" s="12">
        <f>SUM(15.4+15.1+15.3+16.2+19+22.8+25.3+25.6+25.2+21.9+19.4+16.9)/12</f>
        <v>19.841666666666665</v>
      </c>
      <c r="V184" s="12">
        <f>5.24/2</f>
        <v>2.62</v>
      </c>
      <c r="W184" s="5" t="s">
        <v>176</v>
      </c>
      <c r="X184" s="5">
        <f t="shared" si="29"/>
        <v>295.46166666666664</v>
      </c>
      <c r="Y184" s="5" t="s">
        <v>274</v>
      </c>
      <c r="Z184" s="23" t="s">
        <v>266</v>
      </c>
      <c r="AA184" s="4" t="s">
        <v>182</v>
      </c>
      <c r="AB184" s="4" t="s">
        <v>169</v>
      </c>
      <c r="AC184" s="11">
        <v>170</v>
      </c>
      <c r="AD184" s="3">
        <f t="shared" si="23"/>
        <v>40.392762823115966</v>
      </c>
      <c r="AE184" s="3">
        <v>34</v>
      </c>
      <c r="AF184" s="57">
        <f t="shared" si="30"/>
        <v>3.1320635527317779E-2</v>
      </c>
      <c r="AG184" s="12">
        <f t="shared" si="31"/>
        <v>1289.6533592967965</v>
      </c>
    </row>
    <row r="185" spans="1:307" x14ac:dyDescent="0.25">
      <c r="A185" s="76">
        <v>19766</v>
      </c>
      <c r="B185" s="3">
        <v>116</v>
      </c>
      <c r="C185" s="8">
        <f t="shared" si="24"/>
        <v>2</v>
      </c>
      <c r="D185" s="8">
        <f t="shared" si="25"/>
        <v>0</v>
      </c>
      <c r="E185" s="3">
        <v>114</v>
      </c>
      <c r="F185" s="3">
        <v>116</v>
      </c>
      <c r="G185" s="4" t="s">
        <v>226</v>
      </c>
      <c r="H185" s="4" t="s">
        <v>299</v>
      </c>
      <c r="I185" s="4" t="s">
        <v>73</v>
      </c>
      <c r="J185" s="11" t="s">
        <v>4</v>
      </c>
      <c r="K185" s="11" t="s">
        <v>0</v>
      </c>
      <c r="L185" s="5">
        <v>-33</v>
      </c>
      <c r="M185" s="4" t="s">
        <v>72</v>
      </c>
      <c r="N185" s="5">
        <f t="shared" si="32"/>
        <v>-29.5</v>
      </c>
      <c r="O185" s="5">
        <v>2.2400000000000002</v>
      </c>
      <c r="P185" s="4" t="s">
        <v>72</v>
      </c>
      <c r="Q185" s="12">
        <f t="shared" si="26"/>
        <v>-9.2034632173050532</v>
      </c>
      <c r="R185" s="12">
        <f t="shared" si="27"/>
        <v>-7.963463217305053</v>
      </c>
      <c r="S185" s="12">
        <f t="shared" si="28"/>
        <v>22.191176489124054</v>
      </c>
      <c r="T185" s="12">
        <f>U185+V185</f>
        <v>23.067666666666664</v>
      </c>
      <c r="U185" s="12">
        <f>SUM(15.4+15.1+15.3+16.2+19+22.8+25.3+25.6+25.2+21.9+19.4+16.9)/12</f>
        <v>19.841666666666665</v>
      </c>
      <c r="V185" s="12">
        <f>6.452/2</f>
        <v>3.226</v>
      </c>
      <c r="W185" s="5" t="s">
        <v>176</v>
      </c>
      <c r="X185" s="5">
        <f t="shared" si="29"/>
        <v>296.06766666666664</v>
      </c>
      <c r="Y185" s="5" t="s">
        <v>274</v>
      </c>
      <c r="Z185" s="23" t="s">
        <v>266</v>
      </c>
      <c r="AA185" s="4" t="s">
        <v>182</v>
      </c>
      <c r="AB185" s="4" t="s">
        <v>169</v>
      </c>
      <c r="AC185" s="11">
        <v>170</v>
      </c>
      <c r="AD185" s="3">
        <f t="shared" ref="AD185:AD248" si="33">AC185/($AL$8-S185)</f>
        <v>39.453925084399771</v>
      </c>
      <c r="AE185" s="3">
        <v>34</v>
      </c>
      <c r="AF185" s="57">
        <f t="shared" si="30"/>
        <v>3.081763623206836E-2</v>
      </c>
      <c r="AG185" s="12">
        <f t="shared" si="31"/>
        <v>1280.2385227503146</v>
      </c>
    </row>
    <row r="186" spans="1:307" x14ac:dyDescent="0.25">
      <c r="A186" s="76">
        <v>19767</v>
      </c>
      <c r="B186" s="3">
        <v>116</v>
      </c>
      <c r="C186" s="8">
        <f t="shared" si="24"/>
        <v>1</v>
      </c>
      <c r="D186" s="8">
        <f t="shared" si="25"/>
        <v>1</v>
      </c>
      <c r="E186" s="3">
        <v>115</v>
      </c>
      <c r="F186" s="3">
        <v>117</v>
      </c>
      <c r="G186" s="4" t="s">
        <v>226</v>
      </c>
      <c r="H186" s="4" t="s">
        <v>300</v>
      </c>
      <c r="I186" s="4" t="s">
        <v>73</v>
      </c>
      <c r="J186" s="11" t="s">
        <v>4</v>
      </c>
      <c r="K186" s="11" t="s">
        <v>0</v>
      </c>
      <c r="L186" s="5">
        <v>-32.5</v>
      </c>
      <c r="M186" s="4" t="s">
        <v>72</v>
      </c>
      <c r="N186" s="5">
        <f t="shared" si="32"/>
        <v>-29</v>
      </c>
      <c r="O186" s="5">
        <v>2.57</v>
      </c>
      <c r="P186" s="4" t="s">
        <v>72</v>
      </c>
      <c r="Q186" s="12">
        <f t="shared" si="26"/>
        <v>-9.2718105563609505</v>
      </c>
      <c r="R186" s="12">
        <f t="shared" si="27"/>
        <v>-7.7018105563609502</v>
      </c>
      <c r="S186" s="12">
        <f t="shared" si="28"/>
        <v>21.93428367007111</v>
      </c>
      <c r="T186" s="12">
        <f>U186+V186</f>
        <v>22.461666666666666</v>
      </c>
      <c r="U186" s="12">
        <f>SUM(15.4+15.1+15.3+16.2+19+22.8+25.3+25.6+25.2+21.9+19.4+16.9)/12</f>
        <v>19.841666666666665</v>
      </c>
      <c r="V186" s="12">
        <f>5.24/2</f>
        <v>2.62</v>
      </c>
      <c r="W186" s="5" t="s">
        <v>176</v>
      </c>
      <c r="X186" s="5">
        <f t="shared" si="29"/>
        <v>295.46166666666664</v>
      </c>
      <c r="Y186" s="5" t="s">
        <v>274</v>
      </c>
      <c r="Z186" s="23" t="s">
        <v>266</v>
      </c>
      <c r="AA186" s="4" t="s">
        <v>182</v>
      </c>
      <c r="AB186" s="4" t="s">
        <v>169</v>
      </c>
      <c r="AC186" s="11">
        <v>170</v>
      </c>
      <c r="AD186" s="3">
        <f t="shared" si="33"/>
        <v>37.234025882341165</v>
      </c>
      <c r="AE186" s="3">
        <v>34</v>
      </c>
      <c r="AF186" s="57">
        <f t="shared" si="30"/>
        <v>3.1320635527317779E-2</v>
      </c>
      <c r="AG186" s="12">
        <f t="shared" si="31"/>
        <v>1188.8017358353327</v>
      </c>
      <c r="AH186" s="11"/>
      <c r="AI186" s="11"/>
      <c r="AJ186" s="12"/>
      <c r="AK186" s="12"/>
    </row>
    <row r="187" spans="1:307" x14ac:dyDescent="0.25">
      <c r="A187" s="76">
        <v>19768</v>
      </c>
      <c r="B187" s="3">
        <v>117</v>
      </c>
      <c r="C187" s="8">
        <f t="shared" si="24"/>
        <v>1</v>
      </c>
      <c r="D187" s="8">
        <f t="shared" si="25"/>
        <v>0</v>
      </c>
      <c r="E187" s="3">
        <v>116</v>
      </c>
      <c r="F187" s="3">
        <v>117</v>
      </c>
      <c r="G187" s="4" t="s">
        <v>314</v>
      </c>
      <c r="H187" s="4" t="s">
        <v>78</v>
      </c>
      <c r="I187" s="4" t="s">
        <v>75</v>
      </c>
      <c r="J187" s="11" t="s">
        <v>4</v>
      </c>
      <c r="K187" s="11" t="s">
        <v>27</v>
      </c>
      <c r="L187" s="5">
        <v>-27.5</v>
      </c>
      <c r="M187" s="4" t="s">
        <v>74</v>
      </c>
      <c r="N187" s="5">
        <f t="shared" si="32"/>
        <v>-24</v>
      </c>
      <c r="O187" s="5">
        <v>3.1</v>
      </c>
      <c r="P187" s="4" t="s">
        <v>2</v>
      </c>
      <c r="Q187" s="12">
        <f t="shared" si="26"/>
        <v>-8.2275409836065556</v>
      </c>
      <c r="R187" s="12">
        <f t="shared" si="27"/>
        <v>-6.127540983606556</v>
      </c>
      <c r="S187" s="12">
        <f t="shared" si="28"/>
        <v>18.311945713517908</v>
      </c>
      <c r="T187" s="12">
        <v>32</v>
      </c>
      <c r="W187" s="5"/>
      <c r="X187" s="5">
        <f t="shared" si="29"/>
        <v>305</v>
      </c>
      <c r="Y187" s="5"/>
      <c r="Z187" s="23"/>
      <c r="AA187" s="4"/>
      <c r="AB187" s="4" t="s">
        <v>389</v>
      </c>
      <c r="AC187" s="11">
        <v>170</v>
      </c>
      <c r="AD187" s="3">
        <f t="shared" si="33"/>
        <v>20.761953212823485</v>
      </c>
      <c r="AE187" s="3">
        <v>34</v>
      </c>
      <c r="AF187" s="57">
        <f t="shared" si="30"/>
        <v>2.4758776095312345E-2</v>
      </c>
      <c r="AG187" s="12">
        <f t="shared" si="31"/>
        <v>838.56944838054449</v>
      </c>
      <c r="AH187" s="11"/>
      <c r="AI187" s="11"/>
      <c r="AJ187" s="12"/>
      <c r="AK187" s="12"/>
    </row>
    <row r="188" spans="1:307" x14ac:dyDescent="0.25">
      <c r="A188" s="76">
        <v>19769</v>
      </c>
      <c r="B188" s="3">
        <v>117</v>
      </c>
      <c r="C188" s="8">
        <f t="shared" si="24"/>
        <v>1</v>
      </c>
      <c r="D188" s="8">
        <f t="shared" si="25"/>
        <v>1</v>
      </c>
      <c r="E188" s="3">
        <v>116</v>
      </c>
      <c r="F188" s="3">
        <v>118</v>
      </c>
      <c r="G188" s="4" t="s">
        <v>226</v>
      </c>
      <c r="H188" s="4" t="s">
        <v>301</v>
      </c>
      <c r="I188" s="4" t="s">
        <v>73</v>
      </c>
      <c r="J188" s="11" t="s">
        <v>4</v>
      </c>
      <c r="K188" s="11" t="s">
        <v>0</v>
      </c>
      <c r="L188" s="5">
        <v>-33</v>
      </c>
      <c r="M188" s="4" t="s">
        <v>72</v>
      </c>
      <c r="N188" s="5">
        <f t="shared" si="32"/>
        <v>-29.5</v>
      </c>
      <c r="O188" s="5">
        <v>2.2000000000000002</v>
      </c>
      <c r="P188" s="4" t="s">
        <v>72</v>
      </c>
      <c r="Q188" s="12">
        <f t="shared" si="26"/>
        <v>-9.2718105563609505</v>
      </c>
      <c r="R188" s="12">
        <f t="shared" si="27"/>
        <v>-8.0718105563609512</v>
      </c>
      <c r="S188" s="12">
        <f t="shared" si="28"/>
        <v>22.07953574821131</v>
      </c>
      <c r="T188" s="12">
        <f>U188+V188</f>
        <v>22.461666666666666</v>
      </c>
      <c r="U188" s="12">
        <f>SUM(15.4+15.1+15.3+16.2+19+22.8+25.3+25.6+25.2+21.9+19.4+16.9)/12</f>
        <v>19.841666666666665</v>
      </c>
      <c r="V188" s="12">
        <f>5.24/2</f>
        <v>2.62</v>
      </c>
      <c r="W188" s="5" t="s">
        <v>176</v>
      </c>
      <c r="X188" s="5">
        <f t="shared" si="29"/>
        <v>295.46166666666664</v>
      </c>
      <c r="Y188" s="5" t="s">
        <v>274</v>
      </c>
      <c r="Z188" s="23" t="s">
        <v>266</v>
      </c>
      <c r="AA188" s="4" t="s">
        <v>182</v>
      </c>
      <c r="AB188" s="4" t="s">
        <v>169</v>
      </c>
      <c r="AC188" s="11">
        <v>170</v>
      </c>
      <c r="AD188" s="3">
        <f t="shared" si="33"/>
        <v>38.457499103450829</v>
      </c>
      <c r="AE188" s="3">
        <v>34</v>
      </c>
      <c r="AF188" s="57">
        <f t="shared" si="30"/>
        <v>3.1320635527317779E-2</v>
      </c>
      <c r="AG188" s="12">
        <f t="shared" si="31"/>
        <v>1227.8645837153686</v>
      </c>
    </row>
    <row r="189" spans="1:307" x14ac:dyDescent="0.25">
      <c r="A189" s="76">
        <v>19770</v>
      </c>
      <c r="B189" s="3">
        <v>117</v>
      </c>
      <c r="C189" s="8">
        <f t="shared" si="24"/>
        <v>1</v>
      </c>
      <c r="D189" s="8">
        <f t="shared" si="25"/>
        <v>1</v>
      </c>
      <c r="E189" s="3">
        <v>116</v>
      </c>
      <c r="F189" s="3">
        <v>118</v>
      </c>
      <c r="G189" s="4" t="s">
        <v>306</v>
      </c>
      <c r="H189" s="4" t="s">
        <v>302</v>
      </c>
      <c r="I189" s="4" t="s">
        <v>73</v>
      </c>
      <c r="J189" s="11" t="s">
        <v>4</v>
      </c>
      <c r="K189" s="11" t="s">
        <v>0</v>
      </c>
      <c r="L189" s="5">
        <v>-33.4</v>
      </c>
      <c r="M189" s="4" t="s">
        <v>72</v>
      </c>
      <c r="N189" s="5">
        <f t="shared" si="32"/>
        <v>-29.9</v>
      </c>
      <c r="O189" s="5">
        <v>2.15</v>
      </c>
      <c r="P189" s="4" t="s">
        <v>72</v>
      </c>
      <c r="Q189" s="12">
        <f t="shared" si="26"/>
        <v>-9.2718105563609505</v>
      </c>
      <c r="R189" s="12">
        <f t="shared" si="27"/>
        <v>-8.1218105563609502</v>
      </c>
      <c r="S189" s="12">
        <f t="shared" si="28"/>
        <v>22.449427320522688</v>
      </c>
      <c r="T189" s="12">
        <f>U189+V189</f>
        <v>22.461666666666666</v>
      </c>
      <c r="U189" s="12">
        <f>SUM(15.4+15.1+15.3+16.2+19+22.8+25.3+25.6+25.2+21.9+19.4+16.9)/12</f>
        <v>19.841666666666665</v>
      </c>
      <c r="V189" s="12">
        <f>5.24/2</f>
        <v>2.62</v>
      </c>
      <c r="W189" s="5" t="s">
        <v>176</v>
      </c>
      <c r="X189" s="5">
        <f t="shared" si="29"/>
        <v>295.46166666666664</v>
      </c>
      <c r="Y189" s="5" t="s">
        <v>274</v>
      </c>
      <c r="Z189" s="23" t="s">
        <v>266</v>
      </c>
      <c r="AA189" s="4" t="s">
        <v>182</v>
      </c>
      <c r="AB189" s="4" t="s">
        <v>169</v>
      </c>
      <c r="AC189" s="11">
        <v>170</v>
      </c>
      <c r="AD189" s="3">
        <f t="shared" si="33"/>
        <v>41.969374074269631</v>
      </c>
      <c r="AE189" s="3">
        <v>34</v>
      </c>
      <c r="AF189" s="57">
        <f t="shared" si="30"/>
        <v>3.1320635527317779E-2</v>
      </c>
      <c r="AG189" s="12">
        <f t="shared" si="31"/>
        <v>1339.9911389941001</v>
      </c>
      <c r="AH189" s="11"/>
      <c r="AI189" s="11"/>
      <c r="AJ189" s="12"/>
      <c r="AK189" s="12"/>
    </row>
    <row r="190" spans="1:307" x14ac:dyDescent="0.25">
      <c r="A190" s="76">
        <v>19771</v>
      </c>
      <c r="B190" s="3">
        <v>118</v>
      </c>
      <c r="C190" s="8">
        <f t="shared" si="24"/>
        <v>2</v>
      </c>
      <c r="D190" s="8">
        <f t="shared" si="25"/>
        <v>0</v>
      </c>
      <c r="E190" s="3">
        <v>116</v>
      </c>
      <c r="F190" s="3">
        <v>118</v>
      </c>
      <c r="G190" s="4" t="s">
        <v>314</v>
      </c>
      <c r="H190" s="4" t="s">
        <v>79</v>
      </c>
      <c r="I190" s="4" t="s">
        <v>75</v>
      </c>
      <c r="J190" s="11" t="s">
        <v>4</v>
      </c>
      <c r="K190" s="11" t="s">
        <v>27</v>
      </c>
      <c r="L190" s="5">
        <v>-29.9</v>
      </c>
      <c r="M190" s="4" t="s">
        <v>74</v>
      </c>
      <c r="N190" s="5">
        <f t="shared" si="32"/>
        <v>-26.4</v>
      </c>
      <c r="O190" s="5">
        <v>3.2</v>
      </c>
      <c r="P190" s="4" t="s">
        <v>2</v>
      </c>
      <c r="Q190" s="12">
        <f t="shared" si="26"/>
        <v>-8.2275409836065556</v>
      </c>
      <c r="R190" s="12">
        <f t="shared" si="27"/>
        <v>-6.0275409836065554</v>
      </c>
      <c r="S190" s="12">
        <f t="shared" si="28"/>
        <v>20.924875735819136</v>
      </c>
      <c r="T190" s="12">
        <v>32</v>
      </c>
      <c r="W190" s="5"/>
      <c r="X190" s="5">
        <f t="shared" si="29"/>
        <v>305</v>
      </c>
      <c r="Y190" s="5"/>
      <c r="Z190" s="23"/>
      <c r="AA190" s="4"/>
      <c r="AB190" s="4" t="s">
        <v>389</v>
      </c>
      <c r="AC190" s="11">
        <v>170</v>
      </c>
      <c r="AD190" s="3">
        <f t="shared" si="33"/>
        <v>30.492593876735331</v>
      </c>
      <c r="AE190" s="3">
        <v>34</v>
      </c>
      <c r="AF190" s="57">
        <f t="shared" si="30"/>
        <v>2.4758776095312345E-2</v>
      </c>
      <c r="AG190" s="12">
        <f t="shared" si="31"/>
        <v>1231.5872868412339</v>
      </c>
      <c r="AH190" s="11"/>
      <c r="AI190" s="11"/>
      <c r="AJ190" s="12"/>
      <c r="AK190" s="12"/>
    </row>
    <row r="191" spans="1:307" ht="13.2" customHeight="1" x14ac:dyDescent="0.25">
      <c r="A191" s="76">
        <v>19772</v>
      </c>
      <c r="B191" s="3">
        <v>120</v>
      </c>
      <c r="C191" s="8">
        <f t="shared" si="24"/>
        <v>1</v>
      </c>
      <c r="D191" s="8">
        <f t="shared" si="25"/>
        <v>1</v>
      </c>
      <c r="E191" s="3">
        <v>119</v>
      </c>
      <c r="F191" s="3">
        <v>121</v>
      </c>
      <c r="G191" s="4" t="s">
        <v>306</v>
      </c>
      <c r="H191" s="4" t="s">
        <v>303</v>
      </c>
      <c r="I191" s="4" t="s">
        <v>73</v>
      </c>
      <c r="J191" s="11" t="s">
        <v>4</v>
      </c>
      <c r="K191" s="11" t="s">
        <v>0</v>
      </c>
      <c r="L191" s="5">
        <v>-32.200000000000003</v>
      </c>
      <c r="M191" s="4" t="s">
        <v>72</v>
      </c>
      <c r="N191" s="5">
        <f t="shared" si="32"/>
        <v>-28.700000000000003</v>
      </c>
      <c r="O191" s="5">
        <v>2.2799999999999998</v>
      </c>
      <c r="P191" s="4" t="s">
        <v>72</v>
      </c>
      <c r="Q191" s="12">
        <f t="shared" si="26"/>
        <v>-9.2718105563609505</v>
      </c>
      <c r="R191" s="12">
        <f t="shared" si="27"/>
        <v>-7.9918105563609512</v>
      </c>
      <c r="S191" s="12">
        <f t="shared" si="28"/>
        <v>21.320075613753708</v>
      </c>
      <c r="T191" s="12">
        <f t="shared" ref="T191:T198" si="34">U191+V191</f>
        <v>22.461666666666666</v>
      </c>
      <c r="U191" s="12">
        <f>SUM(15.4+15.1+15.3+16.2+19+22.8+25.3+25.6+25.2+21.9+19.4+16.9)/12</f>
        <v>19.841666666666665</v>
      </c>
      <c r="V191" s="12">
        <f>5.24/2</f>
        <v>2.62</v>
      </c>
      <c r="W191" s="5" t="s">
        <v>176</v>
      </c>
      <c r="X191" s="5">
        <f t="shared" si="29"/>
        <v>295.46166666666664</v>
      </c>
      <c r="Y191" s="5" t="s">
        <v>274</v>
      </c>
      <c r="Z191" s="23" t="s">
        <v>266</v>
      </c>
      <c r="AA191" s="4" t="s">
        <v>182</v>
      </c>
      <c r="AB191" s="4" t="s">
        <v>169</v>
      </c>
      <c r="AC191" s="11">
        <v>170</v>
      </c>
      <c r="AD191" s="3">
        <f t="shared" si="33"/>
        <v>32.819011885845889</v>
      </c>
      <c r="AE191" s="3">
        <v>34</v>
      </c>
      <c r="AF191" s="57">
        <f t="shared" si="30"/>
        <v>3.1320635527317779E-2</v>
      </c>
      <c r="AG191" s="12">
        <f t="shared" si="31"/>
        <v>1047.8399091621634</v>
      </c>
      <c r="AH191" s="11"/>
      <c r="AI191" s="11"/>
      <c r="AJ191" s="12"/>
      <c r="AK191" s="12"/>
    </row>
    <row r="192" spans="1:307" s="9" customFormat="1" x14ac:dyDescent="0.25">
      <c r="A192" s="76">
        <v>19773</v>
      </c>
      <c r="B192" s="3">
        <v>122</v>
      </c>
      <c r="C192" s="8">
        <f t="shared" si="24"/>
        <v>4</v>
      </c>
      <c r="D192" s="8">
        <f t="shared" si="25"/>
        <v>4</v>
      </c>
      <c r="E192" s="3">
        <v>118</v>
      </c>
      <c r="F192" s="3">
        <v>126</v>
      </c>
      <c r="G192" s="4" t="s">
        <v>395</v>
      </c>
      <c r="H192" s="31" t="s">
        <v>201</v>
      </c>
      <c r="I192" s="4" t="s">
        <v>205</v>
      </c>
      <c r="J192" s="11" t="s">
        <v>1</v>
      </c>
      <c r="K192" s="11" t="s">
        <v>0</v>
      </c>
      <c r="L192" s="31">
        <v>-29.6</v>
      </c>
      <c r="M192" s="4" t="s">
        <v>206</v>
      </c>
      <c r="N192" s="5">
        <f t="shared" si="32"/>
        <v>-26.1</v>
      </c>
      <c r="O192" s="5">
        <v>2</v>
      </c>
      <c r="P192" s="4" t="s">
        <v>2</v>
      </c>
      <c r="Q192" s="12">
        <f t="shared" si="26"/>
        <v>-8.4335354868512233</v>
      </c>
      <c r="R192" s="12">
        <f t="shared" si="27"/>
        <v>-7.4335354868512233</v>
      </c>
      <c r="S192" s="12">
        <f t="shared" si="28"/>
        <v>19.166715795408962</v>
      </c>
      <c r="T192" s="12">
        <f t="shared" si="34"/>
        <v>30.07</v>
      </c>
      <c r="U192" s="12">
        <v>27.52</v>
      </c>
      <c r="V192" s="12">
        <f>5.1/2</f>
        <v>2.5499999999999998</v>
      </c>
      <c r="W192" s="5" t="s">
        <v>176</v>
      </c>
      <c r="X192" s="5">
        <f t="shared" si="29"/>
        <v>303.07</v>
      </c>
      <c r="Y192" s="5">
        <v>-5.7</v>
      </c>
      <c r="Z192" s="23" t="s">
        <v>265</v>
      </c>
      <c r="AA192" s="4" t="s">
        <v>382</v>
      </c>
      <c r="AB192" s="5" t="s">
        <v>169</v>
      </c>
      <c r="AC192" s="11">
        <v>170</v>
      </c>
      <c r="AD192" s="3">
        <f t="shared" si="33"/>
        <v>23.18197348652745</v>
      </c>
      <c r="AE192" s="3">
        <v>34</v>
      </c>
      <c r="AF192" s="57">
        <f t="shared" si="30"/>
        <v>2.5879108534158396E-2</v>
      </c>
      <c r="AG192" s="12">
        <f t="shared" si="31"/>
        <v>895.77944525906139</v>
      </c>
      <c r="AH192" s="11"/>
      <c r="AI192" s="11"/>
      <c r="AJ192" s="12"/>
      <c r="AK192" s="12"/>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row>
    <row r="193" spans="1:307" x14ac:dyDescent="0.25">
      <c r="A193" s="76">
        <v>19774</v>
      </c>
      <c r="B193" s="3">
        <v>122</v>
      </c>
      <c r="C193" s="8">
        <f t="shared" si="24"/>
        <v>4</v>
      </c>
      <c r="D193" s="8">
        <f t="shared" si="25"/>
        <v>4</v>
      </c>
      <c r="E193" s="3">
        <v>118</v>
      </c>
      <c r="F193" s="3">
        <v>126</v>
      </c>
      <c r="G193" s="4" t="s">
        <v>395</v>
      </c>
      <c r="H193" s="31" t="s">
        <v>202</v>
      </c>
      <c r="I193" s="4" t="s">
        <v>205</v>
      </c>
      <c r="J193" s="11" t="s">
        <v>1</v>
      </c>
      <c r="K193" s="11" t="s">
        <v>0</v>
      </c>
      <c r="L193" s="31">
        <v>-29.1</v>
      </c>
      <c r="M193" s="4" t="s">
        <v>206</v>
      </c>
      <c r="N193" s="5">
        <f t="shared" si="32"/>
        <v>-25.6</v>
      </c>
      <c r="O193" s="5">
        <v>2</v>
      </c>
      <c r="P193" s="4" t="s">
        <v>2</v>
      </c>
      <c r="Q193" s="12">
        <f t="shared" si="26"/>
        <v>-8.4335354868512233</v>
      </c>
      <c r="R193" s="12">
        <f t="shared" si="27"/>
        <v>-7.4335354868512233</v>
      </c>
      <c r="S193" s="12">
        <f t="shared" si="28"/>
        <v>18.643744368995073</v>
      </c>
      <c r="T193" s="12">
        <f t="shared" si="34"/>
        <v>30.07</v>
      </c>
      <c r="U193" s="12">
        <v>27.52</v>
      </c>
      <c r="V193" s="12">
        <f>5.1/2</f>
        <v>2.5499999999999998</v>
      </c>
      <c r="W193" s="5" t="s">
        <v>176</v>
      </c>
      <c r="X193" s="5">
        <f t="shared" si="29"/>
        <v>303.07</v>
      </c>
      <c r="Y193" s="5">
        <v>-5.7</v>
      </c>
      <c r="Z193" s="23" t="s">
        <v>265</v>
      </c>
      <c r="AA193" s="4" t="s">
        <v>382</v>
      </c>
      <c r="AB193" s="5" t="s">
        <v>169</v>
      </c>
      <c r="AC193" s="11">
        <v>170</v>
      </c>
      <c r="AD193" s="3">
        <f t="shared" si="33"/>
        <v>21.638807083757605</v>
      </c>
      <c r="AE193" s="3">
        <v>34</v>
      </c>
      <c r="AF193" s="57">
        <f t="shared" si="30"/>
        <v>2.5879108534158396E-2</v>
      </c>
      <c r="AG193" s="12">
        <f t="shared" si="31"/>
        <v>836.149632248579</v>
      </c>
      <c r="AH193" s="11"/>
      <c r="AI193" s="11"/>
      <c r="AJ193" s="12"/>
      <c r="AK193" s="12"/>
    </row>
    <row r="194" spans="1:307" x14ac:dyDescent="0.25">
      <c r="A194" s="76">
        <v>19775</v>
      </c>
      <c r="B194" s="3">
        <v>122</v>
      </c>
      <c r="C194" s="8">
        <f t="shared" si="24"/>
        <v>1</v>
      </c>
      <c r="D194" s="8">
        <f t="shared" si="25"/>
        <v>1</v>
      </c>
      <c r="E194" s="3">
        <v>121</v>
      </c>
      <c r="F194" s="3">
        <v>123</v>
      </c>
      <c r="G194" s="4" t="s">
        <v>306</v>
      </c>
      <c r="H194" s="4" t="s">
        <v>304</v>
      </c>
      <c r="I194" s="4" t="s">
        <v>73</v>
      </c>
      <c r="J194" s="11" t="s">
        <v>4</v>
      </c>
      <c r="K194" s="11" t="s">
        <v>0</v>
      </c>
      <c r="L194" s="5">
        <v>-31.5</v>
      </c>
      <c r="M194" s="4" t="s">
        <v>72</v>
      </c>
      <c r="N194" s="5">
        <f t="shared" si="32"/>
        <v>-28</v>
      </c>
      <c r="O194" s="5">
        <v>2.62</v>
      </c>
      <c r="P194" s="4" t="s">
        <v>72</v>
      </c>
      <c r="Q194" s="12">
        <f t="shared" si="26"/>
        <v>-9.2718105563609505</v>
      </c>
      <c r="R194" s="12">
        <f t="shared" si="27"/>
        <v>-7.6518105563609504</v>
      </c>
      <c r="S194" s="12">
        <f t="shared" si="28"/>
        <v>20.934351279463968</v>
      </c>
      <c r="T194" s="12">
        <f t="shared" si="34"/>
        <v>22.461666666666666</v>
      </c>
      <c r="U194" s="12">
        <f>SUM(15.4+15.1+15.3+16.2+19+22.8+25.3+25.6+25.2+21.9+19.4+16.9)/12</f>
        <v>19.841666666666665</v>
      </c>
      <c r="V194" s="12">
        <f>5.24/2</f>
        <v>2.62</v>
      </c>
      <c r="W194" s="5" t="s">
        <v>176</v>
      </c>
      <c r="X194" s="5">
        <f t="shared" si="29"/>
        <v>295.46166666666664</v>
      </c>
      <c r="Y194" s="5" t="s">
        <v>274</v>
      </c>
      <c r="Z194" s="23" t="s">
        <v>266</v>
      </c>
      <c r="AA194" s="4" t="s">
        <v>182</v>
      </c>
      <c r="AB194" s="4" t="s">
        <v>169</v>
      </c>
      <c r="AC194" s="11">
        <v>170</v>
      </c>
      <c r="AD194" s="3">
        <f t="shared" si="33"/>
        <v>30.54450766408182</v>
      </c>
      <c r="AE194" s="3">
        <v>34</v>
      </c>
      <c r="AF194" s="57">
        <f t="shared" si="30"/>
        <v>3.1320635527317779E-2</v>
      </c>
      <c r="AG194" s="12">
        <f t="shared" si="31"/>
        <v>975.21991970568342</v>
      </c>
      <c r="AH194" s="11"/>
      <c r="AI194" s="11"/>
      <c r="AJ194" s="12"/>
      <c r="AK194" s="12"/>
    </row>
    <row r="195" spans="1:307" ht="13.2" customHeight="1" x14ac:dyDescent="0.25">
      <c r="A195" s="76">
        <v>19776</v>
      </c>
      <c r="B195" s="3">
        <v>124</v>
      </c>
      <c r="C195" s="8">
        <f t="shared" ref="C195:C258" si="35">ABS(B195-E195)</f>
        <v>1</v>
      </c>
      <c r="D195" s="8">
        <f t="shared" ref="D195:D258" si="36">ABS(F195-B195)</f>
        <v>1</v>
      </c>
      <c r="E195" s="3">
        <v>123</v>
      </c>
      <c r="F195" s="3">
        <v>125</v>
      </c>
      <c r="G195" s="4" t="s">
        <v>306</v>
      </c>
      <c r="H195" s="4" t="s">
        <v>305</v>
      </c>
      <c r="I195" s="4" t="s">
        <v>73</v>
      </c>
      <c r="J195" s="11" t="s">
        <v>4</v>
      </c>
      <c r="K195" s="11" t="s">
        <v>0</v>
      </c>
      <c r="L195" s="5">
        <v>-31.3</v>
      </c>
      <c r="M195" s="4" t="s">
        <v>72</v>
      </c>
      <c r="N195" s="5">
        <f t="shared" si="32"/>
        <v>-27.8</v>
      </c>
      <c r="O195" s="5">
        <v>2.74</v>
      </c>
      <c r="P195" s="4" t="s">
        <v>72</v>
      </c>
      <c r="Q195" s="12">
        <f t="shared" ref="Q195:Q258" si="37">24.12-9866/X195</f>
        <v>-9.2718105563609505</v>
      </c>
      <c r="R195" s="12">
        <f t="shared" ref="R195:R258" si="38">O195-1+Q195</f>
        <v>-7.5318105563609503</v>
      </c>
      <c r="S195" s="12">
        <f t="shared" ref="S195:S258" si="39">1000*((R195+1000)/(N195+1000)-1)</f>
        <v>20.847757090762144</v>
      </c>
      <c r="T195" s="12">
        <f t="shared" si="34"/>
        <v>22.461666666666666</v>
      </c>
      <c r="U195" s="12">
        <f>SUM(15.4+15.1+15.3+16.2+19+22.8+25.3+25.6+25.2+21.9+19.4+16.9)/12</f>
        <v>19.841666666666665</v>
      </c>
      <c r="V195" s="12">
        <f>5.24/2</f>
        <v>2.62</v>
      </c>
      <c r="W195" s="5" t="s">
        <v>176</v>
      </c>
      <c r="X195" s="5">
        <f t="shared" ref="X195:X258" si="40">T195+273</f>
        <v>295.46166666666664</v>
      </c>
      <c r="Y195" s="5" t="s">
        <v>274</v>
      </c>
      <c r="Z195" s="23" t="s">
        <v>266</v>
      </c>
      <c r="AA195" s="4" t="s">
        <v>182</v>
      </c>
      <c r="AB195" s="4" t="s">
        <v>169</v>
      </c>
      <c r="AC195" s="11">
        <v>170</v>
      </c>
      <c r="AD195" s="3">
        <f t="shared" si="33"/>
        <v>30.076555931833205</v>
      </c>
      <c r="AE195" s="3">
        <v>34</v>
      </c>
      <c r="AF195" s="57">
        <f t="shared" ref="AF195:AF258" si="41">EXP($AJ$4+$AJ$5*(100/X195)+$AJ$6*LN(X195/100)+AE195*($AM$4+$AM$5*(X195/100)+$AM$6*(X195/100)^2))</f>
        <v>3.1320635527317779E-2</v>
      </c>
      <c r="AG195" s="12">
        <f t="shared" ref="AG195:AG258" si="42">AD195/AF195</f>
        <v>960.27923525371989</v>
      </c>
      <c r="AH195" s="11"/>
      <c r="AI195" s="11"/>
      <c r="AJ195" s="12"/>
      <c r="AK195" s="12"/>
    </row>
    <row r="196" spans="1:307" s="39" customFormat="1" x14ac:dyDescent="0.25">
      <c r="A196" s="76">
        <v>19777</v>
      </c>
      <c r="B196" s="3">
        <v>140</v>
      </c>
      <c r="C196" s="8">
        <f t="shared" si="35"/>
        <v>7.0999999999999943</v>
      </c>
      <c r="D196" s="8">
        <f t="shared" si="36"/>
        <v>5</v>
      </c>
      <c r="E196" s="3">
        <v>132.9</v>
      </c>
      <c r="F196" s="3">
        <v>145</v>
      </c>
      <c r="G196" s="4" t="s">
        <v>216</v>
      </c>
      <c r="H196" s="31" t="s">
        <v>203</v>
      </c>
      <c r="I196" s="4" t="s">
        <v>205</v>
      </c>
      <c r="J196" s="11" t="s">
        <v>1</v>
      </c>
      <c r="K196" s="11" t="s">
        <v>0</v>
      </c>
      <c r="L196" s="31">
        <v>-29.9</v>
      </c>
      <c r="M196" s="4" t="s">
        <v>206</v>
      </c>
      <c r="N196" s="5">
        <f t="shared" ref="N196:N259" si="43">L196+3.5</f>
        <v>-26.4</v>
      </c>
      <c r="O196" s="5">
        <v>1</v>
      </c>
      <c r="P196" s="4" t="s">
        <v>2</v>
      </c>
      <c r="Q196" s="12">
        <f t="shared" si="37"/>
        <v>-8.4120671348963008</v>
      </c>
      <c r="R196" s="12">
        <f t="shared" si="38"/>
        <v>-8.4120671348963008</v>
      </c>
      <c r="S196" s="12">
        <f t="shared" si="39"/>
        <v>18.47569111041869</v>
      </c>
      <c r="T196" s="12">
        <f t="shared" si="34"/>
        <v>30.27</v>
      </c>
      <c r="U196" s="12">
        <v>27.25</v>
      </c>
      <c r="V196" s="12">
        <f>6.04/2</f>
        <v>3.02</v>
      </c>
      <c r="W196" s="5" t="s">
        <v>176</v>
      </c>
      <c r="X196" s="5">
        <f t="shared" si="40"/>
        <v>303.27</v>
      </c>
      <c r="Y196" s="5">
        <v>-11.5</v>
      </c>
      <c r="Z196" s="23" t="s">
        <v>265</v>
      </c>
      <c r="AA196" s="4" t="s">
        <v>383</v>
      </c>
      <c r="AB196" s="5" t="s">
        <v>169</v>
      </c>
      <c r="AC196" s="11">
        <v>170</v>
      </c>
      <c r="AD196" s="3">
        <f t="shared" si="33"/>
        <v>21.185625122273954</v>
      </c>
      <c r="AE196" s="3">
        <v>34</v>
      </c>
      <c r="AF196" s="57">
        <f t="shared" si="41"/>
        <v>2.5758741475963787E-2</v>
      </c>
      <c r="AG196" s="12">
        <f t="shared" si="42"/>
        <v>822.46351756132424</v>
      </c>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1"/>
      <c r="KP196" s="1"/>
      <c r="KQ196" s="1"/>
      <c r="KR196" s="1"/>
      <c r="KS196" s="1"/>
      <c r="KT196" s="1"/>
      <c r="KU196" s="1"/>
    </row>
    <row r="197" spans="1:307" s="39" customFormat="1" x14ac:dyDescent="0.25">
      <c r="A197" s="76">
        <v>19778</v>
      </c>
      <c r="B197" s="3">
        <v>140</v>
      </c>
      <c r="C197" s="8">
        <f t="shared" si="35"/>
        <v>7.0999999999999943</v>
      </c>
      <c r="D197" s="8">
        <f t="shared" si="36"/>
        <v>5</v>
      </c>
      <c r="E197" s="3">
        <v>132.9</v>
      </c>
      <c r="F197" s="3">
        <v>145</v>
      </c>
      <c r="G197" s="4" t="s">
        <v>216</v>
      </c>
      <c r="H197" s="31" t="s">
        <v>204</v>
      </c>
      <c r="I197" s="4" t="s">
        <v>205</v>
      </c>
      <c r="J197" s="11" t="s">
        <v>1</v>
      </c>
      <c r="K197" s="11" t="s">
        <v>0</v>
      </c>
      <c r="L197" s="31">
        <v>-30.3</v>
      </c>
      <c r="M197" s="4" t="s">
        <v>206</v>
      </c>
      <c r="N197" s="5">
        <f t="shared" si="43"/>
        <v>-26.8</v>
      </c>
      <c r="O197" s="5">
        <v>1</v>
      </c>
      <c r="P197" s="4" t="s">
        <v>2</v>
      </c>
      <c r="Q197" s="12">
        <f t="shared" si="37"/>
        <v>-8.4120671348963008</v>
      </c>
      <c r="R197" s="12">
        <f t="shared" si="38"/>
        <v>-8.4120671348963008</v>
      </c>
      <c r="S197" s="12">
        <f t="shared" si="39"/>
        <v>18.894300107997974</v>
      </c>
      <c r="T197" s="12">
        <f t="shared" si="34"/>
        <v>30.27</v>
      </c>
      <c r="U197" s="12">
        <v>27.25</v>
      </c>
      <c r="V197" s="12">
        <f>6.04/2</f>
        <v>3.02</v>
      </c>
      <c r="W197" s="5" t="s">
        <v>176</v>
      </c>
      <c r="X197" s="5">
        <f t="shared" si="40"/>
        <v>303.27</v>
      </c>
      <c r="Y197" s="5">
        <v>-11.5</v>
      </c>
      <c r="Z197" s="23" t="s">
        <v>265</v>
      </c>
      <c r="AA197" s="4" t="s">
        <v>383</v>
      </c>
      <c r="AB197" s="5" t="s">
        <v>169</v>
      </c>
      <c r="AC197" s="11">
        <v>170</v>
      </c>
      <c r="AD197" s="3">
        <f t="shared" si="33"/>
        <v>22.351657627034164</v>
      </c>
      <c r="AE197" s="3">
        <v>34</v>
      </c>
      <c r="AF197" s="57">
        <f t="shared" si="41"/>
        <v>2.5758741475963787E-2</v>
      </c>
      <c r="AG197" s="12">
        <f t="shared" si="42"/>
        <v>867.73096612236009</v>
      </c>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c r="JL197" s="1"/>
      <c r="JM197" s="1"/>
      <c r="JN197" s="1"/>
      <c r="JO197" s="1"/>
      <c r="JP197" s="1"/>
      <c r="JQ197" s="1"/>
      <c r="JR197" s="1"/>
      <c r="JS197" s="1"/>
      <c r="JT197" s="1"/>
      <c r="JU197" s="1"/>
      <c r="JV197" s="1"/>
      <c r="JW197" s="1"/>
      <c r="JX197" s="1"/>
      <c r="JY197" s="1"/>
      <c r="JZ197" s="1"/>
      <c r="KA197" s="1"/>
      <c r="KB197" s="1"/>
      <c r="KC197" s="1"/>
      <c r="KD197" s="1"/>
      <c r="KE197" s="1"/>
      <c r="KF197" s="1"/>
      <c r="KG197" s="1"/>
      <c r="KH197" s="1"/>
      <c r="KI197" s="1"/>
      <c r="KJ197" s="1"/>
      <c r="KK197" s="1"/>
      <c r="KL197" s="1"/>
      <c r="KM197" s="1"/>
      <c r="KN197" s="1"/>
      <c r="KO197" s="1"/>
      <c r="KP197" s="1"/>
      <c r="KQ197" s="1"/>
      <c r="KR197" s="1"/>
      <c r="KS197" s="1"/>
      <c r="KT197" s="1"/>
      <c r="KU197" s="1"/>
    </row>
    <row r="198" spans="1:307" s="39" customFormat="1" x14ac:dyDescent="0.25">
      <c r="A198" s="76">
        <v>19779</v>
      </c>
      <c r="B198" s="3">
        <v>144</v>
      </c>
      <c r="C198" s="8">
        <f t="shared" si="35"/>
        <v>6</v>
      </c>
      <c r="D198" s="8">
        <f t="shared" si="36"/>
        <v>6</v>
      </c>
      <c r="E198" s="3">
        <v>138</v>
      </c>
      <c r="F198" s="3">
        <v>150</v>
      </c>
      <c r="G198" s="4" t="s">
        <v>324</v>
      </c>
      <c r="H198" s="4" t="s">
        <v>328</v>
      </c>
      <c r="I198" s="4" t="s">
        <v>331</v>
      </c>
      <c r="J198" s="11" t="s">
        <v>1</v>
      </c>
      <c r="K198" s="11" t="s">
        <v>0</v>
      </c>
      <c r="L198" s="5">
        <v>-31.8</v>
      </c>
      <c r="M198" s="4" t="s">
        <v>317</v>
      </c>
      <c r="N198" s="5">
        <f t="shared" si="43"/>
        <v>-28.3</v>
      </c>
      <c r="O198" s="5">
        <v>2</v>
      </c>
      <c r="P198" s="4" t="s">
        <v>339</v>
      </c>
      <c r="Q198" s="12">
        <f t="shared" si="37"/>
        <v>-10.148843348384855</v>
      </c>
      <c r="R198" s="12">
        <f t="shared" si="38"/>
        <v>-9.1488433483848546</v>
      </c>
      <c r="S198" s="12">
        <f t="shared" si="39"/>
        <v>19.708919061042664</v>
      </c>
      <c r="T198" s="12">
        <f t="shared" si="34"/>
        <v>14.9</v>
      </c>
      <c r="U198" s="12">
        <v>9.4</v>
      </c>
      <c r="V198" s="12">
        <v>5.5</v>
      </c>
      <c r="W198" s="5" t="s">
        <v>176</v>
      </c>
      <c r="X198" s="5">
        <f t="shared" si="40"/>
        <v>287.89999999999998</v>
      </c>
      <c r="Y198" s="5">
        <v>60.48</v>
      </c>
      <c r="Z198" s="1" t="s">
        <v>414</v>
      </c>
      <c r="AA198" s="4"/>
      <c r="AB198" s="5"/>
      <c r="AC198" s="11">
        <v>170</v>
      </c>
      <c r="AD198" s="3">
        <f t="shared" si="33"/>
        <v>25.032833731194028</v>
      </c>
      <c r="AE198" s="3">
        <v>34</v>
      </c>
      <c r="AF198" s="57">
        <f t="shared" si="41"/>
        <v>3.8921288459641407E-2</v>
      </c>
      <c r="AG198" s="12">
        <f t="shared" si="42"/>
        <v>643.16559707809483</v>
      </c>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row>
    <row r="199" spans="1:307" ht="13.2" customHeight="1" x14ac:dyDescent="0.25">
      <c r="A199" s="76">
        <v>19780</v>
      </c>
      <c r="B199" s="24">
        <v>145</v>
      </c>
      <c r="C199" s="8">
        <f t="shared" si="35"/>
        <v>6</v>
      </c>
      <c r="D199" s="8">
        <f t="shared" si="36"/>
        <v>7</v>
      </c>
      <c r="E199" s="24">
        <v>139</v>
      </c>
      <c r="F199" s="24">
        <v>152</v>
      </c>
      <c r="G199" s="25" t="s">
        <v>545</v>
      </c>
      <c r="H199" s="28">
        <v>307729</v>
      </c>
      <c r="I199" s="29" t="s">
        <v>217</v>
      </c>
      <c r="J199" s="34" t="s">
        <v>1</v>
      </c>
      <c r="K199" s="34" t="s">
        <v>0</v>
      </c>
      <c r="L199" s="30">
        <f>AVERAGE(-32.7,-32.72,-32.51,-32.5,-32.45,-32.36,-33.14,-32.95)</f>
        <v>-32.666249999999998</v>
      </c>
      <c r="M199" s="25" t="s">
        <v>293</v>
      </c>
      <c r="N199" s="5">
        <f t="shared" si="43"/>
        <v>-29.166249999999998</v>
      </c>
      <c r="O199" s="5">
        <v>0.9</v>
      </c>
      <c r="P199" s="47" t="s">
        <v>396</v>
      </c>
      <c r="Q199" s="12">
        <f t="shared" si="37"/>
        <v>-8.832571810287245</v>
      </c>
      <c r="R199" s="12">
        <f t="shared" si="38"/>
        <v>-8.9325718102872447</v>
      </c>
      <c r="S199" s="12">
        <f t="shared" si="39"/>
        <v>20.841547988739162</v>
      </c>
      <c r="T199" s="12">
        <v>26.4</v>
      </c>
      <c r="W199" s="5"/>
      <c r="X199" s="5">
        <f t="shared" si="40"/>
        <v>299.39999999999998</v>
      </c>
      <c r="Y199" s="5"/>
      <c r="Z199" s="5"/>
      <c r="AA199" s="4"/>
      <c r="AB199" s="47" t="s">
        <v>396</v>
      </c>
      <c r="AC199" s="11">
        <v>170</v>
      </c>
      <c r="AD199" s="3">
        <f t="shared" si="33"/>
        <v>30.043552487797797</v>
      </c>
      <c r="AE199" s="3">
        <v>34</v>
      </c>
      <c r="AF199" s="57">
        <f t="shared" si="41"/>
        <v>2.8280199861967413E-2</v>
      </c>
      <c r="AG199" s="12">
        <f t="shared" si="42"/>
        <v>1062.3529053697328</v>
      </c>
    </row>
    <row r="200" spans="1:307" s="9" customFormat="1" ht="13.2" customHeight="1" x14ac:dyDescent="0.25">
      <c r="A200" s="76">
        <v>19781</v>
      </c>
      <c r="B200" s="24">
        <v>145</v>
      </c>
      <c r="C200" s="8">
        <f t="shared" si="35"/>
        <v>6</v>
      </c>
      <c r="D200" s="8">
        <f t="shared" si="36"/>
        <v>7</v>
      </c>
      <c r="E200" s="24">
        <v>139</v>
      </c>
      <c r="F200" s="24">
        <v>152</v>
      </c>
      <c r="G200" s="25" t="s">
        <v>398</v>
      </c>
      <c r="H200" s="28">
        <v>267702</v>
      </c>
      <c r="I200" s="29" t="s">
        <v>219</v>
      </c>
      <c r="J200" s="34" t="s">
        <v>1</v>
      </c>
      <c r="K200" s="34" t="s">
        <v>0</v>
      </c>
      <c r="L200" s="30">
        <f>AVERAGE(-30.34,-30.1)</f>
        <v>-30.22</v>
      </c>
      <c r="M200" s="25" t="s">
        <v>293</v>
      </c>
      <c r="N200" s="5">
        <f t="shared" si="43"/>
        <v>-26.72</v>
      </c>
      <c r="O200" s="5">
        <v>0.86</v>
      </c>
      <c r="P200" s="4" t="s">
        <v>2</v>
      </c>
      <c r="Q200" s="12">
        <f t="shared" si="37"/>
        <v>-8.6356440903054441</v>
      </c>
      <c r="R200" s="12">
        <f t="shared" si="38"/>
        <v>-8.7756440903054447</v>
      </c>
      <c r="S200" s="12">
        <f t="shared" si="39"/>
        <v>18.436992345157055</v>
      </c>
      <c r="T200" s="12">
        <v>28.2</v>
      </c>
      <c r="U200" s="12"/>
      <c r="V200" s="12"/>
      <c r="W200" s="5"/>
      <c r="X200" s="5">
        <f t="shared" si="40"/>
        <v>301.2</v>
      </c>
      <c r="Y200" s="5"/>
      <c r="Z200" s="5"/>
      <c r="AA200" s="4" t="s">
        <v>259</v>
      </c>
      <c r="AB200" s="5"/>
      <c r="AC200" s="11">
        <v>170</v>
      </c>
      <c r="AD200" s="3">
        <f t="shared" si="33"/>
        <v>21.083943768537988</v>
      </c>
      <c r="AE200" s="3">
        <v>34</v>
      </c>
      <c r="AF200" s="57">
        <f t="shared" si="41"/>
        <v>2.7055386006487811E-2</v>
      </c>
      <c r="AG200" s="12">
        <f t="shared" si="42"/>
        <v>779.2882261403372</v>
      </c>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row>
    <row r="201" spans="1:307" ht="13.2" customHeight="1" x14ac:dyDescent="0.25">
      <c r="A201" s="76">
        <v>19782</v>
      </c>
      <c r="B201" s="24">
        <v>145</v>
      </c>
      <c r="C201" s="8">
        <f t="shared" si="35"/>
        <v>6</v>
      </c>
      <c r="D201" s="8">
        <f t="shared" si="36"/>
        <v>7</v>
      </c>
      <c r="E201" s="24">
        <v>139</v>
      </c>
      <c r="F201" s="24">
        <v>152</v>
      </c>
      <c r="G201" s="25" t="s">
        <v>398</v>
      </c>
      <c r="H201" s="28">
        <v>267707</v>
      </c>
      <c r="I201" s="29" t="s">
        <v>219</v>
      </c>
      <c r="J201" s="34" t="s">
        <v>1</v>
      </c>
      <c r="K201" s="34" t="s">
        <v>0</v>
      </c>
      <c r="L201" s="30">
        <f>AVERAGE(-29.64,-29.82)</f>
        <v>-29.73</v>
      </c>
      <c r="M201" s="25" t="s">
        <v>293</v>
      </c>
      <c r="N201" s="5">
        <f t="shared" si="43"/>
        <v>-26.23</v>
      </c>
      <c r="O201" s="5">
        <v>0.86</v>
      </c>
      <c r="P201" s="4" t="s">
        <v>2</v>
      </c>
      <c r="Q201" s="12">
        <f t="shared" si="37"/>
        <v>-8.6356440903054441</v>
      </c>
      <c r="R201" s="12">
        <f t="shared" si="38"/>
        <v>-8.7756440903054447</v>
      </c>
      <c r="S201" s="12">
        <f t="shared" si="39"/>
        <v>17.924515963414933</v>
      </c>
      <c r="T201" s="12">
        <v>28.2</v>
      </c>
      <c r="W201" s="5"/>
      <c r="X201" s="5">
        <f t="shared" si="40"/>
        <v>301.2</v>
      </c>
      <c r="Y201" s="5"/>
      <c r="Z201" s="5"/>
      <c r="AA201" s="4" t="s">
        <v>259</v>
      </c>
      <c r="AC201" s="11">
        <v>170</v>
      </c>
      <c r="AD201" s="3">
        <f t="shared" si="33"/>
        <v>19.823953875342699</v>
      </c>
      <c r="AE201" s="3">
        <v>34</v>
      </c>
      <c r="AF201" s="57">
        <f t="shared" si="41"/>
        <v>2.7055386006487811E-2</v>
      </c>
      <c r="AG201" s="12">
        <f t="shared" si="42"/>
        <v>732.71746596367052</v>
      </c>
    </row>
    <row r="202" spans="1:307" x14ac:dyDescent="0.25">
      <c r="A202" s="76">
        <v>19783</v>
      </c>
      <c r="B202" s="3">
        <v>145</v>
      </c>
      <c r="C202" s="8">
        <f t="shared" si="35"/>
        <v>0</v>
      </c>
      <c r="D202" s="8">
        <f t="shared" si="36"/>
        <v>7.0999999999999943</v>
      </c>
      <c r="E202" s="3">
        <v>145</v>
      </c>
      <c r="F202" s="3">
        <v>152.1</v>
      </c>
      <c r="G202" s="4" t="s">
        <v>227</v>
      </c>
      <c r="H202" s="4">
        <v>1</v>
      </c>
      <c r="I202" s="4" t="s">
        <v>60</v>
      </c>
      <c r="J202" s="11" t="s">
        <v>4</v>
      </c>
      <c r="K202" s="11" t="s">
        <v>27</v>
      </c>
      <c r="L202" s="5">
        <v>-31.2</v>
      </c>
      <c r="M202" s="4" t="s">
        <v>67</v>
      </c>
      <c r="N202" s="5">
        <f t="shared" si="43"/>
        <v>-27.7</v>
      </c>
      <c r="O202" s="5">
        <v>0.86</v>
      </c>
      <c r="P202" s="4" t="s">
        <v>2</v>
      </c>
      <c r="Q202" s="12">
        <f t="shared" si="37"/>
        <v>-9.6676712328767103</v>
      </c>
      <c r="R202" s="12">
        <f t="shared" si="38"/>
        <v>-9.8076712328767108</v>
      </c>
      <c r="S202" s="12">
        <f t="shared" si="39"/>
        <v>18.402065995190007</v>
      </c>
      <c r="T202" s="12">
        <v>19</v>
      </c>
      <c r="W202" s="5"/>
      <c r="X202" s="5">
        <f t="shared" si="40"/>
        <v>292</v>
      </c>
      <c r="Y202" s="5"/>
      <c r="Z202" s="23"/>
      <c r="AA202" s="4" t="s">
        <v>400</v>
      </c>
      <c r="AB202" s="4" t="s">
        <v>399</v>
      </c>
      <c r="AC202" s="11">
        <v>170</v>
      </c>
      <c r="AD202" s="3">
        <f t="shared" si="33"/>
        <v>20.993008821635712</v>
      </c>
      <c r="AE202" s="3">
        <v>34</v>
      </c>
      <c r="AF202" s="57">
        <f t="shared" si="41"/>
        <v>3.4473177581195849E-2</v>
      </c>
      <c r="AG202" s="12">
        <f t="shared" si="42"/>
        <v>608.96645724607674</v>
      </c>
    </row>
    <row r="203" spans="1:307" x14ac:dyDescent="0.25">
      <c r="A203" s="76">
        <v>19784</v>
      </c>
      <c r="B203" s="3">
        <v>145</v>
      </c>
      <c r="C203" s="8">
        <f t="shared" si="35"/>
        <v>0</v>
      </c>
      <c r="D203" s="8">
        <f t="shared" si="36"/>
        <v>7.0999999999999943</v>
      </c>
      <c r="E203" s="3">
        <v>145</v>
      </c>
      <c r="F203" s="3">
        <v>152.1</v>
      </c>
      <c r="G203" s="4" t="s">
        <v>227</v>
      </c>
      <c r="H203" s="4">
        <v>2</v>
      </c>
      <c r="I203" s="4" t="s">
        <v>60</v>
      </c>
      <c r="J203" s="11" t="s">
        <v>4</v>
      </c>
      <c r="K203" s="11" t="s">
        <v>27</v>
      </c>
      <c r="L203" s="5">
        <v>-30.9</v>
      </c>
      <c r="M203" s="4" t="s">
        <v>67</v>
      </c>
      <c r="N203" s="5">
        <f t="shared" si="43"/>
        <v>-27.4</v>
      </c>
      <c r="O203" s="5">
        <v>0.86</v>
      </c>
      <c r="P203" s="4" t="s">
        <v>2</v>
      </c>
      <c r="Q203" s="12">
        <f t="shared" si="37"/>
        <v>-9.6676712328767103</v>
      </c>
      <c r="R203" s="12">
        <f t="shared" si="38"/>
        <v>-9.8076712328767108</v>
      </c>
      <c r="S203" s="12">
        <f t="shared" si="39"/>
        <v>18.087938275882507</v>
      </c>
      <c r="T203" s="12">
        <v>19</v>
      </c>
      <c r="W203" s="5"/>
      <c r="X203" s="5">
        <f t="shared" si="40"/>
        <v>292</v>
      </c>
      <c r="Y203" s="5"/>
      <c r="Z203" s="23"/>
      <c r="AA203" s="4" t="s">
        <v>400</v>
      </c>
      <c r="AB203" s="4" t="s">
        <v>399</v>
      </c>
      <c r="AC203" s="11">
        <v>170</v>
      </c>
      <c r="AD203" s="3">
        <f t="shared" si="33"/>
        <v>20.209076630121217</v>
      </c>
      <c r="AE203" s="3">
        <v>34</v>
      </c>
      <c r="AF203" s="57">
        <f t="shared" si="41"/>
        <v>3.4473177581195849E-2</v>
      </c>
      <c r="AG203" s="12">
        <f t="shared" si="42"/>
        <v>586.22610528205848</v>
      </c>
    </row>
    <row r="204" spans="1:307" ht="13.2" customHeight="1" x14ac:dyDescent="0.25">
      <c r="A204" s="76">
        <v>19785</v>
      </c>
      <c r="B204" s="3">
        <v>146</v>
      </c>
      <c r="C204" s="8">
        <f t="shared" si="35"/>
        <v>1</v>
      </c>
      <c r="D204" s="8">
        <f t="shared" si="36"/>
        <v>6.0999999999999943</v>
      </c>
      <c r="E204" s="3">
        <v>145</v>
      </c>
      <c r="F204" s="3">
        <v>152.1</v>
      </c>
      <c r="G204" s="4" t="s">
        <v>227</v>
      </c>
      <c r="H204" s="4">
        <v>3</v>
      </c>
      <c r="I204" s="4" t="s">
        <v>60</v>
      </c>
      <c r="J204" s="11" t="s">
        <v>4</v>
      </c>
      <c r="K204" s="11" t="s">
        <v>27</v>
      </c>
      <c r="L204" s="5">
        <v>-30.1</v>
      </c>
      <c r="M204" s="4" t="s">
        <v>67</v>
      </c>
      <c r="N204" s="5">
        <f t="shared" si="43"/>
        <v>-26.6</v>
      </c>
      <c r="O204" s="5">
        <v>1</v>
      </c>
      <c r="P204" s="4" t="s">
        <v>2</v>
      </c>
      <c r="Q204" s="12">
        <f t="shared" si="37"/>
        <v>-9.6676712328767103</v>
      </c>
      <c r="R204" s="12">
        <f t="shared" si="38"/>
        <v>-9.6676712328767103</v>
      </c>
      <c r="S204" s="12">
        <f t="shared" si="39"/>
        <v>17.395036744527694</v>
      </c>
      <c r="T204" s="12">
        <v>19</v>
      </c>
      <c r="W204" s="5"/>
      <c r="X204" s="5">
        <f t="shared" si="40"/>
        <v>292</v>
      </c>
      <c r="Y204" s="5"/>
      <c r="Z204" s="23"/>
      <c r="AA204" s="4" t="s">
        <v>400</v>
      </c>
      <c r="AB204" s="4" t="s">
        <v>399</v>
      </c>
      <c r="AC204" s="11">
        <v>170</v>
      </c>
      <c r="AD204" s="3">
        <f t="shared" si="33"/>
        <v>18.671135207253673</v>
      </c>
      <c r="AE204" s="3">
        <v>34</v>
      </c>
      <c r="AF204" s="57">
        <f t="shared" si="41"/>
        <v>3.4473177581195849E-2</v>
      </c>
      <c r="AG204" s="12">
        <f t="shared" si="42"/>
        <v>541.6134083745809</v>
      </c>
    </row>
    <row r="205" spans="1:307" x14ac:dyDescent="0.25">
      <c r="A205" s="76">
        <v>19786</v>
      </c>
      <c r="B205" s="3">
        <v>146</v>
      </c>
      <c r="C205" s="8">
        <f t="shared" si="35"/>
        <v>1</v>
      </c>
      <c r="D205" s="8">
        <f t="shared" si="36"/>
        <v>6.0999999999999943</v>
      </c>
      <c r="E205" s="3">
        <v>145</v>
      </c>
      <c r="F205" s="3">
        <v>152.1</v>
      </c>
      <c r="G205" s="4" t="s">
        <v>227</v>
      </c>
      <c r="H205" s="4" t="s">
        <v>66</v>
      </c>
      <c r="I205" s="4" t="s">
        <v>60</v>
      </c>
      <c r="J205" s="11" t="s">
        <v>4</v>
      </c>
      <c r="K205" s="11" t="s">
        <v>27</v>
      </c>
      <c r="L205" s="5">
        <v>-32</v>
      </c>
      <c r="M205" s="4" t="s">
        <v>59</v>
      </c>
      <c r="N205" s="5">
        <f t="shared" si="43"/>
        <v>-28.5</v>
      </c>
      <c r="O205" s="5">
        <v>1</v>
      </c>
      <c r="P205" s="4" t="s">
        <v>2</v>
      </c>
      <c r="Q205" s="12">
        <f t="shared" si="37"/>
        <v>-9.6676712328767103</v>
      </c>
      <c r="R205" s="12">
        <f t="shared" si="38"/>
        <v>-9.6676712328767103</v>
      </c>
      <c r="S205" s="12">
        <f t="shared" si="39"/>
        <v>19.384795437080051</v>
      </c>
      <c r="T205" s="12">
        <v>19</v>
      </c>
      <c r="W205" s="5"/>
      <c r="X205" s="5">
        <f t="shared" si="40"/>
        <v>292</v>
      </c>
      <c r="Y205" s="5"/>
      <c r="Z205" s="23"/>
      <c r="AA205" s="4" t="s">
        <v>400</v>
      </c>
      <c r="AB205" s="4" t="s">
        <v>399</v>
      </c>
      <c r="AC205" s="11">
        <v>170</v>
      </c>
      <c r="AD205" s="3">
        <f t="shared" si="33"/>
        <v>23.892496483647847</v>
      </c>
      <c r="AE205" s="3">
        <v>34</v>
      </c>
      <c r="AF205" s="57">
        <f t="shared" si="41"/>
        <v>3.4473177581195849E-2</v>
      </c>
      <c r="AG205" s="12">
        <f t="shared" si="42"/>
        <v>693.07496900664398</v>
      </c>
    </row>
    <row r="206" spans="1:307" x14ac:dyDescent="0.25">
      <c r="A206" s="76">
        <v>19787</v>
      </c>
      <c r="B206" s="3">
        <v>146</v>
      </c>
      <c r="C206" s="8">
        <f t="shared" si="35"/>
        <v>8</v>
      </c>
      <c r="D206" s="8">
        <f t="shared" si="36"/>
        <v>4</v>
      </c>
      <c r="E206" s="3">
        <v>138</v>
      </c>
      <c r="F206" s="3">
        <v>150</v>
      </c>
      <c r="G206" s="4" t="s">
        <v>324</v>
      </c>
      <c r="H206" s="4" t="s">
        <v>326</v>
      </c>
      <c r="I206" s="4" t="s">
        <v>332</v>
      </c>
      <c r="J206" s="11" t="s">
        <v>1</v>
      </c>
      <c r="K206" s="11" t="s">
        <v>0</v>
      </c>
      <c r="L206" s="5">
        <v>-32.1</v>
      </c>
      <c r="M206" s="4" t="s">
        <v>317</v>
      </c>
      <c r="N206" s="5">
        <f t="shared" si="43"/>
        <v>-28.6</v>
      </c>
      <c r="O206" s="5">
        <v>2</v>
      </c>
      <c r="P206" s="4" t="s">
        <v>339</v>
      </c>
      <c r="Q206" s="12">
        <f t="shared" si="37"/>
        <v>-10.148843348384855</v>
      </c>
      <c r="R206" s="12">
        <f t="shared" si="38"/>
        <v>-9.1488433483848546</v>
      </c>
      <c r="S206" s="12">
        <f t="shared" si="39"/>
        <v>20.023838430734074</v>
      </c>
      <c r="T206" s="12">
        <f>U206+V206</f>
        <v>14.9</v>
      </c>
      <c r="U206" s="12">
        <v>9.4</v>
      </c>
      <c r="V206" s="12">
        <v>5.5</v>
      </c>
      <c r="W206" s="5" t="s">
        <v>176</v>
      </c>
      <c r="X206" s="5">
        <f t="shared" si="40"/>
        <v>287.89999999999998</v>
      </c>
      <c r="Y206" s="5">
        <v>61.26</v>
      </c>
      <c r="Z206" s="1" t="s">
        <v>414</v>
      </c>
      <c r="AA206" s="4"/>
      <c r="AC206" s="11">
        <v>170</v>
      </c>
      <c r="AD206" s="3">
        <f t="shared" si="33"/>
        <v>26.250117169215333</v>
      </c>
      <c r="AE206" s="3">
        <v>34</v>
      </c>
      <c r="AF206" s="57">
        <f t="shared" si="41"/>
        <v>3.8921288459641407E-2</v>
      </c>
      <c r="AG206" s="12">
        <f t="shared" si="42"/>
        <v>674.44111456985365</v>
      </c>
    </row>
    <row r="207" spans="1:307" x14ac:dyDescent="0.25">
      <c r="A207" s="76">
        <v>19788</v>
      </c>
      <c r="B207" s="3">
        <v>147</v>
      </c>
      <c r="C207" s="8">
        <f t="shared" si="35"/>
        <v>2</v>
      </c>
      <c r="D207" s="8">
        <f t="shared" si="36"/>
        <v>5.0999999999999943</v>
      </c>
      <c r="E207" s="3">
        <v>145</v>
      </c>
      <c r="F207" s="3">
        <v>152.1</v>
      </c>
      <c r="G207" s="4" t="s">
        <v>227</v>
      </c>
      <c r="H207" s="4" t="s">
        <v>65</v>
      </c>
      <c r="I207" s="4" t="s">
        <v>60</v>
      </c>
      <c r="J207" s="11" t="s">
        <v>4</v>
      </c>
      <c r="K207" s="11" t="s">
        <v>27</v>
      </c>
      <c r="L207" s="5">
        <v>-32.1</v>
      </c>
      <c r="M207" s="4" t="s">
        <v>59</v>
      </c>
      <c r="N207" s="5">
        <f t="shared" si="43"/>
        <v>-28.6</v>
      </c>
      <c r="O207" s="5">
        <v>1.2</v>
      </c>
      <c r="P207" s="4" t="s">
        <v>2</v>
      </c>
      <c r="Q207" s="12">
        <f t="shared" si="37"/>
        <v>-9.6676712328767103</v>
      </c>
      <c r="R207" s="12">
        <f t="shared" si="38"/>
        <v>-9.467671232876711</v>
      </c>
      <c r="S207" s="12">
        <f t="shared" si="39"/>
        <v>19.695623602144607</v>
      </c>
      <c r="T207" s="12">
        <v>19</v>
      </c>
      <c r="W207" s="5"/>
      <c r="X207" s="5">
        <f t="shared" si="40"/>
        <v>292</v>
      </c>
      <c r="Y207" s="5"/>
      <c r="Z207" s="23"/>
      <c r="AA207" s="4" t="s">
        <v>400</v>
      </c>
      <c r="AB207" s="4" t="s">
        <v>399</v>
      </c>
      <c r="AC207" s="11">
        <v>170</v>
      </c>
      <c r="AD207" s="3">
        <f t="shared" si="33"/>
        <v>24.983920650477344</v>
      </c>
      <c r="AE207" s="3">
        <v>34</v>
      </c>
      <c r="AF207" s="57">
        <f t="shared" si="41"/>
        <v>3.4473177581195849E-2</v>
      </c>
      <c r="AG207" s="12">
        <f t="shared" si="42"/>
        <v>724.73506660741862</v>
      </c>
    </row>
    <row r="208" spans="1:307" x14ac:dyDescent="0.25">
      <c r="A208" s="76">
        <v>19789</v>
      </c>
      <c r="B208" s="3">
        <v>148</v>
      </c>
      <c r="C208" s="8">
        <f t="shared" si="35"/>
        <v>3</v>
      </c>
      <c r="D208" s="8">
        <f t="shared" si="36"/>
        <v>4.0999999999999943</v>
      </c>
      <c r="E208" s="3">
        <v>145</v>
      </c>
      <c r="F208" s="3">
        <v>152.1</v>
      </c>
      <c r="G208" s="4" t="s">
        <v>227</v>
      </c>
      <c r="H208" s="4" t="s">
        <v>64</v>
      </c>
      <c r="I208" s="4" t="s">
        <v>60</v>
      </c>
      <c r="J208" s="11" t="s">
        <v>4</v>
      </c>
      <c r="K208" s="11" t="s">
        <v>27</v>
      </c>
      <c r="L208" s="5">
        <v>-32.5</v>
      </c>
      <c r="M208" s="4" t="s">
        <v>59</v>
      </c>
      <c r="N208" s="5">
        <f t="shared" si="43"/>
        <v>-29</v>
      </c>
      <c r="O208" s="5">
        <v>1.3</v>
      </c>
      <c r="P208" s="4" t="s">
        <v>2</v>
      </c>
      <c r="Q208" s="12">
        <f t="shared" si="37"/>
        <v>-9.6676712328767103</v>
      </c>
      <c r="R208" s="12">
        <f t="shared" si="38"/>
        <v>-9.3676712328767096</v>
      </c>
      <c r="S208" s="12">
        <f t="shared" si="39"/>
        <v>20.218670203010713</v>
      </c>
      <c r="T208" s="12">
        <v>19</v>
      </c>
      <c r="W208" s="5"/>
      <c r="X208" s="5">
        <f t="shared" si="40"/>
        <v>292</v>
      </c>
      <c r="Y208" s="5"/>
      <c r="Z208" s="23"/>
      <c r="AA208" s="4" t="s">
        <v>400</v>
      </c>
      <c r="AB208" s="4" t="s">
        <v>399</v>
      </c>
      <c r="AC208" s="11">
        <v>170</v>
      </c>
      <c r="AD208" s="3">
        <f t="shared" si="33"/>
        <v>27.064332791677799</v>
      </c>
      <c r="AE208" s="3">
        <v>34</v>
      </c>
      <c r="AF208" s="57">
        <f t="shared" si="41"/>
        <v>3.4473177581195849E-2</v>
      </c>
      <c r="AG208" s="12">
        <f t="shared" si="42"/>
        <v>785.08378660285246</v>
      </c>
    </row>
    <row r="209" spans="1:307" x14ac:dyDescent="0.25">
      <c r="A209" s="76">
        <v>19790</v>
      </c>
      <c r="B209" s="3">
        <v>148</v>
      </c>
      <c r="C209" s="8">
        <f t="shared" si="35"/>
        <v>3</v>
      </c>
      <c r="D209" s="8">
        <f t="shared" si="36"/>
        <v>4.0999999999999943</v>
      </c>
      <c r="E209" s="3">
        <v>145</v>
      </c>
      <c r="F209" s="3">
        <v>152.1</v>
      </c>
      <c r="G209" s="4" t="s">
        <v>227</v>
      </c>
      <c r="H209" s="4" t="s">
        <v>70</v>
      </c>
      <c r="I209" s="4" t="s">
        <v>69</v>
      </c>
      <c r="J209" s="11" t="s">
        <v>1</v>
      </c>
      <c r="K209" s="11" t="s">
        <v>27</v>
      </c>
      <c r="L209" s="5">
        <v>-30.5</v>
      </c>
      <c r="M209" s="4" t="s">
        <v>21</v>
      </c>
      <c r="N209" s="5">
        <f t="shared" si="43"/>
        <v>-27</v>
      </c>
      <c r="O209" s="5">
        <v>1.3</v>
      </c>
      <c r="P209" s="4" t="s">
        <v>2</v>
      </c>
      <c r="Q209" s="12">
        <f t="shared" si="37"/>
        <v>-9.6676712328767103</v>
      </c>
      <c r="R209" s="12">
        <f t="shared" si="38"/>
        <v>-9.3676712328767096</v>
      </c>
      <c r="S209" s="12">
        <f t="shared" si="39"/>
        <v>18.121612299201839</v>
      </c>
      <c r="T209" s="12">
        <v>19</v>
      </c>
      <c r="W209" s="5"/>
      <c r="X209" s="5">
        <f t="shared" si="40"/>
        <v>292</v>
      </c>
      <c r="Y209" s="5"/>
      <c r="Z209" s="23"/>
      <c r="AA209" s="4" t="s">
        <v>400</v>
      </c>
      <c r="AB209" s="4" t="s">
        <v>399</v>
      </c>
      <c r="AC209" s="11">
        <v>170</v>
      </c>
      <c r="AD209" s="3">
        <f t="shared" si="33"/>
        <v>20.29030000411715</v>
      </c>
      <c r="AE209" s="3">
        <v>34</v>
      </c>
      <c r="AF209" s="57">
        <f t="shared" si="41"/>
        <v>3.4473177581195849E-2</v>
      </c>
      <c r="AG209" s="12">
        <f t="shared" si="42"/>
        <v>588.58223777969738</v>
      </c>
    </row>
    <row r="210" spans="1:307" ht="13.2" customHeight="1" x14ac:dyDescent="0.25">
      <c r="A210" s="76">
        <v>19791</v>
      </c>
      <c r="B210" s="3">
        <v>148</v>
      </c>
      <c r="C210" s="8">
        <f t="shared" si="35"/>
        <v>10</v>
      </c>
      <c r="D210" s="8">
        <f t="shared" si="36"/>
        <v>2</v>
      </c>
      <c r="E210" s="3">
        <v>138</v>
      </c>
      <c r="F210" s="3">
        <v>150</v>
      </c>
      <c r="G210" s="4" t="s">
        <v>324</v>
      </c>
      <c r="H210" s="4" t="s">
        <v>325</v>
      </c>
      <c r="I210" s="4" t="s">
        <v>332</v>
      </c>
      <c r="J210" s="11" t="s">
        <v>1</v>
      </c>
      <c r="K210" s="11" t="s">
        <v>0</v>
      </c>
      <c r="L210" s="5">
        <v>-31.6</v>
      </c>
      <c r="M210" s="4" t="s">
        <v>317</v>
      </c>
      <c r="N210" s="5">
        <f t="shared" si="43"/>
        <v>-28.1</v>
      </c>
      <c r="O210" s="5">
        <v>2</v>
      </c>
      <c r="P210" s="4" t="s">
        <v>339</v>
      </c>
      <c r="Q210" s="12">
        <f t="shared" si="37"/>
        <v>-10.172665971498088</v>
      </c>
      <c r="R210" s="12">
        <f t="shared" si="38"/>
        <v>-9.1726659714980876</v>
      </c>
      <c r="S210" s="12">
        <f t="shared" si="39"/>
        <v>19.474569429470012</v>
      </c>
      <c r="T210" s="12">
        <f>U210+V210</f>
        <v>14.7</v>
      </c>
      <c r="U210" s="12">
        <v>9.4</v>
      </c>
      <c r="V210" s="12">
        <v>5.3</v>
      </c>
      <c r="W210" s="5" t="s">
        <v>176</v>
      </c>
      <c r="X210" s="5">
        <f t="shared" si="40"/>
        <v>287.7</v>
      </c>
      <c r="Y210" s="5">
        <v>62.04</v>
      </c>
      <c r="Z210" s="1" t="s">
        <v>414</v>
      </c>
      <c r="AA210" s="4"/>
      <c r="AC210" s="11">
        <v>170</v>
      </c>
      <c r="AD210" s="3">
        <f t="shared" si="33"/>
        <v>24.197805144229822</v>
      </c>
      <c r="AE210" s="3">
        <v>34</v>
      </c>
      <c r="AF210" s="57">
        <f t="shared" si="41"/>
        <v>3.9161077773340804E-2</v>
      </c>
      <c r="AG210" s="12">
        <f t="shared" si="42"/>
        <v>617.90447352556419</v>
      </c>
    </row>
    <row r="211" spans="1:307" ht="13.2" customHeight="1" x14ac:dyDescent="0.25">
      <c r="A211" s="76">
        <v>19792</v>
      </c>
      <c r="B211" s="3">
        <v>149</v>
      </c>
      <c r="C211" s="8">
        <f t="shared" si="35"/>
        <v>4</v>
      </c>
      <c r="D211" s="8">
        <f t="shared" si="36"/>
        <v>3.0999999999999943</v>
      </c>
      <c r="E211" s="3">
        <v>145</v>
      </c>
      <c r="F211" s="3">
        <v>152.1</v>
      </c>
      <c r="G211" s="4" t="s">
        <v>227</v>
      </c>
      <c r="H211" s="4" t="s">
        <v>63</v>
      </c>
      <c r="I211" s="4" t="s">
        <v>60</v>
      </c>
      <c r="J211" s="11" t="s">
        <v>4</v>
      </c>
      <c r="K211" s="11" t="s">
        <v>27</v>
      </c>
      <c r="L211" s="5">
        <v>-32</v>
      </c>
      <c r="M211" s="4" t="s">
        <v>59</v>
      </c>
      <c r="N211" s="5">
        <f t="shared" si="43"/>
        <v>-28.5</v>
      </c>
      <c r="O211" s="5">
        <v>1.5</v>
      </c>
      <c r="P211" s="4" t="s">
        <v>2</v>
      </c>
      <c r="Q211" s="12">
        <f t="shared" si="37"/>
        <v>-9.6676712328767103</v>
      </c>
      <c r="R211" s="12">
        <f t="shared" si="38"/>
        <v>-9.1676712328767103</v>
      </c>
      <c r="S211" s="12">
        <f t="shared" si="39"/>
        <v>19.899463476194867</v>
      </c>
      <c r="T211" s="12">
        <v>19</v>
      </c>
      <c r="W211" s="5"/>
      <c r="X211" s="5">
        <f t="shared" si="40"/>
        <v>292</v>
      </c>
      <c r="Y211" s="5"/>
      <c r="Z211" s="23"/>
      <c r="AA211" s="4" t="s">
        <v>400</v>
      </c>
      <c r="AB211" s="4" t="s">
        <v>399</v>
      </c>
      <c r="AC211" s="11">
        <v>170</v>
      </c>
      <c r="AD211" s="3">
        <f t="shared" si="33"/>
        <v>25.755482056176394</v>
      </c>
      <c r="AE211" s="3">
        <v>34</v>
      </c>
      <c r="AF211" s="57">
        <f t="shared" si="41"/>
        <v>3.4473177581195849E-2</v>
      </c>
      <c r="AG211" s="12">
        <f t="shared" si="42"/>
        <v>747.11656607557074</v>
      </c>
    </row>
    <row r="212" spans="1:307" s="15" customFormat="1" x14ac:dyDescent="0.25">
      <c r="A212" s="76">
        <v>19793</v>
      </c>
      <c r="B212" s="3">
        <v>149</v>
      </c>
      <c r="C212" s="8">
        <f t="shared" si="35"/>
        <v>4</v>
      </c>
      <c r="D212" s="8">
        <f t="shared" si="36"/>
        <v>3.0999999999999943</v>
      </c>
      <c r="E212" s="3">
        <v>145</v>
      </c>
      <c r="F212" s="3">
        <v>152.1</v>
      </c>
      <c r="G212" s="4" t="s">
        <v>227</v>
      </c>
      <c r="H212" s="4" t="s">
        <v>68</v>
      </c>
      <c r="I212" s="4" t="s">
        <v>60</v>
      </c>
      <c r="J212" s="11" t="s">
        <v>4</v>
      </c>
      <c r="K212" s="11" t="s">
        <v>27</v>
      </c>
      <c r="L212" s="5">
        <v>-31.2</v>
      </c>
      <c r="M212" s="4" t="s">
        <v>21</v>
      </c>
      <c r="N212" s="5">
        <f t="shared" si="43"/>
        <v>-27.7</v>
      </c>
      <c r="O212" s="5">
        <v>1.5</v>
      </c>
      <c r="P212" s="4" t="s">
        <v>2</v>
      </c>
      <c r="Q212" s="12">
        <f t="shared" si="37"/>
        <v>-9.6676712328767103</v>
      </c>
      <c r="R212" s="12">
        <f t="shared" si="38"/>
        <v>-9.1676712328767103</v>
      </c>
      <c r="S212" s="12">
        <f t="shared" si="39"/>
        <v>19.060299050831286</v>
      </c>
      <c r="T212" s="12">
        <v>19</v>
      </c>
      <c r="U212" s="12"/>
      <c r="V212" s="12"/>
      <c r="W212" s="5"/>
      <c r="X212" s="5">
        <f t="shared" si="40"/>
        <v>292</v>
      </c>
      <c r="Y212" s="5"/>
      <c r="Z212" s="23"/>
      <c r="AA212" s="4" t="s">
        <v>400</v>
      </c>
      <c r="AB212" s="4" t="s">
        <v>399</v>
      </c>
      <c r="AC212" s="11">
        <v>170</v>
      </c>
      <c r="AD212" s="3">
        <f t="shared" si="33"/>
        <v>22.85038083674522</v>
      </c>
      <c r="AE212" s="3">
        <v>34</v>
      </c>
      <c r="AF212" s="57">
        <f t="shared" si="41"/>
        <v>3.4473177581195849E-2</v>
      </c>
      <c r="AG212" s="12">
        <f t="shared" si="42"/>
        <v>662.84521590517556</v>
      </c>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c r="JL212" s="1"/>
      <c r="JM212" s="1"/>
      <c r="JN212" s="1"/>
      <c r="JO212" s="1"/>
      <c r="JP212" s="1"/>
      <c r="JQ212" s="1"/>
      <c r="JR212" s="1"/>
      <c r="JS212" s="1"/>
      <c r="JT212" s="1"/>
      <c r="JU212" s="1"/>
      <c r="JV212" s="1"/>
      <c r="JW212" s="1"/>
      <c r="JX212" s="1"/>
      <c r="JY212" s="1"/>
      <c r="JZ212" s="1"/>
      <c r="KA212" s="1"/>
      <c r="KB212" s="1"/>
      <c r="KC212" s="1"/>
      <c r="KD212" s="1"/>
      <c r="KE212" s="1"/>
      <c r="KF212" s="1"/>
      <c r="KG212" s="1"/>
      <c r="KH212" s="1"/>
      <c r="KI212" s="1"/>
      <c r="KJ212" s="1"/>
      <c r="KK212" s="1"/>
      <c r="KL212" s="1"/>
      <c r="KM212" s="1"/>
      <c r="KN212" s="1"/>
      <c r="KO212" s="1"/>
      <c r="KP212" s="1"/>
      <c r="KQ212" s="1"/>
      <c r="KR212" s="1"/>
      <c r="KS212" s="1"/>
      <c r="KT212" s="1"/>
      <c r="KU212" s="1"/>
    </row>
    <row r="213" spans="1:307" x14ac:dyDescent="0.25">
      <c r="A213" s="76">
        <v>19794</v>
      </c>
      <c r="B213" s="3">
        <v>150</v>
      </c>
      <c r="C213" s="8">
        <f t="shared" si="35"/>
        <v>5</v>
      </c>
      <c r="D213" s="8">
        <f t="shared" si="36"/>
        <v>2.0999999999999943</v>
      </c>
      <c r="E213" s="3">
        <v>145</v>
      </c>
      <c r="F213" s="3">
        <v>152.1</v>
      </c>
      <c r="G213" s="4" t="s">
        <v>227</v>
      </c>
      <c r="H213" s="4" t="s">
        <v>62</v>
      </c>
      <c r="I213" s="4" t="s">
        <v>60</v>
      </c>
      <c r="J213" s="11" t="s">
        <v>4</v>
      </c>
      <c r="K213" s="11" t="s">
        <v>27</v>
      </c>
      <c r="L213" s="5">
        <v>-31.7</v>
      </c>
      <c r="M213" s="4" t="s">
        <v>59</v>
      </c>
      <c r="N213" s="5">
        <f t="shared" si="43"/>
        <v>-28.2</v>
      </c>
      <c r="O213" s="5">
        <v>1.63</v>
      </c>
      <c r="P213" s="4" t="s">
        <v>2</v>
      </c>
      <c r="Q213" s="12">
        <f t="shared" si="37"/>
        <v>-9.6676712328767103</v>
      </c>
      <c r="R213" s="12">
        <f t="shared" si="38"/>
        <v>-9.0376712328767113</v>
      </c>
      <c r="S213" s="12">
        <f t="shared" si="39"/>
        <v>19.718387288663706</v>
      </c>
      <c r="T213" s="12">
        <v>19</v>
      </c>
      <c r="W213" s="5"/>
      <c r="X213" s="5">
        <f t="shared" si="40"/>
        <v>292</v>
      </c>
      <c r="Y213" s="5"/>
      <c r="Z213" s="23"/>
      <c r="AA213" s="4" t="s">
        <v>400</v>
      </c>
      <c r="AB213" s="4" t="s">
        <v>399</v>
      </c>
      <c r="AC213" s="11">
        <v>170</v>
      </c>
      <c r="AD213" s="3">
        <f t="shared" si="33"/>
        <v>25.06778361374489</v>
      </c>
      <c r="AE213" s="3">
        <v>34</v>
      </c>
      <c r="AF213" s="57">
        <f t="shared" si="41"/>
        <v>3.4473177581195849E-2</v>
      </c>
      <c r="AG213" s="12">
        <f t="shared" si="42"/>
        <v>727.16776846874313</v>
      </c>
    </row>
    <row r="214" spans="1:307" x14ac:dyDescent="0.25">
      <c r="A214" s="76">
        <v>19795</v>
      </c>
      <c r="B214" s="3">
        <v>150</v>
      </c>
      <c r="C214" s="8">
        <f t="shared" si="35"/>
        <v>5</v>
      </c>
      <c r="D214" s="8">
        <f t="shared" si="36"/>
        <v>2.0999999999999943</v>
      </c>
      <c r="E214" s="3">
        <v>145</v>
      </c>
      <c r="F214" s="3">
        <v>152.1</v>
      </c>
      <c r="G214" s="4" t="s">
        <v>227</v>
      </c>
      <c r="H214" s="4" t="s">
        <v>61</v>
      </c>
      <c r="I214" s="4" t="s">
        <v>60</v>
      </c>
      <c r="J214" s="11" t="s">
        <v>4</v>
      </c>
      <c r="K214" s="11" t="s">
        <v>27</v>
      </c>
      <c r="L214" s="5">
        <v>-32.200000000000003</v>
      </c>
      <c r="M214" s="4" t="s">
        <v>59</v>
      </c>
      <c r="N214" s="5">
        <f t="shared" si="43"/>
        <v>-28.700000000000003</v>
      </c>
      <c r="O214" s="5">
        <v>1.63</v>
      </c>
      <c r="P214" s="4" t="s">
        <v>2</v>
      </c>
      <c r="Q214" s="12">
        <f t="shared" si="37"/>
        <v>-9.6676712328767103</v>
      </c>
      <c r="R214" s="12">
        <f t="shared" si="38"/>
        <v>-9.0376712328767113</v>
      </c>
      <c r="S214" s="12">
        <f t="shared" si="39"/>
        <v>20.243311816249722</v>
      </c>
      <c r="T214" s="12">
        <v>19</v>
      </c>
      <c r="W214" s="5"/>
      <c r="X214" s="5">
        <f t="shared" si="40"/>
        <v>292</v>
      </c>
      <c r="Y214" s="5"/>
      <c r="Z214" s="23"/>
      <c r="AA214" s="4" t="s">
        <v>400</v>
      </c>
      <c r="AB214" s="4" t="s">
        <v>399</v>
      </c>
      <c r="AC214" s="11">
        <v>170</v>
      </c>
      <c r="AD214" s="3">
        <f t="shared" si="33"/>
        <v>27.170924138671314</v>
      </c>
      <c r="AE214" s="3">
        <v>34</v>
      </c>
      <c r="AF214" s="57">
        <f t="shared" si="41"/>
        <v>3.4473177581195849E-2</v>
      </c>
      <c r="AG214" s="12">
        <f t="shared" si="42"/>
        <v>788.17579478058587</v>
      </c>
    </row>
    <row r="215" spans="1:307" s="9" customFormat="1" x14ac:dyDescent="0.25">
      <c r="A215" s="76">
        <v>19796</v>
      </c>
      <c r="B215" s="3">
        <v>150</v>
      </c>
      <c r="C215" s="8">
        <f t="shared" si="35"/>
        <v>12</v>
      </c>
      <c r="D215" s="8">
        <f t="shared" si="36"/>
        <v>0</v>
      </c>
      <c r="E215" s="3">
        <v>138</v>
      </c>
      <c r="F215" s="3">
        <v>150</v>
      </c>
      <c r="G215" s="4" t="s">
        <v>324</v>
      </c>
      <c r="H215" s="4" t="s">
        <v>327</v>
      </c>
      <c r="I215" s="4" t="s">
        <v>332</v>
      </c>
      <c r="J215" s="11" t="s">
        <v>1</v>
      </c>
      <c r="K215" s="11" t="s">
        <v>0</v>
      </c>
      <c r="L215" s="5">
        <v>-31.5</v>
      </c>
      <c r="M215" s="4" t="s">
        <v>317</v>
      </c>
      <c r="N215" s="5">
        <f t="shared" si="43"/>
        <v>-28</v>
      </c>
      <c r="O215" s="5">
        <v>2</v>
      </c>
      <c r="P215" s="4" t="s">
        <v>339</v>
      </c>
      <c r="Q215" s="12">
        <f t="shared" si="37"/>
        <v>-10.203684942944616</v>
      </c>
      <c r="R215" s="12">
        <f t="shared" si="38"/>
        <v>-9.2036849429446157</v>
      </c>
      <c r="S215" s="12">
        <f t="shared" si="39"/>
        <v>19.337772692443743</v>
      </c>
      <c r="T215" s="12">
        <f>U215+V215</f>
        <v>14.440000000000001</v>
      </c>
      <c r="U215" s="12">
        <v>9.4</v>
      </c>
      <c r="V215" s="12">
        <v>5.04</v>
      </c>
      <c r="W215" s="5" t="s">
        <v>176</v>
      </c>
      <c r="X215" s="5">
        <f t="shared" si="40"/>
        <v>287.44</v>
      </c>
      <c r="Y215" s="5">
        <v>62.83</v>
      </c>
      <c r="Z215" s="1" t="s">
        <v>414</v>
      </c>
      <c r="AA215" s="4"/>
      <c r="AB215" s="5"/>
      <c r="AC215" s="11">
        <v>170</v>
      </c>
      <c r="AD215" s="3">
        <f t="shared" si="33"/>
        <v>23.735633162696114</v>
      </c>
      <c r="AE215" s="3">
        <v>34</v>
      </c>
      <c r="AF215" s="57">
        <f t="shared" si="41"/>
        <v>3.9476253885938395E-2</v>
      </c>
      <c r="AG215" s="12">
        <f t="shared" si="42"/>
        <v>601.2635654658925</v>
      </c>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c r="JL215" s="1"/>
      <c r="JM215" s="1"/>
      <c r="JN215" s="1"/>
      <c r="JO215" s="1"/>
      <c r="JP215" s="1"/>
      <c r="JQ215" s="1"/>
      <c r="JR215" s="1"/>
      <c r="JS215" s="1"/>
      <c r="JT215" s="1"/>
      <c r="JU215" s="1"/>
      <c r="JV215" s="1"/>
      <c r="JW215" s="1"/>
      <c r="JX215" s="1"/>
      <c r="JY215" s="1"/>
      <c r="JZ215" s="1"/>
      <c r="KA215" s="1"/>
      <c r="KB215" s="1"/>
      <c r="KC215" s="1"/>
      <c r="KD215" s="1"/>
      <c r="KE215" s="1"/>
      <c r="KF215" s="1"/>
      <c r="KG215" s="1"/>
      <c r="KH215" s="1"/>
      <c r="KI215" s="1"/>
      <c r="KJ215" s="1"/>
      <c r="KK215" s="1"/>
      <c r="KL215" s="1"/>
      <c r="KM215" s="1"/>
      <c r="KN215" s="1"/>
      <c r="KO215" s="1"/>
      <c r="KP215" s="1"/>
      <c r="KQ215" s="1"/>
      <c r="KR215" s="1"/>
      <c r="KS215" s="1"/>
      <c r="KT215" s="1"/>
      <c r="KU215" s="1"/>
    </row>
    <row r="216" spans="1:307" ht="13.2" customHeight="1" x14ac:dyDescent="0.25">
      <c r="A216" s="76">
        <v>19797</v>
      </c>
      <c r="B216" s="24">
        <f t="shared" ref="B216:B224" si="44">AVERAGE(E216:F216)</f>
        <v>154.69999999999999</v>
      </c>
      <c r="C216" s="8">
        <f t="shared" si="35"/>
        <v>2.5999999999999943</v>
      </c>
      <c r="D216" s="8">
        <f t="shared" si="36"/>
        <v>2.6000000000000227</v>
      </c>
      <c r="E216" s="24">
        <v>152.1</v>
      </c>
      <c r="F216" s="24">
        <v>157.30000000000001</v>
      </c>
      <c r="G216" s="25" t="s">
        <v>549</v>
      </c>
      <c r="H216" s="26">
        <v>62311</v>
      </c>
      <c r="I216" s="25" t="s">
        <v>212</v>
      </c>
      <c r="J216" s="35" t="s">
        <v>1</v>
      </c>
      <c r="K216" s="35" t="s">
        <v>0</v>
      </c>
      <c r="L216" s="27">
        <f>AVERAGE(-29.889,-29.711)</f>
        <v>-29.799999999999997</v>
      </c>
      <c r="M216" s="25" t="s">
        <v>293</v>
      </c>
      <c r="N216" s="5">
        <f t="shared" si="43"/>
        <v>-26.299999999999997</v>
      </c>
      <c r="O216" s="5">
        <v>2.1</v>
      </c>
      <c r="P216" s="4" t="s">
        <v>402</v>
      </c>
      <c r="Q216" s="12">
        <f t="shared" si="37"/>
        <v>-9.3240677966101693</v>
      </c>
      <c r="R216" s="12">
        <f t="shared" si="38"/>
        <v>-8.2240677966101696</v>
      </c>
      <c r="S216" s="12">
        <f t="shared" si="39"/>
        <v>18.56416987099707</v>
      </c>
      <c r="T216" s="12">
        <v>22</v>
      </c>
      <c r="U216" s="11"/>
      <c r="W216" s="5"/>
      <c r="X216" s="5">
        <f t="shared" si="40"/>
        <v>295</v>
      </c>
      <c r="Y216" s="5"/>
      <c r="Z216" s="5"/>
      <c r="AA216" s="4" t="s">
        <v>403</v>
      </c>
      <c r="AB216" s="4" t="s">
        <v>402</v>
      </c>
      <c r="AC216" s="11">
        <v>170</v>
      </c>
      <c r="AD216" s="3">
        <f t="shared" si="33"/>
        <v>21.421829504477948</v>
      </c>
      <c r="AE216" s="3">
        <v>34</v>
      </c>
      <c r="AF216" s="57">
        <f t="shared" si="41"/>
        <v>3.1713091748844839E-2</v>
      </c>
      <c r="AG216" s="12">
        <f t="shared" si="42"/>
        <v>675.48852297752535</v>
      </c>
    </row>
    <row r="217" spans="1:307" ht="13.2" customHeight="1" x14ac:dyDescent="0.25">
      <c r="A217" s="76">
        <v>19798</v>
      </c>
      <c r="B217" s="24">
        <f t="shared" si="44"/>
        <v>154.69999999999999</v>
      </c>
      <c r="C217" s="8">
        <f t="shared" si="35"/>
        <v>2.5999999999999943</v>
      </c>
      <c r="D217" s="8">
        <f t="shared" si="36"/>
        <v>2.6000000000000227</v>
      </c>
      <c r="E217" s="24">
        <v>152.1</v>
      </c>
      <c r="F217" s="24">
        <v>157.30000000000001</v>
      </c>
      <c r="G217" s="25" t="s">
        <v>549</v>
      </c>
      <c r="H217" s="26">
        <v>320005</v>
      </c>
      <c r="I217" s="25" t="s">
        <v>212</v>
      </c>
      <c r="J217" s="35" t="s">
        <v>1</v>
      </c>
      <c r="K217" s="35" t="s">
        <v>0</v>
      </c>
      <c r="L217" s="27">
        <f>AVERAGE(-30.03,-30.468,-29.925)</f>
        <v>-30.141000000000002</v>
      </c>
      <c r="M217" s="25" t="s">
        <v>293</v>
      </c>
      <c r="N217" s="5">
        <f t="shared" si="43"/>
        <v>-26.641000000000002</v>
      </c>
      <c r="O217" s="5">
        <v>2.1</v>
      </c>
      <c r="P217" s="4" t="s">
        <v>402</v>
      </c>
      <c r="Q217" s="12">
        <f t="shared" si="37"/>
        <v>-9.3240677966101693</v>
      </c>
      <c r="R217" s="12">
        <f t="shared" si="38"/>
        <v>-8.2240677966101696</v>
      </c>
      <c r="S217" s="12">
        <f t="shared" si="39"/>
        <v>18.921006744058168</v>
      </c>
      <c r="T217" s="12">
        <v>22</v>
      </c>
      <c r="U217" s="11"/>
      <c r="W217" s="5"/>
      <c r="X217" s="5">
        <f t="shared" si="40"/>
        <v>295</v>
      </c>
      <c r="Y217" s="5"/>
      <c r="Z217" s="5"/>
      <c r="AA217" s="4" t="s">
        <v>403</v>
      </c>
      <c r="AB217" s="4" t="s">
        <v>402</v>
      </c>
      <c r="AC217" s="11">
        <v>170</v>
      </c>
      <c r="AD217" s="3">
        <f t="shared" si="33"/>
        <v>22.430419748259073</v>
      </c>
      <c r="AE217" s="3">
        <v>34</v>
      </c>
      <c r="AF217" s="57">
        <f t="shared" si="41"/>
        <v>3.1713091748844839E-2</v>
      </c>
      <c r="AG217" s="12">
        <f t="shared" si="42"/>
        <v>707.29211537932463</v>
      </c>
    </row>
    <row r="218" spans="1:307" ht="13.2" customHeight="1" x14ac:dyDescent="0.25">
      <c r="A218" s="76">
        <v>19799</v>
      </c>
      <c r="B218" s="24">
        <f t="shared" si="44"/>
        <v>154.69999999999999</v>
      </c>
      <c r="C218" s="8">
        <f t="shared" si="35"/>
        <v>2.5999999999999943</v>
      </c>
      <c r="D218" s="8">
        <f t="shared" si="36"/>
        <v>2.6000000000000227</v>
      </c>
      <c r="E218" s="24">
        <v>152.1</v>
      </c>
      <c r="F218" s="24">
        <v>157.30000000000001</v>
      </c>
      <c r="G218" s="25" t="s">
        <v>549</v>
      </c>
      <c r="H218" s="26">
        <v>320036</v>
      </c>
      <c r="I218" s="25" t="s">
        <v>212</v>
      </c>
      <c r="J218" s="35" t="s">
        <v>1</v>
      </c>
      <c r="K218" s="35" t="s">
        <v>0</v>
      </c>
      <c r="L218" s="27">
        <f>AVERAGE(-30.832,-30.41,-30.328)</f>
        <v>-30.523333333333337</v>
      </c>
      <c r="M218" s="25" t="s">
        <v>293</v>
      </c>
      <c r="N218" s="5">
        <f t="shared" si="43"/>
        <v>-27.023333333333337</v>
      </c>
      <c r="O218" s="5">
        <v>2.1</v>
      </c>
      <c r="P218" s="4" t="s">
        <v>402</v>
      </c>
      <c r="Q218" s="12">
        <f t="shared" si="37"/>
        <v>-9.3240677966101693</v>
      </c>
      <c r="R218" s="12">
        <f t="shared" si="38"/>
        <v>-8.2240677966101696</v>
      </c>
      <c r="S218" s="12">
        <f t="shared" si="39"/>
        <v>19.321394007451254</v>
      </c>
      <c r="T218" s="12">
        <v>22</v>
      </c>
      <c r="U218" s="11"/>
      <c r="W218" s="5"/>
      <c r="X218" s="5">
        <f t="shared" si="40"/>
        <v>295</v>
      </c>
      <c r="Y218" s="5"/>
      <c r="Z218" s="5"/>
      <c r="AA218" s="4" t="s">
        <v>403</v>
      </c>
      <c r="AB218" s="4" t="s">
        <v>402</v>
      </c>
      <c r="AC218" s="11">
        <v>170</v>
      </c>
      <c r="AD218" s="3">
        <f t="shared" si="33"/>
        <v>23.681478016268994</v>
      </c>
      <c r="AE218" s="3">
        <v>34</v>
      </c>
      <c r="AF218" s="57">
        <f t="shared" si="41"/>
        <v>3.1713091748844839E-2</v>
      </c>
      <c r="AG218" s="12">
        <f t="shared" si="42"/>
        <v>746.74138377351994</v>
      </c>
    </row>
    <row r="219" spans="1:307" ht="13.2" customHeight="1" x14ac:dyDescent="0.25">
      <c r="A219" s="76">
        <v>19800</v>
      </c>
      <c r="B219" s="24">
        <f t="shared" si="44"/>
        <v>154.69999999999999</v>
      </c>
      <c r="C219" s="8">
        <f t="shared" si="35"/>
        <v>2.5999999999999943</v>
      </c>
      <c r="D219" s="8">
        <f t="shared" si="36"/>
        <v>2.6000000000000227</v>
      </c>
      <c r="E219" s="24">
        <v>152.1</v>
      </c>
      <c r="F219" s="24">
        <v>157.30000000000001</v>
      </c>
      <c r="G219" s="25" t="s">
        <v>549</v>
      </c>
      <c r="H219" s="26">
        <v>320102</v>
      </c>
      <c r="I219" s="25" t="s">
        <v>212</v>
      </c>
      <c r="J219" s="35" t="s">
        <v>1</v>
      </c>
      <c r="K219" s="35" t="s">
        <v>0</v>
      </c>
      <c r="L219" s="27">
        <f>AVERAGE(-29.328,-29.429,-29.966,-29.848)</f>
        <v>-29.642749999999999</v>
      </c>
      <c r="M219" s="25" t="s">
        <v>293</v>
      </c>
      <c r="N219" s="5">
        <f t="shared" si="43"/>
        <v>-26.142749999999999</v>
      </c>
      <c r="O219" s="5">
        <v>2.1</v>
      </c>
      <c r="P219" s="4" t="s">
        <v>402</v>
      </c>
      <c r="Q219" s="12">
        <f t="shared" si="37"/>
        <v>-9.3240677966101693</v>
      </c>
      <c r="R219" s="12">
        <f t="shared" si="38"/>
        <v>-8.2240677966101696</v>
      </c>
      <c r="S219" s="12">
        <f t="shared" si="39"/>
        <v>18.399700986350798</v>
      </c>
      <c r="T219" s="12">
        <v>22</v>
      </c>
      <c r="U219" s="11"/>
      <c r="W219" s="5"/>
      <c r="X219" s="5">
        <f t="shared" si="40"/>
        <v>295</v>
      </c>
      <c r="Y219" s="5"/>
      <c r="Z219" s="5"/>
      <c r="AA219" s="4" t="s">
        <v>403</v>
      </c>
      <c r="AB219" s="4" t="s">
        <v>402</v>
      </c>
      <c r="AC219" s="11">
        <v>170</v>
      </c>
      <c r="AD219" s="3">
        <f t="shared" si="33"/>
        <v>20.986879584759258</v>
      </c>
      <c r="AE219" s="3">
        <v>34</v>
      </c>
      <c r="AF219" s="57">
        <f t="shared" si="41"/>
        <v>3.1713091748844839E-2</v>
      </c>
      <c r="AG219" s="12">
        <f t="shared" si="42"/>
        <v>661.77336952723044</v>
      </c>
    </row>
    <row r="220" spans="1:307" ht="13.2" customHeight="1" x14ac:dyDescent="0.25">
      <c r="A220" s="76">
        <v>19801</v>
      </c>
      <c r="B220" s="24">
        <f t="shared" si="44"/>
        <v>154.69999999999999</v>
      </c>
      <c r="C220" s="8">
        <f t="shared" si="35"/>
        <v>2.5999999999999943</v>
      </c>
      <c r="D220" s="8">
        <f t="shared" si="36"/>
        <v>2.6000000000000227</v>
      </c>
      <c r="E220" s="24">
        <v>152.1</v>
      </c>
      <c r="F220" s="24">
        <v>157.30000000000001</v>
      </c>
      <c r="G220" s="25" t="s">
        <v>549</v>
      </c>
      <c r="H220" s="26">
        <v>912255</v>
      </c>
      <c r="I220" s="25" t="s">
        <v>212</v>
      </c>
      <c r="J220" s="35" t="s">
        <v>1</v>
      </c>
      <c r="K220" s="35" t="s">
        <v>0</v>
      </c>
      <c r="L220" s="27">
        <f>AVERAGE(-31,-30.715)</f>
        <v>-30.857500000000002</v>
      </c>
      <c r="M220" s="25" t="s">
        <v>293</v>
      </c>
      <c r="N220" s="5">
        <f t="shared" si="43"/>
        <v>-27.357500000000002</v>
      </c>
      <c r="O220" s="5">
        <v>2.1</v>
      </c>
      <c r="P220" s="4" t="s">
        <v>402</v>
      </c>
      <c r="Q220" s="12">
        <f t="shared" si="37"/>
        <v>-9.3240677966101693</v>
      </c>
      <c r="R220" s="12">
        <f t="shared" si="38"/>
        <v>-8.2240677966101696</v>
      </c>
      <c r="S220" s="12">
        <f t="shared" si="39"/>
        <v>19.671597944146857</v>
      </c>
      <c r="T220" s="12">
        <v>22</v>
      </c>
      <c r="U220" s="11"/>
      <c r="W220" s="5"/>
      <c r="X220" s="5">
        <f t="shared" si="40"/>
        <v>295</v>
      </c>
      <c r="Y220" s="5"/>
      <c r="Z220" s="5"/>
      <c r="AA220" s="4" t="s">
        <v>403</v>
      </c>
      <c r="AB220" s="4" t="s">
        <v>402</v>
      </c>
      <c r="AC220" s="11">
        <v>170</v>
      </c>
      <c r="AD220" s="3">
        <f t="shared" si="33"/>
        <v>24.896014998747777</v>
      </c>
      <c r="AE220" s="3">
        <v>34</v>
      </c>
      <c r="AF220" s="57">
        <f t="shared" si="41"/>
        <v>3.1713091748844839E-2</v>
      </c>
      <c r="AG220" s="12">
        <f t="shared" si="42"/>
        <v>785.03903674590867</v>
      </c>
    </row>
    <row r="221" spans="1:307" ht="13.2" customHeight="1" x14ac:dyDescent="0.25">
      <c r="A221" s="76">
        <v>19802</v>
      </c>
      <c r="B221" s="24">
        <f t="shared" si="44"/>
        <v>154.69999999999999</v>
      </c>
      <c r="C221" s="8">
        <f t="shared" si="35"/>
        <v>2.5999999999999943</v>
      </c>
      <c r="D221" s="8">
        <f t="shared" si="36"/>
        <v>2.6000000000000227</v>
      </c>
      <c r="E221" s="24">
        <v>152.1</v>
      </c>
      <c r="F221" s="24">
        <v>157.30000000000001</v>
      </c>
      <c r="G221" s="25" t="s">
        <v>549</v>
      </c>
      <c r="H221" s="26">
        <v>912256</v>
      </c>
      <c r="I221" s="25" t="s">
        <v>212</v>
      </c>
      <c r="J221" s="35" t="s">
        <v>1</v>
      </c>
      <c r="K221" s="35" t="s">
        <v>0</v>
      </c>
      <c r="L221" s="27">
        <f>AVERAGE(-29.653,-29.451)</f>
        <v>-29.552</v>
      </c>
      <c r="M221" s="25" t="s">
        <v>293</v>
      </c>
      <c r="N221" s="5">
        <f t="shared" si="43"/>
        <v>-26.052</v>
      </c>
      <c r="O221" s="5">
        <v>2.1</v>
      </c>
      <c r="P221" s="4" t="s">
        <v>402</v>
      </c>
      <c r="Q221" s="12">
        <f t="shared" si="37"/>
        <v>-9.3240677966101693</v>
      </c>
      <c r="R221" s="12">
        <f t="shared" si="38"/>
        <v>-8.2240677966101696</v>
      </c>
      <c r="S221" s="12">
        <f t="shared" si="39"/>
        <v>18.30480908979726</v>
      </c>
      <c r="T221" s="12">
        <v>22</v>
      </c>
      <c r="U221" s="11"/>
      <c r="W221" s="5"/>
      <c r="X221" s="5">
        <f t="shared" si="40"/>
        <v>295</v>
      </c>
      <c r="Y221" s="5"/>
      <c r="Z221" s="5"/>
      <c r="AA221" s="4" t="s">
        <v>403</v>
      </c>
      <c r="AB221" s="4" t="s">
        <v>402</v>
      </c>
      <c r="AC221" s="11">
        <v>170</v>
      </c>
      <c r="AD221" s="3">
        <f t="shared" si="33"/>
        <v>20.743873066868481</v>
      </c>
      <c r="AE221" s="3">
        <v>34</v>
      </c>
      <c r="AF221" s="57">
        <f t="shared" si="41"/>
        <v>3.1713091748844839E-2</v>
      </c>
      <c r="AG221" s="12">
        <f t="shared" si="42"/>
        <v>654.11071336569023</v>
      </c>
    </row>
    <row r="222" spans="1:307" ht="13.2" customHeight="1" x14ac:dyDescent="0.25">
      <c r="A222" s="76">
        <v>19803</v>
      </c>
      <c r="B222" s="24">
        <f t="shared" si="44"/>
        <v>154.69999999999999</v>
      </c>
      <c r="C222" s="8">
        <f t="shared" si="35"/>
        <v>2.5999999999999943</v>
      </c>
      <c r="D222" s="8">
        <f t="shared" si="36"/>
        <v>2.6000000000000227</v>
      </c>
      <c r="E222" s="24">
        <v>152.1</v>
      </c>
      <c r="F222" s="24">
        <v>157.30000000000001</v>
      </c>
      <c r="G222" s="25" t="s">
        <v>549</v>
      </c>
      <c r="H222" s="26">
        <v>912263</v>
      </c>
      <c r="I222" s="25" t="s">
        <v>212</v>
      </c>
      <c r="J222" s="35" t="s">
        <v>1</v>
      </c>
      <c r="K222" s="35" t="s">
        <v>0</v>
      </c>
      <c r="L222" s="27">
        <f>AVERAGE(-29.941,-29.967)</f>
        <v>-29.954000000000001</v>
      </c>
      <c r="M222" s="25" t="s">
        <v>293</v>
      </c>
      <c r="N222" s="5">
        <f t="shared" si="43"/>
        <v>-26.454000000000001</v>
      </c>
      <c r="O222" s="5">
        <v>2.1</v>
      </c>
      <c r="P222" s="4" t="s">
        <v>402</v>
      </c>
      <c r="Q222" s="12">
        <f t="shared" si="37"/>
        <v>-9.3240677966101693</v>
      </c>
      <c r="R222" s="12">
        <f t="shared" si="38"/>
        <v>-8.2240677966101696</v>
      </c>
      <c r="S222" s="12">
        <f t="shared" si="39"/>
        <v>18.725291052903216</v>
      </c>
      <c r="T222" s="12">
        <v>22</v>
      </c>
      <c r="U222" s="11"/>
      <c r="W222" s="5"/>
      <c r="X222" s="5">
        <f t="shared" si="40"/>
        <v>295</v>
      </c>
      <c r="Y222" s="5"/>
      <c r="Z222" s="5"/>
      <c r="AA222" s="4" t="s">
        <v>403</v>
      </c>
      <c r="AB222" s="4" t="s">
        <v>402</v>
      </c>
      <c r="AC222" s="11">
        <v>170</v>
      </c>
      <c r="AD222" s="3">
        <f t="shared" si="33"/>
        <v>21.865770301726993</v>
      </c>
      <c r="AE222" s="3">
        <v>34</v>
      </c>
      <c r="AF222" s="57">
        <f t="shared" si="41"/>
        <v>3.1713091748844839E-2</v>
      </c>
      <c r="AG222" s="12">
        <f t="shared" si="42"/>
        <v>689.48718323950425</v>
      </c>
    </row>
    <row r="223" spans="1:307" ht="13.2" customHeight="1" x14ac:dyDescent="0.25">
      <c r="A223" s="76">
        <v>19804</v>
      </c>
      <c r="B223" s="24">
        <f t="shared" si="44"/>
        <v>154.69999999999999</v>
      </c>
      <c r="C223" s="8">
        <f t="shared" si="35"/>
        <v>2.5999999999999943</v>
      </c>
      <c r="D223" s="8">
        <f t="shared" si="36"/>
        <v>2.6000000000000227</v>
      </c>
      <c r="E223" s="24">
        <v>152.1</v>
      </c>
      <c r="F223" s="24">
        <v>157.30000000000001</v>
      </c>
      <c r="G223" s="25" t="s">
        <v>549</v>
      </c>
      <c r="H223" s="25">
        <v>60050</v>
      </c>
      <c r="I223" s="25" t="s">
        <v>212</v>
      </c>
      <c r="J223" s="35" t="s">
        <v>1</v>
      </c>
      <c r="K223" s="35" t="s">
        <v>0</v>
      </c>
      <c r="L223" s="27">
        <v>-30.866125</v>
      </c>
      <c r="M223" s="25" t="s">
        <v>293</v>
      </c>
      <c r="N223" s="5">
        <f t="shared" si="43"/>
        <v>-27.366125</v>
      </c>
      <c r="O223" s="5">
        <v>2.1</v>
      </c>
      <c r="P223" s="4" t="s">
        <v>402</v>
      </c>
      <c r="Q223" s="12">
        <f t="shared" si="37"/>
        <v>-9.3240677966101693</v>
      </c>
      <c r="R223" s="12">
        <f t="shared" si="38"/>
        <v>-8.2240677966101696</v>
      </c>
      <c r="S223" s="12">
        <f t="shared" si="39"/>
        <v>19.680640059333676</v>
      </c>
      <c r="T223" s="12">
        <v>22</v>
      </c>
      <c r="U223" s="11"/>
      <c r="W223" s="5"/>
      <c r="X223" s="5">
        <f t="shared" si="40"/>
        <v>295</v>
      </c>
      <c r="Y223" s="5"/>
      <c r="Z223" s="5"/>
      <c r="AA223" s="4" t="s">
        <v>403</v>
      </c>
      <c r="AB223" s="4" t="s">
        <v>402</v>
      </c>
      <c r="AC223" s="11">
        <v>170</v>
      </c>
      <c r="AD223" s="3">
        <f t="shared" si="33"/>
        <v>24.929025814611744</v>
      </c>
      <c r="AE223" s="3">
        <v>34</v>
      </c>
      <c r="AF223" s="57">
        <f t="shared" si="41"/>
        <v>3.1713091748844839E-2</v>
      </c>
      <c r="AG223" s="12">
        <f t="shared" si="42"/>
        <v>786.07995751533099</v>
      </c>
    </row>
    <row r="224" spans="1:307" x14ac:dyDescent="0.25">
      <c r="A224" s="76">
        <v>19805</v>
      </c>
      <c r="B224" s="24">
        <f t="shared" si="44"/>
        <v>154.69999999999999</v>
      </c>
      <c r="C224" s="8">
        <f t="shared" si="35"/>
        <v>2.5999999999999943</v>
      </c>
      <c r="D224" s="8">
        <f t="shared" si="36"/>
        <v>2.6000000000000227</v>
      </c>
      <c r="E224" s="24">
        <v>152.1</v>
      </c>
      <c r="F224" s="24">
        <v>157.30000000000001</v>
      </c>
      <c r="G224" s="25" t="s">
        <v>549</v>
      </c>
      <c r="H224" s="26">
        <v>32588</v>
      </c>
      <c r="I224" s="25" t="s">
        <v>212</v>
      </c>
      <c r="J224" s="35" t="s">
        <v>1</v>
      </c>
      <c r="K224" s="35" t="s">
        <v>0</v>
      </c>
      <c r="L224" s="27">
        <f>AVERAGE(-28,-27.929)</f>
        <v>-27.964500000000001</v>
      </c>
      <c r="M224" s="25" t="s">
        <v>293</v>
      </c>
      <c r="N224" s="5">
        <f t="shared" si="43"/>
        <v>-24.464500000000001</v>
      </c>
      <c r="O224" s="5">
        <v>2.1</v>
      </c>
      <c r="P224" s="4" t="s">
        <v>402</v>
      </c>
      <c r="Q224" s="12">
        <f t="shared" si="37"/>
        <v>-9.3626579786872988</v>
      </c>
      <c r="R224" s="12">
        <f t="shared" si="38"/>
        <v>-8.2626579786872991</v>
      </c>
      <c r="S224" s="12">
        <f t="shared" si="39"/>
        <v>16.608152159826695</v>
      </c>
      <c r="T224" s="12">
        <f>U224+V224</f>
        <v>21.66</v>
      </c>
      <c r="U224" s="1">
        <v>18.36</v>
      </c>
      <c r="V224" s="11">
        <v>3.3</v>
      </c>
      <c r="W224" s="5" t="s">
        <v>176</v>
      </c>
      <c r="X224" s="5">
        <f t="shared" si="40"/>
        <v>294.66000000000003</v>
      </c>
      <c r="Y224" s="5">
        <v>44.5</v>
      </c>
      <c r="Z224" s="5"/>
      <c r="AA224" s="4" t="s">
        <v>259</v>
      </c>
      <c r="AC224" s="11">
        <v>170</v>
      </c>
      <c r="AD224" s="3">
        <f t="shared" si="33"/>
        <v>17.185868883828444</v>
      </c>
      <c r="AE224" s="3">
        <v>34</v>
      </c>
      <c r="AF224" s="57">
        <f t="shared" si="41"/>
        <v>3.2007369017880066E-2</v>
      </c>
      <c r="AG224" s="12">
        <f t="shared" si="42"/>
        <v>536.93475631277329</v>
      </c>
    </row>
    <row r="225" spans="1:307" x14ac:dyDescent="0.25">
      <c r="A225" s="76">
        <v>19806</v>
      </c>
      <c r="B225" s="3">
        <v>155</v>
      </c>
      <c r="C225" s="8">
        <f t="shared" si="35"/>
        <v>10</v>
      </c>
      <c r="D225" s="8">
        <f t="shared" si="36"/>
        <v>9</v>
      </c>
      <c r="E225" s="24">
        <v>145</v>
      </c>
      <c r="F225" s="24">
        <v>164</v>
      </c>
      <c r="G225" s="4" t="s">
        <v>397</v>
      </c>
      <c r="H225" s="32" t="s">
        <v>41</v>
      </c>
      <c r="I225" s="32" t="s">
        <v>40</v>
      </c>
      <c r="J225" s="11" t="s">
        <v>4</v>
      </c>
      <c r="K225" s="11" t="s">
        <v>0</v>
      </c>
      <c r="L225" s="33">
        <v>-33.5</v>
      </c>
      <c r="M225" s="33" t="s">
        <v>21</v>
      </c>
      <c r="N225" s="5">
        <f t="shared" si="43"/>
        <v>-30</v>
      </c>
      <c r="O225" s="5">
        <v>1.68</v>
      </c>
      <c r="P225" s="4" t="s">
        <v>2</v>
      </c>
      <c r="Q225" s="12">
        <f t="shared" si="37"/>
        <v>-9.6676712328767103</v>
      </c>
      <c r="R225" s="12">
        <f t="shared" si="38"/>
        <v>-8.9876712328767105</v>
      </c>
      <c r="S225" s="12">
        <f t="shared" si="39"/>
        <v>21.662194605281737</v>
      </c>
      <c r="T225" s="12">
        <v>19</v>
      </c>
      <c r="W225" s="5"/>
      <c r="X225" s="5">
        <f t="shared" si="40"/>
        <v>292</v>
      </c>
      <c r="Y225" s="5"/>
      <c r="Z225" s="23"/>
      <c r="AA225" s="4" t="s">
        <v>403</v>
      </c>
      <c r="AB225" s="4" t="s">
        <v>402</v>
      </c>
      <c r="AC225" s="11">
        <v>170</v>
      </c>
      <c r="AD225" s="3">
        <f t="shared" si="33"/>
        <v>35.139900456847585</v>
      </c>
      <c r="AE225" s="3">
        <v>34</v>
      </c>
      <c r="AF225" s="57">
        <f t="shared" si="41"/>
        <v>3.4473177581195849E-2</v>
      </c>
      <c r="AG225" s="12">
        <f t="shared" si="42"/>
        <v>1019.3403371093767</v>
      </c>
    </row>
    <row r="226" spans="1:307" s="9" customFormat="1" x14ac:dyDescent="0.25">
      <c r="A226" s="76">
        <v>19807</v>
      </c>
      <c r="B226" s="24">
        <v>155</v>
      </c>
      <c r="C226" s="8">
        <f t="shared" si="35"/>
        <v>2.9000000000000057</v>
      </c>
      <c r="D226" s="8">
        <f t="shared" si="36"/>
        <v>2.3000000000000114</v>
      </c>
      <c r="E226" s="24">
        <v>152.1</v>
      </c>
      <c r="F226" s="24">
        <v>157.30000000000001</v>
      </c>
      <c r="G226" s="25" t="s">
        <v>549</v>
      </c>
      <c r="H226" s="26">
        <v>327712</v>
      </c>
      <c r="I226" s="25" t="s">
        <v>214</v>
      </c>
      <c r="J226" s="35" t="s">
        <v>1</v>
      </c>
      <c r="K226" s="35" t="s">
        <v>0</v>
      </c>
      <c r="L226" s="27">
        <f>AVERAGE(-31.038,-31.013)</f>
        <v>-31.025500000000001</v>
      </c>
      <c r="M226" s="25" t="s">
        <v>293</v>
      </c>
      <c r="N226" s="5">
        <f t="shared" si="43"/>
        <v>-27.525500000000001</v>
      </c>
      <c r="O226" s="5">
        <v>0.8</v>
      </c>
      <c r="P226" s="4" t="s">
        <v>481</v>
      </c>
      <c r="Q226" s="12">
        <f t="shared" si="37"/>
        <v>-8.4227977702279198</v>
      </c>
      <c r="R226" s="12">
        <f t="shared" si="38"/>
        <v>-8.622797770227919</v>
      </c>
      <c r="S226" s="12">
        <f t="shared" si="39"/>
        <v>19.437735621625094</v>
      </c>
      <c r="T226" s="12">
        <f>U226+V226</f>
        <v>30.169999999999998</v>
      </c>
      <c r="U226" s="11">
        <v>26.77</v>
      </c>
      <c r="V226" s="12">
        <v>3.4</v>
      </c>
      <c r="W226" s="5" t="s">
        <v>176</v>
      </c>
      <c r="X226" s="5">
        <f t="shared" si="40"/>
        <v>303.17</v>
      </c>
      <c r="Y226" s="5">
        <v>3.3</v>
      </c>
      <c r="Z226" s="5"/>
      <c r="AA226" s="4" t="s">
        <v>259</v>
      </c>
      <c r="AB226" s="5"/>
      <c r="AC226" s="11">
        <v>170</v>
      </c>
      <c r="AD226" s="3">
        <f t="shared" si="33"/>
        <v>24.071599545402268</v>
      </c>
      <c r="AE226" s="3">
        <v>35</v>
      </c>
      <c r="AF226" s="57">
        <f t="shared" si="41"/>
        <v>2.570977970711227E-2</v>
      </c>
      <c r="AG226" s="12">
        <f t="shared" si="42"/>
        <v>936.28182814585455</v>
      </c>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row>
    <row r="227" spans="1:307" ht="13.2" customHeight="1" x14ac:dyDescent="0.25">
      <c r="A227" s="76">
        <v>19808</v>
      </c>
      <c r="B227" s="24">
        <v>159</v>
      </c>
      <c r="C227" s="8">
        <f t="shared" si="35"/>
        <v>7</v>
      </c>
      <c r="D227" s="8">
        <f t="shared" si="36"/>
        <v>7</v>
      </c>
      <c r="E227" s="24">
        <v>152</v>
      </c>
      <c r="F227" s="24">
        <v>166</v>
      </c>
      <c r="G227" s="25" t="s">
        <v>548</v>
      </c>
      <c r="H227" s="26">
        <v>51676</v>
      </c>
      <c r="I227" s="25" t="s">
        <v>214</v>
      </c>
      <c r="J227" s="35" t="s">
        <v>1</v>
      </c>
      <c r="K227" s="35" t="s">
        <v>0</v>
      </c>
      <c r="L227" s="27">
        <f>AVERAGE(-30.19,-29.921)</f>
        <v>-30.055500000000002</v>
      </c>
      <c r="M227" s="25" t="s">
        <v>293</v>
      </c>
      <c r="N227" s="5">
        <f t="shared" si="43"/>
        <v>-26.555500000000002</v>
      </c>
      <c r="O227" s="5">
        <v>0.8</v>
      </c>
      <c r="P227" s="4" t="s">
        <v>481</v>
      </c>
      <c r="Q227" s="12">
        <f t="shared" si="37"/>
        <v>-8.4227977702279198</v>
      </c>
      <c r="R227" s="12">
        <f t="shared" si="38"/>
        <v>-8.622797770227919</v>
      </c>
      <c r="S227" s="12">
        <f t="shared" si="39"/>
        <v>18.421905131491556</v>
      </c>
      <c r="T227" s="12">
        <f>U227+V227</f>
        <v>30.169999999999998</v>
      </c>
      <c r="U227" s="11">
        <v>26.77</v>
      </c>
      <c r="V227" s="12">
        <v>3.4</v>
      </c>
      <c r="W227" s="5" t="s">
        <v>176</v>
      </c>
      <c r="X227" s="5">
        <f t="shared" si="40"/>
        <v>303.17</v>
      </c>
      <c r="Y227" s="5">
        <v>3.3</v>
      </c>
      <c r="Z227" s="5"/>
      <c r="AA227" s="4" t="s">
        <v>259</v>
      </c>
      <c r="AC227" s="11">
        <v>170</v>
      </c>
      <c r="AD227" s="3">
        <f t="shared" si="33"/>
        <v>21.044565923919279</v>
      </c>
      <c r="AE227" s="3">
        <v>34</v>
      </c>
      <c r="AF227" s="57">
        <f t="shared" si="41"/>
        <v>2.581879787347564E-2</v>
      </c>
      <c r="AG227" s="12">
        <f t="shared" si="42"/>
        <v>815.08697759855579</v>
      </c>
    </row>
    <row r="228" spans="1:307" s="9" customFormat="1" ht="13.2" customHeight="1" x14ac:dyDescent="0.25">
      <c r="A228" s="76">
        <v>19809</v>
      </c>
      <c r="B228" s="24">
        <v>159</v>
      </c>
      <c r="C228" s="8">
        <f t="shared" si="35"/>
        <v>7</v>
      </c>
      <c r="D228" s="8">
        <f t="shared" si="36"/>
        <v>7</v>
      </c>
      <c r="E228" s="24">
        <v>152</v>
      </c>
      <c r="F228" s="24">
        <v>166</v>
      </c>
      <c r="G228" s="25" t="s">
        <v>548</v>
      </c>
      <c r="H228" s="28">
        <v>2787</v>
      </c>
      <c r="I228" s="29" t="s">
        <v>214</v>
      </c>
      <c r="J228" s="34" t="s">
        <v>1</v>
      </c>
      <c r="K228" s="34" t="s">
        <v>0</v>
      </c>
      <c r="L228" s="30">
        <f>AVERAGE(-29.15,-29.83,-29.27,-29.7)</f>
        <v>-29.487500000000001</v>
      </c>
      <c r="M228" s="25" t="s">
        <v>293</v>
      </c>
      <c r="N228" s="5">
        <f t="shared" si="43"/>
        <v>-25.987500000000001</v>
      </c>
      <c r="O228" s="5">
        <v>0.8</v>
      </c>
      <c r="P228" s="4" t="s">
        <v>481</v>
      </c>
      <c r="Q228" s="12">
        <f t="shared" si="37"/>
        <v>-8.4227977702279198</v>
      </c>
      <c r="R228" s="12">
        <f t="shared" si="38"/>
        <v>-8.622797770227919</v>
      </c>
      <c r="S228" s="12">
        <f t="shared" si="39"/>
        <v>17.828007576670799</v>
      </c>
      <c r="T228" s="12">
        <f>U228+V228</f>
        <v>30.169999999999998</v>
      </c>
      <c r="U228" s="11">
        <v>26.77</v>
      </c>
      <c r="V228" s="12">
        <v>3.4</v>
      </c>
      <c r="W228" s="5" t="s">
        <v>176</v>
      </c>
      <c r="X228" s="5">
        <f t="shared" si="40"/>
        <v>303.17</v>
      </c>
      <c r="Y228" s="5">
        <v>3.3</v>
      </c>
      <c r="Z228" s="5"/>
      <c r="AA228" s="4" t="s">
        <v>259</v>
      </c>
      <c r="AB228" s="5"/>
      <c r="AC228" s="11">
        <v>170</v>
      </c>
      <c r="AD228" s="3">
        <f t="shared" si="33"/>
        <v>19.603338160521197</v>
      </c>
      <c r="AE228" s="3">
        <v>34</v>
      </c>
      <c r="AF228" s="57">
        <f t="shared" si="41"/>
        <v>2.581879787347564E-2</v>
      </c>
      <c r="AG228" s="12">
        <f t="shared" si="42"/>
        <v>759.26610745344749</v>
      </c>
      <c r="AH228" s="13"/>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c r="JL228" s="1"/>
      <c r="JM228" s="1"/>
      <c r="JN228" s="1"/>
      <c r="JO228" s="1"/>
      <c r="JP228" s="1"/>
      <c r="JQ228" s="1"/>
      <c r="JR228" s="1"/>
      <c r="JS228" s="1"/>
      <c r="JT228" s="1"/>
      <c r="JU228" s="1"/>
      <c r="JV228" s="1"/>
      <c r="JW228" s="1"/>
      <c r="JX228" s="1"/>
      <c r="JY228" s="1"/>
      <c r="JZ228" s="1"/>
      <c r="KA228" s="1"/>
      <c r="KB228" s="1"/>
      <c r="KC228" s="1"/>
      <c r="KD228" s="1"/>
      <c r="KE228" s="1"/>
      <c r="KF228" s="1"/>
      <c r="KG228" s="1"/>
      <c r="KH228" s="1"/>
      <c r="KI228" s="1"/>
      <c r="KJ228" s="1"/>
      <c r="KK228" s="1"/>
      <c r="KL228" s="1"/>
      <c r="KM228" s="1"/>
      <c r="KN228" s="1"/>
      <c r="KO228" s="1"/>
      <c r="KP228" s="1"/>
      <c r="KQ228" s="1"/>
      <c r="KR228" s="1"/>
      <c r="KS228" s="1"/>
      <c r="KT228" s="1"/>
      <c r="KU228" s="1"/>
    </row>
    <row r="229" spans="1:307" ht="13.2" customHeight="1" x14ac:dyDescent="0.25">
      <c r="A229" s="76">
        <v>19810</v>
      </c>
      <c r="B229" s="3">
        <v>177</v>
      </c>
      <c r="C229" s="8">
        <f t="shared" si="35"/>
        <v>2.9000000000000057</v>
      </c>
      <c r="D229" s="8">
        <f t="shared" si="36"/>
        <v>5.6999999999999886</v>
      </c>
      <c r="E229" s="3">
        <v>174.1</v>
      </c>
      <c r="F229" s="3">
        <v>182.7</v>
      </c>
      <c r="G229" s="4" t="s">
        <v>228</v>
      </c>
      <c r="H229" s="32" t="s">
        <v>340</v>
      </c>
      <c r="I229" s="32" t="s">
        <v>43</v>
      </c>
      <c r="J229" s="11" t="s">
        <v>4</v>
      </c>
      <c r="K229" s="11" t="s">
        <v>27</v>
      </c>
      <c r="L229" s="33">
        <v>-32.28</v>
      </c>
      <c r="M229" s="33" t="s">
        <v>42</v>
      </c>
      <c r="N229" s="5">
        <f t="shared" si="43"/>
        <v>-28.78</v>
      </c>
      <c r="O229" s="5">
        <v>2</v>
      </c>
      <c r="P229" s="4" t="s">
        <v>407</v>
      </c>
      <c r="Q229" s="12">
        <f t="shared" si="37"/>
        <v>-9.4378231292517007</v>
      </c>
      <c r="R229" s="12">
        <f t="shared" si="38"/>
        <v>-8.4378231292517007</v>
      </c>
      <c r="S229" s="12">
        <f t="shared" si="39"/>
        <v>20.944973199427785</v>
      </c>
      <c r="T229" s="12">
        <v>21</v>
      </c>
      <c r="W229" s="5"/>
      <c r="X229" s="5">
        <f t="shared" si="40"/>
        <v>294</v>
      </c>
      <c r="Y229" s="5"/>
      <c r="Z229" s="23"/>
      <c r="AA229" s="32"/>
      <c r="AB229" s="4" t="s">
        <v>401</v>
      </c>
      <c r="AC229" s="11">
        <v>170</v>
      </c>
      <c r="AD229" s="3">
        <f t="shared" si="33"/>
        <v>30.602912659663239</v>
      </c>
      <c r="AE229" s="3">
        <v>34</v>
      </c>
      <c r="AF229" s="57">
        <f t="shared" si="41"/>
        <v>3.2591654943586672E-2</v>
      </c>
      <c r="AG229" s="12">
        <f t="shared" si="42"/>
        <v>938.98001536387846</v>
      </c>
    </row>
    <row r="230" spans="1:307" x14ac:dyDescent="0.25">
      <c r="A230" s="76">
        <v>19811</v>
      </c>
      <c r="B230" s="3">
        <v>177</v>
      </c>
      <c r="C230" s="8">
        <f t="shared" si="35"/>
        <v>2.9000000000000057</v>
      </c>
      <c r="D230" s="8">
        <f t="shared" si="36"/>
        <v>5.6999999999999886</v>
      </c>
      <c r="E230" s="3">
        <v>174.1</v>
      </c>
      <c r="F230" s="3">
        <v>182.7</v>
      </c>
      <c r="G230" s="4" t="s">
        <v>228</v>
      </c>
      <c r="H230" s="32" t="s">
        <v>58</v>
      </c>
      <c r="I230" s="32" t="s">
        <v>43</v>
      </c>
      <c r="J230" s="11" t="s">
        <v>4</v>
      </c>
      <c r="K230" s="11" t="s">
        <v>27</v>
      </c>
      <c r="L230" s="33">
        <v>-32.54</v>
      </c>
      <c r="M230" s="33" t="s">
        <v>42</v>
      </c>
      <c r="N230" s="5">
        <f t="shared" si="43"/>
        <v>-29.04</v>
      </c>
      <c r="O230" s="5">
        <v>2</v>
      </c>
      <c r="P230" s="4" t="s">
        <v>407</v>
      </c>
      <c r="Q230" s="12">
        <f t="shared" si="37"/>
        <v>-9.4378231292517007</v>
      </c>
      <c r="R230" s="12">
        <f t="shared" si="38"/>
        <v>-8.4378231292517007</v>
      </c>
      <c r="S230" s="12">
        <f t="shared" si="39"/>
        <v>21.218357986681589</v>
      </c>
      <c r="T230" s="12">
        <v>21</v>
      </c>
      <c r="W230" s="5"/>
      <c r="X230" s="5">
        <f t="shared" si="40"/>
        <v>294</v>
      </c>
      <c r="Y230" s="5"/>
      <c r="Z230" s="23"/>
      <c r="AA230" s="32"/>
      <c r="AB230" s="4" t="s">
        <v>401</v>
      </c>
      <c r="AC230" s="11">
        <v>170</v>
      </c>
      <c r="AD230" s="3">
        <f t="shared" si="33"/>
        <v>32.18695995891445</v>
      </c>
      <c r="AE230" s="3">
        <v>34</v>
      </c>
      <c r="AF230" s="57">
        <f t="shared" si="41"/>
        <v>3.2591654943586672E-2</v>
      </c>
      <c r="AG230" s="12">
        <f t="shared" si="42"/>
        <v>987.58286483540917</v>
      </c>
    </row>
    <row r="231" spans="1:307" x14ac:dyDescent="0.25">
      <c r="A231" s="76">
        <v>19812</v>
      </c>
      <c r="B231" s="24">
        <v>178</v>
      </c>
      <c r="C231" s="8">
        <f t="shared" si="35"/>
        <v>3.9000000000000057</v>
      </c>
      <c r="D231" s="8">
        <f t="shared" si="36"/>
        <v>4.6999999999999886</v>
      </c>
      <c r="E231" s="3">
        <v>174.1</v>
      </c>
      <c r="F231" s="3">
        <v>182.7</v>
      </c>
      <c r="G231" s="4" t="s">
        <v>228</v>
      </c>
      <c r="H231" s="26">
        <v>283124</v>
      </c>
      <c r="I231" s="25" t="s">
        <v>212</v>
      </c>
      <c r="J231" s="35" t="s">
        <v>1</v>
      </c>
      <c r="K231" s="35" t="s">
        <v>0</v>
      </c>
      <c r="L231" s="27">
        <f>AVERAGE(-29.999,-29.698,-29.908,-29.818)</f>
        <v>-29.85575</v>
      </c>
      <c r="M231" s="25" t="s">
        <v>293</v>
      </c>
      <c r="N231" s="5">
        <f t="shared" si="43"/>
        <v>-26.35575</v>
      </c>
      <c r="O231" s="5">
        <v>2.1</v>
      </c>
      <c r="P231" s="4" t="s">
        <v>402</v>
      </c>
      <c r="Q231" s="12">
        <f t="shared" si="37"/>
        <v>-9.3240677966101693</v>
      </c>
      <c r="R231" s="12">
        <f t="shared" si="38"/>
        <v>-8.2240677966101696</v>
      </c>
      <c r="S231" s="12">
        <f t="shared" si="39"/>
        <v>18.622491945482047</v>
      </c>
      <c r="T231" s="12">
        <v>22</v>
      </c>
      <c r="U231" s="11"/>
      <c r="W231" s="5"/>
      <c r="X231" s="5">
        <f t="shared" si="40"/>
        <v>295</v>
      </c>
      <c r="Y231" s="5"/>
      <c r="Z231" s="5"/>
      <c r="AA231" s="4" t="s">
        <v>403</v>
      </c>
      <c r="AB231" s="4" t="s">
        <v>402</v>
      </c>
      <c r="AC231" s="11">
        <v>170</v>
      </c>
      <c r="AD231" s="3">
        <f t="shared" si="33"/>
        <v>21.580428585217458</v>
      </c>
      <c r="AE231" s="3">
        <v>34</v>
      </c>
      <c r="AF231" s="57">
        <f t="shared" si="41"/>
        <v>3.1713091748844839E-2</v>
      </c>
      <c r="AG231" s="12">
        <f t="shared" si="42"/>
        <v>680.48958317044355</v>
      </c>
    </row>
    <row r="232" spans="1:307" s="9" customFormat="1" x14ac:dyDescent="0.25">
      <c r="A232" s="76">
        <v>19813</v>
      </c>
      <c r="B232" s="24">
        <v>178</v>
      </c>
      <c r="C232" s="8">
        <f t="shared" si="35"/>
        <v>3.9000000000000057</v>
      </c>
      <c r="D232" s="8">
        <f t="shared" si="36"/>
        <v>4.6999999999999886</v>
      </c>
      <c r="E232" s="3">
        <v>174.1</v>
      </c>
      <c r="F232" s="3">
        <v>182.7</v>
      </c>
      <c r="G232" s="25" t="s">
        <v>228</v>
      </c>
      <c r="H232" s="26">
        <v>23339</v>
      </c>
      <c r="I232" s="25" t="s">
        <v>212</v>
      </c>
      <c r="J232" s="35" t="s">
        <v>1</v>
      </c>
      <c r="K232" s="35" t="s">
        <v>0</v>
      </c>
      <c r="L232" s="27">
        <v>-32.358625000000004</v>
      </c>
      <c r="M232" s="25" t="s">
        <v>293</v>
      </c>
      <c r="N232" s="5">
        <f t="shared" si="43"/>
        <v>-28.858625000000004</v>
      </c>
      <c r="O232" s="5">
        <v>2.1</v>
      </c>
      <c r="P232" s="4" t="s">
        <v>402</v>
      </c>
      <c r="Q232" s="12">
        <f t="shared" si="37"/>
        <v>-9.3240677966101693</v>
      </c>
      <c r="R232" s="12">
        <f t="shared" si="38"/>
        <v>-8.2240677966101696</v>
      </c>
      <c r="S232" s="12">
        <f t="shared" si="39"/>
        <v>21.24773769770627</v>
      </c>
      <c r="T232" s="12">
        <v>22</v>
      </c>
      <c r="U232" s="11"/>
      <c r="V232" s="12"/>
      <c r="W232" s="5"/>
      <c r="X232" s="5">
        <f t="shared" si="40"/>
        <v>295</v>
      </c>
      <c r="Y232" s="5"/>
      <c r="Z232" s="5"/>
      <c r="AA232" s="4" t="s">
        <v>403</v>
      </c>
      <c r="AB232" s="4" t="s">
        <v>402</v>
      </c>
      <c r="AC232" s="11">
        <v>171</v>
      </c>
      <c r="AD232" s="3">
        <f t="shared" si="33"/>
        <v>32.557399108822523</v>
      </c>
      <c r="AE232" s="3">
        <v>35</v>
      </c>
      <c r="AF232" s="57">
        <f t="shared" si="41"/>
        <v>3.1567922335525633E-2</v>
      </c>
      <c r="AG232" s="12">
        <f t="shared" si="42"/>
        <v>1031.3443742917273</v>
      </c>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row>
    <row r="233" spans="1:307" x14ac:dyDescent="0.25">
      <c r="A233" s="76">
        <v>19814</v>
      </c>
      <c r="B233" s="3">
        <v>178</v>
      </c>
      <c r="C233" s="8">
        <f t="shared" si="35"/>
        <v>3.9000000000000057</v>
      </c>
      <c r="D233" s="8">
        <f t="shared" si="36"/>
        <v>4.6999999999999886</v>
      </c>
      <c r="E233" s="3">
        <v>174.1</v>
      </c>
      <c r="F233" s="3">
        <v>182.7</v>
      </c>
      <c r="G233" s="4" t="s">
        <v>228</v>
      </c>
      <c r="H233" s="32" t="s">
        <v>57</v>
      </c>
      <c r="I233" s="32" t="s">
        <v>43</v>
      </c>
      <c r="J233" s="11" t="s">
        <v>4</v>
      </c>
      <c r="K233" s="11" t="s">
        <v>27</v>
      </c>
      <c r="L233" s="33">
        <v>-32.479999999999997</v>
      </c>
      <c r="M233" s="33" t="s">
        <v>42</v>
      </c>
      <c r="N233" s="5">
        <f t="shared" si="43"/>
        <v>-28.979999999999997</v>
      </c>
      <c r="O233" s="5">
        <v>2</v>
      </c>
      <c r="P233" s="4" t="s">
        <v>407</v>
      </c>
      <c r="Q233" s="12">
        <f t="shared" si="37"/>
        <v>-9.4378231292517007</v>
      </c>
      <c r="R233" s="12">
        <f t="shared" si="38"/>
        <v>-8.4378231292517007</v>
      </c>
      <c r="S233" s="12">
        <f t="shared" si="39"/>
        <v>21.155256195287684</v>
      </c>
      <c r="T233" s="12">
        <v>21</v>
      </c>
      <c r="W233" s="5"/>
      <c r="X233" s="5">
        <f t="shared" si="40"/>
        <v>294</v>
      </c>
      <c r="Y233" s="5"/>
      <c r="Z233" s="23"/>
      <c r="AA233" s="32"/>
      <c r="AB233" s="4" t="s">
        <v>401</v>
      </c>
      <c r="AC233" s="11">
        <v>170</v>
      </c>
      <c r="AD233" s="3">
        <f t="shared" si="33"/>
        <v>31.806950194715714</v>
      </c>
      <c r="AE233" s="3">
        <v>34</v>
      </c>
      <c r="AF233" s="57">
        <f t="shared" si="41"/>
        <v>3.2591654943586672E-2</v>
      </c>
      <c r="AG233" s="12">
        <f t="shared" si="42"/>
        <v>975.9231389069007</v>
      </c>
    </row>
    <row r="234" spans="1:307" x14ac:dyDescent="0.25">
      <c r="A234" s="76">
        <v>19815</v>
      </c>
      <c r="B234" s="3">
        <v>178</v>
      </c>
      <c r="C234" s="8">
        <f t="shared" si="35"/>
        <v>3.9000000000000057</v>
      </c>
      <c r="D234" s="8">
        <f t="shared" si="36"/>
        <v>4.6999999999999886</v>
      </c>
      <c r="E234" s="3">
        <v>174.1</v>
      </c>
      <c r="F234" s="3">
        <v>182.7</v>
      </c>
      <c r="G234" s="4" t="s">
        <v>228</v>
      </c>
      <c r="H234" s="32" t="s">
        <v>56</v>
      </c>
      <c r="I234" s="32" t="s">
        <v>43</v>
      </c>
      <c r="J234" s="11" t="s">
        <v>4</v>
      </c>
      <c r="K234" s="11" t="s">
        <v>27</v>
      </c>
      <c r="L234" s="33">
        <v>-32.71</v>
      </c>
      <c r="M234" s="33" t="s">
        <v>42</v>
      </c>
      <c r="N234" s="5">
        <f t="shared" si="43"/>
        <v>-29.21</v>
      </c>
      <c r="O234" s="5">
        <v>2</v>
      </c>
      <c r="P234" s="4" t="s">
        <v>407</v>
      </c>
      <c r="Q234" s="12">
        <f t="shared" si="37"/>
        <v>-9.4378231292517007</v>
      </c>
      <c r="R234" s="12">
        <f t="shared" si="38"/>
        <v>-8.4378231292517007</v>
      </c>
      <c r="S234" s="12">
        <f t="shared" si="39"/>
        <v>21.397188754260334</v>
      </c>
      <c r="T234" s="12">
        <v>21</v>
      </c>
      <c r="W234" s="5"/>
      <c r="X234" s="5">
        <f t="shared" si="40"/>
        <v>294</v>
      </c>
      <c r="Y234" s="5"/>
      <c r="Z234" s="23"/>
      <c r="AA234" s="32"/>
      <c r="AB234" s="4" t="s">
        <v>401</v>
      </c>
      <c r="AC234" s="11">
        <v>170</v>
      </c>
      <c r="AD234" s="3">
        <f t="shared" si="33"/>
        <v>33.314969300879568</v>
      </c>
      <c r="AE234" s="3">
        <v>34</v>
      </c>
      <c r="AF234" s="57">
        <f t="shared" si="41"/>
        <v>3.2591654943586672E-2</v>
      </c>
      <c r="AG234" s="12">
        <f t="shared" si="42"/>
        <v>1022.1932380710612</v>
      </c>
    </row>
    <row r="235" spans="1:307" ht="13.2" customHeight="1" x14ac:dyDescent="0.25">
      <c r="A235" s="76">
        <v>19816</v>
      </c>
      <c r="B235" s="3">
        <v>178</v>
      </c>
      <c r="C235" s="8">
        <f t="shared" si="35"/>
        <v>3.9000000000000057</v>
      </c>
      <c r="D235" s="8">
        <f t="shared" si="36"/>
        <v>4.6999999999999886</v>
      </c>
      <c r="E235" s="3">
        <v>174.1</v>
      </c>
      <c r="F235" s="3">
        <v>182.7</v>
      </c>
      <c r="G235" s="4" t="s">
        <v>228</v>
      </c>
      <c r="H235" s="4" t="s">
        <v>53</v>
      </c>
      <c r="I235" s="4" t="s">
        <v>50</v>
      </c>
      <c r="J235" s="11" t="s">
        <v>4</v>
      </c>
      <c r="K235" s="11" t="s">
        <v>0</v>
      </c>
      <c r="L235" s="5">
        <v>-32.4</v>
      </c>
      <c r="M235" s="4" t="s">
        <v>49</v>
      </c>
      <c r="N235" s="5">
        <f t="shared" si="43"/>
        <v>-28.9</v>
      </c>
      <c r="O235" s="5">
        <v>1</v>
      </c>
      <c r="P235" s="4" t="s">
        <v>405</v>
      </c>
      <c r="Q235" s="12">
        <f t="shared" si="37"/>
        <v>-9.4378231292517007</v>
      </c>
      <c r="R235" s="12">
        <f t="shared" si="38"/>
        <v>-9.4378231292517007</v>
      </c>
      <c r="S235" s="12">
        <f t="shared" si="39"/>
        <v>20.041372537069613</v>
      </c>
      <c r="T235" s="12">
        <v>21</v>
      </c>
      <c r="W235" s="5"/>
      <c r="X235" s="5">
        <f t="shared" si="40"/>
        <v>294</v>
      </c>
      <c r="Y235" s="5"/>
      <c r="Z235" s="23"/>
      <c r="AA235" s="4"/>
      <c r="AB235" s="4" t="s">
        <v>401</v>
      </c>
      <c r="AC235" s="11">
        <v>170</v>
      </c>
      <c r="AD235" s="3">
        <f t="shared" si="33"/>
        <v>26.321381899749355</v>
      </c>
      <c r="AE235" s="3">
        <v>34</v>
      </c>
      <c r="AF235" s="57">
        <f t="shared" si="41"/>
        <v>3.2591654943586672E-2</v>
      </c>
      <c r="AG235" s="12">
        <f t="shared" si="42"/>
        <v>807.61108772504451</v>
      </c>
    </row>
    <row r="236" spans="1:307" ht="13.2" customHeight="1" x14ac:dyDescent="0.25">
      <c r="A236" s="76">
        <v>19817</v>
      </c>
      <c r="B236" s="3">
        <v>178</v>
      </c>
      <c r="C236" s="8">
        <f t="shared" si="35"/>
        <v>3.9000000000000057</v>
      </c>
      <c r="D236" s="8">
        <f t="shared" si="36"/>
        <v>4.6999999999999886</v>
      </c>
      <c r="E236" s="3">
        <v>174.1</v>
      </c>
      <c r="F236" s="3">
        <v>182.7</v>
      </c>
      <c r="G236" s="4" t="s">
        <v>228</v>
      </c>
      <c r="H236" s="4" t="s">
        <v>52</v>
      </c>
      <c r="I236" s="4" t="s">
        <v>50</v>
      </c>
      <c r="J236" s="11" t="s">
        <v>4</v>
      </c>
      <c r="K236" s="11" t="s">
        <v>0</v>
      </c>
      <c r="L236" s="5">
        <v>-31.1</v>
      </c>
      <c r="M236" s="4" t="s">
        <v>49</v>
      </c>
      <c r="N236" s="5">
        <f t="shared" si="43"/>
        <v>-27.6</v>
      </c>
      <c r="O236" s="5">
        <v>1</v>
      </c>
      <c r="P236" s="4" t="s">
        <v>405</v>
      </c>
      <c r="Q236" s="12">
        <f t="shared" si="37"/>
        <v>-9.4378231292517007</v>
      </c>
      <c r="R236" s="12">
        <f t="shared" si="38"/>
        <v>-9.4378231292517007</v>
      </c>
      <c r="S236" s="12">
        <f t="shared" si="39"/>
        <v>18.677680862554837</v>
      </c>
      <c r="T236" s="12">
        <v>21</v>
      </c>
      <c r="W236" s="5"/>
      <c r="X236" s="5">
        <f t="shared" si="40"/>
        <v>294</v>
      </c>
      <c r="Y236" s="5"/>
      <c r="Z236" s="23"/>
      <c r="AA236" s="4"/>
      <c r="AB236" s="4" t="s">
        <v>401</v>
      </c>
      <c r="AC236" s="11">
        <v>170</v>
      </c>
      <c r="AD236" s="3">
        <f t="shared" si="33"/>
        <v>21.732685283347244</v>
      </c>
      <c r="AE236" s="3">
        <v>34</v>
      </c>
      <c r="AF236" s="57">
        <f t="shared" si="41"/>
        <v>3.2591654943586672E-2</v>
      </c>
      <c r="AG236" s="12">
        <f t="shared" si="42"/>
        <v>666.81748198932019</v>
      </c>
    </row>
    <row r="237" spans="1:307" ht="13.2" customHeight="1" x14ac:dyDescent="0.25">
      <c r="A237" s="76">
        <v>19818</v>
      </c>
      <c r="B237" s="3">
        <v>178</v>
      </c>
      <c r="C237" s="8">
        <f t="shared" si="35"/>
        <v>3.9000000000000057</v>
      </c>
      <c r="D237" s="8">
        <f t="shared" si="36"/>
        <v>4.6999999999999886</v>
      </c>
      <c r="E237" s="3">
        <v>174.1</v>
      </c>
      <c r="F237" s="3">
        <v>182.7</v>
      </c>
      <c r="G237" s="4" t="s">
        <v>228</v>
      </c>
      <c r="H237" s="4" t="s">
        <v>51</v>
      </c>
      <c r="I237" s="4" t="s">
        <v>50</v>
      </c>
      <c r="J237" s="11" t="s">
        <v>4</v>
      </c>
      <c r="K237" s="11" t="s">
        <v>0</v>
      </c>
      <c r="L237" s="5">
        <v>-31.4</v>
      </c>
      <c r="M237" s="4" t="s">
        <v>49</v>
      </c>
      <c r="N237" s="5">
        <f t="shared" si="43"/>
        <v>-27.9</v>
      </c>
      <c r="O237" s="5">
        <v>1</v>
      </c>
      <c r="P237" s="4" t="s">
        <v>405</v>
      </c>
      <c r="Q237" s="12">
        <f t="shared" si="37"/>
        <v>-9.4378231292517007</v>
      </c>
      <c r="R237" s="12">
        <f t="shared" si="38"/>
        <v>-9.4378231292517007</v>
      </c>
      <c r="S237" s="12">
        <f t="shared" si="39"/>
        <v>18.992055211139114</v>
      </c>
      <c r="T237" s="12">
        <v>21</v>
      </c>
      <c r="W237" s="5"/>
      <c r="X237" s="5">
        <f t="shared" si="40"/>
        <v>294</v>
      </c>
      <c r="Y237" s="5"/>
      <c r="Z237" s="23"/>
      <c r="AA237" s="4"/>
      <c r="AB237" s="4" t="s">
        <v>401</v>
      </c>
      <c r="AC237" s="11">
        <v>170</v>
      </c>
      <c r="AD237" s="3">
        <f t="shared" si="33"/>
        <v>22.642681157194897</v>
      </c>
      <c r="AE237" s="3">
        <v>34</v>
      </c>
      <c r="AF237" s="57">
        <f t="shared" si="41"/>
        <v>3.2591654943586672E-2</v>
      </c>
      <c r="AG237" s="12">
        <f t="shared" si="42"/>
        <v>694.73861319369678</v>
      </c>
    </row>
    <row r="238" spans="1:307" ht="13.2" customHeight="1" x14ac:dyDescent="0.25">
      <c r="A238" s="76">
        <v>19819</v>
      </c>
      <c r="B238" s="3">
        <v>179</v>
      </c>
      <c r="C238" s="8">
        <f t="shared" si="35"/>
        <v>4.9000000000000057</v>
      </c>
      <c r="D238" s="8">
        <f t="shared" si="36"/>
        <v>3.6999999999999886</v>
      </c>
      <c r="E238" s="3">
        <v>174.1</v>
      </c>
      <c r="F238" s="3">
        <v>182.7</v>
      </c>
      <c r="G238" s="4" t="s">
        <v>228</v>
      </c>
      <c r="H238" s="32" t="s">
        <v>55</v>
      </c>
      <c r="I238" s="32" t="s">
        <v>43</v>
      </c>
      <c r="J238" s="11" t="s">
        <v>4</v>
      </c>
      <c r="K238" s="11" t="s">
        <v>27</v>
      </c>
      <c r="L238" s="33">
        <v>-32.43</v>
      </c>
      <c r="M238" s="33" t="s">
        <v>42</v>
      </c>
      <c r="N238" s="5">
        <f t="shared" si="43"/>
        <v>-28.93</v>
      </c>
      <c r="O238" s="5">
        <v>2</v>
      </c>
      <c r="P238" s="4" t="s">
        <v>407</v>
      </c>
      <c r="Q238" s="12">
        <f t="shared" si="37"/>
        <v>-9.4378231292517007</v>
      </c>
      <c r="R238" s="12">
        <f t="shared" si="38"/>
        <v>-8.4378231292517007</v>
      </c>
      <c r="S238" s="12">
        <f t="shared" si="39"/>
        <v>21.102677325783191</v>
      </c>
      <c r="T238" s="12">
        <v>21</v>
      </c>
      <c r="W238" s="5"/>
      <c r="X238" s="5">
        <f t="shared" si="40"/>
        <v>294</v>
      </c>
      <c r="Y238" s="5"/>
      <c r="Z238" s="23"/>
      <c r="AA238" s="32"/>
      <c r="AB238" s="4" t="s">
        <v>401</v>
      </c>
      <c r="AC238" s="11">
        <v>170</v>
      </c>
      <c r="AD238" s="3">
        <f t="shared" si="33"/>
        <v>31.497097776291138</v>
      </c>
      <c r="AE238" s="3">
        <v>34</v>
      </c>
      <c r="AF238" s="57">
        <f t="shared" si="41"/>
        <v>3.2591654943586672E-2</v>
      </c>
      <c r="AG238" s="12">
        <f t="shared" si="42"/>
        <v>966.41602983370694</v>
      </c>
    </row>
    <row r="239" spans="1:307" ht="13.2" customHeight="1" x14ac:dyDescent="0.25">
      <c r="A239" s="76">
        <v>19820</v>
      </c>
      <c r="B239" s="3">
        <v>179</v>
      </c>
      <c r="C239" s="8">
        <f t="shared" si="35"/>
        <v>4.9000000000000057</v>
      </c>
      <c r="D239" s="8">
        <f t="shared" si="36"/>
        <v>3.6999999999999886</v>
      </c>
      <c r="E239" s="3">
        <v>174.1</v>
      </c>
      <c r="F239" s="3">
        <v>182.7</v>
      </c>
      <c r="G239" s="4" t="s">
        <v>228</v>
      </c>
      <c r="H239" s="32" t="s">
        <v>54</v>
      </c>
      <c r="I239" s="32" t="s">
        <v>43</v>
      </c>
      <c r="J239" s="11" t="s">
        <v>4</v>
      </c>
      <c r="K239" s="11" t="s">
        <v>27</v>
      </c>
      <c r="L239" s="33">
        <v>-32.78</v>
      </c>
      <c r="M239" s="33" t="s">
        <v>42</v>
      </c>
      <c r="N239" s="5">
        <f t="shared" si="43"/>
        <v>-29.28</v>
      </c>
      <c r="O239" s="5">
        <v>2</v>
      </c>
      <c r="P239" s="4" t="s">
        <v>407</v>
      </c>
      <c r="Q239" s="12">
        <f t="shared" si="37"/>
        <v>-9.4378231292517007</v>
      </c>
      <c r="R239" s="12">
        <f t="shared" si="38"/>
        <v>-8.4378231292517007</v>
      </c>
      <c r="S239" s="12">
        <f t="shared" si="39"/>
        <v>21.470843158426955</v>
      </c>
      <c r="T239" s="12">
        <v>21</v>
      </c>
      <c r="W239" s="5"/>
      <c r="X239" s="5">
        <f t="shared" si="40"/>
        <v>294</v>
      </c>
      <c r="Y239" s="5"/>
      <c r="Z239" s="23"/>
      <c r="AA239" s="32"/>
      <c r="AB239" s="4" t="s">
        <v>401</v>
      </c>
      <c r="AC239" s="11">
        <v>170</v>
      </c>
      <c r="AD239" s="3">
        <f t="shared" si="33"/>
        <v>33.802882939484256</v>
      </c>
      <c r="AE239" s="3">
        <v>34</v>
      </c>
      <c r="AF239" s="57">
        <f t="shared" si="41"/>
        <v>3.2591654943586672E-2</v>
      </c>
      <c r="AG239" s="12">
        <f t="shared" si="42"/>
        <v>1037.1637463023621</v>
      </c>
    </row>
    <row r="240" spans="1:307" x14ac:dyDescent="0.25">
      <c r="A240" s="76">
        <v>19821</v>
      </c>
      <c r="B240" s="3">
        <v>180</v>
      </c>
      <c r="C240" s="8">
        <f t="shared" si="35"/>
        <v>5.9000000000000057</v>
      </c>
      <c r="D240" s="8">
        <f t="shared" si="36"/>
        <v>2.6999999999999886</v>
      </c>
      <c r="E240" s="3">
        <v>174.1</v>
      </c>
      <c r="F240" s="3">
        <v>182.7</v>
      </c>
      <c r="G240" s="4" t="s">
        <v>228</v>
      </c>
      <c r="H240" s="32" t="s">
        <v>48</v>
      </c>
      <c r="I240" s="32" t="s">
        <v>43</v>
      </c>
      <c r="J240" s="11" t="s">
        <v>4</v>
      </c>
      <c r="K240" s="11" t="s">
        <v>27</v>
      </c>
      <c r="L240" s="33">
        <v>-32.67</v>
      </c>
      <c r="M240" s="33" t="s">
        <v>42</v>
      </c>
      <c r="N240" s="5">
        <f t="shared" si="43"/>
        <v>-29.17</v>
      </c>
      <c r="O240" s="5">
        <v>2</v>
      </c>
      <c r="P240" s="4" t="s">
        <v>407</v>
      </c>
      <c r="Q240" s="12">
        <f t="shared" si="37"/>
        <v>-9.4378231292517007</v>
      </c>
      <c r="R240" s="12">
        <f t="shared" si="38"/>
        <v>-8.4378231292517007</v>
      </c>
      <c r="S240" s="12">
        <f t="shared" si="39"/>
        <v>21.355105292119482</v>
      </c>
      <c r="T240" s="12">
        <v>21</v>
      </c>
      <c r="W240" s="5"/>
      <c r="X240" s="5">
        <f t="shared" si="40"/>
        <v>294</v>
      </c>
      <c r="Y240" s="5"/>
      <c r="Z240" s="23"/>
      <c r="AA240" s="32"/>
      <c r="AB240" s="4" t="s">
        <v>401</v>
      </c>
      <c r="AC240" s="11">
        <v>170</v>
      </c>
      <c r="AD240" s="3">
        <f t="shared" si="33"/>
        <v>33.042464355899895</v>
      </c>
      <c r="AE240" s="3">
        <v>34</v>
      </c>
      <c r="AF240" s="57">
        <f t="shared" si="41"/>
        <v>3.2591654943586672E-2</v>
      </c>
      <c r="AG240" s="12">
        <f t="shared" si="42"/>
        <v>1013.8320503544093</v>
      </c>
    </row>
    <row r="241" spans="1:76" x14ac:dyDescent="0.25">
      <c r="A241" s="76">
        <v>19822</v>
      </c>
      <c r="B241" s="3">
        <v>180</v>
      </c>
      <c r="C241" s="8">
        <f t="shared" si="35"/>
        <v>5.9000000000000057</v>
      </c>
      <c r="D241" s="8">
        <f t="shared" si="36"/>
        <v>2.6999999999999886</v>
      </c>
      <c r="E241" s="3">
        <v>174.1</v>
      </c>
      <c r="F241" s="3">
        <v>182.7</v>
      </c>
      <c r="G241" s="4" t="s">
        <v>228</v>
      </c>
      <c r="H241" s="32" t="s">
        <v>47</v>
      </c>
      <c r="I241" s="32" t="s">
        <v>43</v>
      </c>
      <c r="J241" s="11" t="s">
        <v>4</v>
      </c>
      <c r="K241" s="11" t="s">
        <v>27</v>
      </c>
      <c r="L241" s="33">
        <v>-32.380000000000003</v>
      </c>
      <c r="M241" s="33" t="s">
        <v>42</v>
      </c>
      <c r="N241" s="5">
        <f t="shared" si="43"/>
        <v>-28.880000000000003</v>
      </c>
      <c r="O241" s="5">
        <v>2</v>
      </c>
      <c r="P241" s="4" t="s">
        <v>407</v>
      </c>
      <c r="Q241" s="12">
        <f t="shared" si="37"/>
        <v>-9.4378231292517007</v>
      </c>
      <c r="R241" s="12">
        <f t="shared" si="38"/>
        <v>-8.4378231292517007</v>
      </c>
      <c r="S241" s="12">
        <f t="shared" si="39"/>
        <v>21.050103870529302</v>
      </c>
      <c r="T241" s="12">
        <v>21</v>
      </c>
      <c r="W241" s="5"/>
      <c r="X241" s="5">
        <f t="shared" si="40"/>
        <v>294</v>
      </c>
      <c r="Y241" s="5"/>
      <c r="Z241" s="23"/>
      <c r="AA241" s="32"/>
      <c r="AB241" s="4" t="s">
        <v>401</v>
      </c>
      <c r="AC241" s="11">
        <v>170</v>
      </c>
      <c r="AD241" s="3">
        <f t="shared" si="33"/>
        <v>31.193255056864846</v>
      </c>
      <c r="AE241" s="3">
        <v>34</v>
      </c>
      <c r="AF241" s="57">
        <f t="shared" si="41"/>
        <v>3.2591654943586672E-2</v>
      </c>
      <c r="AG241" s="12">
        <f t="shared" si="42"/>
        <v>957.09331455728977</v>
      </c>
    </row>
    <row r="242" spans="1:76" x14ac:dyDescent="0.25">
      <c r="A242" s="76">
        <v>19823</v>
      </c>
      <c r="B242" s="3">
        <v>181</v>
      </c>
      <c r="C242" s="8">
        <f t="shared" si="35"/>
        <v>6.9000000000000057</v>
      </c>
      <c r="D242" s="8">
        <f t="shared" si="36"/>
        <v>1.6999999999999886</v>
      </c>
      <c r="E242" s="3">
        <v>174.1</v>
      </c>
      <c r="F242" s="3">
        <v>182.7</v>
      </c>
      <c r="G242" s="4" t="s">
        <v>228</v>
      </c>
      <c r="H242" s="32" t="s">
        <v>46</v>
      </c>
      <c r="I242" s="32" t="s">
        <v>43</v>
      </c>
      <c r="J242" s="11" t="s">
        <v>4</v>
      </c>
      <c r="K242" s="11" t="s">
        <v>27</v>
      </c>
      <c r="L242" s="33">
        <v>-32.520000000000003</v>
      </c>
      <c r="M242" s="33" t="s">
        <v>42</v>
      </c>
      <c r="N242" s="5">
        <f t="shared" si="43"/>
        <v>-29.020000000000003</v>
      </c>
      <c r="O242" s="5">
        <v>2</v>
      </c>
      <c r="P242" s="4" t="s">
        <v>407</v>
      </c>
      <c r="Q242" s="12">
        <f t="shared" si="37"/>
        <v>-9.4378231292517007</v>
      </c>
      <c r="R242" s="12">
        <f t="shared" si="38"/>
        <v>-8.4378231292517007</v>
      </c>
      <c r="S242" s="12">
        <f t="shared" si="39"/>
        <v>21.197323189713792</v>
      </c>
      <c r="T242" s="12">
        <v>21</v>
      </c>
      <c r="W242" s="5"/>
      <c r="X242" s="5">
        <f t="shared" si="40"/>
        <v>294</v>
      </c>
      <c r="Y242" s="5"/>
      <c r="Z242" s="23"/>
      <c r="AA242" s="32"/>
      <c r="AB242" s="4" t="s">
        <v>401</v>
      </c>
      <c r="AC242" s="11">
        <v>170</v>
      </c>
      <c r="AD242" s="3">
        <f t="shared" si="33"/>
        <v>32.05927988487467</v>
      </c>
      <c r="AE242" s="3">
        <v>34</v>
      </c>
      <c r="AF242" s="57">
        <f t="shared" si="41"/>
        <v>3.2591654943586672E-2</v>
      </c>
      <c r="AG242" s="12">
        <f t="shared" si="42"/>
        <v>983.66529531459821</v>
      </c>
    </row>
    <row r="243" spans="1:76" x14ac:dyDescent="0.25">
      <c r="A243" s="76">
        <v>19824</v>
      </c>
      <c r="B243" s="3">
        <v>181</v>
      </c>
      <c r="C243" s="8">
        <f t="shared" si="35"/>
        <v>6.9000000000000057</v>
      </c>
      <c r="D243" s="8">
        <f t="shared" si="36"/>
        <v>1.6999999999999886</v>
      </c>
      <c r="E243" s="3">
        <v>174.1</v>
      </c>
      <c r="F243" s="3">
        <v>182.7</v>
      </c>
      <c r="G243" s="4" t="s">
        <v>228</v>
      </c>
      <c r="H243" s="32" t="s">
        <v>45</v>
      </c>
      <c r="I243" s="32" t="s">
        <v>43</v>
      </c>
      <c r="J243" s="11" t="s">
        <v>4</v>
      </c>
      <c r="K243" s="11" t="s">
        <v>27</v>
      </c>
      <c r="L243" s="33">
        <v>-32.58</v>
      </c>
      <c r="M243" s="33" t="s">
        <v>42</v>
      </c>
      <c r="N243" s="5">
        <f t="shared" si="43"/>
        <v>-29.08</v>
      </c>
      <c r="O243" s="5">
        <v>2</v>
      </c>
      <c r="P243" s="4" t="s">
        <v>407</v>
      </c>
      <c r="Q243" s="12">
        <f t="shared" si="37"/>
        <v>-9.4378231292517007</v>
      </c>
      <c r="R243" s="12">
        <f t="shared" si="38"/>
        <v>-8.4378231292517007</v>
      </c>
      <c r="S243" s="12">
        <f t="shared" si="39"/>
        <v>21.260430180394252</v>
      </c>
      <c r="T243" s="12">
        <v>21</v>
      </c>
      <c r="W243" s="5"/>
      <c r="X243" s="5">
        <f t="shared" si="40"/>
        <v>294</v>
      </c>
      <c r="Y243" s="5"/>
      <c r="Z243" s="23"/>
      <c r="AA243" s="32"/>
      <c r="AB243" s="4" t="s">
        <v>401</v>
      </c>
      <c r="AC243" s="11">
        <v>170</v>
      </c>
      <c r="AD243" s="3">
        <f t="shared" si="33"/>
        <v>32.445411713740967</v>
      </c>
      <c r="AE243" s="3">
        <v>34</v>
      </c>
      <c r="AF243" s="57">
        <f t="shared" si="41"/>
        <v>3.2591654943586672E-2</v>
      </c>
      <c r="AG243" s="12">
        <f t="shared" si="42"/>
        <v>995.51286272210359</v>
      </c>
    </row>
    <row r="244" spans="1:76" x14ac:dyDescent="0.25">
      <c r="A244" s="76">
        <v>19825</v>
      </c>
      <c r="B244" s="24">
        <v>182</v>
      </c>
      <c r="C244" s="8">
        <f t="shared" si="35"/>
        <v>8</v>
      </c>
      <c r="D244" s="8">
        <f t="shared" si="36"/>
        <v>9</v>
      </c>
      <c r="E244" s="24">
        <v>174</v>
      </c>
      <c r="F244" s="24">
        <v>191</v>
      </c>
      <c r="G244" s="25" t="s">
        <v>547</v>
      </c>
      <c r="H244" s="26">
        <v>309018</v>
      </c>
      <c r="I244" s="25" t="s">
        <v>212</v>
      </c>
      <c r="J244" s="35" t="s">
        <v>1</v>
      </c>
      <c r="K244" s="35" t="s">
        <v>0</v>
      </c>
      <c r="L244" s="27">
        <f>AVERAGE(-31.242,-30.65)</f>
        <v>-30.945999999999998</v>
      </c>
      <c r="M244" s="25" t="s">
        <v>293</v>
      </c>
      <c r="N244" s="5">
        <f t="shared" si="43"/>
        <v>-27.445999999999998</v>
      </c>
      <c r="O244" s="5">
        <v>2.1</v>
      </c>
      <c r="P244" s="4" t="s">
        <v>402</v>
      </c>
      <c r="Q244" s="12">
        <f t="shared" si="37"/>
        <v>-9.3240677966101693</v>
      </c>
      <c r="R244" s="12">
        <f t="shared" si="38"/>
        <v>-8.2240677966101696</v>
      </c>
      <c r="S244" s="12">
        <f t="shared" si="39"/>
        <v>19.764385528608042</v>
      </c>
      <c r="T244" s="12">
        <v>22</v>
      </c>
      <c r="U244" s="11"/>
      <c r="W244" s="5"/>
      <c r="X244" s="5">
        <f t="shared" si="40"/>
        <v>295</v>
      </c>
      <c r="Y244" s="5"/>
      <c r="Z244" s="5"/>
      <c r="AA244" s="4" t="s">
        <v>403</v>
      </c>
      <c r="AB244" s="4" t="s">
        <v>402</v>
      </c>
      <c r="AC244" s="11">
        <v>170</v>
      </c>
      <c r="AD244" s="3">
        <f t="shared" si="33"/>
        <v>25.238974220100872</v>
      </c>
      <c r="AE244" s="3">
        <v>34</v>
      </c>
      <c r="AF244" s="57">
        <f t="shared" si="41"/>
        <v>3.1713091748844839E-2</v>
      </c>
      <c r="AG244" s="12">
        <f t="shared" si="42"/>
        <v>795.85347338517408</v>
      </c>
    </row>
    <row r="245" spans="1:76" x14ac:dyDescent="0.25">
      <c r="A245" s="76">
        <v>19826</v>
      </c>
      <c r="B245" s="3">
        <v>182</v>
      </c>
      <c r="C245" s="8">
        <f t="shared" si="35"/>
        <v>7.9000000000000057</v>
      </c>
      <c r="D245" s="8">
        <f t="shared" si="36"/>
        <v>0.69999999999998863</v>
      </c>
      <c r="E245" s="3">
        <v>174.1</v>
      </c>
      <c r="F245" s="3">
        <v>182.7</v>
      </c>
      <c r="G245" s="4" t="s">
        <v>228</v>
      </c>
      <c r="H245" s="32" t="s">
        <v>44</v>
      </c>
      <c r="I245" s="32" t="s">
        <v>43</v>
      </c>
      <c r="J245" s="11" t="s">
        <v>4</v>
      </c>
      <c r="K245" s="11" t="s">
        <v>27</v>
      </c>
      <c r="L245" s="33">
        <v>-32.5</v>
      </c>
      <c r="M245" s="33" t="s">
        <v>42</v>
      </c>
      <c r="N245" s="5">
        <f t="shared" si="43"/>
        <v>-29</v>
      </c>
      <c r="O245" s="5">
        <v>2</v>
      </c>
      <c r="P245" s="4" t="s">
        <v>407</v>
      </c>
      <c r="Q245" s="12">
        <f t="shared" si="37"/>
        <v>-9.4378231292517007</v>
      </c>
      <c r="R245" s="12">
        <f t="shared" si="38"/>
        <v>-8.4378231292517007</v>
      </c>
      <c r="S245" s="12">
        <f t="shared" si="39"/>
        <v>21.176289259267065</v>
      </c>
      <c r="T245" s="12">
        <v>21</v>
      </c>
      <c r="W245" s="5"/>
      <c r="X245" s="5">
        <f t="shared" si="40"/>
        <v>294</v>
      </c>
      <c r="Y245" s="5"/>
      <c r="Z245" s="23"/>
      <c r="AA245" s="32"/>
      <c r="AB245" s="4" t="s">
        <v>401</v>
      </c>
      <c r="AC245" s="11">
        <v>170</v>
      </c>
      <c r="AD245" s="3">
        <f t="shared" si="33"/>
        <v>31.932613975303152</v>
      </c>
      <c r="AE245" s="3">
        <v>34</v>
      </c>
      <c r="AF245" s="57">
        <f t="shared" si="41"/>
        <v>3.2591654943586672E-2</v>
      </c>
      <c r="AG245" s="12">
        <f t="shared" si="42"/>
        <v>979.77884309881586</v>
      </c>
    </row>
    <row r="246" spans="1:76" x14ac:dyDescent="0.25">
      <c r="A246" s="76">
        <v>19827</v>
      </c>
      <c r="B246" s="3">
        <v>184</v>
      </c>
      <c r="C246" s="8">
        <f t="shared" si="35"/>
        <v>2</v>
      </c>
      <c r="D246" s="8">
        <f t="shared" si="36"/>
        <v>2</v>
      </c>
      <c r="E246" s="3">
        <v>182</v>
      </c>
      <c r="F246" s="3">
        <v>186</v>
      </c>
      <c r="G246" s="4" t="s">
        <v>319</v>
      </c>
      <c r="H246" s="4" t="s">
        <v>323</v>
      </c>
      <c r="I246" s="4" t="s">
        <v>335</v>
      </c>
      <c r="J246" s="11" t="s">
        <v>1</v>
      </c>
      <c r="K246" s="11" t="s">
        <v>0</v>
      </c>
      <c r="L246" s="5">
        <v>-30.2</v>
      </c>
      <c r="M246" s="4" t="s">
        <v>317</v>
      </c>
      <c r="N246" s="5">
        <f t="shared" si="43"/>
        <v>-26.7</v>
      </c>
      <c r="O246" s="5">
        <v>2</v>
      </c>
      <c r="P246" s="4" t="s">
        <v>339</v>
      </c>
      <c r="Q246" s="12">
        <f t="shared" si="37"/>
        <v>-9.552354948805462</v>
      </c>
      <c r="R246" s="12">
        <f t="shared" si="38"/>
        <v>-8.552354948805462</v>
      </c>
      <c r="S246" s="12">
        <f t="shared" si="39"/>
        <v>18.645479349835181</v>
      </c>
      <c r="T246" s="12">
        <v>20</v>
      </c>
      <c r="W246" s="5"/>
      <c r="X246" s="5">
        <f t="shared" si="40"/>
        <v>293</v>
      </c>
      <c r="Y246" s="5">
        <v>66.45</v>
      </c>
      <c r="Z246" s="1" t="s">
        <v>414</v>
      </c>
      <c r="AA246" s="4"/>
      <c r="AB246" s="4" t="s">
        <v>401</v>
      </c>
      <c r="AC246" s="11">
        <v>170</v>
      </c>
      <c r="AD246" s="3">
        <f t="shared" si="33"/>
        <v>21.643586868211077</v>
      </c>
      <c r="AE246" s="3">
        <v>34</v>
      </c>
      <c r="AF246" s="57">
        <f t="shared" si="41"/>
        <v>3.3510933071403508E-2</v>
      </c>
      <c r="AG246" s="12">
        <f t="shared" si="42"/>
        <v>645.86643475709695</v>
      </c>
    </row>
    <row r="247" spans="1:76" x14ac:dyDescent="0.25">
      <c r="A247" s="76">
        <v>19828</v>
      </c>
      <c r="B247" s="24">
        <v>200</v>
      </c>
      <c r="C247" s="8">
        <f t="shared" si="35"/>
        <v>1</v>
      </c>
      <c r="D247" s="8">
        <f t="shared" si="36"/>
        <v>1</v>
      </c>
      <c r="E247" s="24">
        <v>199</v>
      </c>
      <c r="F247" s="24">
        <v>201</v>
      </c>
      <c r="G247" s="25" t="s">
        <v>546</v>
      </c>
      <c r="H247" s="26">
        <v>317350</v>
      </c>
      <c r="I247" s="25" t="s">
        <v>212</v>
      </c>
      <c r="J247" s="35" t="s">
        <v>1</v>
      </c>
      <c r="K247" s="35" t="s">
        <v>0</v>
      </c>
      <c r="L247" s="27">
        <v>-31.49625</v>
      </c>
      <c r="M247" s="25" t="s">
        <v>293</v>
      </c>
      <c r="N247" s="5">
        <f t="shared" si="43"/>
        <v>-27.99625</v>
      </c>
      <c r="O247" s="5">
        <v>2.1</v>
      </c>
      <c r="P247" s="4" t="s">
        <v>402</v>
      </c>
      <c r="Q247" s="12">
        <f t="shared" si="37"/>
        <v>-9.3240677966101693</v>
      </c>
      <c r="R247" s="12">
        <f t="shared" si="38"/>
        <v>-8.2240677966101696</v>
      </c>
      <c r="S247" s="12">
        <f t="shared" si="39"/>
        <v>20.341672759379705</v>
      </c>
      <c r="T247" s="12">
        <v>22</v>
      </c>
      <c r="U247" s="11"/>
      <c r="W247" s="5"/>
      <c r="X247" s="5">
        <f t="shared" si="40"/>
        <v>295</v>
      </c>
      <c r="Y247" s="5"/>
      <c r="Z247" s="5"/>
      <c r="AA247" s="4" t="s">
        <v>403</v>
      </c>
      <c r="AB247" s="4" t="s">
        <v>402</v>
      </c>
      <c r="AC247" s="11">
        <v>170</v>
      </c>
      <c r="AD247" s="3">
        <f t="shared" si="33"/>
        <v>27.60489875865655</v>
      </c>
      <c r="AE247" s="3">
        <v>34</v>
      </c>
      <c r="AF247" s="57">
        <f t="shared" si="41"/>
        <v>3.1713091748844839E-2</v>
      </c>
      <c r="AG247" s="12">
        <f t="shared" si="42"/>
        <v>870.45750623359095</v>
      </c>
    </row>
    <row r="248" spans="1:76" s="41" customFormat="1" x14ac:dyDescent="0.25">
      <c r="A248" s="76">
        <v>19829</v>
      </c>
      <c r="B248" s="24">
        <v>205</v>
      </c>
      <c r="C248" s="8">
        <f t="shared" si="35"/>
        <v>3.6999999999999886</v>
      </c>
      <c r="D248" s="8">
        <f t="shared" si="36"/>
        <v>4</v>
      </c>
      <c r="E248" s="24">
        <v>201.3</v>
      </c>
      <c r="F248" s="24">
        <v>209</v>
      </c>
      <c r="G248" s="25" t="s">
        <v>550</v>
      </c>
      <c r="H248" s="26" t="s">
        <v>406</v>
      </c>
      <c r="I248" s="25" t="s">
        <v>212</v>
      </c>
      <c r="J248" s="35" t="s">
        <v>1</v>
      </c>
      <c r="K248" s="35" t="s">
        <v>0</v>
      </c>
      <c r="L248" s="27">
        <f>AVERAGE(-30.632,-30.722)</f>
        <v>-30.677</v>
      </c>
      <c r="M248" s="25" t="s">
        <v>293</v>
      </c>
      <c r="N248" s="5">
        <f t="shared" si="43"/>
        <v>-27.177</v>
      </c>
      <c r="O248" s="5">
        <v>4</v>
      </c>
      <c r="P248" s="4" t="s">
        <v>536</v>
      </c>
      <c r="Q248" s="12">
        <f t="shared" si="37"/>
        <v>-8.9873825503355711</v>
      </c>
      <c r="R248" s="12">
        <f t="shared" si="38"/>
        <v>-5.9873825503355711</v>
      </c>
      <c r="S248" s="12">
        <f t="shared" si="39"/>
        <v>21.781575322195714</v>
      </c>
      <c r="T248" s="12">
        <v>25</v>
      </c>
      <c r="U248" s="12"/>
      <c r="V248" s="12"/>
      <c r="W248" s="5"/>
      <c r="X248" s="5">
        <f t="shared" si="40"/>
        <v>298</v>
      </c>
      <c r="Y248" s="5"/>
      <c r="Z248" s="5"/>
      <c r="AA248" s="4" t="s">
        <v>259</v>
      </c>
      <c r="AB248" s="5"/>
      <c r="AC248" s="11">
        <v>170</v>
      </c>
      <c r="AD248" s="3">
        <f t="shared" si="33"/>
        <v>36.028973992037805</v>
      </c>
      <c r="AE248" s="3">
        <v>34</v>
      </c>
      <c r="AF248" s="57">
        <f t="shared" si="41"/>
        <v>2.9301183151799796E-2</v>
      </c>
      <c r="AG248" s="12">
        <f t="shared" si="42"/>
        <v>1229.6081631032964</v>
      </c>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row>
    <row r="249" spans="1:76" s="41" customFormat="1" x14ac:dyDescent="0.25">
      <c r="A249" s="76">
        <v>19830</v>
      </c>
      <c r="B249" s="3">
        <v>226</v>
      </c>
      <c r="C249" s="8">
        <f t="shared" si="35"/>
        <v>6</v>
      </c>
      <c r="D249" s="8">
        <f t="shared" si="36"/>
        <v>6</v>
      </c>
      <c r="E249" s="3">
        <v>220</v>
      </c>
      <c r="F249" s="3">
        <v>232</v>
      </c>
      <c r="G249" s="4" t="s">
        <v>316</v>
      </c>
      <c r="H249" s="4" t="s">
        <v>320</v>
      </c>
      <c r="I249" s="4" t="s">
        <v>333</v>
      </c>
      <c r="J249" s="11" t="s">
        <v>1</v>
      </c>
      <c r="K249" s="11" t="s">
        <v>0</v>
      </c>
      <c r="L249" s="5">
        <v>-30.3</v>
      </c>
      <c r="M249" s="4" t="s">
        <v>317</v>
      </c>
      <c r="N249" s="5">
        <f t="shared" si="43"/>
        <v>-26.8</v>
      </c>
      <c r="O249" s="5">
        <v>3.02</v>
      </c>
      <c r="P249" s="4" t="s">
        <v>2</v>
      </c>
      <c r="Q249" s="12">
        <f t="shared" si="37"/>
        <v>-8.7578992268728335</v>
      </c>
      <c r="R249" s="12">
        <f t="shared" si="38"/>
        <v>-6.7378992268728339</v>
      </c>
      <c r="S249" s="12">
        <f t="shared" si="39"/>
        <v>20.614571283525507</v>
      </c>
      <c r="T249" s="12">
        <f>U249+V249</f>
        <v>27.08</v>
      </c>
      <c r="U249" s="12">
        <v>19.079999999999998</v>
      </c>
      <c r="V249" s="12">
        <v>8</v>
      </c>
      <c r="W249" s="5" t="s">
        <v>176</v>
      </c>
      <c r="X249" s="5">
        <f t="shared" si="40"/>
        <v>300.08</v>
      </c>
      <c r="Y249" s="5">
        <v>43.56</v>
      </c>
      <c r="Z249" s="1" t="s">
        <v>414</v>
      </c>
      <c r="AA249" s="4" t="s">
        <v>259</v>
      </c>
      <c r="AB249" s="5"/>
      <c r="AC249" s="11">
        <v>170</v>
      </c>
      <c r="AD249" s="3">
        <f t="shared" ref="AD249:AD308" si="45">AC249/($AL$8-S249)</f>
        <v>28.884896613246877</v>
      </c>
      <c r="AE249" s="3">
        <v>34</v>
      </c>
      <c r="AF249" s="57">
        <f t="shared" si="41"/>
        <v>2.7806279035083901E-2</v>
      </c>
      <c r="AG249" s="12">
        <f t="shared" si="42"/>
        <v>1038.7904320747864</v>
      </c>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row>
    <row r="250" spans="1:76" s="41" customFormat="1" x14ac:dyDescent="0.25">
      <c r="A250" s="76">
        <v>19831</v>
      </c>
      <c r="B250" s="3">
        <v>226</v>
      </c>
      <c r="C250" s="8">
        <f t="shared" si="35"/>
        <v>6</v>
      </c>
      <c r="D250" s="8">
        <f t="shared" si="36"/>
        <v>6</v>
      </c>
      <c r="E250" s="3">
        <v>220</v>
      </c>
      <c r="F250" s="3">
        <v>232</v>
      </c>
      <c r="G250" s="4" t="s">
        <v>316</v>
      </c>
      <c r="H250" s="4" t="s">
        <v>321</v>
      </c>
      <c r="I250" s="4" t="s">
        <v>334</v>
      </c>
      <c r="J250" s="11" t="s">
        <v>1</v>
      </c>
      <c r="K250" s="11" t="s">
        <v>0</v>
      </c>
      <c r="L250" s="5">
        <v>-30.2</v>
      </c>
      <c r="M250" s="4" t="s">
        <v>317</v>
      </c>
      <c r="N250" s="5">
        <f t="shared" si="43"/>
        <v>-26.7</v>
      </c>
      <c r="O250" s="5">
        <v>3.02</v>
      </c>
      <c r="P250" s="4" t="s">
        <v>2</v>
      </c>
      <c r="Q250" s="12">
        <f t="shared" si="37"/>
        <v>-8.7578992268728335</v>
      </c>
      <c r="R250" s="12">
        <f t="shared" si="38"/>
        <v>-6.7378992268728339</v>
      </c>
      <c r="S250" s="12">
        <f t="shared" si="39"/>
        <v>20.509710030953698</v>
      </c>
      <c r="T250" s="12">
        <f>U250+V250</f>
        <v>27.08</v>
      </c>
      <c r="U250" s="12">
        <v>19.079999999999998</v>
      </c>
      <c r="V250" s="12">
        <v>8</v>
      </c>
      <c r="W250" s="5" t="s">
        <v>176</v>
      </c>
      <c r="X250" s="5">
        <f t="shared" si="40"/>
        <v>300.08</v>
      </c>
      <c r="Y250" s="5">
        <v>43.15</v>
      </c>
      <c r="Z250" s="1" t="s">
        <v>414</v>
      </c>
      <c r="AA250" s="4" t="s">
        <v>259</v>
      </c>
      <c r="AB250" s="5"/>
      <c r="AC250" s="11">
        <v>170</v>
      </c>
      <c r="AD250" s="3">
        <f t="shared" si="45"/>
        <v>28.379260583117524</v>
      </c>
      <c r="AE250" s="3">
        <v>34</v>
      </c>
      <c r="AF250" s="57">
        <f t="shared" si="41"/>
        <v>2.7806279035083901E-2</v>
      </c>
      <c r="AG250" s="12">
        <f t="shared" si="42"/>
        <v>1020.6061928426553</v>
      </c>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row>
    <row r="251" spans="1:76" x14ac:dyDescent="0.25">
      <c r="A251" s="76">
        <v>19832</v>
      </c>
      <c r="B251" s="3">
        <v>226</v>
      </c>
      <c r="C251" s="8">
        <f t="shared" si="35"/>
        <v>6</v>
      </c>
      <c r="D251" s="8">
        <f t="shared" si="36"/>
        <v>6</v>
      </c>
      <c r="E251" s="3">
        <v>220</v>
      </c>
      <c r="F251" s="3">
        <v>232</v>
      </c>
      <c r="G251" s="4" t="s">
        <v>329</v>
      </c>
      <c r="H251" s="4" t="s">
        <v>330</v>
      </c>
      <c r="I251" s="4" t="s">
        <v>331</v>
      </c>
      <c r="J251" s="11" t="s">
        <v>1</v>
      </c>
      <c r="K251" s="11" t="s">
        <v>0</v>
      </c>
      <c r="L251" s="5">
        <v>-32.799999999999997</v>
      </c>
      <c r="M251" s="4" t="s">
        <v>317</v>
      </c>
      <c r="N251" s="5">
        <f t="shared" si="43"/>
        <v>-29.299999999999997</v>
      </c>
      <c r="O251" s="5">
        <v>2.4500000000000002</v>
      </c>
      <c r="P251" s="4" t="s">
        <v>2</v>
      </c>
      <c r="Q251" s="12">
        <f t="shared" si="37"/>
        <v>-8.7578992268728335</v>
      </c>
      <c r="R251" s="12">
        <f t="shared" si="38"/>
        <v>-7.3078992268728333</v>
      </c>
      <c r="S251" s="12">
        <f t="shared" si="39"/>
        <v>22.655919205858854</v>
      </c>
      <c r="T251" s="12">
        <f>U251+V251</f>
        <v>27.08</v>
      </c>
      <c r="U251" s="12">
        <v>19.079999999999998</v>
      </c>
      <c r="V251" s="12">
        <v>8</v>
      </c>
      <c r="W251" s="5" t="s">
        <v>176</v>
      </c>
      <c r="X251" s="5">
        <f t="shared" si="40"/>
        <v>300.08</v>
      </c>
      <c r="Y251" s="5">
        <v>42.73</v>
      </c>
      <c r="Z251" s="1" t="s">
        <v>414</v>
      </c>
      <c r="AA251" s="4" t="s">
        <v>259</v>
      </c>
      <c r="AC251" s="11">
        <v>170</v>
      </c>
      <c r="AD251" s="3">
        <f t="shared" si="45"/>
        <v>44.223836361374353</v>
      </c>
      <c r="AE251" s="3">
        <v>34</v>
      </c>
      <c r="AF251" s="57">
        <f t="shared" si="41"/>
        <v>2.7806279035083901E-2</v>
      </c>
      <c r="AG251" s="12">
        <f t="shared" si="42"/>
        <v>1590.4262596795493</v>
      </c>
    </row>
    <row r="252" spans="1:76" ht="13.2" customHeight="1" x14ac:dyDescent="0.25">
      <c r="A252" s="76">
        <v>19833</v>
      </c>
      <c r="B252" s="3">
        <v>237</v>
      </c>
      <c r="C252" s="8">
        <f t="shared" si="35"/>
        <v>5</v>
      </c>
      <c r="D252" s="8">
        <f t="shared" si="36"/>
        <v>5</v>
      </c>
      <c r="E252" s="3">
        <v>232</v>
      </c>
      <c r="F252" s="3">
        <v>242</v>
      </c>
      <c r="G252" s="4" t="s">
        <v>318</v>
      </c>
      <c r="H252" s="4" t="s">
        <v>322</v>
      </c>
      <c r="I252" s="4" t="s">
        <v>333</v>
      </c>
      <c r="J252" s="11" t="s">
        <v>1</v>
      </c>
      <c r="K252" s="11" t="s">
        <v>0</v>
      </c>
      <c r="L252" s="5">
        <v>-31.5</v>
      </c>
      <c r="M252" s="4" t="s">
        <v>317</v>
      </c>
      <c r="N252" s="5">
        <f t="shared" si="43"/>
        <v>-28</v>
      </c>
      <c r="O252" s="5">
        <v>1.69</v>
      </c>
      <c r="P252" s="4" t="s">
        <v>2</v>
      </c>
      <c r="Q252" s="12">
        <f t="shared" si="37"/>
        <v>-9.563851143735068</v>
      </c>
      <c r="R252" s="12">
        <f t="shared" si="38"/>
        <v>-8.8738511437350684</v>
      </c>
      <c r="S252" s="12">
        <f t="shared" si="39"/>
        <v>19.677107876815647</v>
      </c>
      <c r="T252" s="12">
        <f>U252+V252</f>
        <v>19.899999999999999</v>
      </c>
      <c r="U252" s="12">
        <v>9.4</v>
      </c>
      <c r="V252" s="12">
        <v>10.5</v>
      </c>
      <c r="W252" s="5" t="s">
        <v>176</v>
      </c>
      <c r="X252" s="5">
        <f t="shared" si="40"/>
        <v>292.89999999999998</v>
      </c>
      <c r="Y252" s="5">
        <v>46.28</v>
      </c>
      <c r="Z252" s="1" t="s">
        <v>413</v>
      </c>
      <c r="AA252" s="4"/>
      <c r="AC252" s="11">
        <v>170</v>
      </c>
      <c r="AD252" s="3">
        <f t="shared" si="45"/>
        <v>24.916120162934408</v>
      </c>
      <c r="AE252" s="3">
        <v>34</v>
      </c>
      <c r="AF252" s="57">
        <f t="shared" si="41"/>
        <v>3.3605185642748704E-2</v>
      </c>
      <c r="AG252" s="12">
        <f t="shared" si="42"/>
        <v>741.43676597456283</v>
      </c>
    </row>
    <row r="253" spans="1:76" s="14" customFormat="1" ht="13.8" x14ac:dyDescent="0.25">
      <c r="A253" s="76">
        <v>19834</v>
      </c>
      <c r="B253" s="49">
        <v>242</v>
      </c>
      <c r="C253" s="8">
        <f t="shared" si="35"/>
        <v>5</v>
      </c>
      <c r="D253" s="8">
        <f t="shared" si="36"/>
        <v>5.1999999999999886</v>
      </c>
      <c r="E253" s="49">
        <v>237</v>
      </c>
      <c r="F253" s="49">
        <v>247.2</v>
      </c>
      <c r="G253" s="42" t="s">
        <v>220</v>
      </c>
      <c r="H253" s="50">
        <v>272030</v>
      </c>
      <c r="I253" s="42" t="s">
        <v>213</v>
      </c>
      <c r="J253" s="51" t="s">
        <v>1</v>
      </c>
      <c r="K253" s="51" t="s">
        <v>0</v>
      </c>
      <c r="L253" s="52">
        <v>-33.192999999999998</v>
      </c>
      <c r="M253" s="47" t="s">
        <v>293</v>
      </c>
      <c r="N253" s="5">
        <f t="shared" si="43"/>
        <v>-29.692999999999998</v>
      </c>
      <c r="O253" s="5">
        <v>0</v>
      </c>
      <c r="P253" s="4" t="s">
        <v>404</v>
      </c>
      <c r="Q253" s="12">
        <f t="shared" si="37"/>
        <v>-9.7837800687285217</v>
      </c>
      <c r="R253" s="12">
        <f t="shared" si="38"/>
        <v>-10.783780068728522</v>
      </c>
      <c r="S253" s="12">
        <f t="shared" si="39"/>
        <v>19.487873354795404</v>
      </c>
      <c r="T253" s="12">
        <v>18</v>
      </c>
      <c r="U253" s="48"/>
      <c r="V253" s="48"/>
      <c r="W253" s="47"/>
      <c r="X253" s="5">
        <f t="shared" si="40"/>
        <v>291</v>
      </c>
      <c r="Y253" s="5"/>
      <c r="Z253" s="47"/>
      <c r="AA253" s="47"/>
      <c r="AB253" s="4" t="s">
        <v>404</v>
      </c>
      <c r="AC253" s="11">
        <v>170</v>
      </c>
      <c r="AD253" s="3">
        <f t="shared" si="45"/>
        <v>24.243715009947575</v>
      </c>
      <c r="AE253" s="3">
        <v>34</v>
      </c>
      <c r="AF253" s="57">
        <f t="shared" si="41"/>
        <v>3.5480787486361354E-2</v>
      </c>
      <c r="AG253" s="12">
        <f t="shared" si="42"/>
        <v>683.29134518975218</v>
      </c>
    </row>
    <row r="254" spans="1:76" x14ac:dyDescent="0.25">
      <c r="A254" s="76">
        <v>19835</v>
      </c>
      <c r="B254" s="3">
        <v>246</v>
      </c>
      <c r="C254" s="8">
        <f t="shared" si="35"/>
        <v>5.1999999999999886</v>
      </c>
      <c r="D254" s="8">
        <f t="shared" si="36"/>
        <v>6.1699999999999875</v>
      </c>
      <c r="E254" s="3">
        <v>251.2</v>
      </c>
      <c r="F254" s="3">
        <v>252.17</v>
      </c>
      <c r="G254" s="4" t="s">
        <v>229</v>
      </c>
      <c r="H254" s="4" t="s">
        <v>336</v>
      </c>
      <c r="I254" s="4" t="s">
        <v>35</v>
      </c>
      <c r="J254" s="11" t="s">
        <v>4</v>
      </c>
      <c r="K254" s="11" t="s">
        <v>0</v>
      </c>
      <c r="L254" s="5">
        <v>-31</v>
      </c>
      <c r="M254" s="4" t="s">
        <v>34</v>
      </c>
      <c r="N254" s="5">
        <f t="shared" si="43"/>
        <v>-27.5</v>
      </c>
      <c r="O254" s="5">
        <v>2.6</v>
      </c>
      <c r="P254" s="4" t="s">
        <v>2</v>
      </c>
      <c r="Q254" s="12">
        <f t="shared" si="37"/>
        <v>-8.5640257072815196</v>
      </c>
      <c r="R254" s="12">
        <f t="shared" si="38"/>
        <v>-6.9640257072815199</v>
      </c>
      <c r="S254" s="12">
        <f t="shared" si="39"/>
        <v>21.116683077345488</v>
      </c>
      <c r="T254" s="12">
        <f t="shared" ref="T254:T260" si="46">U254+V254</f>
        <v>28.86</v>
      </c>
      <c r="U254" s="12">
        <v>18.36</v>
      </c>
      <c r="V254" s="12">
        <v>10.5</v>
      </c>
      <c r="W254" s="5"/>
      <c r="X254" s="5">
        <f t="shared" si="40"/>
        <v>301.86</v>
      </c>
      <c r="Y254" s="5">
        <v>45</v>
      </c>
      <c r="Z254" s="1" t="s">
        <v>264</v>
      </c>
      <c r="AA254" s="4" t="s">
        <v>184</v>
      </c>
      <c r="AB254" s="5" t="s">
        <v>185</v>
      </c>
      <c r="AC254" s="11">
        <v>170</v>
      </c>
      <c r="AD254" s="3">
        <f t="shared" si="45"/>
        <v>31.579043634713791</v>
      </c>
      <c r="AE254" s="3">
        <v>34</v>
      </c>
      <c r="AF254" s="57">
        <f t="shared" si="41"/>
        <v>2.6629493389043982E-2</v>
      </c>
      <c r="AG254" s="12">
        <f t="shared" si="42"/>
        <v>1185.8672327467625</v>
      </c>
    </row>
    <row r="255" spans="1:76" x14ac:dyDescent="0.25">
      <c r="A255" s="76">
        <v>19836</v>
      </c>
      <c r="B255" s="3">
        <v>247</v>
      </c>
      <c r="C255" s="8">
        <f t="shared" si="35"/>
        <v>4.1999999999999886</v>
      </c>
      <c r="D255" s="8">
        <f t="shared" si="36"/>
        <v>5.1699999999999875</v>
      </c>
      <c r="E255" s="3">
        <v>251.2</v>
      </c>
      <c r="F255" s="3">
        <v>252.17</v>
      </c>
      <c r="G255" s="4" t="s">
        <v>229</v>
      </c>
      <c r="H255" s="4" t="s">
        <v>337</v>
      </c>
      <c r="I255" s="4" t="s">
        <v>35</v>
      </c>
      <c r="J255" s="11" t="s">
        <v>4</v>
      </c>
      <c r="K255" s="11" t="s">
        <v>0</v>
      </c>
      <c r="L255" s="5">
        <v>-30</v>
      </c>
      <c r="M255" s="4" t="s">
        <v>34</v>
      </c>
      <c r="N255" s="5">
        <f t="shared" si="43"/>
        <v>-26.5</v>
      </c>
      <c r="O255" s="5">
        <v>3</v>
      </c>
      <c r="P255" s="4" t="s">
        <v>2</v>
      </c>
      <c r="Q255" s="12">
        <f t="shared" si="37"/>
        <v>-8.5748568398727478</v>
      </c>
      <c r="R255" s="12">
        <f t="shared" si="38"/>
        <v>-6.5748568398727478</v>
      </c>
      <c r="S255" s="12">
        <f t="shared" si="39"/>
        <v>20.467532778764451</v>
      </c>
      <c r="T255" s="12">
        <f t="shared" si="46"/>
        <v>28.759999999999998</v>
      </c>
      <c r="U255" s="12">
        <v>18.36</v>
      </c>
      <c r="V255" s="12">
        <v>10.4</v>
      </c>
      <c r="W255" s="5"/>
      <c r="X255" s="5">
        <f t="shared" si="40"/>
        <v>301.76</v>
      </c>
      <c r="Y255" s="5">
        <v>46</v>
      </c>
      <c r="Z255" s="1" t="s">
        <v>264</v>
      </c>
      <c r="AA255" s="4" t="s">
        <v>184</v>
      </c>
      <c r="AB255" s="5" t="s">
        <v>185</v>
      </c>
      <c r="AC255" s="11">
        <v>170</v>
      </c>
      <c r="AD255" s="3">
        <f t="shared" si="45"/>
        <v>28.180841066415471</v>
      </c>
      <c r="AE255" s="3">
        <v>34</v>
      </c>
      <c r="AF255" s="57">
        <f t="shared" si="41"/>
        <v>2.6693253358707102E-2</v>
      </c>
      <c r="AG255" s="12">
        <f t="shared" si="42"/>
        <v>1055.7289771957726</v>
      </c>
    </row>
    <row r="256" spans="1:76" x14ac:dyDescent="0.25">
      <c r="A256" s="76">
        <v>19837</v>
      </c>
      <c r="B256" s="3">
        <v>247</v>
      </c>
      <c r="C256" s="8">
        <f t="shared" si="35"/>
        <v>4.1999999999999886</v>
      </c>
      <c r="D256" s="8">
        <f t="shared" si="36"/>
        <v>5.1699999999999875</v>
      </c>
      <c r="E256" s="3">
        <v>251.2</v>
      </c>
      <c r="F256" s="3">
        <v>252.17</v>
      </c>
      <c r="G256" s="4" t="s">
        <v>229</v>
      </c>
      <c r="H256" s="4" t="s">
        <v>338</v>
      </c>
      <c r="I256" s="4" t="s">
        <v>35</v>
      </c>
      <c r="J256" s="11" t="s">
        <v>4</v>
      </c>
      <c r="K256" s="11" t="s">
        <v>0</v>
      </c>
      <c r="L256" s="5">
        <v>-32</v>
      </c>
      <c r="M256" s="4" t="s">
        <v>34</v>
      </c>
      <c r="N256" s="5">
        <f t="shared" si="43"/>
        <v>-28.5</v>
      </c>
      <c r="O256" s="5">
        <v>3</v>
      </c>
      <c r="P256" s="4" t="s">
        <v>2</v>
      </c>
      <c r="Q256" s="12">
        <f t="shared" si="37"/>
        <v>-8.5748568398727478</v>
      </c>
      <c r="R256" s="12">
        <f t="shared" si="38"/>
        <v>-6.5748568398727478</v>
      </c>
      <c r="S256" s="12">
        <f t="shared" si="39"/>
        <v>22.56834087506676</v>
      </c>
      <c r="T256" s="12">
        <f t="shared" si="46"/>
        <v>28.759999999999998</v>
      </c>
      <c r="U256" s="12">
        <v>18.36</v>
      </c>
      <c r="V256" s="12">
        <v>10.4</v>
      </c>
      <c r="W256" s="5"/>
      <c r="X256" s="5">
        <f t="shared" si="40"/>
        <v>301.76</v>
      </c>
      <c r="Y256" s="5">
        <v>47</v>
      </c>
      <c r="Z256" s="1" t="s">
        <v>264</v>
      </c>
      <c r="AA256" s="4" t="s">
        <v>184</v>
      </c>
      <c r="AB256" s="5" t="s">
        <v>185</v>
      </c>
      <c r="AC256" s="11">
        <v>170</v>
      </c>
      <c r="AD256" s="3">
        <f t="shared" si="45"/>
        <v>43.238743390015173</v>
      </c>
      <c r="AE256" s="3">
        <v>34</v>
      </c>
      <c r="AF256" s="57">
        <f t="shared" si="41"/>
        <v>2.6693253358707102E-2</v>
      </c>
      <c r="AG256" s="12">
        <f t="shared" si="42"/>
        <v>1619.8378972007577</v>
      </c>
    </row>
    <row r="257" spans="1:307" x14ac:dyDescent="0.25">
      <c r="A257" s="76">
        <v>19838</v>
      </c>
      <c r="B257" s="3">
        <v>248</v>
      </c>
      <c r="C257" s="8">
        <f t="shared" si="35"/>
        <v>3.1999999999999886</v>
      </c>
      <c r="D257" s="8">
        <f t="shared" si="36"/>
        <v>4.1699999999999875</v>
      </c>
      <c r="E257" s="3">
        <v>251.2</v>
      </c>
      <c r="F257" s="3">
        <v>252.17</v>
      </c>
      <c r="G257" s="4" t="s">
        <v>39</v>
      </c>
      <c r="H257" s="4" t="s">
        <v>38</v>
      </c>
      <c r="I257" s="4" t="s">
        <v>37</v>
      </c>
      <c r="J257" s="11" t="s">
        <v>1</v>
      </c>
      <c r="K257" s="11" t="s">
        <v>0</v>
      </c>
      <c r="L257" s="5">
        <v>-30</v>
      </c>
      <c r="M257" s="4" t="s">
        <v>36</v>
      </c>
      <c r="N257" s="5">
        <f t="shared" si="43"/>
        <v>-26.5</v>
      </c>
      <c r="O257" s="5">
        <v>3.2</v>
      </c>
      <c r="P257" s="4" t="s">
        <v>2</v>
      </c>
      <c r="Q257" s="12">
        <f t="shared" si="37"/>
        <v>-10.971588120220527</v>
      </c>
      <c r="R257" s="12">
        <f t="shared" si="38"/>
        <v>-8.7715881202205281</v>
      </c>
      <c r="S257" s="12">
        <f t="shared" si="39"/>
        <v>18.21100347178173</v>
      </c>
      <c r="T257" s="12">
        <f t="shared" si="46"/>
        <v>8.15</v>
      </c>
      <c r="U257" s="12">
        <v>2.75</v>
      </c>
      <c r="V257" s="12">
        <v>5.4</v>
      </c>
      <c r="W257" s="5" t="s">
        <v>176</v>
      </c>
      <c r="X257" s="5">
        <f t="shared" si="40"/>
        <v>281.14999999999998</v>
      </c>
      <c r="Y257" s="5">
        <v>45</v>
      </c>
      <c r="Z257" s="1" t="s">
        <v>264</v>
      </c>
      <c r="AA257" s="4" t="s">
        <v>192</v>
      </c>
      <c r="AB257" s="5" t="s">
        <v>193</v>
      </c>
      <c r="AC257" s="11">
        <v>170</v>
      </c>
      <c r="AD257" s="3">
        <f t="shared" si="45"/>
        <v>20.509117047071765</v>
      </c>
      <c r="AE257" s="3">
        <v>34</v>
      </c>
      <c r="AF257" s="57">
        <f t="shared" si="41"/>
        <v>4.8459741894596203E-2</v>
      </c>
      <c r="AG257" s="12">
        <f t="shared" si="42"/>
        <v>423.21969216593698</v>
      </c>
    </row>
    <row r="258" spans="1:307" s="9" customFormat="1" ht="13.2" customHeight="1" x14ac:dyDescent="0.25">
      <c r="A258" s="76">
        <v>19839</v>
      </c>
      <c r="B258" s="3">
        <v>253</v>
      </c>
      <c r="C258" s="8">
        <f t="shared" si="35"/>
        <v>0.83000000000001251</v>
      </c>
      <c r="D258" s="8">
        <f t="shared" si="36"/>
        <v>1.1399999999999864</v>
      </c>
      <c r="E258" s="3">
        <v>252.17</v>
      </c>
      <c r="F258" s="3">
        <v>254.14</v>
      </c>
      <c r="G258" s="4" t="s">
        <v>230</v>
      </c>
      <c r="H258" s="4">
        <v>16.39</v>
      </c>
      <c r="I258" s="4" t="s">
        <v>35</v>
      </c>
      <c r="J258" s="11" t="s">
        <v>4</v>
      </c>
      <c r="K258" s="11" t="s">
        <v>0</v>
      </c>
      <c r="L258" s="5">
        <v>-28.3</v>
      </c>
      <c r="M258" s="4" t="s">
        <v>34</v>
      </c>
      <c r="N258" s="5">
        <f t="shared" si="43"/>
        <v>-24.8</v>
      </c>
      <c r="O258" s="5">
        <v>3.89</v>
      </c>
      <c r="P258" s="4" t="s">
        <v>2</v>
      </c>
      <c r="Q258" s="12">
        <f t="shared" si="37"/>
        <v>-8.7272499667066192</v>
      </c>
      <c r="R258" s="12">
        <f t="shared" si="38"/>
        <v>-5.8372499667066187</v>
      </c>
      <c r="S258" s="12">
        <f t="shared" si="39"/>
        <v>19.444985678110484</v>
      </c>
      <c r="T258" s="12">
        <f t="shared" si="46"/>
        <v>27.36</v>
      </c>
      <c r="U258" s="12">
        <v>18.36</v>
      </c>
      <c r="V258" s="12">
        <v>9</v>
      </c>
      <c r="W258" s="5" t="s">
        <v>176</v>
      </c>
      <c r="X258" s="5">
        <f t="shared" si="40"/>
        <v>300.36</v>
      </c>
      <c r="Y258" s="5">
        <v>45</v>
      </c>
      <c r="Z258" s="1" t="s">
        <v>264</v>
      </c>
      <c r="AA258" s="4" t="s">
        <v>184</v>
      </c>
      <c r="AB258" s="5" t="s">
        <v>185</v>
      </c>
      <c r="AC258" s="11">
        <v>170</v>
      </c>
      <c r="AD258" s="3">
        <f t="shared" si="45"/>
        <v>24.096336625787259</v>
      </c>
      <c r="AE258" s="3">
        <v>34</v>
      </c>
      <c r="AF258" s="57">
        <f t="shared" si="41"/>
        <v>2.7615148680769558E-2</v>
      </c>
      <c r="AG258" s="12">
        <f t="shared" si="42"/>
        <v>872.57674779666479</v>
      </c>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c r="JL258" s="1"/>
      <c r="JM258" s="1"/>
      <c r="JN258" s="1"/>
      <c r="JO258" s="1"/>
      <c r="JP258" s="1"/>
      <c r="JQ258" s="1"/>
      <c r="JR258" s="1"/>
      <c r="JS258" s="1"/>
      <c r="JT258" s="1"/>
      <c r="JU258" s="1"/>
      <c r="JV258" s="1"/>
      <c r="JW258" s="1"/>
      <c r="JX258" s="1"/>
      <c r="JY258" s="1"/>
      <c r="JZ258" s="1"/>
      <c r="KA258" s="1"/>
      <c r="KB258" s="1"/>
      <c r="KC258" s="1"/>
      <c r="KD258" s="1"/>
      <c r="KE258" s="1"/>
      <c r="KF258" s="1"/>
      <c r="KG258" s="1"/>
      <c r="KH258" s="1"/>
      <c r="KI258" s="1"/>
      <c r="KJ258" s="1"/>
      <c r="KK258" s="1"/>
      <c r="KL258" s="1"/>
      <c r="KM258" s="1"/>
      <c r="KN258" s="1"/>
      <c r="KO258" s="1"/>
      <c r="KP258" s="1"/>
      <c r="KQ258" s="1"/>
      <c r="KR258" s="1"/>
      <c r="KS258" s="1"/>
      <c r="KT258" s="1"/>
      <c r="KU258" s="1"/>
    </row>
    <row r="259" spans="1:307" ht="13.2" customHeight="1" x14ac:dyDescent="0.25">
      <c r="A259" s="76">
        <v>19840</v>
      </c>
      <c r="B259" s="3">
        <v>253</v>
      </c>
      <c r="C259" s="8">
        <f t="shared" ref="C259:C308" si="47">ABS(B259-E259)</f>
        <v>0.83000000000001251</v>
      </c>
      <c r="D259" s="8">
        <f t="shared" ref="D259:D308" si="48">ABS(F259-B259)</f>
        <v>1.1399999999999864</v>
      </c>
      <c r="E259" s="3">
        <v>252.17</v>
      </c>
      <c r="F259" s="3">
        <v>254.14</v>
      </c>
      <c r="G259" s="4" t="s">
        <v>230</v>
      </c>
      <c r="H259" s="4">
        <v>15.37</v>
      </c>
      <c r="I259" s="4" t="s">
        <v>35</v>
      </c>
      <c r="J259" s="11" t="s">
        <v>4</v>
      </c>
      <c r="K259" s="11" t="s">
        <v>0</v>
      </c>
      <c r="L259" s="5">
        <v>-30.6</v>
      </c>
      <c r="M259" s="4" t="s">
        <v>34</v>
      </c>
      <c r="N259" s="5">
        <f t="shared" si="43"/>
        <v>-27.1</v>
      </c>
      <c r="O259" s="5">
        <v>2.89</v>
      </c>
      <c r="P259" s="4" t="s">
        <v>2</v>
      </c>
      <c r="Q259" s="12">
        <f t="shared" ref="Q259:Q308" si="49">24.12-9866/X259</f>
        <v>-8.7272499667066192</v>
      </c>
      <c r="R259" s="12">
        <f t="shared" ref="R259:R308" si="50">O259-1+Q259</f>
        <v>-6.8372499667066187</v>
      </c>
      <c r="S259" s="12">
        <f t="shared" ref="S259:S308" si="51">1000*((R259+1000)/(N259+1000)-1)</f>
        <v>20.827166238352788</v>
      </c>
      <c r="T259" s="12">
        <f t="shared" si="46"/>
        <v>27.36</v>
      </c>
      <c r="U259" s="12">
        <v>18.36</v>
      </c>
      <c r="V259" s="12">
        <v>9</v>
      </c>
      <c r="W259" s="5" t="s">
        <v>176</v>
      </c>
      <c r="X259" s="5">
        <f t="shared" ref="X259:X308" si="52">T259+273</f>
        <v>300.36</v>
      </c>
      <c r="Y259" s="5">
        <v>45</v>
      </c>
      <c r="Z259" s="1" t="s">
        <v>264</v>
      </c>
      <c r="AA259" s="4" t="s">
        <v>184</v>
      </c>
      <c r="AB259" s="5" t="s">
        <v>185</v>
      </c>
      <c r="AC259" s="11">
        <v>170</v>
      </c>
      <c r="AD259" s="3">
        <f t="shared" si="45"/>
        <v>29.96738616762099</v>
      </c>
      <c r="AE259" s="3">
        <v>34</v>
      </c>
      <c r="AF259" s="57">
        <f t="shared" ref="AF259:AF308" si="53">EXP($AJ$4+$AJ$5*(100/X259)+$AJ$6*LN(X259/100)+AE259*($AM$4+$AM$5*(X259/100)+$AM$6*(X259/100)^2))</f>
        <v>2.7615148680769558E-2</v>
      </c>
      <c r="AG259" s="12">
        <f t="shared" ref="AG259:AG308" si="54">AD259/AF259</f>
        <v>1085.1792439737783</v>
      </c>
    </row>
    <row r="260" spans="1:307" x14ac:dyDescent="0.25">
      <c r="A260" s="76">
        <v>19841</v>
      </c>
      <c r="B260" s="3">
        <v>256</v>
      </c>
      <c r="C260" s="8">
        <f t="shared" si="47"/>
        <v>3.8300000000000125</v>
      </c>
      <c r="D260" s="8">
        <f t="shared" si="48"/>
        <v>3.8000000000000114</v>
      </c>
      <c r="E260" s="3">
        <v>252.17</v>
      </c>
      <c r="F260" s="3">
        <v>259.8</v>
      </c>
      <c r="G260" s="4" t="s">
        <v>30</v>
      </c>
      <c r="H260" s="4" t="s">
        <v>33</v>
      </c>
      <c r="I260" s="4" t="s">
        <v>32</v>
      </c>
      <c r="J260" s="11" t="s">
        <v>4</v>
      </c>
      <c r="K260" s="11" t="s">
        <v>0</v>
      </c>
      <c r="L260" s="5">
        <v>-31.3</v>
      </c>
      <c r="M260" s="4" t="s">
        <v>31</v>
      </c>
      <c r="N260" s="5">
        <f t="shared" ref="N260:N308" si="55">L260+3.5</f>
        <v>-27.8</v>
      </c>
      <c r="O260" s="5">
        <v>3.2</v>
      </c>
      <c r="P260" s="4" t="s">
        <v>412</v>
      </c>
      <c r="Q260" s="12">
        <f t="shared" si="49"/>
        <v>-10.226388163620538</v>
      </c>
      <c r="R260" s="12">
        <f t="shared" si="50"/>
        <v>-8.0263881636205383</v>
      </c>
      <c r="S260" s="12">
        <f t="shared" si="51"/>
        <v>20.339037066837484</v>
      </c>
      <c r="T260" s="12">
        <f t="shared" si="46"/>
        <v>14.25</v>
      </c>
      <c r="U260" s="12">
        <v>9.6999999999999993</v>
      </c>
      <c r="V260" s="12">
        <f>9.1/2</f>
        <v>4.55</v>
      </c>
      <c r="W260" s="5" t="s">
        <v>176</v>
      </c>
      <c r="X260" s="5">
        <f t="shared" si="52"/>
        <v>287.25</v>
      </c>
      <c r="Y260" s="5">
        <v>19.2</v>
      </c>
      <c r="Z260" s="23" t="s">
        <v>263</v>
      </c>
      <c r="AA260" s="4" t="s">
        <v>187</v>
      </c>
      <c r="AB260" s="5" t="s">
        <v>183</v>
      </c>
      <c r="AC260" s="11">
        <v>170</v>
      </c>
      <c r="AD260" s="3">
        <f t="shared" si="45"/>
        <v>27.593089236902195</v>
      </c>
      <c r="AE260" s="3">
        <v>34</v>
      </c>
      <c r="AF260" s="57">
        <f t="shared" si="53"/>
        <v>3.9709071835406527E-2</v>
      </c>
      <c r="AG260" s="12">
        <f t="shared" si="54"/>
        <v>694.88124404607368</v>
      </c>
    </row>
    <row r="261" spans="1:307" x14ac:dyDescent="0.25">
      <c r="A261" s="76">
        <v>19842</v>
      </c>
      <c r="B261" s="3">
        <v>262</v>
      </c>
      <c r="C261" s="8">
        <f t="shared" si="47"/>
        <v>9.8300000000000125</v>
      </c>
      <c r="D261" s="8">
        <f t="shared" si="48"/>
        <v>6.8000000000000114</v>
      </c>
      <c r="E261" s="24">
        <v>252.17</v>
      </c>
      <c r="F261" s="24">
        <v>268.8</v>
      </c>
      <c r="G261" s="25" t="s">
        <v>221</v>
      </c>
      <c r="H261" s="26">
        <v>283111</v>
      </c>
      <c r="I261" s="25" t="s">
        <v>212</v>
      </c>
      <c r="J261" s="35" t="s">
        <v>1</v>
      </c>
      <c r="K261" s="35" t="s">
        <v>0</v>
      </c>
      <c r="L261" s="27">
        <v>-28.359000000000002</v>
      </c>
      <c r="M261" s="25" t="s">
        <v>293</v>
      </c>
      <c r="N261" s="5">
        <f t="shared" si="55"/>
        <v>-24.859000000000002</v>
      </c>
      <c r="O261" s="5">
        <v>3.2</v>
      </c>
      <c r="P261" s="4" t="s">
        <v>412</v>
      </c>
      <c r="Q261" s="12">
        <f t="shared" si="49"/>
        <v>-9.6445448323066394</v>
      </c>
      <c r="R261" s="12">
        <f t="shared" si="50"/>
        <v>-7.4445448323066392</v>
      </c>
      <c r="S261" s="12">
        <f t="shared" si="51"/>
        <v>17.858397060213306</v>
      </c>
      <c r="T261" s="12">
        <v>19.2</v>
      </c>
      <c r="U261" s="11"/>
      <c r="W261" s="5"/>
      <c r="X261" s="5">
        <f t="shared" si="52"/>
        <v>292.2</v>
      </c>
      <c r="Y261" s="5"/>
      <c r="Z261" s="5"/>
      <c r="AA261" s="4" t="s">
        <v>259</v>
      </c>
      <c r="AC261" s="11">
        <v>170</v>
      </c>
      <c r="AD261" s="3">
        <f t="shared" si="45"/>
        <v>19.672276218258673</v>
      </c>
      <c r="AE261" s="3">
        <v>34</v>
      </c>
      <c r="AF261" s="57">
        <f t="shared" si="53"/>
        <v>3.4277178426861649E-2</v>
      </c>
      <c r="AG261" s="12">
        <f t="shared" si="54"/>
        <v>573.91760702340366</v>
      </c>
    </row>
    <row r="262" spans="1:307" x14ac:dyDescent="0.25">
      <c r="A262" s="76">
        <v>19843</v>
      </c>
      <c r="B262" s="3">
        <v>262</v>
      </c>
      <c r="C262" s="8">
        <f t="shared" si="47"/>
        <v>9.8300000000000125</v>
      </c>
      <c r="D262" s="8">
        <f t="shared" si="48"/>
        <v>6.8000000000000114</v>
      </c>
      <c r="E262" s="24">
        <v>252.17</v>
      </c>
      <c r="F262" s="24">
        <v>268.8</v>
      </c>
      <c r="G262" s="25" t="s">
        <v>221</v>
      </c>
      <c r="H262" s="26">
        <v>26489</v>
      </c>
      <c r="I262" s="25" t="s">
        <v>212</v>
      </c>
      <c r="J262" s="35" t="s">
        <v>1</v>
      </c>
      <c r="K262" s="35" t="s">
        <v>0</v>
      </c>
      <c r="L262" s="27">
        <f>AVERAGE(-26.176,-26.328,-26.578)</f>
        <v>-26.360666666666663</v>
      </c>
      <c r="M262" s="25" t="s">
        <v>293</v>
      </c>
      <c r="N262" s="5">
        <f t="shared" si="55"/>
        <v>-22.860666666666663</v>
      </c>
      <c r="O262" s="5">
        <v>3.2</v>
      </c>
      <c r="P262" s="4" t="s">
        <v>412</v>
      </c>
      <c r="Q262" s="12">
        <f t="shared" si="49"/>
        <v>-9.6445448323066394</v>
      </c>
      <c r="R262" s="12">
        <f t="shared" si="50"/>
        <v>-7.4445448323066392</v>
      </c>
      <c r="S262" s="12">
        <f t="shared" si="51"/>
        <v>15.776789766277055</v>
      </c>
      <c r="T262" s="12">
        <v>19.2</v>
      </c>
      <c r="U262" s="11"/>
      <c r="W262" s="5"/>
      <c r="X262" s="5">
        <f t="shared" si="52"/>
        <v>292.2</v>
      </c>
      <c r="Y262" s="5"/>
      <c r="Z262" s="5"/>
      <c r="AA262" s="4" t="s">
        <v>259</v>
      </c>
      <c r="AC262" s="11">
        <v>170</v>
      </c>
      <c r="AD262" s="3">
        <f t="shared" si="45"/>
        <v>15.8534614443513</v>
      </c>
      <c r="AE262" s="3">
        <v>34</v>
      </c>
      <c r="AF262" s="57">
        <f t="shared" si="53"/>
        <v>3.4277178426861649E-2</v>
      </c>
      <c r="AG262" s="12">
        <f t="shared" si="54"/>
        <v>462.50777257464046</v>
      </c>
    </row>
    <row r="263" spans="1:307" ht="13.2" customHeight="1" x14ac:dyDescent="0.25">
      <c r="A263" s="76">
        <v>19844</v>
      </c>
      <c r="B263" s="3">
        <v>343</v>
      </c>
      <c r="C263" s="8">
        <f t="shared" si="47"/>
        <v>19.800000000000011</v>
      </c>
      <c r="D263" s="8">
        <f t="shared" si="48"/>
        <v>15.899999999999977</v>
      </c>
      <c r="E263" s="3">
        <v>323.2</v>
      </c>
      <c r="F263" s="3">
        <v>358.9</v>
      </c>
      <c r="G263" s="4" t="s">
        <v>231</v>
      </c>
      <c r="H263" s="4" t="s">
        <v>29</v>
      </c>
      <c r="I263" s="4" t="s">
        <v>188</v>
      </c>
      <c r="J263" s="11" t="s">
        <v>1</v>
      </c>
      <c r="K263" s="11" t="s">
        <v>0</v>
      </c>
      <c r="L263" s="5">
        <v>-30.5</v>
      </c>
      <c r="M263" s="4" t="s">
        <v>28</v>
      </c>
      <c r="N263" s="5">
        <f t="shared" si="55"/>
        <v>-27</v>
      </c>
      <c r="O263" s="5">
        <v>3.8</v>
      </c>
      <c r="P263" s="4" t="s">
        <v>2</v>
      </c>
      <c r="Q263" s="12">
        <f t="shared" si="49"/>
        <v>-10.934183691597088</v>
      </c>
      <c r="R263" s="12">
        <f t="shared" si="50"/>
        <v>-8.1341836915970873</v>
      </c>
      <c r="S263" s="12">
        <f t="shared" si="51"/>
        <v>19.389328168964994</v>
      </c>
      <c r="T263" s="12">
        <f>U263+V263</f>
        <v>8.4499999999999993</v>
      </c>
      <c r="U263" s="12">
        <v>5.95</v>
      </c>
      <c r="V263" s="12">
        <v>2.5</v>
      </c>
      <c r="W263" s="5" t="s">
        <v>176</v>
      </c>
      <c r="X263" s="5">
        <f t="shared" si="52"/>
        <v>281.45</v>
      </c>
      <c r="Y263" s="5">
        <v>46.8</v>
      </c>
      <c r="Z263" s="23" t="s">
        <v>262</v>
      </c>
      <c r="AA263" s="4" t="s">
        <v>189</v>
      </c>
      <c r="AB263" s="4" t="s">
        <v>177</v>
      </c>
      <c r="AC263" s="11">
        <v>170</v>
      </c>
      <c r="AD263" s="3">
        <f t="shared" si="45"/>
        <v>23.907726870198616</v>
      </c>
      <c r="AE263" s="3">
        <v>34</v>
      </c>
      <c r="AF263" s="57">
        <f t="shared" si="53"/>
        <v>4.7964343721128941E-2</v>
      </c>
      <c r="AG263" s="12">
        <f t="shared" si="54"/>
        <v>498.44790974731796</v>
      </c>
    </row>
    <row r="264" spans="1:307" ht="13.2" customHeight="1" x14ac:dyDescent="0.25">
      <c r="A264" s="76">
        <v>19845</v>
      </c>
      <c r="B264" s="24">
        <v>355</v>
      </c>
      <c r="C264" s="8">
        <f t="shared" si="47"/>
        <v>8</v>
      </c>
      <c r="D264" s="8">
        <f t="shared" si="48"/>
        <v>8</v>
      </c>
      <c r="E264" s="24">
        <v>347</v>
      </c>
      <c r="F264" s="24">
        <v>363</v>
      </c>
      <c r="G264" s="25" t="s">
        <v>551</v>
      </c>
      <c r="H264" s="29">
        <v>272129</v>
      </c>
      <c r="I264" s="29" t="s">
        <v>213</v>
      </c>
      <c r="J264" s="34" t="s">
        <v>1</v>
      </c>
      <c r="K264" s="34" t="s">
        <v>0</v>
      </c>
      <c r="L264" s="30">
        <f>AVERAGE(-28.84,-28.8,-28.5)</f>
        <v>-28.713333333333335</v>
      </c>
      <c r="M264" s="25" t="s">
        <v>293</v>
      </c>
      <c r="N264" s="5">
        <f t="shared" si="55"/>
        <v>-25.213333333333335</v>
      </c>
      <c r="O264" s="5">
        <v>4</v>
      </c>
      <c r="P264" s="4" t="s">
        <v>2</v>
      </c>
      <c r="Q264" s="12">
        <f t="shared" si="49"/>
        <v>-11.93994152046783</v>
      </c>
      <c r="R264" s="12">
        <f t="shared" si="50"/>
        <v>-8.9399415204678299</v>
      </c>
      <c r="S264" s="12">
        <f t="shared" si="51"/>
        <v>16.694311041936196</v>
      </c>
      <c r="T264" s="12">
        <f>U264+V264</f>
        <v>0.59999999999999964</v>
      </c>
      <c r="U264" s="11">
        <v>2.8</v>
      </c>
      <c r="V264" s="12">
        <v>-2.2000000000000002</v>
      </c>
      <c r="W264" s="5"/>
      <c r="X264" s="5">
        <f t="shared" si="52"/>
        <v>273.60000000000002</v>
      </c>
      <c r="Y264" s="5"/>
      <c r="Z264" s="5"/>
      <c r="AA264" s="4" t="s">
        <v>259</v>
      </c>
      <c r="AC264" s="11">
        <v>170</v>
      </c>
      <c r="AD264" s="3">
        <f t="shared" si="45"/>
        <v>17.336874617076123</v>
      </c>
      <c r="AE264" s="3">
        <v>34</v>
      </c>
      <c r="AF264" s="57">
        <f t="shared" si="53"/>
        <v>6.3855620125150711E-2</v>
      </c>
      <c r="AG264" s="12">
        <f t="shared" si="54"/>
        <v>271.50115499775211</v>
      </c>
    </row>
    <row r="265" spans="1:307" x14ac:dyDescent="0.25">
      <c r="A265" s="76">
        <v>19846</v>
      </c>
      <c r="B265" s="24">
        <v>355</v>
      </c>
      <c r="C265" s="8">
        <f t="shared" si="47"/>
        <v>8</v>
      </c>
      <c r="D265" s="8">
        <f t="shared" si="48"/>
        <v>8</v>
      </c>
      <c r="E265" s="24">
        <v>347</v>
      </c>
      <c r="F265" s="24">
        <v>363</v>
      </c>
      <c r="G265" s="25" t="s">
        <v>551</v>
      </c>
      <c r="H265" s="26">
        <v>272494</v>
      </c>
      <c r="I265" s="29" t="s">
        <v>213</v>
      </c>
      <c r="J265" s="35" t="s">
        <v>1</v>
      </c>
      <c r="K265" s="35" t="s">
        <v>0</v>
      </c>
      <c r="L265" s="27">
        <v>-33.008499999999998</v>
      </c>
      <c r="M265" s="25" t="s">
        <v>293</v>
      </c>
      <c r="N265" s="5">
        <f t="shared" si="55"/>
        <v>-29.508499999999998</v>
      </c>
      <c r="O265" s="5">
        <v>4</v>
      </c>
      <c r="P265" s="4" t="s">
        <v>2</v>
      </c>
      <c r="Q265" s="12">
        <f t="shared" si="49"/>
        <v>-11.93994152046783</v>
      </c>
      <c r="R265" s="12">
        <f t="shared" si="50"/>
        <v>-8.9399415204678299</v>
      </c>
      <c r="S265" s="12">
        <f t="shared" si="51"/>
        <v>21.19396046181987</v>
      </c>
      <c r="T265" s="12">
        <f>U265+V265</f>
        <v>0.59999999999999964</v>
      </c>
      <c r="U265" s="11">
        <v>2.8</v>
      </c>
      <c r="V265" s="12">
        <v>-2.2000000000000002</v>
      </c>
      <c r="W265" s="5"/>
      <c r="X265" s="5">
        <f t="shared" si="52"/>
        <v>273.60000000000002</v>
      </c>
      <c r="Y265" s="5"/>
      <c r="Z265" s="5"/>
      <c r="AA265" s="4" t="s">
        <v>259</v>
      </c>
      <c r="AC265" s="11">
        <v>170</v>
      </c>
      <c r="AD265" s="3">
        <f t="shared" si="45"/>
        <v>32.038962163162985</v>
      </c>
      <c r="AE265" s="3">
        <v>34</v>
      </c>
      <c r="AF265" s="57">
        <f t="shared" si="53"/>
        <v>6.3855620125150711E-2</v>
      </c>
      <c r="AG265" s="12">
        <f t="shared" si="54"/>
        <v>501.74067843002359</v>
      </c>
    </row>
    <row r="266" spans="1:307" ht="14.4" customHeight="1" x14ac:dyDescent="0.25">
      <c r="A266" s="76">
        <v>19847</v>
      </c>
      <c r="B266" s="24">
        <v>372</v>
      </c>
      <c r="C266" s="8">
        <f t="shared" si="47"/>
        <v>13.100000000000023</v>
      </c>
      <c r="D266" s="8">
        <f t="shared" si="48"/>
        <v>10.699999999999989</v>
      </c>
      <c r="E266" s="24">
        <v>358.9</v>
      </c>
      <c r="F266" s="24">
        <v>382.7</v>
      </c>
      <c r="G266" s="25" t="s">
        <v>222</v>
      </c>
      <c r="H266" s="26">
        <v>271871</v>
      </c>
      <c r="I266" s="25" t="s">
        <v>213</v>
      </c>
      <c r="J266" s="35" t="s">
        <v>1</v>
      </c>
      <c r="K266" s="35" t="s">
        <v>0</v>
      </c>
      <c r="L266" s="27">
        <f>AVERAGE(-29.86,-29.984,-30.02,-29.851)</f>
        <v>-29.928750000000001</v>
      </c>
      <c r="M266" s="25" t="s">
        <v>293</v>
      </c>
      <c r="N266" s="5">
        <f t="shared" si="55"/>
        <v>-26.428750000000001</v>
      </c>
      <c r="O266" s="5">
        <v>2</v>
      </c>
      <c r="P266" s="4" t="s">
        <v>409</v>
      </c>
      <c r="Q266" s="12">
        <f t="shared" si="49"/>
        <v>-8.44105610561056</v>
      </c>
      <c r="R266" s="12">
        <f t="shared" si="50"/>
        <v>-7.44105610561056</v>
      </c>
      <c r="S266" s="12">
        <f t="shared" si="51"/>
        <v>19.503137437952844</v>
      </c>
      <c r="T266" s="12">
        <v>30</v>
      </c>
      <c r="W266" s="5"/>
      <c r="X266" s="5">
        <f t="shared" si="52"/>
        <v>303</v>
      </c>
      <c r="Y266" s="5"/>
      <c r="Z266" s="5"/>
      <c r="AA266" s="4"/>
      <c r="AB266" s="4" t="s">
        <v>408</v>
      </c>
      <c r="AC266" s="11">
        <v>170</v>
      </c>
      <c r="AD266" s="3">
        <f t="shared" si="45"/>
        <v>24.296604155428927</v>
      </c>
      <c r="AE266" s="3">
        <v>34</v>
      </c>
      <c r="AF266" s="57">
        <f t="shared" si="53"/>
        <v>2.5921477953569454E-2</v>
      </c>
      <c r="AG266" s="12">
        <f t="shared" si="54"/>
        <v>937.31554192044905</v>
      </c>
    </row>
    <row r="267" spans="1:307" ht="14.4" customHeight="1" x14ac:dyDescent="0.25">
      <c r="A267" s="76">
        <v>19848</v>
      </c>
      <c r="B267" s="3">
        <v>372</v>
      </c>
      <c r="C267" s="8">
        <f t="shared" si="47"/>
        <v>13.100000000000023</v>
      </c>
      <c r="D267" s="8">
        <f t="shared" si="48"/>
        <v>10.699999999999989</v>
      </c>
      <c r="E267" s="3">
        <v>358.9</v>
      </c>
      <c r="F267" s="3">
        <v>382.7</v>
      </c>
      <c r="G267" s="4" t="s">
        <v>222</v>
      </c>
      <c r="H267" s="4" t="s">
        <v>26</v>
      </c>
      <c r="I267" s="4" t="s">
        <v>186</v>
      </c>
      <c r="J267" s="11" t="s">
        <v>1</v>
      </c>
      <c r="K267" s="11" t="s">
        <v>0</v>
      </c>
      <c r="L267" s="5">
        <v>-31</v>
      </c>
      <c r="M267" s="4" t="s">
        <v>25</v>
      </c>
      <c r="N267" s="5">
        <f t="shared" si="55"/>
        <v>-27.5</v>
      </c>
      <c r="O267" s="5">
        <v>2</v>
      </c>
      <c r="P267" s="4" t="s">
        <v>409</v>
      </c>
      <c r="Q267" s="12">
        <f t="shared" si="49"/>
        <v>-8.44105610561056</v>
      </c>
      <c r="R267" s="12">
        <f t="shared" si="50"/>
        <v>-7.44105610561056</v>
      </c>
      <c r="S267" s="12">
        <f t="shared" si="51"/>
        <v>20.626163387547081</v>
      </c>
      <c r="T267" s="12">
        <v>30</v>
      </c>
      <c r="W267" s="5"/>
      <c r="X267" s="5">
        <f t="shared" si="52"/>
        <v>303</v>
      </c>
      <c r="Y267" s="5"/>
      <c r="Z267" s="23"/>
      <c r="AA267" s="4"/>
      <c r="AB267" s="4" t="s">
        <v>408</v>
      </c>
      <c r="AC267" s="11">
        <v>170</v>
      </c>
      <c r="AD267" s="3">
        <f t="shared" si="45"/>
        <v>28.941901386836133</v>
      </c>
      <c r="AE267" s="3">
        <v>34</v>
      </c>
      <c r="AF267" s="57">
        <f t="shared" si="53"/>
        <v>2.5921477953569454E-2</v>
      </c>
      <c r="AG267" s="12">
        <f t="shared" si="54"/>
        <v>1116.5220377741139</v>
      </c>
    </row>
    <row r="268" spans="1:307" ht="14.4" customHeight="1" x14ac:dyDescent="0.25">
      <c r="A268" s="76">
        <v>19849</v>
      </c>
      <c r="B268" s="3">
        <v>377</v>
      </c>
      <c r="C268" s="8">
        <f t="shared" si="47"/>
        <v>0</v>
      </c>
      <c r="D268" s="8">
        <f t="shared" si="48"/>
        <v>2</v>
      </c>
      <c r="E268" s="3">
        <v>377</v>
      </c>
      <c r="F268" s="3">
        <v>379</v>
      </c>
      <c r="G268" s="4" t="s">
        <v>446</v>
      </c>
      <c r="H268" s="4" t="s">
        <v>24</v>
      </c>
      <c r="I268" s="4" t="s">
        <v>23</v>
      </c>
      <c r="J268" s="11" t="s">
        <v>4</v>
      </c>
      <c r="K268" s="11" t="s">
        <v>0</v>
      </c>
      <c r="L268" s="5">
        <v>-31.1</v>
      </c>
      <c r="M268" s="4" t="s">
        <v>22</v>
      </c>
      <c r="N268" s="5">
        <f t="shared" si="55"/>
        <v>-27.6</v>
      </c>
      <c r="O268" s="5">
        <v>0.89</v>
      </c>
      <c r="P268" s="4" t="s">
        <v>2</v>
      </c>
      <c r="Q268" s="12">
        <f t="shared" si="49"/>
        <v>-8.44105610561056</v>
      </c>
      <c r="R268" s="12">
        <f t="shared" si="50"/>
        <v>-8.5510561056105594</v>
      </c>
      <c r="S268" s="12">
        <f t="shared" si="51"/>
        <v>19.58961733277409</v>
      </c>
      <c r="T268" s="12">
        <v>30</v>
      </c>
      <c r="W268" s="5"/>
      <c r="X268" s="5">
        <f t="shared" si="52"/>
        <v>303</v>
      </c>
      <c r="Y268" s="5">
        <v>-25.9</v>
      </c>
      <c r="Z268" s="23"/>
      <c r="AA268" s="4"/>
      <c r="AB268" s="4" t="s">
        <v>408</v>
      </c>
      <c r="AC268" s="11">
        <v>170</v>
      </c>
      <c r="AD268" s="3">
        <f t="shared" si="45"/>
        <v>24.600663694973704</v>
      </c>
      <c r="AE268" s="3">
        <v>34</v>
      </c>
      <c r="AF268" s="57">
        <f t="shared" si="53"/>
        <v>2.5921477953569454E-2</v>
      </c>
      <c r="AG268" s="12">
        <f t="shared" si="54"/>
        <v>949.04556518877541</v>
      </c>
    </row>
    <row r="269" spans="1:307" ht="14.4" customHeight="1" x14ac:dyDescent="0.25">
      <c r="A269" s="76">
        <v>19850</v>
      </c>
      <c r="B269" s="3">
        <v>377</v>
      </c>
      <c r="C269" s="8">
        <f t="shared" si="47"/>
        <v>0</v>
      </c>
      <c r="D269" s="8">
        <f t="shared" si="48"/>
        <v>2</v>
      </c>
      <c r="E269" s="3">
        <v>377</v>
      </c>
      <c r="F269" s="3">
        <v>379</v>
      </c>
      <c r="G269" s="4" t="s">
        <v>446</v>
      </c>
      <c r="H269" s="4" t="s">
        <v>24</v>
      </c>
      <c r="I269" s="4" t="s">
        <v>23</v>
      </c>
      <c r="J269" s="11" t="s">
        <v>4</v>
      </c>
      <c r="K269" s="11" t="s">
        <v>0</v>
      </c>
      <c r="L269" s="5">
        <v>-32.299999999999997</v>
      </c>
      <c r="M269" s="4" t="s">
        <v>22</v>
      </c>
      <c r="N269" s="5">
        <f t="shared" si="55"/>
        <v>-28.799999999999997</v>
      </c>
      <c r="O269" s="5">
        <v>0.89</v>
      </c>
      <c r="P269" s="4" t="s">
        <v>2</v>
      </c>
      <c r="Q269" s="12">
        <f t="shared" si="49"/>
        <v>-8.44105610561056</v>
      </c>
      <c r="R269" s="12">
        <f t="shared" si="50"/>
        <v>-8.5510561056105594</v>
      </c>
      <c r="S269" s="12">
        <f t="shared" si="51"/>
        <v>20.849406810532713</v>
      </c>
      <c r="T269" s="12">
        <v>30</v>
      </c>
      <c r="W269" s="5"/>
      <c r="X269" s="5">
        <f t="shared" si="52"/>
        <v>303</v>
      </c>
      <c r="Y269" s="5">
        <v>-25.9</v>
      </c>
      <c r="Z269" s="23"/>
      <c r="AA269" s="4"/>
      <c r="AB269" s="4" t="s">
        <v>408</v>
      </c>
      <c r="AC269" s="11">
        <v>170</v>
      </c>
      <c r="AD269" s="3">
        <f t="shared" si="45"/>
        <v>30.08533693716975</v>
      </c>
      <c r="AE269" s="3">
        <v>34</v>
      </c>
      <c r="AF269" s="57">
        <f t="shared" si="53"/>
        <v>2.5921477953569454E-2</v>
      </c>
      <c r="AG269" s="12">
        <f t="shared" si="54"/>
        <v>1160.6335484056349</v>
      </c>
    </row>
    <row r="270" spans="1:307" ht="14.4" customHeight="1" x14ac:dyDescent="0.25">
      <c r="A270" s="76">
        <v>19851</v>
      </c>
      <c r="B270" s="3">
        <v>377</v>
      </c>
      <c r="C270" s="8">
        <f t="shared" si="47"/>
        <v>2</v>
      </c>
      <c r="D270" s="8">
        <f t="shared" si="48"/>
        <v>5</v>
      </c>
      <c r="E270" s="3">
        <v>375</v>
      </c>
      <c r="F270" s="3">
        <v>382</v>
      </c>
      <c r="G270" s="4" t="s">
        <v>232</v>
      </c>
      <c r="H270" s="4">
        <v>29</v>
      </c>
      <c r="I270" s="4" t="s">
        <v>208</v>
      </c>
      <c r="J270" s="11" t="s">
        <v>4</v>
      </c>
      <c r="K270" s="11" t="s">
        <v>27</v>
      </c>
      <c r="L270" s="5">
        <v>-31.7</v>
      </c>
      <c r="M270" s="4" t="s">
        <v>207</v>
      </c>
      <c r="N270" s="5">
        <f t="shared" si="55"/>
        <v>-28.2</v>
      </c>
      <c r="O270" s="5">
        <v>0.5</v>
      </c>
      <c r="P270" s="4" t="s">
        <v>409</v>
      </c>
      <c r="Q270" s="12">
        <f t="shared" si="49"/>
        <v>-8.657408637873754</v>
      </c>
      <c r="R270" s="12">
        <f t="shared" si="50"/>
        <v>-9.157408637873754</v>
      </c>
      <c r="S270" s="12">
        <f t="shared" si="51"/>
        <v>19.595175305748391</v>
      </c>
      <c r="T270" s="12">
        <v>28</v>
      </c>
      <c r="W270" s="5"/>
      <c r="X270" s="5">
        <f t="shared" si="52"/>
        <v>301</v>
      </c>
      <c r="Y270" s="5">
        <v>-16.8</v>
      </c>
      <c r="Z270" s="23"/>
      <c r="AA270" s="4"/>
      <c r="AB270" s="4" t="s">
        <v>408</v>
      </c>
      <c r="AC270" s="11">
        <v>170</v>
      </c>
      <c r="AD270" s="3">
        <f t="shared" si="45"/>
        <v>24.620465765268172</v>
      </c>
      <c r="AE270" s="3">
        <v>34</v>
      </c>
      <c r="AF270" s="57">
        <f t="shared" si="53"/>
        <v>2.7186837070105174E-2</v>
      </c>
      <c r="AG270" s="12">
        <f t="shared" si="54"/>
        <v>905.60243185997535</v>
      </c>
    </row>
    <row r="271" spans="1:307" ht="14.4" customHeight="1" x14ac:dyDescent="0.25">
      <c r="A271" s="76">
        <v>19852</v>
      </c>
      <c r="B271" s="3">
        <v>378</v>
      </c>
      <c r="C271" s="8">
        <f t="shared" si="47"/>
        <v>1</v>
      </c>
      <c r="D271" s="8">
        <f t="shared" si="48"/>
        <v>1</v>
      </c>
      <c r="E271" s="3">
        <v>377</v>
      </c>
      <c r="F271" s="3">
        <v>379</v>
      </c>
      <c r="G271" s="4" t="s">
        <v>446</v>
      </c>
      <c r="H271" s="4" t="s">
        <v>24</v>
      </c>
      <c r="I271" s="4" t="s">
        <v>23</v>
      </c>
      <c r="J271" s="11" t="s">
        <v>4</v>
      </c>
      <c r="K271" s="11" t="s">
        <v>0</v>
      </c>
      <c r="L271" s="5">
        <v>-32.9</v>
      </c>
      <c r="M271" s="4" t="s">
        <v>22</v>
      </c>
      <c r="N271" s="5">
        <f t="shared" si="55"/>
        <v>-29.4</v>
      </c>
      <c r="O271" s="5">
        <v>0.89</v>
      </c>
      <c r="P271" s="4" t="s">
        <v>2</v>
      </c>
      <c r="Q271" s="12">
        <f t="shared" si="49"/>
        <v>-8.44105610561056</v>
      </c>
      <c r="R271" s="12">
        <f t="shared" si="50"/>
        <v>-8.5510561056105594</v>
      </c>
      <c r="S271" s="12">
        <f t="shared" si="51"/>
        <v>21.48046970367745</v>
      </c>
      <c r="T271" s="12">
        <v>30</v>
      </c>
      <c r="W271" s="5"/>
      <c r="X271" s="5">
        <f t="shared" si="52"/>
        <v>303</v>
      </c>
      <c r="Y271" s="5">
        <v>-25.9</v>
      </c>
      <c r="Z271" s="23"/>
      <c r="AA271" s="4"/>
      <c r="AB271" s="4" t="s">
        <v>408</v>
      </c>
      <c r="AC271" s="11">
        <v>170</v>
      </c>
      <c r="AD271" s="3">
        <f t="shared" si="45"/>
        <v>33.867710714794732</v>
      </c>
      <c r="AE271" s="3">
        <v>34</v>
      </c>
      <c r="AF271" s="57">
        <f t="shared" si="53"/>
        <v>2.5921477953569454E-2</v>
      </c>
      <c r="AG271" s="12">
        <f t="shared" si="54"/>
        <v>1306.5501425288546</v>
      </c>
    </row>
    <row r="272" spans="1:307" ht="14.4" customHeight="1" x14ac:dyDescent="0.25">
      <c r="A272" s="76">
        <v>19853</v>
      </c>
      <c r="B272" s="3">
        <v>378</v>
      </c>
      <c r="C272" s="8">
        <f t="shared" si="47"/>
        <v>1</v>
      </c>
      <c r="D272" s="8">
        <f t="shared" si="48"/>
        <v>1</v>
      </c>
      <c r="E272" s="3">
        <v>377</v>
      </c>
      <c r="F272" s="3">
        <v>379</v>
      </c>
      <c r="G272" s="4" t="s">
        <v>446</v>
      </c>
      <c r="H272" s="4" t="s">
        <v>24</v>
      </c>
      <c r="I272" s="4" t="s">
        <v>23</v>
      </c>
      <c r="J272" s="11" t="s">
        <v>4</v>
      </c>
      <c r="K272" s="11" t="s">
        <v>0</v>
      </c>
      <c r="L272" s="5">
        <v>-32.799999999999997</v>
      </c>
      <c r="M272" s="4" t="s">
        <v>22</v>
      </c>
      <c r="N272" s="5">
        <f t="shared" si="55"/>
        <v>-29.299999999999997</v>
      </c>
      <c r="O272" s="5">
        <v>0.65</v>
      </c>
      <c r="P272" s="4" t="s">
        <v>2</v>
      </c>
      <c r="Q272" s="12">
        <f t="shared" si="49"/>
        <v>-8.9873825503355711</v>
      </c>
      <c r="R272" s="12">
        <f t="shared" si="50"/>
        <v>-9.3373825503355707</v>
      </c>
      <c r="S272" s="12">
        <f t="shared" si="51"/>
        <v>20.565177139862499</v>
      </c>
      <c r="T272" s="12">
        <v>25</v>
      </c>
      <c r="W272" s="5"/>
      <c r="X272" s="5">
        <f t="shared" si="52"/>
        <v>298</v>
      </c>
      <c r="Y272" s="5">
        <v>-25.5</v>
      </c>
      <c r="Z272" s="23"/>
      <c r="AA272" s="4"/>
      <c r="AB272" s="4" t="s">
        <v>408</v>
      </c>
      <c r="AC272" s="11">
        <v>170</v>
      </c>
      <c r="AD272" s="3">
        <f t="shared" si="45"/>
        <v>28.644494369299736</v>
      </c>
      <c r="AE272" s="3">
        <v>34</v>
      </c>
      <c r="AF272" s="57">
        <f t="shared" si="53"/>
        <v>2.9301183151799796E-2</v>
      </c>
      <c r="AG272" s="12">
        <f t="shared" si="54"/>
        <v>977.58831856386234</v>
      </c>
    </row>
    <row r="273" spans="1:33" x14ac:dyDescent="0.25">
      <c r="A273" s="76">
        <v>19854</v>
      </c>
      <c r="B273" s="3">
        <v>378</v>
      </c>
      <c r="C273" s="8">
        <f t="shared" si="47"/>
        <v>3</v>
      </c>
      <c r="D273" s="8">
        <f t="shared" si="48"/>
        <v>4</v>
      </c>
      <c r="E273" s="3">
        <v>375</v>
      </c>
      <c r="F273" s="3">
        <v>382</v>
      </c>
      <c r="G273" s="4" t="s">
        <v>232</v>
      </c>
      <c r="H273" s="4">
        <v>30.9</v>
      </c>
      <c r="I273" s="4" t="s">
        <v>208</v>
      </c>
      <c r="J273" s="11" t="s">
        <v>4</v>
      </c>
      <c r="K273" s="11" t="s">
        <v>27</v>
      </c>
      <c r="L273" s="5">
        <v>-31.2</v>
      </c>
      <c r="M273" s="4" t="s">
        <v>207</v>
      </c>
      <c r="N273" s="5">
        <f t="shared" si="55"/>
        <v>-27.7</v>
      </c>
      <c r="O273" s="5">
        <v>0.8</v>
      </c>
      <c r="P273" s="4" t="s">
        <v>409</v>
      </c>
      <c r="Q273" s="12">
        <f t="shared" si="49"/>
        <v>-8.657408637873754</v>
      </c>
      <c r="R273" s="12">
        <f t="shared" si="50"/>
        <v>-8.8574086378737533</v>
      </c>
      <c r="S273" s="12">
        <f t="shared" si="51"/>
        <v>19.379400763268826</v>
      </c>
      <c r="T273" s="12">
        <v>28</v>
      </c>
      <c r="W273" s="5"/>
      <c r="X273" s="5">
        <f t="shared" si="52"/>
        <v>301</v>
      </c>
      <c r="Y273" s="5">
        <v>-16.8</v>
      </c>
      <c r="Z273" s="23"/>
      <c r="AA273" s="4"/>
      <c r="AB273" s="4" t="s">
        <v>408</v>
      </c>
      <c r="AC273" s="11">
        <v>170</v>
      </c>
      <c r="AD273" s="3">
        <f t="shared" si="45"/>
        <v>23.874395166500236</v>
      </c>
      <c r="AE273" s="3">
        <v>34</v>
      </c>
      <c r="AF273" s="57">
        <f t="shared" si="53"/>
        <v>2.7186837070105174E-2</v>
      </c>
      <c r="AG273" s="12">
        <f t="shared" si="54"/>
        <v>878.16008551994003</v>
      </c>
    </row>
    <row r="274" spans="1:33" x14ac:dyDescent="0.25">
      <c r="A274" s="76">
        <v>19855</v>
      </c>
      <c r="B274" s="3">
        <v>379</v>
      </c>
      <c r="C274" s="8">
        <f t="shared" si="47"/>
        <v>2</v>
      </c>
      <c r="D274" s="8">
        <f t="shared" si="48"/>
        <v>0</v>
      </c>
      <c r="E274" s="3">
        <v>377</v>
      </c>
      <c r="F274" s="3">
        <v>379</v>
      </c>
      <c r="G274" s="4" t="s">
        <v>446</v>
      </c>
      <c r="H274" s="4" t="s">
        <v>24</v>
      </c>
      <c r="I274" s="4" t="s">
        <v>23</v>
      </c>
      <c r="J274" s="11" t="s">
        <v>4</v>
      </c>
      <c r="K274" s="11" t="s">
        <v>0</v>
      </c>
      <c r="L274" s="5">
        <v>-33.1</v>
      </c>
      <c r="M274" s="4" t="s">
        <v>22</v>
      </c>
      <c r="N274" s="5">
        <f t="shared" si="55"/>
        <v>-29.6</v>
      </c>
      <c r="O274" s="5">
        <v>0.65</v>
      </c>
      <c r="P274" s="4" t="s">
        <v>2</v>
      </c>
      <c r="Q274" s="12">
        <f t="shared" si="49"/>
        <v>-8.9873825503355711</v>
      </c>
      <c r="R274" s="12">
        <f t="shared" si="50"/>
        <v>-9.3373825503355707</v>
      </c>
      <c r="S274" s="12">
        <f t="shared" si="51"/>
        <v>20.880685747799443</v>
      </c>
      <c r="T274" s="12">
        <v>25</v>
      </c>
      <c r="W274" s="5"/>
      <c r="X274" s="5">
        <f t="shared" si="52"/>
        <v>298</v>
      </c>
      <c r="Y274" s="5">
        <v>-25.5</v>
      </c>
      <c r="Z274" s="23"/>
      <c r="AA274" s="4"/>
      <c r="AB274" s="4" t="s">
        <v>408</v>
      </c>
      <c r="AC274" s="11">
        <v>170</v>
      </c>
      <c r="AD274" s="3">
        <f t="shared" si="45"/>
        <v>30.252801742388229</v>
      </c>
      <c r="AE274" s="3">
        <v>34</v>
      </c>
      <c r="AF274" s="57">
        <f t="shared" si="53"/>
        <v>2.9301183151799796E-2</v>
      </c>
      <c r="AG274" s="12">
        <f t="shared" si="54"/>
        <v>1032.477138744139</v>
      </c>
    </row>
    <row r="275" spans="1:33" ht="13.2" customHeight="1" x14ac:dyDescent="0.25">
      <c r="A275" s="76">
        <v>19856</v>
      </c>
      <c r="B275" s="3">
        <v>379</v>
      </c>
      <c r="C275" s="8">
        <f t="shared" si="47"/>
        <v>2</v>
      </c>
      <c r="D275" s="8">
        <f t="shared" si="48"/>
        <v>0</v>
      </c>
      <c r="E275" s="3">
        <v>377</v>
      </c>
      <c r="F275" s="3">
        <v>379</v>
      </c>
      <c r="G275" s="4" t="s">
        <v>446</v>
      </c>
      <c r="H275" s="4" t="s">
        <v>24</v>
      </c>
      <c r="I275" s="4" t="s">
        <v>23</v>
      </c>
      <c r="J275" s="11" t="s">
        <v>4</v>
      </c>
      <c r="K275" s="11" t="s">
        <v>0</v>
      </c>
      <c r="L275" s="5">
        <v>-32.5</v>
      </c>
      <c r="M275" s="4" t="s">
        <v>22</v>
      </c>
      <c r="N275" s="5">
        <f t="shared" si="55"/>
        <v>-29</v>
      </c>
      <c r="O275" s="5">
        <v>0.65</v>
      </c>
      <c r="P275" s="4" t="s">
        <v>2</v>
      </c>
      <c r="Q275" s="12">
        <f t="shared" si="49"/>
        <v>-8.9873825503355711</v>
      </c>
      <c r="R275" s="12">
        <f t="shared" si="50"/>
        <v>-9.3373825503355707</v>
      </c>
      <c r="S275" s="12">
        <f t="shared" si="51"/>
        <v>20.249863490900523</v>
      </c>
      <c r="T275" s="12">
        <v>25</v>
      </c>
      <c r="W275" s="5"/>
      <c r="X275" s="5">
        <f t="shared" si="52"/>
        <v>298</v>
      </c>
      <c r="Y275" s="5">
        <v>-25.5</v>
      </c>
      <c r="Z275" s="23"/>
      <c r="AA275" s="4"/>
      <c r="AB275" s="4" t="s">
        <v>408</v>
      </c>
      <c r="AC275" s="11">
        <v>170</v>
      </c>
      <c r="AD275" s="3">
        <f t="shared" si="45"/>
        <v>27.199405925374531</v>
      </c>
      <c r="AE275" s="3">
        <v>34</v>
      </c>
      <c r="AF275" s="57">
        <f t="shared" si="53"/>
        <v>2.9301183151799796E-2</v>
      </c>
      <c r="AG275" s="12">
        <f t="shared" si="54"/>
        <v>928.2698853648111</v>
      </c>
    </row>
    <row r="276" spans="1:33" ht="14.4" customHeight="1" x14ac:dyDescent="0.25">
      <c r="A276" s="76">
        <v>19857</v>
      </c>
      <c r="B276" s="3">
        <v>379</v>
      </c>
      <c r="C276" s="8">
        <f t="shared" si="47"/>
        <v>6.8000000000000114</v>
      </c>
      <c r="D276" s="8">
        <f t="shared" si="48"/>
        <v>3.6999999999999886</v>
      </c>
      <c r="E276" s="3">
        <v>372.2</v>
      </c>
      <c r="F276" s="3">
        <v>382.7</v>
      </c>
      <c r="G276" s="4" t="s">
        <v>446</v>
      </c>
      <c r="H276" s="4" t="s">
        <v>24</v>
      </c>
      <c r="I276" s="4" t="s">
        <v>23</v>
      </c>
      <c r="J276" s="11" t="s">
        <v>4</v>
      </c>
      <c r="K276" s="11" t="s">
        <v>0</v>
      </c>
      <c r="L276" s="5">
        <v>-32.5</v>
      </c>
      <c r="M276" s="4" t="s">
        <v>22</v>
      </c>
      <c r="N276" s="5">
        <f t="shared" si="55"/>
        <v>-29</v>
      </c>
      <c r="O276" s="5">
        <v>0.7</v>
      </c>
      <c r="P276" s="4" t="s">
        <v>2</v>
      </c>
      <c r="Q276" s="12">
        <f t="shared" si="49"/>
        <v>-8.9873825503355711</v>
      </c>
      <c r="R276" s="12">
        <f t="shared" si="50"/>
        <v>-9.2873825503355718</v>
      </c>
      <c r="S276" s="12">
        <f t="shared" si="51"/>
        <v>20.301356796770698</v>
      </c>
      <c r="T276" s="12">
        <v>25</v>
      </c>
      <c r="W276" s="5"/>
      <c r="X276" s="5">
        <f t="shared" si="52"/>
        <v>298</v>
      </c>
      <c r="Y276" s="5">
        <v>-25.5</v>
      </c>
      <c r="Z276" s="23"/>
      <c r="AA276" s="4"/>
      <c r="AB276" s="4" t="s">
        <v>408</v>
      </c>
      <c r="AC276" s="11">
        <v>170</v>
      </c>
      <c r="AD276" s="3">
        <f t="shared" si="45"/>
        <v>27.425356554065772</v>
      </c>
      <c r="AE276" s="3">
        <v>34</v>
      </c>
      <c r="AF276" s="57">
        <f t="shared" si="53"/>
        <v>2.9301183151799796E-2</v>
      </c>
      <c r="AG276" s="12">
        <f t="shared" si="54"/>
        <v>935.98119952986258</v>
      </c>
    </row>
    <row r="277" spans="1:33" ht="14.4" customHeight="1" x14ac:dyDescent="0.25">
      <c r="A277" s="76">
        <v>19858</v>
      </c>
      <c r="B277" s="24">
        <v>379</v>
      </c>
      <c r="C277" s="8">
        <f t="shared" si="47"/>
        <v>4</v>
      </c>
      <c r="D277" s="8">
        <f t="shared" si="48"/>
        <v>3</v>
      </c>
      <c r="E277" s="3">
        <v>375</v>
      </c>
      <c r="F277" s="3">
        <v>382</v>
      </c>
      <c r="G277" s="4" t="s">
        <v>232</v>
      </c>
      <c r="H277" s="28">
        <v>285014</v>
      </c>
      <c r="I277" s="29" t="s">
        <v>217</v>
      </c>
      <c r="J277" s="34" t="s">
        <v>1</v>
      </c>
      <c r="K277" s="34" t="s">
        <v>0</v>
      </c>
      <c r="L277" s="30">
        <f>AVERAGE(-29.9,-29.59,-30.66,-30.79,-29.73,-29.7)</f>
        <v>-30.061666666666664</v>
      </c>
      <c r="M277" s="25" t="s">
        <v>293</v>
      </c>
      <c r="N277" s="5">
        <f t="shared" si="55"/>
        <v>-26.561666666666664</v>
      </c>
      <c r="O277" s="5">
        <v>2</v>
      </c>
      <c r="P277" s="4" t="s">
        <v>409</v>
      </c>
      <c r="Q277" s="12">
        <f t="shared" si="49"/>
        <v>-8.44105610561056</v>
      </c>
      <c r="R277" s="12">
        <f t="shared" si="50"/>
        <v>-7.44105610561056</v>
      </c>
      <c r="S277" s="12">
        <f t="shared" si="51"/>
        <v>19.642343953706344</v>
      </c>
      <c r="T277" s="12">
        <v>30</v>
      </c>
      <c r="W277" s="5"/>
      <c r="X277" s="5">
        <f t="shared" si="52"/>
        <v>303</v>
      </c>
      <c r="Y277" s="5"/>
      <c r="Z277" s="5"/>
      <c r="AA277" s="4"/>
      <c r="AB277" s="4" t="s">
        <v>408</v>
      </c>
      <c r="AC277" s="11">
        <v>170</v>
      </c>
      <c r="AD277" s="3">
        <f t="shared" si="45"/>
        <v>24.78981139508733</v>
      </c>
      <c r="AE277" s="3">
        <v>34</v>
      </c>
      <c r="AF277" s="57">
        <f t="shared" si="53"/>
        <v>2.5921477953569454E-2</v>
      </c>
      <c r="AG277" s="12">
        <f t="shared" si="54"/>
        <v>956.34251409162835</v>
      </c>
    </row>
    <row r="278" spans="1:33" ht="14.4" customHeight="1" x14ac:dyDescent="0.25">
      <c r="A278" s="76">
        <v>19859</v>
      </c>
      <c r="B278" s="3">
        <v>379</v>
      </c>
      <c r="C278" s="8">
        <f t="shared" si="47"/>
        <v>4</v>
      </c>
      <c r="D278" s="8">
        <f t="shared" si="48"/>
        <v>3</v>
      </c>
      <c r="E278" s="3">
        <v>375</v>
      </c>
      <c r="F278" s="3">
        <v>382</v>
      </c>
      <c r="G278" s="4" t="s">
        <v>232</v>
      </c>
      <c r="H278" s="4">
        <v>31.9</v>
      </c>
      <c r="I278" s="4" t="s">
        <v>208</v>
      </c>
      <c r="J278" s="11" t="s">
        <v>4</v>
      </c>
      <c r="K278" s="11" t="s">
        <v>27</v>
      </c>
      <c r="L278" s="5">
        <v>-31.7</v>
      </c>
      <c r="M278" s="4" t="s">
        <v>207</v>
      </c>
      <c r="N278" s="5">
        <f t="shared" si="55"/>
        <v>-28.2</v>
      </c>
      <c r="O278" s="5">
        <v>0.8</v>
      </c>
      <c r="P278" s="4" t="s">
        <v>409</v>
      </c>
      <c r="Q278" s="12">
        <f t="shared" si="49"/>
        <v>-8.657408637873754</v>
      </c>
      <c r="R278" s="12">
        <f t="shared" si="50"/>
        <v>-8.8574086378737533</v>
      </c>
      <c r="S278" s="12">
        <f t="shared" si="51"/>
        <v>19.903880800706155</v>
      </c>
      <c r="T278" s="12">
        <v>28</v>
      </c>
      <c r="W278" s="5"/>
      <c r="X278" s="5">
        <f t="shared" si="52"/>
        <v>301</v>
      </c>
      <c r="Y278" s="5">
        <v>-16.8</v>
      </c>
      <c r="Z278" s="23"/>
      <c r="AA278" s="4"/>
      <c r="AB278" s="4" t="s">
        <v>408</v>
      </c>
      <c r="AC278" s="11">
        <v>170</v>
      </c>
      <c r="AD278" s="3">
        <f t="shared" si="45"/>
        <v>25.772730125647143</v>
      </c>
      <c r="AE278" s="3">
        <v>34</v>
      </c>
      <c r="AF278" s="57">
        <f t="shared" si="53"/>
        <v>2.7186837070105174E-2</v>
      </c>
      <c r="AG278" s="12">
        <f t="shared" si="54"/>
        <v>947.98560270870962</v>
      </c>
    </row>
    <row r="279" spans="1:33" ht="14.4" customHeight="1" x14ac:dyDescent="0.25">
      <c r="A279" s="76">
        <v>19860</v>
      </c>
      <c r="B279" s="3">
        <v>379</v>
      </c>
      <c r="C279" s="8">
        <f t="shared" si="47"/>
        <v>4</v>
      </c>
      <c r="D279" s="8">
        <f t="shared" si="48"/>
        <v>3</v>
      </c>
      <c r="E279" s="3">
        <v>375</v>
      </c>
      <c r="F279" s="3">
        <v>382</v>
      </c>
      <c r="G279" s="4" t="s">
        <v>232</v>
      </c>
      <c r="H279" s="4">
        <v>33.200000000000003</v>
      </c>
      <c r="I279" s="4" t="s">
        <v>208</v>
      </c>
      <c r="J279" s="11" t="s">
        <v>4</v>
      </c>
      <c r="K279" s="11" t="s">
        <v>27</v>
      </c>
      <c r="L279" s="5">
        <v>-32</v>
      </c>
      <c r="M279" s="4" t="s">
        <v>207</v>
      </c>
      <c r="N279" s="5">
        <f t="shared" si="55"/>
        <v>-28.5</v>
      </c>
      <c r="O279" s="5">
        <v>0.8</v>
      </c>
      <c r="P279" s="4" t="s">
        <v>409</v>
      </c>
      <c r="Q279" s="12">
        <f t="shared" si="49"/>
        <v>-8.657408637873754</v>
      </c>
      <c r="R279" s="12">
        <f t="shared" si="50"/>
        <v>-8.8574086378737533</v>
      </c>
      <c r="S279" s="12">
        <f t="shared" si="51"/>
        <v>20.218827958956574</v>
      </c>
      <c r="T279" s="12">
        <v>28</v>
      </c>
      <c r="W279" s="5"/>
      <c r="X279" s="5">
        <f t="shared" si="52"/>
        <v>301</v>
      </c>
      <c r="Y279" s="5">
        <v>-16.8</v>
      </c>
      <c r="Z279" s="23"/>
      <c r="AA279" s="4"/>
      <c r="AB279" s="4" t="s">
        <v>408</v>
      </c>
      <c r="AC279" s="11">
        <v>170</v>
      </c>
      <c r="AD279" s="3">
        <f t="shared" si="45"/>
        <v>27.065012530967017</v>
      </c>
      <c r="AE279" s="3">
        <v>34</v>
      </c>
      <c r="AF279" s="57">
        <f t="shared" si="53"/>
        <v>2.7186837070105174E-2</v>
      </c>
      <c r="AG279" s="12">
        <f t="shared" si="54"/>
        <v>995.51898814768288</v>
      </c>
    </row>
    <row r="280" spans="1:33" ht="14.4" customHeight="1" x14ac:dyDescent="0.25">
      <c r="A280" s="76">
        <v>19861</v>
      </c>
      <c r="B280" s="3">
        <v>380</v>
      </c>
      <c r="C280" s="8">
        <f t="shared" si="47"/>
        <v>5</v>
      </c>
      <c r="D280" s="8">
        <f t="shared" si="48"/>
        <v>2</v>
      </c>
      <c r="E280" s="3">
        <v>375</v>
      </c>
      <c r="F280" s="3">
        <v>382</v>
      </c>
      <c r="G280" s="4" t="s">
        <v>232</v>
      </c>
      <c r="H280" s="4">
        <v>33.4</v>
      </c>
      <c r="I280" s="4" t="s">
        <v>208</v>
      </c>
      <c r="J280" s="11" t="s">
        <v>4</v>
      </c>
      <c r="K280" s="11" t="s">
        <v>27</v>
      </c>
      <c r="L280" s="5">
        <v>-31.4</v>
      </c>
      <c r="M280" s="4" t="s">
        <v>207</v>
      </c>
      <c r="N280" s="5">
        <f t="shared" si="55"/>
        <v>-27.9</v>
      </c>
      <c r="O280" s="5">
        <v>1.1000000000000001</v>
      </c>
      <c r="P280" s="4" t="s">
        <v>409</v>
      </c>
      <c r="Q280" s="12">
        <f t="shared" si="49"/>
        <v>-8.9873825503355711</v>
      </c>
      <c r="R280" s="12">
        <f t="shared" si="50"/>
        <v>-8.8873825503355715</v>
      </c>
      <c r="S280" s="12">
        <f t="shared" si="51"/>
        <v>19.55829384802432</v>
      </c>
      <c r="T280" s="12">
        <v>25</v>
      </c>
      <c r="W280" s="5"/>
      <c r="X280" s="5">
        <f t="shared" si="52"/>
        <v>298</v>
      </c>
      <c r="Y280" s="5">
        <v>-16.8</v>
      </c>
      <c r="Z280" s="23"/>
      <c r="AA280" s="4"/>
      <c r="AB280" s="4" t="s">
        <v>408</v>
      </c>
      <c r="AC280" s="11">
        <v>170</v>
      </c>
      <c r="AD280" s="3">
        <f t="shared" si="45"/>
        <v>24.489656617287995</v>
      </c>
      <c r="AE280" s="3">
        <v>34</v>
      </c>
      <c r="AF280" s="57">
        <f t="shared" si="53"/>
        <v>2.9301183151799796E-2</v>
      </c>
      <c r="AG280" s="12">
        <f t="shared" si="54"/>
        <v>835.79070819137701</v>
      </c>
    </row>
    <row r="281" spans="1:33" ht="14.4" customHeight="1" x14ac:dyDescent="0.25">
      <c r="A281" s="76">
        <v>19862</v>
      </c>
      <c r="B281" s="3">
        <v>383</v>
      </c>
      <c r="C281" s="8">
        <f t="shared" si="47"/>
        <v>3</v>
      </c>
      <c r="D281" s="8">
        <f t="shared" si="48"/>
        <v>2</v>
      </c>
      <c r="E281" s="3">
        <v>380</v>
      </c>
      <c r="F281" s="3">
        <v>385</v>
      </c>
      <c r="G281" s="4" t="s">
        <v>209</v>
      </c>
      <c r="H281" s="4">
        <v>40.200000000000003</v>
      </c>
      <c r="I281" s="4" t="s">
        <v>208</v>
      </c>
      <c r="J281" s="11" t="s">
        <v>4</v>
      </c>
      <c r="K281" s="11" t="s">
        <v>27</v>
      </c>
      <c r="L281" s="5">
        <v>-33.5</v>
      </c>
      <c r="M281" s="4" t="s">
        <v>207</v>
      </c>
      <c r="N281" s="5">
        <f t="shared" si="55"/>
        <v>-30</v>
      </c>
      <c r="O281" s="5">
        <v>1.6</v>
      </c>
      <c r="P281" s="4" t="s">
        <v>409</v>
      </c>
      <c r="Q281" s="12">
        <f t="shared" si="49"/>
        <v>-9.2110810810810797</v>
      </c>
      <c r="R281" s="12">
        <f t="shared" si="50"/>
        <v>-8.6110810810810801</v>
      </c>
      <c r="S281" s="12">
        <f t="shared" si="51"/>
        <v>22.050431875174191</v>
      </c>
      <c r="T281" s="12">
        <v>23</v>
      </c>
      <c r="W281" s="5"/>
      <c r="X281" s="5">
        <f t="shared" si="52"/>
        <v>296</v>
      </c>
      <c r="Y281" s="5">
        <v>-13.9</v>
      </c>
      <c r="Z281" s="23"/>
      <c r="AA281" s="4"/>
      <c r="AB281" s="4" t="s">
        <v>408</v>
      </c>
      <c r="AC281" s="11">
        <v>170</v>
      </c>
      <c r="AD281" s="3">
        <f t="shared" si="45"/>
        <v>38.205955101913432</v>
      </c>
      <c r="AE281" s="3">
        <v>34</v>
      </c>
      <c r="AF281" s="57">
        <f t="shared" si="53"/>
        <v>3.0873129465195694E-2</v>
      </c>
      <c r="AG281" s="12">
        <f t="shared" si="54"/>
        <v>1237.5148151075607</v>
      </c>
    </row>
    <row r="282" spans="1:33" ht="14.4" customHeight="1" x14ac:dyDescent="0.25">
      <c r="A282" s="76">
        <v>19863</v>
      </c>
      <c r="B282" s="3">
        <v>383</v>
      </c>
      <c r="C282" s="8">
        <f t="shared" si="47"/>
        <v>3</v>
      </c>
      <c r="D282" s="8">
        <f t="shared" si="48"/>
        <v>2</v>
      </c>
      <c r="E282" s="3">
        <v>380</v>
      </c>
      <c r="F282" s="3">
        <v>385</v>
      </c>
      <c r="G282" s="4" t="s">
        <v>209</v>
      </c>
      <c r="H282" s="4">
        <v>40.299999999999997</v>
      </c>
      <c r="I282" s="4" t="s">
        <v>208</v>
      </c>
      <c r="J282" s="11" t="s">
        <v>4</v>
      </c>
      <c r="K282" s="11" t="s">
        <v>27</v>
      </c>
      <c r="L282" s="5">
        <v>-33.6</v>
      </c>
      <c r="M282" s="4" t="s">
        <v>207</v>
      </c>
      <c r="N282" s="5">
        <f t="shared" si="55"/>
        <v>-30.1</v>
      </c>
      <c r="O282" s="5">
        <v>1.6</v>
      </c>
      <c r="P282" s="4" t="s">
        <v>409</v>
      </c>
      <c r="Q282" s="12">
        <f t="shared" si="49"/>
        <v>-9.2110810810810797</v>
      </c>
      <c r="R282" s="12">
        <f t="shared" si="50"/>
        <v>-8.6110810810810801</v>
      </c>
      <c r="S282" s="12">
        <f t="shared" si="51"/>
        <v>22.15580876267542</v>
      </c>
      <c r="T282" s="12">
        <v>23</v>
      </c>
      <c r="W282" s="5"/>
      <c r="X282" s="5">
        <f t="shared" si="52"/>
        <v>296</v>
      </c>
      <c r="Y282" s="5">
        <v>-13.9</v>
      </c>
      <c r="Z282" s="23"/>
      <c r="AA282" s="4"/>
      <c r="AB282" s="4" t="s">
        <v>408</v>
      </c>
      <c r="AC282" s="11">
        <v>170</v>
      </c>
      <c r="AD282" s="3">
        <f t="shared" si="45"/>
        <v>39.132715553447056</v>
      </c>
      <c r="AE282" s="3">
        <v>34</v>
      </c>
      <c r="AF282" s="57">
        <f t="shared" si="53"/>
        <v>3.0873129465195694E-2</v>
      </c>
      <c r="AG282" s="12">
        <f t="shared" si="54"/>
        <v>1267.5331665862598</v>
      </c>
    </row>
    <row r="283" spans="1:33" ht="14.4" customHeight="1" x14ac:dyDescent="0.25">
      <c r="A283" s="76">
        <v>19864</v>
      </c>
      <c r="B283" s="3">
        <v>383</v>
      </c>
      <c r="C283" s="8">
        <f t="shared" si="47"/>
        <v>3</v>
      </c>
      <c r="D283" s="8">
        <f t="shared" si="48"/>
        <v>2</v>
      </c>
      <c r="E283" s="3">
        <v>380</v>
      </c>
      <c r="F283" s="3">
        <v>385</v>
      </c>
      <c r="G283" s="4" t="s">
        <v>209</v>
      </c>
      <c r="H283" s="4">
        <v>40.700000000000003</v>
      </c>
      <c r="I283" s="4" t="s">
        <v>208</v>
      </c>
      <c r="J283" s="11" t="s">
        <v>4</v>
      </c>
      <c r="K283" s="11" t="s">
        <v>27</v>
      </c>
      <c r="L283" s="5">
        <v>-32.9</v>
      </c>
      <c r="M283" s="4" t="s">
        <v>207</v>
      </c>
      <c r="N283" s="5">
        <f t="shared" si="55"/>
        <v>-29.4</v>
      </c>
      <c r="O283" s="5">
        <v>1.6</v>
      </c>
      <c r="P283" s="4" t="s">
        <v>409</v>
      </c>
      <c r="Q283" s="12">
        <f t="shared" si="49"/>
        <v>-9.2110810810810797</v>
      </c>
      <c r="R283" s="12">
        <f t="shared" si="50"/>
        <v>-8.6110810810810801</v>
      </c>
      <c r="S283" s="12">
        <f t="shared" si="51"/>
        <v>21.418626539170482</v>
      </c>
      <c r="T283" s="12">
        <v>23</v>
      </c>
      <c r="W283" s="5"/>
      <c r="X283" s="5">
        <f t="shared" si="52"/>
        <v>296</v>
      </c>
      <c r="Y283" s="5">
        <v>-13.9</v>
      </c>
      <c r="Z283" s="23"/>
      <c r="AA283" s="4"/>
      <c r="AB283" s="4" t="s">
        <v>408</v>
      </c>
      <c r="AC283" s="11">
        <v>170</v>
      </c>
      <c r="AD283" s="3">
        <f t="shared" si="45"/>
        <v>33.455521683353709</v>
      </c>
      <c r="AE283" s="3">
        <v>34</v>
      </c>
      <c r="AF283" s="57">
        <f t="shared" si="53"/>
        <v>3.0873129465195694E-2</v>
      </c>
      <c r="AG283" s="12">
        <f t="shared" si="54"/>
        <v>1083.6453013637388</v>
      </c>
    </row>
    <row r="284" spans="1:33" ht="14.4" customHeight="1" x14ac:dyDescent="0.25">
      <c r="A284" s="76">
        <v>19865</v>
      </c>
      <c r="B284" s="3">
        <v>383</v>
      </c>
      <c r="C284" s="8">
        <f t="shared" si="47"/>
        <v>3</v>
      </c>
      <c r="D284" s="8">
        <f t="shared" si="48"/>
        <v>2</v>
      </c>
      <c r="E284" s="3">
        <v>380</v>
      </c>
      <c r="F284" s="3">
        <v>385</v>
      </c>
      <c r="G284" s="4" t="s">
        <v>209</v>
      </c>
      <c r="H284" s="4">
        <v>41.2</v>
      </c>
      <c r="I284" s="4" t="s">
        <v>208</v>
      </c>
      <c r="J284" s="11" t="s">
        <v>4</v>
      </c>
      <c r="K284" s="11" t="s">
        <v>27</v>
      </c>
      <c r="L284" s="5">
        <v>-32.6</v>
      </c>
      <c r="M284" s="4" t="s">
        <v>207</v>
      </c>
      <c r="N284" s="5">
        <f t="shared" si="55"/>
        <v>-29.1</v>
      </c>
      <c r="O284" s="5">
        <v>1.6</v>
      </c>
      <c r="P284" s="4" t="s">
        <v>409</v>
      </c>
      <c r="Q284" s="12">
        <f t="shared" si="49"/>
        <v>-9.2110810810810797</v>
      </c>
      <c r="R284" s="12">
        <f t="shared" si="50"/>
        <v>-8.6110810810810801</v>
      </c>
      <c r="S284" s="12">
        <f t="shared" si="51"/>
        <v>21.103016705035451</v>
      </c>
      <c r="T284" s="12">
        <v>23</v>
      </c>
      <c r="W284" s="5"/>
      <c r="X284" s="5">
        <f t="shared" si="52"/>
        <v>296</v>
      </c>
      <c r="Y284" s="5">
        <v>-13.9</v>
      </c>
      <c r="Z284" s="23"/>
      <c r="AA284" s="4"/>
      <c r="AB284" s="4" t="s">
        <v>408</v>
      </c>
      <c r="AC284" s="11">
        <v>170</v>
      </c>
      <c r="AD284" s="3">
        <f t="shared" si="45"/>
        <v>31.499078412677701</v>
      </c>
      <c r="AE284" s="3">
        <v>34</v>
      </c>
      <c r="AF284" s="57">
        <f t="shared" si="53"/>
        <v>3.0873129465195694E-2</v>
      </c>
      <c r="AG284" s="12">
        <f t="shared" si="54"/>
        <v>1020.2748784566094</v>
      </c>
    </row>
    <row r="285" spans="1:33" ht="14.4" customHeight="1" x14ac:dyDescent="0.25">
      <c r="A285" s="76">
        <v>19866</v>
      </c>
      <c r="B285" s="3">
        <v>383</v>
      </c>
      <c r="C285" s="8">
        <f t="shared" si="47"/>
        <v>3</v>
      </c>
      <c r="D285" s="8">
        <f t="shared" si="48"/>
        <v>2</v>
      </c>
      <c r="E285" s="3">
        <v>380</v>
      </c>
      <c r="F285" s="3">
        <v>385</v>
      </c>
      <c r="G285" s="4" t="s">
        <v>209</v>
      </c>
      <c r="H285" s="4">
        <v>41.9</v>
      </c>
      <c r="I285" s="4" t="s">
        <v>208</v>
      </c>
      <c r="J285" s="11" t="s">
        <v>4</v>
      </c>
      <c r="K285" s="11" t="s">
        <v>27</v>
      </c>
      <c r="L285" s="5">
        <v>-33.9</v>
      </c>
      <c r="M285" s="4" t="s">
        <v>207</v>
      </c>
      <c r="N285" s="5">
        <f t="shared" si="55"/>
        <v>-30.4</v>
      </c>
      <c r="O285" s="5">
        <v>1.6</v>
      </c>
      <c r="P285" s="4" t="s">
        <v>409</v>
      </c>
      <c r="Q285" s="12">
        <f t="shared" si="49"/>
        <v>-9.2110810810810797</v>
      </c>
      <c r="R285" s="12">
        <f t="shared" si="50"/>
        <v>-8.6110810810810801</v>
      </c>
      <c r="S285" s="12">
        <f t="shared" si="51"/>
        <v>22.472069842119247</v>
      </c>
      <c r="T285" s="12">
        <v>23</v>
      </c>
      <c r="W285" s="5"/>
      <c r="X285" s="5">
        <f t="shared" si="52"/>
        <v>296</v>
      </c>
      <c r="Y285" s="5">
        <v>-13.9</v>
      </c>
      <c r="Z285" s="23"/>
      <c r="AA285" s="4"/>
      <c r="AB285" s="4" t="s">
        <v>408</v>
      </c>
      <c r="AC285" s="11">
        <v>170</v>
      </c>
      <c r="AD285" s="3">
        <f t="shared" si="45"/>
        <v>42.205299828099164</v>
      </c>
      <c r="AE285" s="3">
        <v>34</v>
      </c>
      <c r="AF285" s="57">
        <f t="shared" si="53"/>
        <v>3.0873129465195694E-2</v>
      </c>
      <c r="AG285" s="12">
        <f t="shared" si="54"/>
        <v>1367.0560956795327</v>
      </c>
    </row>
    <row r="286" spans="1:33" x14ac:dyDescent="0.25">
      <c r="A286" s="76">
        <v>19867</v>
      </c>
      <c r="B286" s="24">
        <f>AVERAGE(E286:F286)</f>
        <v>388</v>
      </c>
      <c r="C286" s="8">
        <f t="shared" si="47"/>
        <v>5.3000000000000114</v>
      </c>
      <c r="D286" s="8">
        <f t="shared" si="48"/>
        <v>5.3000000000000114</v>
      </c>
      <c r="E286" s="24">
        <v>382.7</v>
      </c>
      <c r="F286" s="24">
        <v>393.3</v>
      </c>
      <c r="G286" s="25" t="s">
        <v>223</v>
      </c>
      <c r="H286" s="26">
        <v>271806</v>
      </c>
      <c r="I286" s="25" t="s">
        <v>213</v>
      </c>
      <c r="J286" s="35" t="s">
        <v>1</v>
      </c>
      <c r="K286" s="35" t="s">
        <v>0</v>
      </c>
      <c r="L286" s="27">
        <v>-31.363499999999998</v>
      </c>
      <c r="M286" s="25" t="s">
        <v>293</v>
      </c>
      <c r="N286" s="5">
        <f t="shared" si="55"/>
        <v>-27.863499999999998</v>
      </c>
      <c r="O286" s="5">
        <v>1</v>
      </c>
      <c r="P286" s="4" t="s">
        <v>409</v>
      </c>
      <c r="Q286" s="12">
        <f t="shared" si="49"/>
        <v>-9.3240677966101693</v>
      </c>
      <c r="R286" s="12">
        <f t="shared" si="50"/>
        <v>-9.3240677966101693</v>
      </c>
      <c r="S286" s="12">
        <f t="shared" si="51"/>
        <v>19.070811767061493</v>
      </c>
      <c r="T286" s="12">
        <v>22</v>
      </c>
      <c r="U286" s="11"/>
      <c r="W286" s="5"/>
      <c r="X286" s="5">
        <f t="shared" si="52"/>
        <v>295</v>
      </c>
      <c r="Y286" s="5"/>
      <c r="Z286" s="5"/>
      <c r="AA286" s="4"/>
      <c r="AB286" s="4" t="s">
        <v>408</v>
      </c>
      <c r="AC286" s="11">
        <v>170</v>
      </c>
      <c r="AD286" s="3">
        <f t="shared" si="45"/>
        <v>22.882715401701294</v>
      </c>
      <c r="AE286" s="3">
        <v>34</v>
      </c>
      <c r="AF286" s="57">
        <f t="shared" si="53"/>
        <v>3.1713091748844839E-2</v>
      </c>
      <c r="AG286" s="12">
        <f t="shared" si="54"/>
        <v>721.55422697109952</v>
      </c>
    </row>
    <row r="287" spans="1:33" x14ac:dyDescent="0.25">
      <c r="A287" s="76">
        <v>19868</v>
      </c>
      <c r="B287" s="24">
        <f>AVERAGE(E287:F287)</f>
        <v>431.5</v>
      </c>
      <c r="C287" s="8">
        <f t="shared" si="47"/>
        <v>12.300000000000011</v>
      </c>
      <c r="D287" s="8">
        <f t="shared" si="48"/>
        <v>12.300000000000011</v>
      </c>
      <c r="E287" s="24">
        <v>419.2</v>
      </c>
      <c r="F287" s="24">
        <v>443.8</v>
      </c>
      <c r="G287" s="25" t="s">
        <v>210</v>
      </c>
      <c r="H287" s="26">
        <v>312307</v>
      </c>
      <c r="I287" s="25" t="s">
        <v>215</v>
      </c>
      <c r="J287" s="35" t="s">
        <v>1</v>
      </c>
      <c r="K287" s="35" t="s">
        <v>0</v>
      </c>
      <c r="L287" s="27">
        <v>-31.690666666666701</v>
      </c>
      <c r="M287" s="25" t="s">
        <v>293</v>
      </c>
      <c r="N287" s="5">
        <f t="shared" si="55"/>
        <v>-28.190666666666701</v>
      </c>
      <c r="O287" s="5">
        <v>1.6</v>
      </c>
      <c r="P287" s="4" t="s">
        <v>410</v>
      </c>
      <c r="Q287" s="12">
        <f t="shared" si="49"/>
        <v>-10.546198172874202</v>
      </c>
      <c r="R287" s="12">
        <f t="shared" si="50"/>
        <v>-9.9461981728742028</v>
      </c>
      <c r="S287" s="12">
        <f t="shared" si="51"/>
        <v>18.773711949455539</v>
      </c>
      <c r="T287" s="12">
        <v>11.6</v>
      </c>
      <c r="U287" s="11"/>
      <c r="W287" s="5"/>
      <c r="X287" s="5">
        <f t="shared" si="52"/>
        <v>284.60000000000002</v>
      </c>
      <c r="Y287" s="5"/>
      <c r="Z287" s="5"/>
      <c r="AA287" s="4" t="s">
        <v>259</v>
      </c>
      <c r="AC287" s="11">
        <v>170</v>
      </c>
      <c r="AD287" s="3">
        <f t="shared" si="45"/>
        <v>22.002803789850979</v>
      </c>
      <c r="AE287" s="3">
        <v>34</v>
      </c>
      <c r="AF287" s="57">
        <f t="shared" si="53"/>
        <v>4.3189637892038397E-2</v>
      </c>
      <c r="AG287" s="12">
        <f t="shared" si="54"/>
        <v>509.44635944509713</v>
      </c>
    </row>
    <row r="288" spans="1:33" ht="14.4" customHeight="1" x14ac:dyDescent="0.25">
      <c r="A288" s="76">
        <v>19869</v>
      </c>
      <c r="B288" s="24">
        <v>438</v>
      </c>
      <c r="C288" s="8">
        <f t="shared" si="47"/>
        <v>5</v>
      </c>
      <c r="D288" s="8">
        <f t="shared" si="48"/>
        <v>6</v>
      </c>
      <c r="E288" s="24">
        <v>433</v>
      </c>
      <c r="F288" s="24">
        <v>444</v>
      </c>
      <c r="G288" s="25" t="s">
        <v>552</v>
      </c>
      <c r="H288" s="29">
        <v>757868</v>
      </c>
      <c r="I288" s="29" t="s">
        <v>214</v>
      </c>
      <c r="J288" s="34" t="s">
        <v>1</v>
      </c>
      <c r="K288" s="34" t="s">
        <v>0</v>
      </c>
      <c r="L288" s="30">
        <f>AVERAGE(-28.57,-29.5,-28.5,-29.3)</f>
        <v>-28.967499999999998</v>
      </c>
      <c r="M288" s="25" t="s">
        <v>293</v>
      </c>
      <c r="N288" s="5">
        <f t="shared" si="55"/>
        <v>-25.467499999999998</v>
      </c>
      <c r="O288" s="5">
        <v>1.2</v>
      </c>
      <c r="P288" s="4" t="s">
        <v>409</v>
      </c>
      <c r="Q288" s="12">
        <f t="shared" si="49"/>
        <v>-8.7666666666666622</v>
      </c>
      <c r="R288" s="12">
        <f t="shared" si="50"/>
        <v>-8.5666666666666629</v>
      </c>
      <c r="S288" s="12">
        <f t="shared" si="51"/>
        <v>17.342503542296718</v>
      </c>
      <c r="T288" s="12">
        <v>27</v>
      </c>
      <c r="U288" s="11"/>
      <c r="W288" s="5"/>
      <c r="X288" s="5">
        <f t="shared" si="52"/>
        <v>300</v>
      </c>
      <c r="Y288" s="5">
        <v>-42.46</v>
      </c>
      <c r="Z288" s="5"/>
      <c r="AA288" s="4"/>
      <c r="AB288" s="4" t="s">
        <v>411</v>
      </c>
      <c r="AC288" s="11">
        <v>170</v>
      </c>
      <c r="AD288" s="3">
        <f t="shared" si="45"/>
        <v>18.564025744939936</v>
      </c>
      <c r="AE288" s="3">
        <v>34</v>
      </c>
      <c r="AF288" s="57">
        <f t="shared" si="53"/>
        <v>2.7861313375427174E-2</v>
      </c>
      <c r="AG288" s="12">
        <f t="shared" si="54"/>
        <v>666.30117162074771</v>
      </c>
    </row>
    <row r="289" spans="1:33" ht="14.4" customHeight="1" x14ac:dyDescent="0.25">
      <c r="A289" s="76">
        <v>19870</v>
      </c>
      <c r="B289" s="3">
        <v>450</v>
      </c>
      <c r="C289" s="8">
        <f t="shared" si="47"/>
        <v>6.6000000000000227</v>
      </c>
      <c r="D289" s="8">
        <f t="shared" si="48"/>
        <v>8.3999999999999773</v>
      </c>
      <c r="E289" s="3">
        <v>443.4</v>
      </c>
      <c r="F289" s="3">
        <v>458.4</v>
      </c>
      <c r="G289" s="4" t="s">
        <v>233</v>
      </c>
      <c r="H289" s="4" t="s">
        <v>20</v>
      </c>
      <c r="I289" s="4" t="s">
        <v>11</v>
      </c>
      <c r="J289" s="11" t="s">
        <v>4</v>
      </c>
      <c r="K289" s="11" t="s">
        <v>0</v>
      </c>
      <c r="L289" s="5">
        <v>-33.9</v>
      </c>
      <c r="M289" s="4" t="s">
        <v>6</v>
      </c>
      <c r="N289" s="5">
        <f t="shared" si="55"/>
        <v>-30.4</v>
      </c>
      <c r="O289" s="5">
        <v>1</v>
      </c>
      <c r="P289" s="4" t="s">
        <v>410</v>
      </c>
      <c r="Q289" s="12">
        <f t="shared" si="49"/>
        <v>-10.458718631711765</v>
      </c>
      <c r="R289" s="12">
        <f t="shared" si="50"/>
        <v>-10.458718631711765</v>
      </c>
      <c r="S289" s="12">
        <f t="shared" si="51"/>
        <v>20.566503061353323</v>
      </c>
      <c r="T289" s="12">
        <f t="shared" ref="T289:T308" si="56">U289+V289</f>
        <v>12.32</v>
      </c>
      <c r="U289" s="12">
        <v>10.15</v>
      </c>
      <c r="V289" s="12">
        <f t="shared" ref="V289:V299" si="57">4.34/2</f>
        <v>2.17</v>
      </c>
      <c r="W289" s="5" t="s">
        <v>176</v>
      </c>
      <c r="X289" s="5">
        <f t="shared" si="52"/>
        <v>285.32</v>
      </c>
      <c r="Y289" s="5">
        <v>-10.5</v>
      </c>
      <c r="Z289" s="23" t="s">
        <v>261</v>
      </c>
      <c r="AA289" s="4" t="s">
        <v>190</v>
      </c>
      <c r="AB289" s="4" t="s">
        <v>177</v>
      </c>
      <c r="AC289" s="11">
        <v>170</v>
      </c>
      <c r="AD289" s="3">
        <f t="shared" si="45"/>
        <v>28.650895375497392</v>
      </c>
      <c r="AE289" s="3">
        <v>34</v>
      </c>
      <c r="AF289" s="57">
        <f t="shared" si="53"/>
        <v>4.2199101357315645E-2</v>
      </c>
      <c r="AG289" s="12">
        <f t="shared" si="54"/>
        <v>678.94562808102228</v>
      </c>
    </row>
    <row r="290" spans="1:33" ht="14.4" customHeight="1" x14ac:dyDescent="0.25">
      <c r="A290" s="76">
        <v>19871</v>
      </c>
      <c r="B290" s="3">
        <v>450</v>
      </c>
      <c r="C290" s="8">
        <f t="shared" si="47"/>
        <v>6.6000000000000227</v>
      </c>
      <c r="D290" s="8">
        <f t="shared" si="48"/>
        <v>8.3999999999999773</v>
      </c>
      <c r="E290" s="3">
        <v>443.4</v>
      </c>
      <c r="F290" s="3">
        <v>458.4</v>
      </c>
      <c r="G290" s="4" t="s">
        <v>233</v>
      </c>
      <c r="H290" s="4" t="s">
        <v>19</v>
      </c>
      <c r="I290" s="4" t="s">
        <v>11</v>
      </c>
      <c r="J290" s="11" t="s">
        <v>4</v>
      </c>
      <c r="K290" s="11" t="s">
        <v>0</v>
      </c>
      <c r="L290" s="5">
        <v>-33.700000000000003</v>
      </c>
      <c r="M290" s="4" t="s">
        <v>6</v>
      </c>
      <c r="N290" s="5">
        <f t="shared" si="55"/>
        <v>-30.200000000000003</v>
      </c>
      <c r="O290" s="5">
        <v>1</v>
      </c>
      <c r="P290" s="4" t="s">
        <v>410</v>
      </c>
      <c r="Q290" s="12">
        <f t="shared" si="49"/>
        <v>-10.458718631711765</v>
      </c>
      <c r="R290" s="12">
        <f t="shared" si="50"/>
        <v>-10.458718631711765</v>
      </c>
      <c r="S290" s="12">
        <f t="shared" si="51"/>
        <v>20.356033582479061</v>
      </c>
      <c r="T290" s="12">
        <f t="shared" si="56"/>
        <v>12.32</v>
      </c>
      <c r="U290" s="12">
        <v>10.15</v>
      </c>
      <c r="V290" s="12">
        <f t="shared" si="57"/>
        <v>2.17</v>
      </c>
      <c r="W290" s="5" t="s">
        <v>176</v>
      </c>
      <c r="X290" s="5">
        <f t="shared" si="52"/>
        <v>285.32</v>
      </c>
      <c r="Y290" s="5">
        <v>-10.5</v>
      </c>
      <c r="Z290" s="23" t="s">
        <v>261</v>
      </c>
      <c r="AA290" s="4" t="s">
        <v>190</v>
      </c>
      <c r="AB290" s="4" t="s">
        <v>177</v>
      </c>
      <c r="AC290" s="11">
        <v>170</v>
      </c>
      <c r="AD290" s="3">
        <f t="shared" si="45"/>
        <v>27.669422071579969</v>
      </c>
      <c r="AE290" s="3">
        <v>34</v>
      </c>
      <c r="AF290" s="57">
        <f t="shared" si="53"/>
        <v>4.2199101357315645E-2</v>
      </c>
      <c r="AG290" s="12">
        <f t="shared" si="54"/>
        <v>655.68747157178962</v>
      </c>
    </row>
    <row r="291" spans="1:33" ht="14.4" customHeight="1" x14ac:dyDescent="0.25">
      <c r="A291" s="76">
        <v>19872</v>
      </c>
      <c r="B291" s="3">
        <v>450</v>
      </c>
      <c r="C291" s="8">
        <f t="shared" si="47"/>
        <v>6.6000000000000227</v>
      </c>
      <c r="D291" s="8">
        <f t="shared" si="48"/>
        <v>8.3999999999999773</v>
      </c>
      <c r="E291" s="3">
        <v>443.4</v>
      </c>
      <c r="F291" s="3">
        <v>458.4</v>
      </c>
      <c r="G291" s="4" t="s">
        <v>233</v>
      </c>
      <c r="H291" s="4" t="s">
        <v>16</v>
      </c>
      <c r="I291" s="4" t="s">
        <v>11</v>
      </c>
      <c r="J291" s="11" t="s">
        <v>4</v>
      </c>
      <c r="K291" s="11" t="s">
        <v>0</v>
      </c>
      <c r="L291" s="5">
        <v>-33.700000000000003</v>
      </c>
      <c r="M291" s="4" t="s">
        <v>6</v>
      </c>
      <c r="N291" s="5">
        <f t="shared" si="55"/>
        <v>-30.200000000000003</v>
      </c>
      <c r="O291" s="5">
        <v>1</v>
      </c>
      <c r="P291" s="4" t="s">
        <v>410</v>
      </c>
      <c r="Q291" s="12">
        <f t="shared" si="49"/>
        <v>-10.458718631711765</v>
      </c>
      <c r="R291" s="12">
        <f t="shared" si="50"/>
        <v>-10.458718631711765</v>
      </c>
      <c r="S291" s="12">
        <f t="shared" si="51"/>
        <v>20.356033582479061</v>
      </c>
      <c r="T291" s="12">
        <f t="shared" si="56"/>
        <v>12.32</v>
      </c>
      <c r="U291" s="12">
        <v>10.15</v>
      </c>
      <c r="V291" s="12">
        <f t="shared" si="57"/>
        <v>2.17</v>
      </c>
      <c r="W291" s="5" t="s">
        <v>176</v>
      </c>
      <c r="X291" s="5">
        <f t="shared" si="52"/>
        <v>285.32</v>
      </c>
      <c r="Y291" s="5">
        <v>-10.5</v>
      </c>
      <c r="Z291" s="23" t="s">
        <v>261</v>
      </c>
      <c r="AA291" s="4" t="s">
        <v>190</v>
      </c>
      <c r="AB291" s="4" t="s">
        <v>177</v>
      </c>
      <c r="AC291" s="11">
        <v>170</v>
      </c>
      <c r="AD291" s="3">
        <f t="shared" si="45"/>
        <v>27.669422071579969</v>
      </c>
      <c r="AE291" s="3">
        <v>34</v>
      </c>
      <c r="AF291" s="57">
        <f t="shared" si="53"/>
        <v>4.2199101357315645E-2</v>
      </c>
      <c r="AG291" s="12">
        <f t="shared" si="54"/>
        <v>655.68747157178962</v>
      </c>
    </row>
    <row r="292" spans="1:33" ht="14.4" customHeight="1" x14ac:dyDescent="0.25">
      <c r="A292" s="76">
        <v>19873</v>
      </c>
      <c r="B292" s="3">
        <v>450</v>
      </c>
      <c r="C292" s="8">
        <f t="shared" si="47"/>
        <v>6.6000000000000227</v>
      </c>
      <c r="D292" s="8">
        <f t="shared" si="48"/>
        <v>8.3999999999999773</v>
      </c>
      <c r="E292" s="3">
        <v>443.4</v>
      </c>
      <c r="F292" s="3">
        <v>458.4</v>
      </c>
      <c r="G292" s="4" t="s">
        <v>233</v>
      </c>
      <c r="H292" s="4" t="s">
        <v>15</v>
      </c>
      <c r="I292" s="4" t="s">
        <v>11</v>
      </c>
      <c r="J292" s="11" t="s">
        <v>4</v>
      </c>
      <c r="K292" s="11" t="s">
        <v>0</v>
      </c>
      <c r="L292" s="5">
        <v>-34.200000000000003</v>
      </c>
      <c r="M292" s="4" t="s">
        <v>6</v>
      </c>
      <c r="N292" s="5">
        <f t="shared" si="55"/>
        <v>-30.700000000000003</v>
      </c>
      <c r="O292" s="5">
        <v>1</v>
      </c>
      <c r="P292" s="4" t="s">
        <v>410</v>
      </c>
      <c r="Q292" s="12">
        <f t="shared" si="49"/>
        <v>-10.458718631711765</v>
      </c>
      <c r="R292" s="12">
        <f t="shared" si="50"/>
        <v>-10.458718631711765</v>
      </c>
      <c r="S292" s="12">
        <f t="shared" si="51"/>
        <v>20.882370131319661</v>
      </c>
      <c r="T292" s="12">
        <f t="shared" si="56"/>
        <v>12.32</v>
      </c>
      <c r="U292" s="12">
        <v>10.15</v>
      </c>
      <c r="V292" s="12">
        <f t="shared" si="57"/>
        <v>2.17</v>
      </c>
      <c r="W292" s="5" t="s">
        <v>176</v>
      </c>
      <c r="X292" s="5">
        <f t="shared" si="52"/>
        <v>285.32</v>
      </c>
      <c r="Y292" s="5">
        <v>-10.5</v>
      </c>
      <c r="Z292" s="23" t="s">
        <v>261</v>
      </c>
      <c r="AA292" s="4" t="s">
        <v>190</v>
      </c>
      <c r="AB292" s="4" t="s">
        <v>177</v>
      </c>
      <c r="AC292" s="11">
        <v>170</v>
      </c>
      <c r="AD292" s="3">
        <f t="shared" si="45"/>
        <v>30.261872706813879</v>
      </c>
      <c r="AE292" s="3">
        <v>34</v>
      </c>
      <c r="AF292" s="57">
        <f t="shared" si="53"/>
        <v>4.2199101357315645E-2</v>
      </c>
      <c r="AG292" s="12">
        <f t="shared" si="54"/>
        <v>717.12125930301772</v>
      </c>
    </row>
    <row r="293" spans="1:33" ht="14.4" customHeight="1" x14ac:dyDescent="0.25">
      <c r="A293" s="76">
        <v>19874</v>
      </c>
      <c r="B293" s="3">
        <v>450</v>
      </c>
      <c r="C293" s="8">
        <f t="shared" si="47"/>
        <v>6.6000000000000227</v>
      </c>
      <c r="D293" s="8">
        <f t="shared" si="48"/>
        <v>8.3999999999999773</v>
      </c>
      <c r="E293" s="3">
        <v>443.4</v>
      </c>
      <c r="F293" s="3">
        <v>458.4</v>
      </c>
      <c r="G293" s="4" t="s">
        <v>233</v>
      </c>
      <c r="H293" s="4" t="s">
        <v>14</v>
      </c>
      <c r="I293" s="4" t="s">
        <v>11</v>
      </c>
      <c r="J293" s="11" t="s">
        <v>4</v>
      </c>
      <c r="K293" s="11" t="s">
        <v>0</v>
      </c>
      <c r="L293" s="5">
        <v>-32.799999999999997</v>
      </c>
      <c r="M293" s="4" t="s">
        <v>6</v>
      </c>
      <c r="N293" s="5">
        <f t="shared" si="55"/>
        <v>-29.299999999999997</v>
      </c>
      <c r="O293" s="5">
        <v>1</v>
      </c>
      <c r="P293" s="4" t="s">
        <v>410</v>
      </c>
      <c r="Q293" s="12">
        <f t="shared" si="49"/>
        <v>-10.458718631711765</v>
      </c>
      <c r="R293" s="12">
        <f t="shared" si="50"/>
        <v>-10.458718631711765</v>
      </c>
      <c r="S293" s="12">
        <f t="shared" si="51"/>
        <v>19.409994198298364</v>
      </c>
      <c r="T293" s="12">
        <f t="shared" si="56"/>
        <v>12.32</v>
      </c>
      <c r="U293" s="12">
        <v>10.15</v>
      </c>
      <c r="V293" s="12">
        <f t="shared" si="57"/>
        <v>2.17</v>
      </c>
      <c r="W293" s="5" t="s">
        <v>176</v>
      </c>
      <c r="X293" s="5">
        <f t="shared" si="52"/>
        <v>285.32</v>
      </c>
      <c r="Y293" s="5">
        <v>-10.5</v>
      </c>
      <c r="Z293" s="23" t="s">
        <v>261</v>
      </c>
      <c r="AA293" s="4" t="s">
        <v>190</v>
      </c>
      <c r="AB293" s="4" t="s">
        <v>177</v>
      </c>
      <c r="AC293" s="11">
        <v>170</v>
      </c>
      <c r="AD293" s="3">
        <f t="shared" si="45"/>
        <v>23.977413383667354</v>
      </c>
      <c r="AE293" s="3">
        <v>34</v>
      </c>
      <c r="AF293" s="57">
        <f t="shared" si="53"/>
        <v>4.2199101357315645E-2</v>
      </c>
      <c r="AG293" s="12">
        <f t="shared" si="54"/>
        <v>568.19725094716091</v>
      </c>
    </row>
    <row r="294" spans="1:33" ht="14.4" customHeight="1" x14ac:dyDescent="0.25">
      <c r="A294" s="76">
        <v>19875</v>
      </c>
      <c r="B294" s="3">
        <v>450</v>
      </c>
      <c r="C294" s="8">
        <f t="shared" si="47"/>
        <v>6.6000000000000227</v>
      </c>
      <c r="D294" s="8">
        <f t="shared" si="48"/>
        <v>8.3999999999999773</v>
      </c>
      <c r="E294" s="3">
        <v>443.4</v>
      </c>
      <c r="F294" s="3">
        <v>458.4</v>
      </c>
      <c r="G294" s="4" t="s">
        <v>233</v>
      </c>
      <c r="H294" s="4" t="s">
        <v>13</v>
      </c>
      <c r="I294" s="4" t="s">
        <v>11</v>
      </c>
      <c r="J294" s="11" t="s">
        <v>4</v>
      </c>
      <c r="K294" s="11" t="s">
        <v>0</v>
      </c>
      <c r="L294" s="5">
        <v>-34.200000000000003</v>
      </c>
      <c r="M294" s="4" t="s">
        <v>6</v>
      </c>
      <c r="N294" s="5">
        <f t="shared" si="55"/>
        <v>-30.700000000000003</v>
      </c>
      <c r="O294" s="5">
        <v>1</v>
      </c>
      <c r="P294" s="4" t="s">
        <v>410</v>
      </c>
      <c r="Q294" s="12">
        <f t="shared" si="49"/>
        <v>-10.458718631711765</v>
      </c>
      <c r="R294" s="12">
        <f t="shared" si="50"/>
        <v>-10.458718631711765</v>
      </c>
      <c r="S294" s="12">
        <f t="shared" si="51"/>
        <v>20.882370131319661</v>
      </c>
      <c r="T294" s="12">
        <f t="shared" si="56"/>
        <v>12.32</v>
      </c>
      <c r="U294" s="12">
        <v>10.15</v>
      </c>
      <c r="V294" s="12">
        <f t="shared" si="57"/>
        <v>2.17</v>
      </c>
      <c r="W294" s="5" t="s">
        <v>176</v>
      </c>
      <c r="X294" s="5">
        <f t="shared" si="52"/>
        <v>285.32</v>
      </c>
      <c r="Y294" s="5">
        <v>-10.5</v>
      </c>
      <c r="Z294" s="23" t="s">
        <v>261</v>
      </c>
      <c r="AA294" s="4" t="s">
        <v>190</v>
      </c>
      <c r="AB294" s="4" t="s">
        <v>177</v>
      </c>
      <c r="AC294" s="11">
        <v>170</v>
      </c>
      <c r="AD294" s="3">
        <f t="shared" si="45"/>
        <v>30.261872706813879</v>
      </c>
      <c r="AE294" s="3">
        <v>34</v>
      </c>
      <c r="AF294" s="57">
        <f t="shared" si="53"/>
        <v>4.2199101357315645E-2</v>
      </c>
      <c r="AG294" s="12">
        <f t="shared" si="54"/>
        <v>717.12125930301772</v>
      </c>
    </row>
    <row r="295" spans="1:33" ht="14.4" customHeight="1" x14ac:dyDescent="0.25">
      <c r="A295" s="76">
        <v>19876</v>
      </c>
      <c r="B295" s="3">
        <v>450</v>
      </c>
      <c r="C295" s="8">
        <f t="shared" si="47"/>
        <v>6.6000000000000227</v>
      </c>
      <c r="D295" s="8">
        <f t="shared" si="48"/>
        <v>8.3999999999999773</v>
      </c>
      <c r="E295" s="3">
        <v>443.4</v>
      </c>
      <c r="F295" s="3">
        <v>458.4</v>
      </c>
      <c r="G295" s="4" t="s">
        <v>233</v>
      </c>
      <c r="H295" s="4" t="s">
        <v>12</v>
      </c>
      <c r="I295" s="4" t="s">
        <v>11</v>
      </c>
      <c r="J295" s="11" t="s">
        <v>4</v>
      </c>
      <c r="K295" s="11" t="s">
        <v>0</v>
      </c>
      <c r="L295" s="5">
        <v>-34</v>
      </c>
      <c r="M295" s="4" t="s">
        <v>6</v>
      </c>
      <c r="N295" s="5">
        <f t="shared" si="55"/>
        <v>-30.5</v>
      </c>
      <c r="O295" s="5">
        <v>1</v>
      </c>
      <c r="P295" s="4" t="s">
        <v>410</v>
      </c>
      <c r="Q295" s="12">
        <f t="shared" si="49"/>
        <v>-10.458718631711765</v>
      </c>
      <c r="R295" s="12">
        <f t="shared" si="50"/>
        <v>-10.458718631711765</v>
      </c>
      <c r="S295" s="12">
        <f t="shared" si="51"/>
        <v>20.671770364402377</v>
      </c>
      <c r="T295" s="12">
        <f t="shared" si="56"/>
        <v>12.32</v>
      </c>
      <c r="U295" s="12">
        <v>10.15</v>
      </c>
      <c r="V295" s="12">
        <f t="shared" si="57"/>
        <v>2.17</v>
      </c>
      <c r="W295" s="5" t="s">
        <v>176</v>
      </c>
      <c r="X295" s="5">
        <f t="shared" si="52"/>
        <v>285.32</v>
      </c>
      <c r="Y295" s="5">
        <v>-10.5</v>
      </c>
      <c r="Z295" s="23" t="s">
        <v>261</v>
      </c>
      <c r="AA295" s="4" t="s">
        <v>190</v>
      </c>
      <c r="AB295" s="4" t="s">
        <v>177</v>
      </c>
      <c r="AC295" s="11">
        <v>170</v>
      </c>
      <c r="AD295" s="3">
        <f t="shared" si="45"/>
        <v>29.168377128051908</v>
      </c>
      <c r="AE295" s="3">
        <v>34</v>
      </c>
      <c r="AF295" s="57">
        <f t="shared" si="53"/>
        <v>4.2199101357315645E-2</v>
      </c>
      <c r="AG295" s="12">
        <f t="shared" si="54"/>
        <v>691.20848998826546</v>
      </c>
    </row>
    <row r="296" spans="1:33" ht="14.4" customHeight="1" x14ac:dyDescent="0.25">
      <c r="A296" s="76">
        <v>19877</v>
      </c>
      <c r="B296" s="3">
        <v>450</v>
      </c>
      <c r="C296" s="8">
        <f t="shared" si="47"/>
        <v>6.6000000000000227</v>
      </c>
      <c r="D296" s="8">
        <f t="shared" si="48"/>
        <v>8.3999999999999773</v>
      </c>
      <c r="E296" s="3">
        <v>443.4</v>
      </c>
      <c r="F296" s="3">
        <v>458.4</v>
      </c>
      <c r="G296" s="4" t="s">
        <v>233</v>
      </c>
      <c r="H296" s="4" t="s">
        <v>10</v>
      </c>
      <c r="I296" s="4" t="s">
        <v>191</v>
      </c>
      <c r="J296" s="11" t="s">
        <v>4</v>
      </c>
      <c r="K296" s="11" t="s">
        <v>0</v>
      </c>
      <c r="L296" s="5">
        <v>-33.4</v>
      </c>
      <c r="M296" s="4" t="s">
        <v>6</v>
      </c>
      <c r="N296" s="5">
        <f t="shared" si="55"/>
        <v>-29.9</v>
      </c>
      <c r="O296" s="5">
        <v>1</v>
      </c>
      <c r="P296" s="4" t="s">
        <v>410</v>
      </c>
      <c r="Q296" s="12">
        <f t="shared" si="49"/>
        <v>-10.70281519130312</v>
      </c>
      <c r="R296" s="12">
        <f t="shared" si="50"/>
        <v>-10.70281519130312</v>
      </c>
      <c r="S296" s="12">
        <f t="shared" si="51"/>
        <v>19.788872084008702</v>
      </c>
      <c r="T296" s="12">
        <f t="shared" si="56"/>
        <v>10.32</v>
      </c>
      <c r="U296" s="12">
        <v>8.15</v>
      </c>
      <c r="V296" s="12">
        <f t="shared" si="57"/>
        <v>2.17</v>
      </c>
      <c r="W296" s="5" t="s">
        <v>176</v>
      </c>
      <c r="X296" s="5">
        <f t="shared" si="52"/>
        <v>283.32</v>
      </c>
      <c r="Y296" s="5">
        <v>-11.1</v>
      </c>
      <c r="Z296" s="23" t="s">
        <v>260</v>
      </c>
      <c r="AA296" s="4" t="s">
        <v>191</v>
      </c>
      <c r="AB296" s="4" t="s">
        <v>177</v>
      </c>
      <c r="AC296" s="11">
        <v>170</v>
      </c>
      <c r="AD296" s="3">
        <f t="shared" si="45"/>
        <v>25.331062397860638</v>
      </c>
      <c r="AE296" s="3">
        <v>34</v>
      </c>
      <c r="AF296" s="57">
        <f t="shared" si="53"/>
        <v>4.5039792871251733E-2</v>
      </c>
      <c r="AG296" s="12">
        <f t="shared" si="54"/>
        <v>562.41516186077092</v>
      </c>
    </row>
    <row r="297" spans="1:33" ht="14.4" customHeight="1" x14ac:dyDescent="0.25">
      <c r="A297" s="76">
        <v>19878</v>
      </c>
      <c r="B297" s="3">
        <v>450</v>
      </c>
      <c r="C297" s="8">
        <f t="shared" si="47"/>
        <v>6.6000000000000227</v>
      </c>
      <c r="D297" s="8">
        <f t="shared" si="48"/>
        <v>8.3999999999999773</v>
      </c>
      <c r="E297" s="3">
        <v>443.4</v>
      </c>
      <c r="F297" s="3">
        <v>458.4</v>
      </c>
      <c r="G297" s="4" t="s">
        <v>233</v>
      </c>
      <c r="H297" s="4" t="s">
        <v>9</v>
      </c>
      <c r="I297" s="4" t="s">
        <v>191</v>
      </c>
      <c r="J297" s="11" t="s">
        <v>4</v>
      </c>
      <c r="K297" s="11" t="s">
        <v>0</v>
      </c>
      <c r="L297" s="5">
        <v>-33.799999999999997</v>
      </c>
      <c r="M297" s="4" t="s">
        <v>6</v>
      </c>
      <c r="N297" s="5">
        <f t="shared" si="55"/>
        <v>-30.299999999999997</v>
      </c>
      <c r="O297" s="5">
        <v>1</v>
      </c>
      <c r="P297" s="4" t="s">
        <v>410</v>
      </c>
      <c r="Q297" s="12">
        <f t="shared" si="49"/>
        <v>-10.70281519130312</v>
      </c>
      <c r="R297" s="12">
        <f t="shared" si="50"/>
        <v>-10.70281519130312</v>
      </c>
      <c r="S297" s="12">
        <f t="shared" si="51"/>
        <v>20.209533679175884</v>
      </c>
      <c r="T297" s="12">
        <f t="shared" si="56"/>
        <v>10.32</v>
      </c>
      <c r="U297" s="12">
        <v>8.15</v>
      </c>
      <c r="V297" s="12">
        <f t="shared" si="57"/>
        <v>2.17</v>
      </c>
      <c r="W297" s="5" t="s">
        <v>176</v>
      </c>
      <c r="X297" s="5">
        <f t="shared" si="52"/>
        <v>283.32</v>
      </c>
      <c r="Y297" s="5">
        <v>-11.1</v>
      </c>
      <c r="Z297" s="23" t="s">
        <v>260</v>
      </c>
      <c r="AA297" s="4" t="s">
        <v>191</v>
      </c>
      <c r="AB297" s="4" t="s">
        <v>177</v>
      </c>
      <c r="AC297" s="11">
        <v>170</v>
      </c>
      <c r="AD297" s="3">
        <f t="shared" si="45"/>
        <v>27.025023476753667</v>
      </c>
      <c r="AE297" s="3">
        <v>34</v>
      </c>
      <c r="AF297" s="57">
        <f t="shared" si="53"/>
        <v>4.5039792871251733E-2</v>
      </c>
      <c r="AG297" s="12">
        <f t="shared" si="54"/>
        <v>600.02548311014459</v>
      </c>
    </row>
    <row r="298" spans="1:33" ht="14.4" customHeight="1" x14ac:dyDescent="0.25">
      <c r="A298" s="76">
        <v>19879</v>
      </c>
      <c r="B298" s="3">
        <v>450</v>
      </c>
      <c r="C298" s="8">
        <f t="shared" si="47"/>
        <v>6.6000000000000227</v>
      </c>
      <c r="D298" s="8">
        <f t="shared" si="48"/>
        <v>8.3999999999999773</v>
      </c>
      <c r="E298" s="3">
        <v>443.4</v>
      </c>
      <c r="F298" s="3">
        <v>458.4</v>
      </c>
      <c r="G298" s="4" t="s">
        <v>233</v>
      </c>
      <c r="H298" s="4" t="s">
        <v>8</v>
      </c>
      <c r="I298" s="4" t="s">
        <v>191</v>
      </c>
      <c r="J298" s="11" t="s">
        <v>4</v>
      </c>
      <c r="K298" s="11" t="s">
        <v>0</v>
      </c>
      <c r="L298" s="5">
        <v>-33.4</v>
      </c>
      <c r="M298" s="4" t="s">
        <v>6</v>
      </c>
      <c r="N298" s="5">
        <f t="shared" si="55"/>
        <v>-29.9</v>
      </c>
      <c r="O298" s="5">
        <v>1</v>
      </c>
      <c r="P298" s="4" t="s">
        <v>410</v>
      </c>
      <c r="Q298" s="12">
        <f t="shared" si="49"/>
        <v>-10.70281519130312</v>
      </c>
      <c r="R298" s="12">
        <f t="shared" si="50"/>
        <v>-10.70281519130312</v>
      </c>
      <c r="S298" s="12">
        <f t="shared" si="51"/>
        <v>19.788872084008702</v>
      </c>
      <c r="T298" s="12">
        <f t="shared" si="56"/>
        <v>10.32</v>
      </c>
      <c r="U298" s="12">
        <v>8.15</v>
      </c>
      <c r="V298" s="12">
        <f t="shared" si="57"/>
        <v>2.17</v>
      </c>
      <c r="W298" s="5" t="s">
        <v>176</v>
      </c>
      <c r="X298" s="5">
        <f t="shared" si="52"/>
        <v>283.32</v>
      </c>
      <c r="Y298" s="5">
        <v>-11.1</v>
      </c>
      <c r="Z298" s="23" t="s">
        <v>260</v>
      </c>
      <c r="AA298" s="4" t="s">
        <v>191</v>
      </c>
      <c r="AB298" s="4" t="s">
        <v>177</v>
      </c>
      <c r="AC298" s="11">
        <v>170</v>
      </c>
      <c r="AD298" s="3">
        <f t="shared" si="45"/>
        <v>25.331062397860638</v>
      </c>
      <c r="AE298" s="3">
        <v>34</v>
      </c>
      <c r="AF298" s="57">
        <f t="shared" si="53"/>
        <v>4.5039792871251733E-2</v>
      </c>
      <c r="AG298" s="12">
        <f t="shared" si="54"/>
        <v>562.41516186077092</v>
      </c>
    </row>
    <row r="299" spans="1:33" ht="14.4" customHeight="1" x14ac:dyDescent="0.25">
      <c r="A299" s="76">
        <v>19880</v>
      </c>
      <c r="B299" s="3">
        <v>450</v>
      </c>
      <c r="C299" s="8">
        <f t="shared" si="47"/>
        <v>6.6000000000000227</v>
      </c>
      <c r="D299" s="8">
        <f t="shared" si="48"/>
        <v>8.3999999999999773</v>
      </c>
      <c r="E299" s="3">
        <v>443.4</v>
      </c>
      <c r="F299" s="3">
        <v>458.4</v>
      </c>
      <c r="G299" s="4" t="s">
        <v>233</v>
      </c>
      <c r="H299" s="4" t="s">
        <v>7</v>
      </c>
      <c r="I299" s="4" t="s">
        <v>191</v>
      </c>
      <c r="J299" s="11" t="s">
        <v>4</v>
      </c>
      <c r="K299" s="11" t="s">
        <v>0</v>
      </c>
      <c r="L299" s="5">
        <v>-33.1</v>
      </c>
      <c r="M299" s="4" t="s">
        <v>6</v>
      </c>
      <c r="N299" s="5">
        <f t="shared" si="55"/>
        <v>-29.6</v>
      </c>
      <c r="O299" s="5">
        <v>1</v>
      </c>
      <c r="P299" s="4" t="s">
        <v>410</v>
      </c>
      <c r="Q299" s="12">
        <f t="shared" si="49"/>
        <v>-10.70281519130312</v>
      </c>
      <c r="R299" s="12">
        <f t="shared" si="50"/>
        <v>-10.70281519130312</v>
      </c>
      <c r="S299" s="12">
        <f t="shared" si="51"/>
        <v>19.473603471451995</v>
      </c>
      <c r="T299" s="12">
        <f t="shared" si="56"/>
        <v>10.32</v>
      </c>
      <c r="U299" s="12">
        <v>8.15</v>
      </c>
      <c r="V299" s="12">
        <f t="shared" si="57"/>
        <v>2.17</v>
      </c>
      <c r="W299" s="5" t="s">
        <v>176</v>
      </c>
      <c r="X299" s="5">
        <f t="shared" si="52"/>
        <v>283.32</v>
      </c>
      <c r="Y299" s="5">
        <v>-11.1</v>
      </c>
      <c r="Z299" s="23" t="s">
        <v>260</v>
      </c>
      <c r="AA299" s="4" t="s">
        <v>191</v>
      </c>
      <c r="AB299" s="4" t="s">
        <v>177</v>
      </c>
      <c r="AC299" s="11">
        <v>170</v>
      </c>
      <c r="AD299" s="3">
        <f t="shared" si="45"/>
        <v>24.194478536657574</v>
      </c>
      <c r="AE299" s="3">
        <v>34</v>
      </c>
      <c r="AF299" s="57">
        <f t="shared" si="53"/>
        <v>4.5039792871251733E-2</v>
      </c>
      <c r="AG299" s="12">
        <f t="shared" si="54"/>
        <v>537.18005777288045</v>
      </c>
    </row>
    <row r="300" spans="1:33" ht="14.4" customHeight="1" x14ac:dyDescent="0.25">
      <c r="A300" s="76">
        <v>19881</v>
      </c>
      <c r="B300" s="3">
        <v>452</v>
      </c>
      <c r="C300" s="8">
        <f t="shared" si="47"/>
        <v>2</v>
      </c>
      <c r="D300" s="8">
        <f t="shared" si="48"/>
        <v>3</v>
      </c>
      <c r="E300" s="3">
        <v>450</v>
      </c>
      <c r="F300" s="3">
        <v>455</v>
      </c>
      <c r="G300" s="4" t="s">
        <v>234</v>
      </c>
      <c r="H300" s="31">
        <v>201</v>
      </c>
      <c r="I300" s="4" t="s">
        <v>5</v>
      </c>
      <c r="J300" s="11" t="s">
        <v>4</v>
      </c>
      <c r="K300" s="11" t="s">
        <v>0</v>
      </c>
      <c r="L300" s="31">
        <v>-30</v>
      </c>
      <c r="M300" s="4" t="s">
        <v>3</v>
      </c>
      <c r="N300" s="5">
        <f t="shared" si="55"/>
        <v>-26.5</v>
      </c>
      <c r="O300" s="5">
        <v>1</v>
      </c>
      <c r="P300" s="4" t="s">
        <v>410</v>
      </c>
      <c r="Q300" s="12">
        <f t="shared" si="49"/>
        <v>-10.662302132910281</v>
      </c>
      <c r="R300" s="12">
        <f t="shared" si="50"/>
        <v>-10.662302132910281</v>
      </c>
      <c r="S300" s="12">
        <f t="shared" si="51"/>
        <v>16.268821640564646</v>
      </c>
      <c r="T300" s="12">
        <f t="shared" si="56"/>
        <v>10.65</v>
      </c>
      <c r="U300" s="12">
        <v>8.15</v>
      </c>
      <c r="V300" s="12">
        <f t="shared" ref="V300:V308" si="58">5/2</f>
        <v>2.5</v>
      </c>
      <c r="W300" s="5" t="s">
        <v>176</v>
      </c>
      <c r="X300" s="5">
        <f t="shared" si="52"/>
        <v>283.64999999999998</v>
      </c>
      <c r="Y300" s="5">
        <v>-11.1</v>
      </c>
      <c r="Z300" s="23" t="s">
        <v>260</v>
      </c>
      <c r="AA300" s="4" t="s">
        <v>191</v>
      </c>
      <c r="AB300" s="4" t="s">
        <v>177</v>
      </c>
      <c r="AC300" s="11">
        <v>170</v>
      </c>
      <c r="AD300" s="3">
        <f t="shared" si="45"/>
        <v>16.615876884134593</v>
      </c>
      <c r="AE300" s="3">
        <v>34</v>
      </c>
      <c r="AF300" s="57">
        <f t="shared" si="53"/>
        <v>4.4551514997272619E-2</v>
      </c>
      <c r="AG300" s="12">
        <f t="shared" si="54"/>
        <v>372.958739678141</v>
      </c>
    </row>
    <row r="301" spans="1:33" ht="14.4" customHeight="1" x14ac:dyDescent="0.25">
      <c r="A301" s="76">
        <v>19882</v>
      </c>
      <c r="B301" s="3">
        <v>455</v>
      </c>
      <c r="C301" s="8">
        <f t="shared" si="47"/>
        <v>9</v>
      </c>
      <c r="D301" s="8">
        <f t="shared" si="48"/>
        <v>4</v>
      </c>
      <c r="E301" s="3">
        <v>446</v>
      </c>
      <c r="F301" s="3">
        <v>459</v>
      </c>
      <c r="G301" s="4" t="s">
        <v>235</v>
      </c>
      <c r="H301" s="31">
        <v>214.8</v>
      </c>
      <c r="I301" s="4" t="s">
        <v>5</v>
      </c>
      <c r="J301" s="11" t="s">
        <v>4</v>
      </c>
      <c r="K301" s="11" t="s">
        <v>0</v>
      </c>
      <c r="L301" s="31">
        <v>-30</v>
      </c>
      <c r="M301" s="4" t="s">
        <v>3</v>
      </c>
      <c r="N301" s="5">
        <f t="shared" si="55"/>
        <v>-26.5</v>
      </c>
      <c r="O301" s="5">
        <v>1</v>
      </c>
      <c r="P301" s="4" t="s">
        <v>410</v>
      </c>
      <c r="Q301" s="12">
        <f t="shared" si="49"/>
        <v>-10.662302132910281</v>
      </c>
      <c r="R301" s="12">
        <f t="shared" si="50"/>
        <v>-10.662302132910281</v>
      </c>
      <c r="S301" s="12">
        <f t="shared" si="51"/>
        <v>16.268821640564646</v>
      </c>
      <c r="T301" s="12">
        <f t="shared" si="56"/>
        <v>10.65</v>
      </c>
      <c r="U301" s="12">
        <v>8.15</v>
      </c>
      <c r="V301" s="12">
        <f t="shared" si="58"/>
        <v>2.5</v>
      </c>
      <c r="W301" s="5" t="s">
        <v>176</v>
      </c>
      <c r="X301" s="5">
        <f t="shared" si="52"/>
        <v>283.64999999999998</v>
      </c>
      <c r="Y301" s="5">
        <v>-11.1</v>
      </c>
      <c r="Z301" s="23" t="s">
        <v>260</v>
      </c>
      <c r="AA301" s="4" t="s">
        <v>191</v>
      </c>
      <c r="AB301" s="4" t="s">
        <v>177</v>
      </c>
      <c r="AC301" s="11">
        <v>170</v>
      </c>
      <c r="AD301" s="3">
        <f t="shared" si="45"/>
        <v>16.615876884134593</v>
      </c>
      <c r="AE301" s="3">
        <v>34</v>
      </c>
      <c r="AF301" s="57">
        <f t="shared" si="53"/>
        <v>4.4551514997272619E-2</v>
      </c>
      <c r="AG301" s="12">
        <f t="shared" si="54"/>
        <v>372.958739678141</v>
      </c>
    </row>
    <row r="302" spans="1:33" ht="14.4" customHeight="1" x14ac:dyDescent="0.25">
      <c r="A302" s="76">
        <v>19883</v>
      </c>
      <c r="B302" s="3">
        <v>455</v>
      </c>
      <c r="C302" s="8">
        <f t="shared" si="47"/>
        <v>9</v>
      </c>
      <c r="D302" s="8">
        <f t="shared" si="48"/>
        <v>4</v>
      </c>
      <c r="E302" s="3">
        <v>446</v>
      </c>
      <c r="F302" s="3">
        <v>459</v>
      </c>
      <c r="G302" s="4" t="s">
        <v>235</v>
      </c>
      <c r="H302" s="31">
        <v>216.1</v>
      </c>
      <c r="I302" s="4" t="s">
        <v>5</v>
      </c>
      <c r="J302" s="11" t="s">
        <v>4</v>
      </c>
      <c r="K302" s="11" t="s">
        <v>0</v>
      </c>
      <c r="L302" s="31">
        <v>-30.5</v>
      </c>
      <c r="M302" s="4" t="s">
        <v>3</v>
      </c>
      <c r="N302" s="5">
        <f t="shared" si="55"/>
        <v>-27</v>
      </c>
      <c r="O302" s="5">
        <v>1</v>
      </c>
      <c r="P302" s="4" t="s">
        <v>410</v>
      </c>
      <c r="Q302" s="12">
        <f t="shared" si="49"/>
        <v>-10.662302132910281</v>
      </c>
      <c r="R302" s="12">
        <f t="shared" si="50"/>
        <v>-10.662302132910281</v>
      </c>
      <c r="S302" s="12">
        <f t="shared" si="51"/>
        <v>16.791056389609203</v>
      </c>
      <c r="T302" s="12">
        <f t="shared" si="56"/>
        <v>10.65</v>
      </c>
      <c r="U302" s="12">
        <v>8.15</v>
      </c>
      <c r="V302" s="12">
        <f t="shared" si="58"/>
        <v>2.5</v>
      </c>
      <c r="W302" s="5" t="s">
        <v>176</v>
      </c>
      <c r="X302" s="5">
        <f t="shared" si="52"/>
        <v>283.64999999999998</v>
      </c>
      <c r="Y302" s="5">
        <v>-11.1</v>
      </c>
      <c r="Z302" s="23" t="s">
        <v>260</v>
      </c>
      <c r="AA302" s="4" t="s">
        <v>191</v>
      </c>
      <c r="AB302" s="4" t="s">
        <v>177</v>
      </c>
      <c r="AC302" s="11">
        <v>170</v>
      </c>
      <c r="AD302" s="3">
        <f t="shared" si="45"/>
        <v>17.509628938215378</v>
      </c>
      <c r="AE302" s="3">
        <v>34</v>
      </c>
      <c r="AF302" s="57">
        <f t="shared" si="53"/>
        <v>4.4551514997272619E-2</v>
      </c>
      <c r="AG302" s="12">
        <f t="shared" si="54"/>
        <v>393.01983196951426</v>
      </c>
    </row>
    <row r="303" spans="1:33" ht="14.4" customHeight="1" x14ac:dyDescent="0.25">
      <c r="A303" s="76">
        <v>19884</v>
      </c>
      <c r="B303" s="3">
        <v>455</v>
      </c>
      <c r="C303" s="8">
        <f t="shared" si="47"/>
        <v>9</v>
      </c>
      <c r="D303" s="8">
        <f t="shared" si="48"/>
        <v>4</v>
      </c>
      <c r="E303" s="3">
        <v>446</v>
      </c>
      <c r="F303" s="3">
        <v>459</v>
      </c>
      <c r="G303" s="4" t="s">
        <v>235</v>
      </c>
      <c r="H303" s="31">
        <v>216.6</v>
      </c>
      <c r="I303" s="4" t="s">
        <v>5</v>
      </c>
      <c r="J303" s="11" t="s">
        <v>4</v>
      </c>
      <c r="K303" s="11" t="s">
        <v>0</v>
      </c>
      <c r="L303" s="31">
        <v>-30</v>
      </c>
      <c r="M303" s="4" t="s">
        <v>3</v>
      </c>
      <c r="N303" s="5">
        <f t="shared" si="55"/>
        <v>-26.5</v>
      </c>
      <c r="O303" s="5">
        <v>1</v>
      </c>
      <c r="P303" s="4" t="s">
        <v>410</v>
      </c>
      <c r="Q303" s="12">
        <f t="shared" si="49"/>
        <v>-10.662302132910281</v>
      </c>
      <c r="R303" s="12">
        <f t="shared" si="50"/>
        <v>-10.662302132910281</v>
      </c>
      <c r="S303" s="12">
        <f t="shared" si="51"/>
        <v>16.268821640564646</v>
      </c>
      <c r="T303" s="12">
        <f t="shared" si="56"/>
        <v>10.65</v>
      </c>
      <c r="U303" s="12">
        <v>8.15</v>
      </c>
      <c r="V303" s="12">
        <f t="shared" si="58"/>
        <v>2.5</v>
      </c>
      <c r="W303" s="5" t="s">
        <v>176</v>
      </c>
      <c r="X303" s="5">
        <f t="shared" si="52"/>
        <v>283.64999999999998</v>
      </c>
      <c r="Y303" s="5">
        <v>-11.1</v>
      </c>
      <c r="Z303" s="23" t="s">
        <v>260</v>
      </c>
      <c r="AA303" s="4" t="s">
        <v>191</v>
      </c>
      <c r="AB303" s="4" t="s">
        <v>177</v>
      </c>
      <c r="AC303" s="11">
        <v>170</v>
      </c>
      <c r="AD303" s="3">
        <f t="shared" si="45"/>
        <v>16.615876884134593</v>
      </c>
      <c r="AE303" s="3">
        <v>34</v>
      </c>
      <c r="AF303" s="57">
        <f t="shared" si="53"/>
        <v>4.4551514997272619E-2</v>
      </c>
      <c r="AG303" s="12">
        <f t="shared" si="54"/>
        <v>372.958739678141</v>
      </c>
    </row>
    <row r="304" spans="1:33" ht="14.4" customHeight="1" x14ac:dyDescent="0.25">
      <c r="A304" s="76">
        <v>19885</v>
      </c>
      <c r="B304" s="3">
        <v>455</v>
      </c>
      <c r="C304" s="8">
        <f t="shared" si="47"/>
        <v>9</v>
      </c>
      <c r="D304" s="8">
        <f t="shared" si="48"/>
        <v>4</v>
      </c>
      <c r="E304" s="3">
        <v>446</v>
      </c>
      <c r="F304" s="3">
        <v>459</v>
      </c>
      <c r="G304" s="4" t="s">
        <v>235</v>
      </c>
      <c r="H304" s="31">
        <v>217.7</v>
      </c>
      <c r="I304" s="4" t="s">
        <v>5</v>
      </c>
      <c r="J304" s="11" t="s">
        <v>4</v>
      </c>
      <c r="K304" s="11" t="s">
        <v>0</v>
      </c>
      <c r="L304" s="31">
        <v>-28.7</v>
      </c>
      <c r="M304" s="4" t="s">
        <v>3</v>
      </c>
      <c r="N304" s="5">
        <f t="shared" si="55"/>
        <v>-25.2</v>
      </c>
      <c r="O304" s="5">
        <v>1</v>
      </c>
      <c r="P304" s="4" t="s">
        <v>410</v>
      </c>
      <c r="Q304" s="12">
        <f t="shared" si="49"/>
        <v>-10.662302132910281</v>
      </c>
      <c r="R304" s="12">
        <f t="shared" si="50"/>
        <v>-10.662302132910281</v>
      </c>
      <c r="S304" s="12">
        <f t="shared" si="51"/>
        <v>14.913518534150239</v>
      </c>
      <c r="T304" s="12">
        <f t="shared" si="56"/>
        <v>10.65</v>
      </c>
      <c r="U304" s="12">
        <v>8.15</v>
      </c>
      <c r="V304" s="12">
        <f t="shared" si="58"/>
        <v>2.5</v>
      </c>
      <c r="W304" s="5" t="s">
        <v>176</v>
      </c>
      <c r="X304" s="5">
        <f t="shared" si="52"/>
        <v>283.64999999999998</v>
      </c>
      <c r="Y304" s="5">
        <v>-11.1</v>
      </c>
      <c r="Z304" s="23" t="s">
        <v>260</v>
      </c>
      <c r="AA304" s="4" t="s">
        <v>191</v>
      </c>
      <c r="AB304" s="4" t="s">
        <v>177</v>
      </c>
      <c r="AC304" s="11">
        <v>170</v>
      </c>
      <c r="AD304" s="3">
        <f t="shared" si="45"/>
        <v>14.672271344934316</v>
      </c>
      <c r="AE304" s="3">
        <v>34</v>
      </c>
      <c r="AF304" s="57">
        <f t="shared" si="53"/>
        <v>4.4551514997272619E-2</v>
      </c>
      <c r="AG304" s="12">
        <f t="shared" si="54"/>
        <v>329.33271395669783</v>
      </c>
    </row>
    <row r="305" spans="1:33" ht="14.4" customHeight="1" x14ac:dyDescent="0.25">
      <c r="A305" s="76">
        <v>19886</v>
      </c>
      <c r="B305" s="3">
        <v>455</v>
      </c>
      <c r="C305" s="8">
        <f t="shared" si="47"/>
        <v>9</v>
      </c>
      <c r="D305" s="8">
        <f t="shared" si="48"/>
        <v>4</v>
      </c>
      <c r="E305" s="3">
        <v>446</v>
      </c>
      <c r="F305" s="3">
        <v>459</v>
      </c>
      <c r="G305" s="4" t="s">
        <v>235</v>
      </c>
      <c r="H305" s="31">
        <v>219.1</v>
      </c>
      <c r="I305" s="4" t="s">
        <v>5</v>
      </c>
      <c r="J305" s="11" t="s">
        <v>4</v>
      </c>
      <c r="K305" s="11" t="s">
        <v>0</v>
      </c>
      <c r="L305" s="31">
        <v>-29.6</v>
      </c>
      <c r="M305" s="4" t="s">
        <v>3</v>
      </c>
      <c r="N305" s="5">
        <f t="shared" si="55"/>
        <v>-26.1</v>
      </c>
      <c r="O305" s="5">
        <v>1</v>
      </c>
      <c r="P305" s="4" t="s">
        <v>410</v>
      </c>
      <c r="Q305" s="12">
        <f t="shared" si="49"/>
        <v>-10.662302132910281</v>
      </c>
      <c r="R305" s="12">
        <f t="shared" si="50"/>
        <v>-10.662302132910281</v>
      </c>
      <c r="S305" s="12">
        <f t="shared" si="51"/>
        <v>15.851419927189303</v>
      </c>
      <c r="T305" s="12">
        <f t="shared" si="56"/>
        <v>10.65</v>
      </c>
      <c r="U305" s="12">
        <v>8.15</v>
      </c>
      <c r="V305" s="12">
        <f t="shared" si="58"/>
        <v>2.5</v>
      </c>
      <c r="W305" s="5" t="s">
        <v>176</v>
      </c>
      <c r="X305" s="5">
        <f t="shared" si="52"/>
        <v>283.64999999999998</v>
      </c>
      <c r="Y305" s="5">
        <v>-11.1</v>
      </c>
      <c r="Z305" s="23" t="s">
        <v>260</v>
      </c>
      <c r="AA305" s="4" t="s">
        <v>191</v>
      </c>
      <c r="AB305" s="4" t="s">
        <v>177</v>
      </c>
      <c r="AC305" s="11">
        <v>170</v>
      </c>
      <c r="AD305" s="3">
        <f t="shared" si="45"/>
        <v>15.964569814717882</v>
      </c>
      <c r="AE305" s="3">
        <v>34</v>
      </c>
      <c r="AF305" s="57">
        <f t="shared" si="53"/>
        <v>4.4551514997272619E-2</v>
      </c>
      <c r="AG305" s="12">
        <f t="shared" si="54"/>
        <v>358.33954952362922</v>
      </c>
    </row>
    <row r="306" spans="1:33" ht="14.4" customHeight="1" x14ac:dyDescent="0.25">
      <c r="A306" s="76">
        <v>19887</v>
      </c>
      <c r="B306" s="3">
        <v>455</v>
      </c>
      <c r="C306" s="8">
        <f t="shared" si="47"/>
        <v>9</v>
      </c>
      <c r="D306" s="8">
        <f t="shared" si="48"/>
        <v>4</v>
      </c>
      <c r="E306" s="3">
        <v>446</v>
      </c>
      <c r="F306" s="3">
        <v>459</v>
      </c>
      <c r="G306" s="4" t="s">
        <v>235</v>
      </c>
      <c r="H306" s="31">
        <v>220.6</v>
      </c>
      <c r="I306" s="4" t="s">
        <v>5</v>
      </c>
      <c r="J306" s="11" t="s">
        <v>4</v>
      </c>
      <c r="K306" s="11" t="s">
        <v>0</v>
      </c>
      <c r="L306" s="31">
        <v>-28.3</v>
      </c>
      <c r="M306" s="4" t="s">
        <v>3</v>
      </c>
      <c r="N306" s="5">
        <f t="shared" si="55"/>
        <v>-24.8</v>
      </c>
      <c r="O306" s="5">
        <v>1</v>
      </c>
      <c r="P306" s="4" t="s">
        <v>410</v>
      </c>
      <c r="Q306" s="12">
        <f t="shared" si="49"/>
        <v>-10.662302132910281</v>
      </c>
      <c r="R306" s="12">
        <f t="shared" si="50"/>
        <v>-10.662302132910281</v>
      </c>
      <c r="S306" s="12">
        <f t="shared" si="51"/>
        <v>14.497229150009838</v>
      </c>
      <c r="T306" s="12">
        <f t="shared" si="56"/>
        <v>10.65</v>
      </c>
      <c r="U306" s="12">
        <v>8.15</v>
      </c>
      <c r="V306" s="12">
        <f t="shared" si="58"/>
        <v>2.5</v>
      </c>
      <c r="W306" s="5" t="s">
        <v>176</v>
      </c>
      <c r="X306" s="5">
        <f t="shared" si="52"/>
        <v>283.64999999999998</v>
      </c>
      <c r="Y306" s="5">
        <v>-11.1</v>
      </c>
      <c r="Z306" s="23" t="s">
        <v>260</v>
      </c>
      <c r="AA306" s="4" t="s">
        <v>191</v>
      </c>
      <c r="AB306" s="4" t="s">
        <v>177</v>
      </c>
      <c r="AC306" s="11">
        <v>170</v>
      </c>
      <c r="AD306" s="3">
        <f t="shared" si="45"/>
        <v>14.1633962794632</v>
      </c>
      <c r="AE306" s="3">
        <v>34</v>
      </c>
      <c r="AF306" s="57">
        <f t="shared" si="53"/>
        <v>4.4551514997272619E-2</v>
      </c>
      <c r="AG306" s="12">
        <f t="shared" si="54"/>
        <v>317.91054199459353</v>
      </c>
    </row>
    <row r="307" spans="1:33" ht="14.4" customHeight="1" x14ac:dyDescent="0.25">
      <c r="A307" s="76">
        <v>19888</v>
      </c>
      <c r="B307" s="3">
        <v>455</v>
      </c>
      <c r="C307" s="8">
        <f t="shared" si="47"/>
        <v>9</v>
      </c>
      <c r="D307" s="8">
        <f t="shared" si="48"/>
        <v>4</v>
      </c>
      <c r="E307" s="3">
        <v>446</v>
      </c>
      <c r="F307" s="3">
        <v>459</v>
      </c>
      <c r="G307" s="4" t="s">
        <v>235</v>
      </c>
      <c r="H307" s="31">
        <v>221.5</v>
      </c>
      <c r="I307" s="4" t="s">
        <v>5</v>
      </c>
      <c r="J307" s="11" t="s">
        <v>4</v>
      </c>
      <c r="K307" s="11" t="s">
        <v>0</v>
      </c>
      <c r="L307" s="31">
        <v>-29.7</v>
      </c>
      <c r="M307" s="4" t="s">
        <v>3</v>
      </c>
      <c r="N307" s="5">
        <f t="shared" si="55"/>
        <v>-26.2</v>
      </c>
      <c r="O307" s="5">
        <v>1</v>
      </c>
      <c r="P307" s="4" t="s">
        <v>410</v>
      </c>
      <c r="Q307" s="12">
        <f t="shared" si="49"/>
        <v>-10.662302132910281</v>
      </c>
      <c r="R307" s="12">
        <f t="shared" si="50"/>
        <v>-10.662302132910281</v>
      </c>
      <c r="S307" s="12">
        <f t="shared" si="51"/>
        <v>15.955738208143</v>
      </c>
      <c r="T307" s="12">
        <f t="shared" si="56"/>
        <v>10.65</v>
      </c>
      <c r="U307" s="12">
        <v>8.15</v>
      </c>
      <c r="V307" s="12">
        <f t="shared" si="58"/>
        <v>2.5</v>
      </c>
      <c r="W307" s="5" t="s">
        <v>176</v>
      </c>
      <c r="X307" s="5">
        <f t="shared" si="52"/>
        <v>283.64999999999998</v>
      </c>
      <c r="Y307" s="5">
        <v>-11.1</v>
      </c>
      <c r="Z307" s="23" t="s">
        <v>260</v>
      </c>
      <c r="AA307" s="4" t="s">
        <v>191</v>
      </c>
      <c r="AB307" s="4" t="s">
        <v>177</v>
      </c>
      <c r="AC307" s="11">
        <v>170</v>
      </c>
      <c r="AD307" s="3">
        <f t="shared" si="45"/>
        <v>16.122513207257963</v>
      </c>
      <c r="AE307" s="3">
        <v>34</v>
      </c>
      <c r="AF307" s="57">
        <f t="shared" si="53"/>
        <v>4.4551514997272619E-2</v>
      </c>
      <c r="AG307" s="12">
        <f t="shared" si="54"/>
        <v>361.88473519351612</v>
      </c>
    </row>
    <row r="308" spans="1:33" ht="14.4" customHeight="1" x14ac:dyDescent="0.25">
      <c r="A308" s="76">
        <v>19889</v>
      </c>
      <c r="B308" s="3">
        <v>455</v>
      </c>
      <c r="C308" s="8">
        <f t="shared" si="47"/>
        <v>9</v>
      </c>
      <c r="D308" s="8">
        <f t="shared" si="48"/>
        <v>4</v>
      </c>
      <c r="E308" s="3">
        <v>446</v>
      </c>
      <c r="F308" s="3">
        <v>459</v>
      </c>
      <c r="G308" s="4" t="s">
        <v>235</v>
      </c>
      <c r="H308" s="31">
        <v>223.4</v>
      </c>
      <c r="I308" s="4" t="s">
        <v>5</v>
      </c>
      <c r="J308" s="11" t="s">
        <v>4</v>
      </c>
      <c r="K308" s="11" t="s">
        <v>0</v>
      </c>
      <c r="L308" s="31">
        <v>-29.8</v>
      </c>
      <c r="M308" s="4" t="s">
        <v>3</v>
      </c>
      <c r="N308" s="5">
        <f t="shared" si="55"/>
        <v>-26.3</v>
      </c>
      <c r="O308" s="5">
        <v>1</v>
      </c>
      <c r="P308" s="4" t="s">
        <v>410</v>
      </c>
      <c r="Q308" s="12">
        <f t="shared" si="49"/>
        <v>-10.662302132910281</v>
      </c>
      <c r="R308" s="12">
        <f t="shared" si="50"/>
        <v>-10.662302132910281</v>
      </c>
      <c r="S308" s="12">
        <f t="shared" si="51"/>
        <v>16.060077916288051</v>
      </c>
      <c r="T308" s="12">
        <f t="shared" si="56"/>
        <v>10.65</v>
      </c>
      <c r="U308" s="12">
        <v>8.15</v>
      </c>
      <c r="V308" s="12">
        <f t="shared" si="58"/>
        <v>2.5</v>
      </c>
      <c r="W308" s="5" t="s">
        <v>176</v>
      </c>
      <c r="X308" s="5">
        <f t="shared" si="52"/>
        <v>283.64999999999998</v>
      </c>
      <c r="Y308" s="5">
        <v>-11.1</v>
      </c>
      <c r="Z308" s="23" t="s">
        <v>260</v>
      </c>
      <c r="AA308" s="4" t="s">
        <v>191</v>
      </c>
      <c r="AB308" s="4" t="s">
        <v>177</v>
      </c>
      <c r="AC308" s="11">
        <v>170</v>
      </c>
      <c r="AD308" s="3">
        <f t="shared" si="45"/>
        <v>16.283646433073372</v>
      </c>
      <c r="AE308" s="3">
        <v>34</v>
      </c>
      <c r="AF308" s="57">
        <f t="shared" si="53"/>
        <v>4.4551514997272619E-2</v>
      </c>
      <c r="AG308" s="12">
        <f t="shared" si="54"/>
        <v>365.50151962442209</v>
      </c>
    </row>
    <row r="309" spans="1:33" ht="14.4" customHeight="1" x14ac:dyDescent="0.25"/>
    <row r="310" spans="1:33" ht="14.4" customHeight="1" x14ac:dyDescent="0.25"/>
    <row r="734" spans="1:307" s="2" customFormat="1" x14ac:dyDescent="0.25">
      <c r="A734" s="1"/>
      <c r="B734" s="11"/>
      <c r="C734" s="11"/>
      <c r="D734" s="11"/>
      <c r="E734" s="11"/>
      <c r="F734" s="11"/>
      <c r="G734" s="1"/>
      <c r="H734" s="4"/>
      <c r="I734" s="1"/>
      <c r="J734" s="11"/>
      <c r="K734" s="11"/>
      <c r="L734" s="12"/>
      <c r="M734" s="4"/>
      <c r="N734" s="12"/>
      <c r="O734" s="12"/>
      <c r="P734" s="12"/>
      <c r="Q734" s="12"/>
      <c r="R734" s="12"/>
      <c r="S734" s="12"/>
      <c r="T734" s="12"/>
      <c r="U734" s="12"/>
      <c r="V734" s="12"/>
      <c r="W734" s="6"/>
      <c r="X734" s="6"/>
      <c r="Y734" s="6"/>
      <c r="Z734" s="6"/>
      <c r="AA734" s="1"/>
      <c r="AB734" s="5"/>
      <c r="AC734" s="12"/>
      <c r="AD734" s="12"/>
      <c r="AE734" s="12"/>
      <c r="AF734" s="12"/>
      <c r="AG734" s="1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c r="KB734" s="1"/>
      <c r="KC734" s="1"/>
      <c r="KD734" s="1"/>
      <c r="KE734" s="1"/>
      <c r="KF734" s="1"/>
      <c r="KG734" s="1"/>
      <c r="KH734" s="1"/>
      <c r="KI734" s="1"/>
      <c r="KJ734" s="1"/>
      <c r="KK734" s="1"/>
      <c r="KL734" s="1"/>
      <c r="KM734" s="1"/>
      <c r="KN734" s="1"/>
      <c r="KO734" s="1"/>
      <c r="KP734" s="1"/>
      <c r="KQ734" s="1"/>
      <c r="KR734" s="1"/>
      <c r="KS734" s="1"/>
      <c r="KT734" s="1"/>
      <c r="KU734" s="1"/>
    </row>
    <row r="735" spans="1:307" s="2" customFormat="1" x14ac:dyDescent="0.25">
      <c r="A735" s="1"/>
      <c r="B735" s="11"/>
      <c r="C735" s="11"/>
      <c r="D735" s="11"/>
      <c r="E735" s="11"/>
      <c r="F735" s="11"/>
      <c r="G735" s="1"/>
      <c r="H735" s="4"/>
      <c r="I735" s="1"/>
      <c r="J735" s="11"/>
      <c r="K735" s="11"/>
      <c r="L735" s="12"/>
      <c r="M735" s="4"/>
      <c r="N735" s="12"/>
      <c r="O735" s="12"/>
      <c r="P735" s="12"/>
      <c r="Q735" s="12"/>
      <c r="R735" s="12"/>
      <c r="S735" s="12"/>
      <c r="T735" s="12"/>
      <c r="U735" s="12"/>
      <c r="V735" s="12"/>
      <c r="W735" s="6"/>
      <c r="X735" s="6"/>
      <c r="Y735" s="6"/>
      <c r="Z735" s="6"/>
      <c r="AA735" s="1"/>
      <c r="AB735" s="5"/>
      <c r="AC735" s="12"/>
      <c r="AD735" s="12"/>
      <c r="AE735" s="12"/>
      <c r="AF735" s="12"/>
      <c r="AG735" s="1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c r="KB735" s="1"/>
      <c r="KC735" s="1"/>
      <c r="KD735" s="1"/>
      <c r="KE735" s="1"/>
      <c r="KF735" s="1"/>
      <c r="KG735" s="1"/>
      <c r="KH735" s="1"/>
      <c r="KI735" s="1"/>
      <c r="KJ735" s="1"/>
      <c r="KK735" s="1"/>
      <c r="KL735" s="1"/>
      <c r="KM735" s="1"/>
      <c r="KN735" s="1"/>
      <c r="KO735" s="1"/>
      <c r="KP735" s="1"/>
      <c r="KQ735" s="1"/>
      <c r="KR735" s="1"/>
      <c r="KS735" s="1"/>
      <c r="KT735" s="1"/>
      <c r="KU735" s="1"/>
    </row>
    <row r="736" spans="1:307" s="2" customFormat="1" x14ac:dyDescent="0.25">
      <c r="A736" s="1"/>
      <c r="B736" s="11"/>
      <c r="C736" s="11"/>
      <c r="D736" s="11"/>
      <c r="E736" s="11"/>
      <c r="F736" s="11"/>
      <c r="G736" s="1"/>
      <c r="H736" s="4"/>
      <c r="I736" s="1"/>
      <c r="J736" s="11"/>
      <c r="K736" s="11"/>
      <c r="L736" s="12"/>
      <c r="M736" s="4"/>
      <c r="N736" s="12"/>
      <c r="O736" s="12"/>
      <c r="P736" s="12"/>
      <c r="Q736" s="12"/>
      <c r="R736" s="12"/>
      <c r="S736" s="12"/>
      <c r="T736" s="12"/>
      <c r="U736" s="12"/>
      <c r="V736" s="12"/>
      <c r="W736" s="6"/>
      <c r="X736" s="6"/>
      <c r="Y736" s="6"/>
      <c r="Z736" s="6"/>
      <c r="AA736" s="1"/>
      <c r="AB736" s="5"/>
      <c r="AC736" s="12"/>
      <c r="AD736" s="12"/>
      <c r="AE736" s="12"/>
      <c r="AF736" s="12"/>
      <c r="AG736" s="1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c r="KB736" s="1"/>
      <c r="KC736" s="1"/>
      <c r="KD736" s="1"/>
      <c r="KE736" s="1"/>
      <c r="KF736" s="1"/>
      <c r="KG736" s="1"/>
      <c r="KH736" s="1"/>
      <c r="KI736" s="1"/>
      <c r="KJ736" s="1"/>
      <c r="KK736" s="1"/>
      <c r="KL736" s="1"/>
      <c r="KM736" s="1"/>
      <c r="KN736" s="1"/>
      <c r="KO736" s="1"/>
      <c r="KP736" s="1"/>
      <c r="KQ736" s="1"/>
      <c r="KR736" s="1"/>
      <c r="KS736" s="1"/>
      <c r="KT736" s="1"/>
      <c r="KU736" s="1"/>
    </row>
    <row r="737" spans="1:307" s="2" customFormat="1" x14ac:dyDescent="0.25">
      <c r="A737" s="1"/>
      <c r="B737" s="11"/>
      <c r="C737" s="11"/>
      <c r="D737" s="11"/>
      <c r="E737" s="11"/>
      <c r="F737" s="11"/>
      <c r="G737" s="1"/>
      <c r="H737" s="4"/>
      <c r="I737" s="1"/>
      <c r="J737" s="11"/>
      <c r="K737" s="11"/>
      <c r="L737" s="12"/>
      <c r="M737" s="4"/>
      <c r="N737" s="12"/>
      <c r="O737" s="12"/>
      <c r="P737" s="12"/>
      <c r="Q737" s="12"/>
      <c r="R737" s="12"/>
      <c r="S737" s="12"/>
      <c r="T737" s="12"/>
      <c r="U737" s="12"/>
      <c r="V737" s="12"/>
      <c r="W737" s="6"/>
      <c r="X737" s="6"/>
      <c r="Y737" s="6"/>
      <c r="Z737" s="6"/>
      <c r="AA737" s="1"/>
      <c r="AB737" s="5"/>
      <c r="AC737" s="12"/>
      <c r="AD737" s="12"/>
      <c r="AE737" s="12"/>
      <c r="AF737" s="12"/>
      <c r="AG737" s="1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c r="KB737" s="1"/>
      <c r="KC737" s="1"/>
      <c r="KD737" s="1"/>
      <c r="KE737" s="1"/>
      <c r="KF737" s="1"/>
      <c r="KG737" s="1"/>
      <c r="KH737" s="1"/>
      <c r="KI737" s="1"/>
      <c r="KJ737" s="1"/>
      <c r="KK737" s="1"/>
      <c r="KL737" s="1"/>
      <c r="KM737" s="1"/>
      <c r="KN737" s="1"/>
      <c r="KO737" s="1"/>
      <c r="KP737" s="1"/>
      <c r="KQ737" s="1"/>
      <c r="KR737" s="1"/>
      <c r="KS737" s="1"/>
      <c r="KT737" s="1"/>
      <c r="KU737" s="1"/>
    </row>
    <row r="738" spans="1:307" s="2" customFormat="1" x14ac:dyDescent="0.25">
      <c r="A738" s="1"/>
      <c r="B738" s="11"/>
      <c r="C738" s="11"/>
      <c r="D738" s="11"/>
      <c r="E738" s="11"/>
      <c r="F738" s="11"/>
      <c r="G738" s="1"/>
      <c r="H738" s="4"/>
      <c r="I738" s="1"/>
      <c r="J738" s="11"/>
      <c r="K738" s="11"/>
      <c r="L738" s="12"/>
      <c r="M738" s="4"/>
      <c r="N738" s="12"/>
      <c r="O738" s="12"/>
      <c r="P738" s="12"/>
      <c r="Q738" s="12"/>
      <c r="R738" s="12"/>
      <c r="S738" s="12"/>
      <c r="T738" s="12"/>
      <c r="U738" s="12"/>
      <c r="V738" s="12"/>
      <c r="W738" s="6"/>
      <c r="X738" s="6"/>
      <c r="Y738" s="6"/>
      <c r="Z738" s="6"/>
      <c r="AA738" s="1"/>
      <c r="AB738" s="5"/>
      <c r="AC738" s="12"/>
      <c r="AD738" s="12"/>
      <c r="AE738" s="12"/>
      <c r="AF738" s="12"/>
      <c r="AG738" s="1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c r="KB738" s="1"/>
      <c r="KC738" s="1"/>
      <c r="KD738" s="1"/>
      <c r="KE738" s="1"/>
      <c r="KF738" s="1"/>
      <c r="KG738" s="1"/>
      <c r="KH738" s="1"/>
      <c r="KI738" s="1"/>
      <c r="KJ738" s="1"/>
      <c r="KK738" s="1"/>
      <c r="KL738" s="1"/>
      <c r="KM738" s="1"/>
      <c r="KN738" s="1"/>
      <c r="KO738" s="1"/>
      <c r="KP738" s="1"/>
      <c r="KQ738" s="1"/>
      <c r="KR738" s="1"/>
      <c r="KS738" s="1"/>
      <c r="KT738" s="1"/>
      <c r="KU738" s="1"/>
    </row>
    <row r="739" spans="1:307" s="2" customFormat="1" x14ac:dyDescent="0.25">
      <c r="A739" s="1"/>
      <c r="B739" s="11"/>
      <c r="C739" s="11"/>
      <c r="D739" s="11"/>
      <c r="E739" s="11"/>
      <c r="F739" s="11"/>
      <c r="G739" s="1"/>
      <c r="H739" s="4"/>
      <c r="I739" s="1"/>
      <c r="J739" s="11"/>
      <c r="K739" s="11"/>
      <c r="L739" s="12"/>
      <c r="M739" s="4"/>
      <c r="N739" s="12"/>
      <c r="O739" s="12"/>
      <c r="P739" s="12"/>
      <c r="Q739" s="12"/>
      <c r="R739" s="12"/>
      <c r="S739" s="12"/>
      <c r="T739" s="12"/>
      <c r="U739" s="12"/>
      <c r="V739" s="12"/>
      <c r="W739" s="6"/>
      <c r="X739" s="6"/>
      <c r="Y739" s="6"/>
      <c r="Z739" s="6"/>
      <c r="AA739" s="1"/>
      <c r="AB739" s="5"/>
      <c r="AC739" s="12"/>
      <c r="AD739" s="12"/>
      <c r="AE739" s="12"/>
      <c r="AF739" s="12"/>
      <c r="AG739" s="1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c r="KB739" s="1"/>
      <c r="KC739" s="1"/>
      <c r="KD739" s="1"/>
      <c r="KE739" s="1"/>
      <c r="KF739" s="1"/>
      <c r="KG739" s="1"/>
      <c r="KH739" s="1"/>
      <c r="KI739" s="1"/>
      <c r="KJ739" s="1"/>
      <c r="KK739" s="1"/>
      <c r="KL739" s="1"/>
      <c r="KM739" s="1"/>
      <c r="KN739" s="1"/>
      <c r="KO739" s="1"/>
      <c r="KP739" s="1"/>
      <c r="KQ739" s="1"/>
      <c r="KR739" s="1"/>
      <c r="KS739" s="1"/>
      <c r="KT739" s="1"/>
      <c r="KU739" s="1"/>
    </row>
    <row r="740" spans="1:307" s="2" customFormat="1" x14ac:dyDescent="0.25">
      <c r="A740" s="1"/>
      <c r="B740" s="11"/>
      <c r="C740" s="11"/>
      <c r="D740" s="11"/>
      <c r="E740" s="11"/>
      <c r="F740" s="11"/>
      <c r="G740" s="1"/>
      <c r="H740" s="4"/>
      <c r="I740" s="1"/>
      <c r="J740" s="11"/>
      <c r="K740" s="11"/>
      <c r="L740" s="12"/>
      <c r="M740" s="4"/>
      <c r="N740" s="12"/>
      <c r="O740" s="12"/>
      <c r="P740" s="12"/>
      <c r="Q740" s="12"/>
      <c r="R740" s="12"/>
      <c r="S740" s="12"/>
      <c r="T740" s="12"/>
      <c r="U740" s="12"/>
      <c r="V740" s="12"/>
      <c r="W740" s="6"/>
      <c r="X740" s="6"/>
      <c r="Y740" s="6"/>
      <c r="Z740" s="6"/>
      <c r="AA740" s="1"/>
      <c r="AB740" s="5"/>
      <c r="AC740" s="12"/>
      <c r="AD740" s="12"/>
      <c r="AE740" s="12"/>
      <c r="AF740" s="12"/>
      <c r="AG740" s="1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c r="KB740" s="1"/>
      <c r="KC740" s="1"/>
      <c r="KD740" s="1"/>
      <c r="KE740" s="1"/>
      <c r="KF740" s="1"/>
      <c r="KG740" s="1"/>
      <c r="KH740" s="1"/>
      <c r="KI740" s="1"/>
      <c r="KJ740" s="1"/>
      <c r="KK740" s="1"/>
      <c r="KL740" s="1"/>
      <c r="KM740" s="1"/>
      <c r="KN740" s="1"/>
      <c r="KO740" s="1"/>
      <c r="KP740" s="1"/>
      <c r="KQ740" s="1"/>
      <c r="KR740" s="1"/>
      <c r="KS740" s="1"/>
      <c r="KT740" s="1"/>
      <c r="KU740" s="1"/>
    </row>
    <row r="741" spans="1:307" s="2" customFormat="1" x14ac:dyDescent="0.25">
      <c r="A741" s="1"/>
      <c r="B741" s="11"/>
      <c r="C741" s="11"/>
      <c r="D741" s="11"/>
      <c r="E741" s="11"/>
      <c r="F741" s="11"/>
      <c r="G741" s="1"/>
      <c r="H741" s="4"/>
      <c r="I741" s="1"/>
      <c r="J741" s="11"/>
      <c r="K741" s="11"/>
      <c r="L741" s="12"/>
      <c r="M741" s="4"/>
      <c r="N741" s="12"/>
      <c r="O741" s="12"/>
      <c r="P741" s="12"/>
      <c r="Q741" s="12"/>
      <c r="R741" s="12"/>
      <c r="S741" s="12"/>
      <c r="T741" s="12"/>
      <c r="U741" s="12"/>
      <c r="V741" s="12"/>
      <c r="W741" s="6"/>
      <c r="X741" s="6"/>
      <c r="Y741" s="6"/>
      <c r="Z741" s="6"/>
      <c r="AA741" s="1"/>
      <c r="AB741" s="5"/>
      <c r="AC741" s="12"/>
      <c r="AD741" s="12"/>
      <c r="AE741" s="12"/>
      <c r="AF741" s="12"/>
      <c r="AG741" s="1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c r="KB741" s="1"/>
      <c r="KC741" s="1"/>
      <c r="KD741" s="1"/>
      <c r="KE741" s="1"/>
      <c r="KF741" s="1"/>
      <c r="KG741" s="1"/>
      <c r="KH741" s="1"/>
      <c r="KI741" s="1"/>
      <c r="KJ741" s="1"/>
      <c r="KK741" s="1"/>
      <c r="KL741" s="1"/>
      <c r="KM741" s="1"/>
      <c r="KN741" s="1"/>
      <c r="KO741" s="1"/>
      <c r="KP741" s="1"/>
      <c r="KQ741" s="1"/>
      <c r="KR741" s="1"/>
      <c r="KS741" s="1"/>
      <c r="KT741" s="1"/>
      <c r="KU741" s="1"/>
    </row>
    <row r="742" spans="1:307" s="2" customFormat="1" x14ac:dyDescent="0.25">
      <c r="A742" s="1"/>
      <c r="B742" s="11"/>
      <c r="C742" s="11"/>
      <c r="D742" s="11"/>
      <c r="E742" s="11"/>
      <c r="F742" s="11"/>
      <c r="G742" s="1"/>
      <c r="H742" s="4"/>
      <c r="I742" s="1"/>
      <c r="J742" s="11"/>
      <c r="K742" s="11"/>
      <c r="L742" s="12"/>
      <c r="M742" s="4"/>
      <c r="N742" s="12"/>
      <c r="O742" s="12"/>
      <c r="P742" s="12"/>
      <c r="Q742" s="12"/>
      <c r="R742" s="12"/>
      <c r="S742" s="12"/>
      <c r="T742" s="12"/>
      <c r="U742" s="12"/>
      <c r="V742" s="12"/>
      <c r="W742" s="6"/>
      <c r="X742" s="6"/>
      <c r="Y742" s="6"/>
      <c r="Z742" s="6"/>
      <c r="AA742" s="1"/>
      <c r="AB742" s="5"/>
      <c r="AC742" s="12"/>
      <c r="AD742" s="12"/>
      <c r="AE742" s="12"/>
      <c r="AF742" s="12"/>
      <c r="AG742" s="1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c r="KB742" s="1"/>
      <c r="KC742" s="1"/>
      <c r="KD742" s="1"/>
      <c r="KE742" s="1"/>
      <c r="KF742" s="1"/>
      <c r="KG742" s="1"/>
      <c r="KH742" s="1"/>
      <c r="KI742" s="1"/>
      <c r="KJ742" s="1"/>
      <c r="KK742" s="1"/>
      <c r="KL742" s="1"/>
      <c r="KM742" s="1"/>
      <c r="KN742" s="1"/>
      <c r="KO742" s="1"/>
      <c r="KP742" s="1"/>
      <c r="KQ742" s="1"/>
      <c r="KR742" s="1"/>
      <c r="KS742" s="1"/>
      <c r="KT742" s="1"/>
      <c r="KU742" s="1"/>
    </row>
    <row r="743" spans="1:307" s="2" customFormat="1" x14ac:dyDescent="0.25">
      <c r="A743" s="1"/>
      <c r="B743" s="11"/>
      <c r="C743" s="11"/>
      <c r="D743" s="11"/>
      <c r="E743" s="11"/>
      <c r="F743" s="11"/>
      <c r="G743" s="1"/>
      <c r="H743" s="4"/>
      <c r="I743" s="1"/>
      <c r="J743" s="11"/>
      <c r="K743" s="11"/>
      <c r="L743" s="12"/>
      <c r="M743" s="4"/>
      <c r="N743" s="12"/>
      <c r="O743" s="12"/>
      <c r="P743" s="12"/>
      <c r="Q743" s="12"/>
      <c r="R743" s="12"/>
      <c r="S743" s="12"/>
      <c r="T743" s="12"/>
      <c r="U743" s="12"/>
      <c r="V743" s="12"/>
      <c r="W743" s="6"/>
      <c r="X743" s="6"/>
      <c r="Y743" s="6"/>
      <c r="Z743" s="6"/>
      <c r="AA743" s="1"/>
      <c r="AB743" s="5"/>
      <c r="AC743" s="12"/>
      <c r="AD743" s="12"/>
      <c r="AE743" s="12"/>
      <c r="AF743" s="12"/>
      <c r="AG743" s="1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c r="KB743" s="1"/>
      <c r="KC743" s="1"/>
      <c r="KD743" s="1"/>
      <c r="KE743" s="1"/>
      <c r="KF743" s="1"/>
      <c r="KG743" s="1"/>
      <c r="KH743" s="1"/>
      <c r="KI743" s="1"/>
      <c r="KJ743" s="1"/>
      <c r="KK743" s="1"/>
      <c r="KL743" s="1"/>
      <c r="KM743" s="1"/>
      <c r="KN743" s="1"/>
      <c r="KO743" s="1"/>
      <c r="KP743" s="1"/>
      <c r="KQ743" s="1"/>
      <c r="KR743" s="1"/>
      <c r="KS743" s="1"/>
      <c r="KT743" s="1"/>
      <c r="KU743" s="1"/>
    </row>
    <row r="744" spans="1:307" s="2" customFormat="1" x14ac:dyDescent="0.25">
      <c r="A744" s="1"/>
      <c r="B744" s="11"/>
      <c r="C744" s="11"/>
      <c r="D744" s="11"/>
      <c r="E744" s="11"/>
      <c r="F744" s="11"/>
      <c r="G744" s="1"/>
      <c r="H744" s="4"/>
      <c r="I744" s="1"/>
      <c r="J744" s="11"/>
      <c r="K744" s="11"/>
      <c r="L744" s="12"/>
      <c r="M744" s="4"/>
      <c r="N744" s="12"/>
      <c r="O744" s="12"/>
      <c r="P744" s="12"/>
      <c r="Q744" s="12"/>
      <c r="R744" s="12"/>
      <c r="S744" s="12"/>
      <c r="T744" s="12"/>
      <c r="U744" s="12"/>
      <c r="V744" s="12"/>
      <c r="W744" s="6"/>
      <c r="X744" s="6"/>
      <c r="Y744" s="6"/>
      <c r="Z744" s="6"/>
      <c r="AA744" s="1"/>
      <c r="AB744" s="5"/>
      <c r="AC744" s="12"/>
      <c r="AD744" s="12"/>
      <c r="AE744" s="12"/>
      <c r="AF744" s="12"/>
      <c r="AG744" s="1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c r="KB744" s="1"/>
      <c r="KC744" s="1"/>
      <c r="KD744" s="1"/>
      <c r="KE744" s="1"/>
      <c r="KF744" s="1"/>
      <c r="KG744" s="1"/>
      <c r="KH744" s="1"/>
      <c r="KI744" s="1"/>
      <c r="KJ744" s="1"/>
      <c r="KK744" s="1"/>
      <c r="KL744" s="1"/>
      <c r="KM744" s="1"/>
      <c r="KN744" s="1"/>
      <c r="KO744" s="1"/>
      <c r="KP744" s="1"/>
      <c r="KQ744" s="1"/>
      <c r="KR744" s="1"/>
      <c r="KS744" s="1"/>
      <c r="KT744" s="1"/>
      <c r="KU744" s="1"/>
    </row>
    <row r="745" spans="1:307" s="2" customFormat="1" x14ac:dyDescent="0.25">
      <c r="A745" s="1"/>
      <c r="B745" s="11"/>
      <c r="C745" s="11"/>
      <c r="D745" s="11"/>
      <c r="E745" s="11"/>
      <c r="F745" s="11"/>
      <c r="G745" s="1"/>
      <c r="H745" s="4"/>
      <c r="I745" s="1"/>
      <c r="J745" s="11"/>
      <c r="K745" s="11"/>
      <c r="L745" s="12"/>
      <c r="M745" s="4"/>
      <c r="N745" s="12"/>
      <c r="O745" s="12"/>
      <c r="P745" s="12"/>
      <c r="Q745" s="12"/>
      <c r="R745" s="12"/>
      <c r="S745" s="12"/>
      <c r="T745" s="12"/>
      <c r="U745" s="12"/>
      <c r="V745" s="12"/>
      <c r="W745" s="6"/>
      <c r="X745" s="6"/>
      <c r="Y745" s="6"/>
      <c r="Z745" s="6"/>
      <c r="AA745" s="1"/>
      <c r="AB745" s="5"/>
      <c r="AC745" s="12"/>
      <c r="AD745" s="12"/>
      <c r="AE745" s="12"/>
      <c r="AF745" s="12"/>
      <c r="AG745" s="1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c r="KB745" s="1"/>
      <c r="KC745" s="1"/>
      <c r="KD745" s="1"/>
      <c r="KE745" s="1"/>
      <c r="KF745" s="1"/>
      <c r="KG745" s="1"/>
      <c r="KH745" s="1"/>
      <c r="KI745" s="1"/>
      <c r="KJ745" s="1"/>
      <c r="KK745" s="1"/>
      <c r="KL745" s="1"/>
      <c r="KM745" s="1"/>
      <c r="KN745" s="1"/>
      <c r="KO745" s="1"/>
      <c r="KP745" s="1"/>
      <c r="KQ745" s="1"/>
      <c r="KR745" s="1"/>
      <c r="KS745" s="1"/>
      <c r="KT745" s="1"/>
      <c r="KU745" s="1"/>
    </row>
    <row r="746" spans="1:307" s="2" customFormat="1" x14ac:dyDescent="0.25">
      <c r="A746" s="1"/>
      <c r="B746" s="11"/>
      <c r="C746" s="11"/>
      <c r="D746" s="11"/>
      <c r="E746" s="11"/>
      <c r="F746" s="11"/>
      <c r="G746" s="1"/>
      <c r="H746" s="4"/>
      <c r="I746" s="1"/>
      <c r="J746" s="11"/>
      <c r="K746" s="11"/>
      <c r="L746" s="12"/>
      <c r="M746" s="4"/>
      <c r="N746" s="12"/>
      <c r="O746" s="12"/>
      <c r="P746" s="12"/>
      <c r="Q746" s="12"/>
      <c r="R746" s="12"/>
      <c r="S746" s="12"/>
      <c r="T746" s="12"/>
      <c r="U746" s="12"/>
      <c r="V746" s="12"/>
      <c r="W746" s="6"/>
      <c r="X746" s="6"/>
      <c r="Y746" s="6"/>
      <c r="Z746" s="6"/>
      <c r="AA746" s="1"/>
      <c r="AB746" s="5"/>
      <c r="AC746" s="12"/>
      <c r="AD746" s="12"/>
      <c r="AE746" s="12"/>
      <c r="AF746" s="12"/>
      <c r="AG746" s="1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c r="KB746" s="1"/>
      <c r="KC746" s="1"/>
      <c r="KD746" s="1"/>
      <c r="KE746" s="1"/>
      <c r="KF746" s="1"/>
      <c r="KG746" s="1"/>
      <c r="KH746" s="1"/>
      <c r="KI746" s="1"/>
      <c r="KJ746" s="1"/>
      <c r="KK746" s="1"/>
      <c r="KL746" s="1"/>
      <c r="KM746" s="1"/>
      <c r="KN746" s="1"/>
      <c r="KO746" s="1"/>
      <c r="KP746" s="1"/>
      <c r="KQ746" s="1"/>
      <c r="KR746" s="1"/>
      <c r="KS746" s="1"/>
      <c r="KT746" s="1"/>
      <c r="KU746" s="1"/>
    </row>
    <row r="747" spans="1:307" s="2" customFormat="1" x14ac:dyDescent="0.25">
      <c r="A747" s="1"/>
      <c r="B747" s="11"/>
      <c r="C747" s="11"/>
      <c r="D747" s="11"/>
      <c r="E747" s="11"/>
      <c r="F747" s="11"/>
      <c r="G747" s="1"/>
      <c r="H747" s="4"/>
      <c r="I747" s="1"/>
      <c r="J747" s="11"/>
      <c r="K747" s="11"/>
      <c r="L747" s="12"/>
      <c r="M747" s="4"/>
      <c r="N747" s="12"/>
      <c r="O747" s="12"/>
      <c r="P747" s="12"/>
      <c r="Q747" s="12"/>
      <c r="R747" s="12"/>
      <c r="S747" s="12"/>
      <c r="T747" s="12"/>
      <c r="U747" s="12"/>
      <c r="V747" s="12"/>
      <c r="W747" s="6"/>
      <c r="X747" s="6"/>
      <c r="Y747" s="6"/>
      <c r="Z747" s="6"/>
      <c r="AA747" s="1"/>
      <c r="AB747" s="5"/>
      <c r="AC747" s="12"/>
      <c r="AD747" s="12"/>
      <c r="AE747" s="12"/>
      <c r="AF747" s="12"/>
      <c r="AG747" s="1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c r="KB747" s="1"/>
      <c r="KC747" s="1"/>
      <c r="KD747" s="1"/>
      <c r="KE747" s="1"/>
      <c r="KF747" s="1"/>
      <c r="KG747" s="1"/>
      <c r="KH747" s="1"/>
      <c r="KI747" s="1"/>
      <c r="KJ747" s="1"/>
      <c r="KK747" s="1"/>
      <c r="KL747" s="1"/>
      <c r="KM747" s="1"/>
      <c r="KN747" s="1"/>
      <c r="KO747" s="1"/>
      <c r="KP747" s="1"/>
      <c r="KQ747" s="1"/>
      <c r="KR747" s="1"/>
      <c r="KS747" s="1"/>
      <c r="KT747" s="1"/>
      <c r="KU747" s="1"/>
    </row>
    <row r="748" spans="1:307" s="2" customFormat="1" x14ac:dyDescent="0.25">
      <c r="A748" s="1"/>
      <c r="B748" s="11"/>
      <c r="C748" s="11"/>
      <c r="D748" s="11"/>
      <c r="E748" s="11"/>
      <c r="F748" s="11"/>
      <c r="G748" s="1"/>
      <c r="H748" s="4"/>
      <c r="I748" s="1"/>
      <c r="J748" s="11"/>
      <c r="K748" s="11"/>
      <c r="L748" s="12"/>
      <c r="M748" s="4"/>
      <c r="N748" s="12"/>
      <c r="O748" s="12"/>
      <c r="P748" s="12"/>
      <c r="Q748" s="12"/>
      <c r="R748" s="12"/>
      <c r="S748" s="12"/>
      <c r="T748" s="12"/>
      <c r="U748" s="12"/>
      <c r="V748" s="12"/>
      <c r="W748" s="6"/>
      <c r="X748" s="6"/>
      <c r="Y748" s="6"/>
      <c r="Z748" s="6"/>
      <c r="AA748" s="1"/>
      <c r="AB748" s="5"/>
      <c r="AC748" s="12"/>
      <c r="AD748" s="12"/>
      <c r="AE748" s="12"/>
      <c r="AF748" s="12"/>
      <c r="AG748" s="1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c r="KB748" s="1"/>
      <c r="KC748" s="1"/>
      <c r="KD748" s="1"/>
      <c r="KE748" s="1"/>
      <c r="KF748" s="1"/>
      <c r="KG748" s="1"/>
      <c r="KH748" s="1"/>
      <c r="KI748" s="1"/>
      <c r="KJ748" s="1"/>
      <c r="KK748" s="1"/>
      <c r="KL748" s="1"/>
      <c r="KM748" s="1"/>
      <c r="KN748" s="1"/>
      <c r="KO748" s="1"/>
      <c r="KP748" s="1"/>
      <c r="KQ748" s="1"/>
      <c r="KR748" s="1"/>
      <c r="KS748" s="1"/>
      <c r="KT748" s="1"/>
      <c r="KU748" s="1"/>
    </row>
    <row r="749" spans="1:307" s="2" customFormat="1" x14ac:dyDescent="0.25">
      <c r="A749" s="1"/>
      <c r="B749" s="11"/>
      <c r="C749" s="11"/>
      <c r="D749" s="11"/>
      <c r="E749" s="11"/>
      <c r="F749" s="11"/>
      <c r="G749" s="1"/>
      <c r="H749" s="4"/>
      <c r="I749" s="1"/>
      <c r="J749" s="11"/>
      <c r="K749" s="11"/>
      <c r="L749" s="12"/>
      <c r="M749" s="4"/>
      <c r="N749" s="12"/>
      <c r="O749" s="12"/>
      <c r="P749" s="12"/>
      <c r="Q749" s="12"/>
      <c r="R749" s="12"/>
      <c r="S749" s="12"/>
      <c r="T749" s="12"/>
      <c r="U749" s="12"/>
      <c r="V749" s="12"/>
      <c r="W749" s="6"/>
      <c r="X749" s="6"/>
      <c r="Y749" s="6"/>
      <c r="Z749" s="6"/>
      <c r="AA749" s="1"/>
      <c r="AB749" s="5"/>
      <c r="AC749" s="12"/>
      <c r="AD749" s="12"/>
      <c r="AE749" s="12"/>
      <c r="AF749" s="12"/>
      <c r="AG749" s="1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c r="KB749" s="1"/>
      <c r="KC749" s="1"/>
      <c r="KD749" s="1"/>
      <c r="KE749" s="1"/>
      <c r="KF749" s="1"/>
      <c r="KG749" s="1"/>
      <c r="KH749" s="1"/>
      <c r="KI749" s="1"/>
      <c r="KJ749" s="1"/>
      <c r="KK749" s="1"/>
      <c r="KL749" s="1"/>
      <c r="KM749" s="1"/>
      <c r="KN749" s="1"/>
      <c r="KO749" s="1"/>
      <c r="KP749" s="1"/>
      <c r="KQ749" s="1"/>
      <c r="KR749" s="1"/>
      <c r="KS749" s="1"/>
      <c r="KT749" s="1"/>
      <c r="KU749" s="1"/>
    </row>
    <row r="750" spans="1:307" s="2" customFormat="1" x14ac:dyDescent="0.25">
      <c r="A750" s="1"/>
      <c r="B750" s="11"/>
      <c r="C750" s="11"/>
      <c r="D750" s="11"/>
      <c r="E750" s="11"/>
      <c r="F750" s="11"/>
      <c r="G750" s="1"/>
      <c r="H750" s="4"/>
      <c r="I750" s="1"/>
      <c r="J750" s="11"/>
      <c r="K750" s="11"/>
      <c r="L750" s="12"/>
      <c r="M750" s="4"/>
      <c r="N750" s="12"/>
      <c r="O750" s="12"/>
      <c r="P750" s="12"/>
      <c r="Q750" s="12"/>
      <c r="R750" s="12"/>
      <c r="S750" s="12"/>
      <c r="T750" s="12"/>
      <c r="U750" s="12"/>
      <c r="V750" s="12"/>
      <c r="W750" s="6"/>
      <c r="X750" s="6"/>
      <c r="Y750" s="6"/>
      <c r="Z750" s="6"/>
      <c r="AA750" s="1"/>
      <c r="AB750" s="5"/>
      <c r="AC750" s="12"/>
      <c r="AD750" s="12"/>
      <c r="AE750" s="12"/>
      <c r="AF750" s="12"/>
      <c r="AG750" s="1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c r="KB750" s="1"/>
      <c r="KC750" s="1"/>
      <c r="KD750" s="1"/>
      <c r="KE750" s="1"/>
      <c r="KF750" s="1"/>
      <c r="KG750" s="1"/>
      <c r="KH750" s="1"/>
      <c r="KI750" s="1"/>
      <c r="KJ750" s="1"/>
      <c r="KK750" s="1"/>
      <c r="KL750" s="1"/>
      <c r="KM750" s="1"/>
      <c r="KN750" s="1"/>
      <c r="KO750" s="1"/>
      <c r="KP750" s="1"/>
      <c r="KQ750" s="1"/>
      <c r="KR750" s="1"/>
      <c r="KS750" s="1"/>
      <c r="KT750" s="1"/>
      <c r="KU750" s="1"/>
    </row>
    <row r="751" spans="1:307" s="2" customFormat="1" x14ac:dyDescent="0.25">
      <c r="A751" s="1"/>
      <c r="B751" s="11"/>
      <c r="C751" s="11"/>
      <c r="D751" s="11"/>
      <c r="E751" s="11"/>
      <c r="F751" s="11"/>
      <c r="G751" s="1"/>
      <c r="H751" s="4"/>
      <c r="I751" s="1"/>
      <c r="J751" s="11"/>
      <c r="K751" s="11"/>
      <c r="L751" s="12"/>
      <c r="M751" s="4"/>
      <c r="N751" s="12"/>
      <c r="O751" s="12"/>
      <c r="P751" s="12"/>
      <c r="Q751" s="12"/>
      <c r="R751" s="12"/>
      <c r="S751" s="12"/>
      <c r="T751" s="12"/>
      <c r="U751" s="12"/>
      <c r="V751" s="12"/>
      <c r="W751" s="6"/>
      <c r="X751" s="6"/>
      <c r="Y751" s="6"/>
      <c r="Z751" s="6"/>
      <c r="AA751" s="1"/>
      <c r="AB751" s="5"/>
      <c r="AC751" s="12"/>
      <c r="AD751" s="12"/>
      <c r="AE751" s="12"/>
      <c r="AF751" s="12"/>
      <c r="AG751" s="1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c r="KB751" s="1"/>
      <c r="KC751" s="1"/>
      <c r="KD751" s="1"/>
      <c r="KE751" s="1"/>
      <c r="KF751" s="1"/>
      <c r="KG751" s="1"/>
      <c r="KH751" s="1"/>
      <c r="KI751" s="1"/>
      <c r="KJ751" s="1"/>
      <c r="KK751" s="1"/>
      <c r="KL751" s="1"/>
      <c r="KM751" s="1"/>
      <c r="KN751" s="1"/>
      <c r="KO751" s="1"/>
      <c r="KP751" s="1"/>
      <c r="KQ751" s="1"/>
      <c r="KR751" s="1"/>
      <c r="KS751" s="1"/>
      <c r="KT751" s="1"/>
      <c r="KU751" s="1"/>
    </row>
    <row r="752" spans="1:307" s="2" customFormat="1" x14ac:dyDescent="0.25">
      <c r="A752" s="1"/>
      <c r="B752" s="11"/>
      <c r="C752" s="11"/>
      <c r="D752" s="11"/>
      <c r="E752" s="11"/>
      <c r="F752" s="11"/>
      <c r="G752" s="1"/>
      <c r="H752" s="4"/>
      <c r="I752" s="1"/>
      <c r="J752" s="11"/>
      <c r="K752" s="11"/>
      <c r="L752" s="12"/>
      <c r="M752" s="4"/>
      <c r="N752" s="12"/>
      <c r="O752" s="12"/>
      <c r="P752" s="12"/>
      <c r="Q752" s="12"/>
      <c r="R752" s="12"/>
      <c r="S752" s="12"/>
      <c r="T752" s="12"/>
      <c r="U752" s="12"/>
      <c r="V752" s="12"/>
      <c r="W752" s="6"/>
      <c r="X752" s="6"/>
      <c r="Y752" s="6"/>
      <c r="Z752" s="6"/>
      <c r="AA752" s="1"/>
      <c r="AB752" s="5"/>
      <c r="AC752" s="12"/>
      <c r="AD752" s="12"/>
      <c r="AE752" s="12"/>
      <c r="AF752" s="12"/>
      <c r="AG752" s="1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c r="KB752" s="1"/>
      <c r="KC752" s="1"/>
      <c r="KD752" s="1"/>
      <c r="KE752" s="1"/>
      <c r="KF752" s="1"/>
      <c r="KG752" s="1"/>
      <c r="KH752" s="1"/>
      <c r="KI752" s="1"/>
      <c r="KJ752" s="1"/>
      <c r="KK752" s="1"/>
      <c r="KL752" s="1"/>
      <c r="KM752" s="1"/>
      <c r="KN752" s="1"/>
      <c r="KO752" s="1"/>
      <c r="KP752" s="1"/>
      <c r="KQ752" s="1"/>
      <c r="KR752" s="1"/>
      <c r="KS752" s="1"/>
      <c r="KT752" s="1"/>
      <c r="KU752" s="1"/>
    </row>
    <row r="753" spans="1:307" s="2" customFormat="1" x14ac:dyDescent="0.25">
      <c r="A753" s="1"/>
      <c r="B753" s="11"/>
      <c r="C753" s="11"/>
      <c r="D753" s="11"/>
      <c r="E753" s="11"/>
      <c r="F753" s="11"/>
      <c r="G753" s="1"/>
      <c r="H753" s="4"/>
      <c r="I753" s="1"/>
      <c r="J753" s="11"/>
      <c r="K753" s="11"/>
      <c r="L753" s="12"/>
      <c r="M753" s="4"/>
      <c r="N753" s="12"/>
      <c r="O753" s="12"/>
      <c r="P753" s="12"/>
      <c r="Q753" s="12"/>
      <c r="R753" s="12"/>
      <c r="S753" s="12"/>
      <c r="T753" s="12"/>
      <c r="U753" s="12"/>
      <c r="V753" s="12"/>
      <c r="W753" s="6"/>
      <c r="X753" s="6"/>
      <c r="Y753" s="6"/>
      <c r="Z753" s="6"/>
      <c r="AA753" s="1"/>
      <c r="AB753" s="5"/>
      <c r="AC753" s="12"/>
      <c r="AD753" s="12"/>
      <c r="AE753" s="12"/>
      <c r="AF753" s="12"/>
      <c r="AG753" s="1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c r="KB753" s="1"/>
      <c r="KC753" s="1"/>
      <c r="KD753" s="1"/>
      <c r="KE753" s="1"/>
      <c r="KF753" s="1"/>
      <c r="KG753" s="1"/>
      <c r="KH753" s="1"/>
      <c r="KI753" s="1"/>
      <c r="KJ753" s="1"/>
      <c r="KK753" s="1"/>
      <c r="KL753" s="1"/>
      <c r="KM753" s="1"/>
      <c r="KN753" s="1"/>
      <c r="KO753" s="1"/>
      <c r="KP753" s="1"/>
      <c r="KQ753" s="1"/>
      <c r="KR753" s="1"/>
      <c r="KS753" s="1"/>
      <c r="KT753" s="1"/>
      <c r="KU753" s="1"/>
    </row>
    <row r="754" spans="1:307" s="2" customFormat="1" x14ac:dyDescent="0.25">
      <c r="A754" s="1"/>
      <c r="B754" s="11"/>
      <c r="C754" s="11"/>
      <c r="D754" s="11"/>
      <c r="E754" s="11"/>
      <c r="F754" s="11"/>
      <c r="G754" s="1"/>
      <c r="H754" s="4"/>
      <c r="I754" s="1"/>
      <c r="J754" s="11"/>
      <c r="K754" s="11"/>
      <c r="L754" s="12"/>
      <c r="M754" s="4"/>
      <c r="N754" s="12"/>
      <c r="O754" s="12"/>
      <c r="P754" s="12"/>
      <c r="Q754" s="12"/>
      <c r="R754" s="12"/>
      <c r="S754" s="12"/>
      <c r="T754" s="12"/>
      <c r="U754" s="12"/>
      <c r="V754" s="12"/>
      <c r="W754" s="6"/>
      <c r="X754" s="6"/>
      <c r="Y754" s="6"/>
      <c r="Z754" s="6"/>
      <c r="AA754" s="1"/>
      <c r="AB754" s="5"/>
      <c r="AC754" s="12"/>
      <c r="AD754" s="12"/>
      <c r="AE754" s="12"/>
      <c r="AF754" s="12"/>
      <c r="AG754" s="1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c r="KB754" s="1"/>
      <c r="KC754" s="1"/>
      <c r="KD754" s="1"/>
      <c r="KE754" s="1"/>
      <c r="KF754" s="1"/>
      <c r="KG754" s="1"/>
      <c r="KH754" s="1"/>
      <c r="KI754" s="1"/>
      <c r="KJ754" s="1"/>
      <c r="KK754" s="1"/>
      <c r="KL754" s="1"/>
      <c r="KM754" s="1"/>
      <c r="KN754" s="1"/>
      <c r="KO754" s="1"/>
      <c r="KP754" s="1"/>
      <c r="KQ754" s="1"/>
      <c r="KR754" s="1"/>
      <c r="KS754" s="1"/>
      <c r="KT754" s="1"/>
      <c r="KU754" s="1"/>
    </row>
    <row r="755" spans="1:307" s="2" customFormat="1" x14ac:dyDescent="0.25">
      <c r="A755" s="1"/>
      <c r="B755" s="11"/>
      <c r="C755" s="11"/>
      <c r="D755" s="11"/>
      <c r="E755" s="11"/>
      <c r="F755" s="11"/>
      <c r="G755" s="1"/>
      <c r="H755" s="4"/>
      <c r="I755" s="1"/>
      <c r="J755" s="11"/>
      <c r="K755" s="11"/>
      <c r="L755" s="12"/>
      <c r="M755" s="4"/>
      <c r="N755" s="12"/>
      <c r="O755" s="12"/>
      <c r="P755" s="12"/>
      <c r="Q755" s="12"/>
      <c r="R755" s="12"/>
      <c r="S755" s="12"/>
      <c r="T755" s="12"/>
      <c r="U755" s="12"/>
      <c r="V755" s="12"/>
      <c r="W755" s="6"/>
      <c r="X755" s="6"/>
      <c r="Y755" s="6"/>
      <c r="Z755" s="6"/>
      <c r="AA755" s="1"/>
      <c r="AB755" s="5"/>
      <c r="AC755" s="12"/>
      <c r="AD755" s="12"/>
      <c r="AE755" s="12"/>
      <c r="AF755" s="12"/>
      <c r="AG755" s="1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c r="KB755" s="1"/>
      <c r="KC755" s="1"/>
      <c r="KD755" s="1"/>
      <c r="KE755" s="1"/>
      <c r="KF755" s="1"/>
      <c r="KG755" s="1"/>
      <c r="KH755" s="1"/>
      <c r="KI755" s="1"/>
      <c r="KJ755" s="1"/>
      <c r="KK755" s="1"/>
      <c r="KL755" s="1"/>
      <c r="KM755" s="1"/>
      <c r="KN755" s="1"/>
      <c r="KO755" s="1"/>
      <c r="KP755" s="1"/>
      <c r="KQ755" s="1"/>
      <c r="KR755" s="1"/>
      <c r="KS755" s="1"/>
      <c r="KT755" s="1"/>
      <c r="KU755" s="1"/>
    </row>
    <row r="756" spans="1:307" s="2" customFormat="1" x14ac:dyDescent="0.25">
      <c r="A756" s="1"/>
      <c r="B756" s="11"/>
      <c r="C756" s="11"/>
      <c r="D756" s="11"/>
      <c r="E756" s="11"/>
      <c r="F756" s="11"/>
      <c r="G756" s="1"/>
      <c r="H756" s="4"/>
      <c r="I756" s="1"/>
      <c r="J756" s="11"/>
      <c r="K756" s="11"/>
      <c r="L756" s="12"/>
      <c r="M756" s="4"/>
      <c r="N756" s="12"/>
      <c r="O756" s="12"/>
      <c r="P756" s="12"/>
      <c r="Q756" s="12"/>
      <c r="R756" s="12"/>
      <c r="S756" s="12"/>
      <c r="T756" s="12"/>
      <c r="U756" s="12"/>
      <c r="V756" s="12"/>
      <c r="W756" s="6"/>
      <c r="X756" s="6"/>
      <c r="Y756" s="6"/>
      <c r="Z756" s="6"/>
      <c r="AA756" s="1"/>
      <c r="AB756" s="5"/>
      <c r="AC756" s="12"/>
      <c r="AD756" s="12"/>
      <c r="AE756" s="12"/>
      <c r="AF756" s="12"/>
      <c r="AG756" s="1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c r="KB756" s="1"/>
      <c r="KC756" s="1"/>
      <c r="KD756" s="1"/>
      <c r="KE756" s="1"/>
      <c r="KF756" s="1"/>
      <c r="KG756" s="1"/>
      <c r="KH756" s="1"/>
      <c r="KI756" s="1"/>
      <c r="KJ756" s="1"/>
      <c r="KK756" s="1"/>
      <c r="KL756" s="1"/>
      <c r="KM756" s="1"/>
      <c r="KN756" s="1"/>
      <c r="KO756" s="1"/>
      <c r="KP756" s="1"/>
      <c r="KQ756" s="1"/>
      <c r="KR756" s="1"/>
      <c r="KS756" s="1"/>
      <c r="KT756" s="1"/>
      <c r="KU756" s="1"/>
    </row>
    <row r="757" spans="1:307" s="2" customFormat="1" x14ac:dyDescent="0.25">
      <c r="A757" s="1"/>
      <c r="B757" s="11"/>
      <c r="C757" s="11"/>
      <c r="D757" s="11"/>
      <c r="E757" s="11"/>
      <c r="F757" s="11"/>
      <c r="G757" s="1"/>
      <c r="H757" s="4"/>
      <c r="I757" s="1"/>
      <c r="J757" s="11"/>
      <c r="K757" s="11"/>
      <c r="L757" s="12"/>
      <c r="M757" s="4"/>
      <c r="N757" s="12"/>
      <c r="O757" s="12"/>
      <c r="P757" s="12"/>
      <c r="Q757" s="12"/>
      <c r="R757" s="12"/>
      <c r="S757" s="12"/>
      <c r="T757" s="12"/>
      <c r="U757" s="12"/>
      <c r="V757" s="12"/>
      <c r="W757" s="6"/>
      <c r="X757" s="6"/>
      <c r="Y757" s="6"/>
      <c r="Z757" s="6"/>
      <c r="AA757" s="1"/>
      <c r="AB757" s="5"/>
      <c r="AC757" s="12"/>
      <c r="AD757" s="12"/>
      <c r="AE757" s="12"/>
      <c r="AF757" s="12"/>
      <c r="AG757" s="1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c r="KB757" s="1"/>
      <c r="KC757" s="1"/>
      <c r="KD757" s="1"/>
      <c r="KE757" s="1"/>
      <c r="KF757" s="1"/>
      <c r="KG757" s="1"/>
      <c r="KH757" s="1"/>
      <c r="KI757" s="1"/>
      <c r="KJ757" s="1"/>
      <c r="KK757" s="1"/>
      <c r="KL757" s="1"/>
      <c r="KM757" s="1"/>
      <c r="KN757" s="1"/>
      <c r="KO757" s="1"/>
      <c r="KP757" s="1"/>
      <c r="KQ757" s="1"/>
      <c r="KR757" s="1"/>
      <c r="KS757" s="1"/>
      <c r="KT757" s="1"/>
      <c r="KU757" s="1"/>
    </row>
    <row r="758" spans="1:307" s="2" customFormat="1" x14ac:dyDescent="0.25">
      <c r="A758" s="1"/>
      <c r="B758" s="11"/>
      <c r="C758" s="11"/>
      <c r="D758" s="11"/>
      <c r="E758" s="11"/>
      <c r="F758" s="11"/>
      <c r="G758" s="1"/>
      <c r="H758" s="4"/>
      <c r="I758" s="1"/>
      <c r="J758" s="11"/>
      <c r="K758" s="11"/>
      <c r="L758" s="12"/>
      <c r="M758" s="4"/>
      <c r="N758" s="12"/>
      <c r="O758" s="12"/>
      <c r="P758" s="12"/>
      <c r="Q758" s="12"/>
      <c r="R758" s="12"/>
      <c r="S758" s="12"/>
      <c r="T758" s="12"/>
      <c r="U758" s="12"/>
      <c r="V758" s="12"/>
      <c r="W758" s="6"/>
      <c r="X758" s="6"/>
      <c r="Y758" s="6"/>
      <c r="Z758" s="6"/>
      <c r="AA758" s="1"/>
      <c r="AB758" s="5"/>
      <c r="AC758" s="12"/>
      <c r="AD758" s="12"/>
      <c r="AE758" s="12"/>
      <c r="AF758" s="12"/>
      <c r="AG758" s="1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c r="KB758" s="1"/>
      <c r="KC758" s="1"/>
      <c r="KD758" s="1"/>
      <c r="KE758" s="1"/>
      <c r="KF758" s="1"/>
      <c r="KG758" s="1"/>
      <c r="KH758" s="1"/>
      <c r="KI758" s="1"/>
      <c r="KJ758" s="1"/>
      <c r="KK758" s="1"/>
      <c r="KL758" s="1"/>
      <c r="KM758" s="1"/>
      <c r="KN758" s="1"/>
      <c r="KO758" s="1"/>
      <c r="KP758" s="1"/>
      <c r="KQ758" s="1"/>
      <c r="KR758" s="1"/>
      <c r="KS758" s="1"/>
      <c r="KT758" s="1"/>
      <c r="KU758" s="1"/>
    </row>
    <row r="759" spans="1:307" s="2" customFormat="1" x14ac:dyDescent="0.25">
      <c r="A759" s="1"/>
      <c r="B759" s="11"/>
      <c r="C759" s="11"/>
      <c r="D759" s="11"/>
      <c r="E759" s="11"/>
      <c r="F759" s="11"/>
      <c r="G759" s="1"/>
      <c r="H759" s="4"/>
      <c r="I759" s="1"/>
      <c r="J759" s="11"/>
      <c r="K759" s="11"/>
      <c r="L759" s="12"/>
      <c r="M759" s="4"/>
      <c r="N759" s="12"/>
      <c r="O759" s="12"/>
      <c r="P759" s="12"/>
      <c r="Q759" s="12"/>
      <c r="R759" s="12"/>
      <c r="S759" s="12"/>
      <c r="T759" s="12"/>
      <c r="U759" s="12"/>
      <c r="V759" s="12"/>
      <c r="W759" s="6"/>
      <c r="X759" s="6"/>
      <c r="Y759" s="6"/>
      <c r="Z759" s="6"/>
      <c r="AA759" s="1"/>
      <c r="AB759" s="5"/>
      <c r="AC759" s="12"/>
      <c r="AD759" s="12"/>
      <c r="AE759" s="12"/>
      <c r="AF759" s="12"/>
      <c r="AG759" s="1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c r="KB759" s="1"/>
      <c r="KC759" s="1"/>
      <c r="KD759" s="1"/>
      <c r="KE759" s="1"/>
      <c r="KF759" s="1"/>
      <c r="KG759" s="1"/>
      <c r="KH759" s="1"/>
      <c r="KI759" s="1"/>
      <c r="KJ759" s="1"/>
      <c r="KK759" s="1"/>
      <c r="KL759" s="1"/>
      <c r="KM759" s="1"/>
      <c r="KN759" s="1"/>
      <c r="KO759" s="1"/>
      <c r="KP759" s="1"/>
      <c r="KQ759" s="1"/>
      <c r="KR759" s="1"/>
      <c r="KS759" s="1"/>
      <c r="KT759" s="1"/>
      <c r="KU759" s="1"/>
    </row>
    <row r="760" spans="1:307" s="2" customFormat="1" x14ac:dyDescent="0.25">
      <c r="A760" s="1"/>
      <c r="B760" s="11"/>
      <c r="C760" s="11"/>
      <c r="D760" s="11"/>
      <c r="E760" s="11"/>
      <c r="F760" s="11"/>
      <c r="G760" s="1"/>
      <c r="H760" s="4"/>
      <c r="I760" s="1"/>
      <c r="J760" s="11"/>
      <c r="K760" s="11"/>
      <c r="L760" s="12"/>
      <c r="M760" s="4"/>
      <c r="N760" s="12"/>
      <c r="O760" s="12"/>
      <c r="P760" s="12"/>
      <c r="Q760" s="12"/>
      <c r="R760" s="12"/>
      <c r="S760" s="12"/>
      <c r="T760" s="12"/>
      <c r="U760" s="12"/>
      <c r="V760" s="12"/>
      <c r="W760" s="6"/>
      <c r="X760" s="6"/>
      <c r="Y760" s="6"/>
      <c r="Z760" s="6"/>
      <c r="AA760" s="1"/>
      <c r="AB760" s="5"/>
      <c r="AC760" s="12"/>
      <c r="AD760" s="12"/>
      <c r="AE760" s="12"/>
      <c r="AF760" s="12"/>
      <c r="AG760" s="1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c r="KB760" s="1"/>
      <c r="KC760" s="1"/>
      <c r="KD760" s="1"/>
      <c r="KE760" s="1"/>
      <c r="KF760" s="1"/>
      <c r="KG760" s="1"/>
      <c r="KH760" s="1"/>
      <c r="KI760" s="1"/>
      <c r="KJ760" s="1"/>
      <c r="KK760" s="1"/>
      <c r="KL760" s="1"/>
      <c r="KM760" s="1"/>
      <c r="KN760" s="1"/>
      <c r="KO760" s="1"/>
      <c r="KP760" s="1"/>
      <c r="KQ760" s="1"/>
      <c r="KR760" s="1"/>
      <c r="KS760" s="1"/>
      <c r="KT760" s="1"/>
      <c r="KU760" s="1"/>
    </row>
    <row r="761" spans="1:307" s="2" customFormat="1" x14ac:dyDescent="0.25">
      <c r="A761" s="1"/>
      <c r="B761" s="11"/>
      <c r="C761" s="11"/>
      <c r="D761" s="11"/>
      <c r="E761" s="11"/>
      <c r="F761" s="11"/>
      <c r="G761" s="1"/>
      <c r="H761" s="4"/>
      <c r="I761" s="1"/>
      <c r="J761" s="11"/>
      <c r="K761" s="11"/>
      <c r="L761" s="12"/>
      <c r="M761" s="4"/>
      <c r="N761" s="12"/>
      <c r="O761" s="12"/>
      <c r="P761" s="12"/>
      <c r="Q761" s="12"/>
      <c r="R761" s="12"/>
      <c r="S761" s="12"/>
      <c r="T761" s="12"/>
      <c r="U761" s="12"/>
      <c r="V761" s="12"/>
      <c r="W761" s="6"/>
      <c r="X761" s="6"/>
      <c r="Y761" s="6"/>
      <c r="Z761" s="6"/>
      <c r="AA761" s="1"/>
      <c r="AB761" s="5"/>
      <c r="AC761" s="12"/>
      <c r="AD761" s="12"/>
      <c r="AE761" s="12"/>
      <c r="AF761" s="12"/>
      <c r="AG761" s="1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c r="KB761" s="1"/>
      <c r="KC761" s="1"/>
      <c r="KD761" s="1"/>
      <c r="KE761" s="1"/>
      <c r="KF761" s="1"/>
      <c r="KG761" s="1"/>
      <c r="KH761" s="1"/>
      <c r="KI761" s="1"/>
      <c r="KJ761" s="1"/>
      <c r="KK761" s="1"/>
      <c r="KL761" s="1"/>
      <c r="KM761" s="1"/>
      <c r="KN761" s="1"/>
      <c r="KO761" s="1"/>
      <c r="KP761" s="1"/>
      <c r="KQ761" s="1"/>
      <c r="KR761" s="1"/>
      <c r="KS761" s="1"/>
      <c r="KT761" s="1"/>
      <c r="KU761" s="1"/>
    </row>
    <row r="762" spans="1:307" s="2" customFormat="1" x14ac:dyDescent="0.25">
      <c r="A762" s="1"/>
      <c r="B762" s="11"/>
      <c r="C762" s="11"/>
      <c r="D762" s="11"/>
      <c r="E762" s="11"/>
      <c r="F762" s="11"/>
      <c r="G762" s="1"/>
      <c r="H762" s="4"/>
      <c r="I762" s="1"/>
      <c r="J762" s="11"/>
      <c r="K762" s="11"/>
      <c r="L762" s="12"/>
      <c r="M762" s="4"/>
      <c r="N762" s="12"/>
      <c r="O762" s="12"/>
      <c r="P762" s="12"/>
      <c r="Q762" s="12"/>
      <c r="R762" s="12"/>
      <c r="S762" s="12"/>
      <c r="T762" s="12"/>
      <c r="U762" s="12"/>
      <c r="V762" s="12"/>
      <c r="W762" s="6"/>
      <c r="X762" s="6"/>
      <c r="Y762" s="6"/>
      <c r="Z762" s="6"/>
      <c r="AA762" s="1"/>
      <c r="AB762" s="5"/>
      <c r="AC762" s="12"/>
      <c r="AD762" s="12"/>
      <c r="AE762" s="12"/>
      <c r="AF762" s="12"/>
      <c r="AG762" s="1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c r="KB762" s="1"/>
      <c r="KC762" s="1"/>
      <c r="KD762" s="1"/>
      <c r="KE762" s="1"/>
      <c r="KF762" s="1"/>
      <c r="KG762" s="1"/>
      <c r="KH762" s="1"/>
      <c r="KI762" s="1"/>
      <c r="KJ762" s="1"/>
      <c r="KK762" s="1"/>
      <c r="KL762" s="1"/>
      <c r="KM762" s="1"/>
      <c r="KN762" s="1"/>
      <c r="KO762" s="1"/>
      <c r="KP762" s="1"/>
      <c r="KQ762" s="1"/>
      <c r="KR762" s="1"/>
      <c r="KS762" s="1"/>
      <c r="KT762" s="1"/>
      <c r="KU762" s="1"/>
    </row>
    <row r="763" spans="1:307" s="2" customFormat="1" x14ac:dyDescent="0.25">
      <c r="A763" s="1"/>
      <c r="B763" s="11"/>
      <c r="C763" s="11"/>
      <c r="D763" s="11"/>
      <c r="E763" s="11"/>
      <c r="F763" s="11"/>
      <c r="G763" s="1"/>
      <c r="H763" s="4"/>
      <c r="I763" s="1"/>
      <c r="J763" s="11"/>
      <c r="K763" s="11"/>
      <c r="L763" s="12"/>
      <c r="M763" s="4"/>
      <c r="N763" s="12"/>
      <c r="O763" s="12"/>
      <c r="P763" s="12"/>
      <c r="Q763" s="12"/>
      <c r="R763" s="12"/>
      <c r="S763" s="12"/>
      <c r="T763" s="12"/>
      <c r="U763" s="12"/>
      <c r="V763" s="12"/>
      <c r="W763" s="6"/>
      <c r="X763" s="6"/>
      <c r="Y763" s="6"/>
      <c r="Z763" s="6"/>
      <c r="AA763" s="1"/>
      <c r="AB763" s="5"/>
      <c r="AC763" s="12"/>
      <c r="AD763" s="12"/>
      <c r="AE763" s="12"/>
      <c r="AF763" s="12"/>
      <c r="AG763" s="1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c r="KB763" s="1"/>
      <c r="KC763" s="1"/>
      <c r="KD763" s="1"/>
      <c r="KE763" s="1"/>
      <c r="KF763" s="1"/>
      <c r="KG763" s="1"/>
      <c r="KH763" s="1"/>
      <c r="KI763" s="1"/>
      <c r="KJ763" s="1"/>
      <c r="KK763" s="1"/>
      <c r="KL763" s="1"/>
      <c r="KM763" s="1"/>
      <c r="KN763" s="1"/>
      <c r="KO763" s="1"/>
      <c r="KP763" s="1"/>
      <c r="KQ763" s="1"/>
      <c r="KR763" s="1"/>
      <c r="KS763" s="1"/>
      <c r="KT763" s="1"/>
      <c r="KU763" s="1"/>
    </row>
    <row r="764" spans="1:307" s="2" customFormat="1" x14ac:dyDescent="0.25">
      <c r="A764" s="1"/>
      <c r="B764" s="11"/>
      <c r="C764" s="11"/>
      <c r="D764" s="11"/>
      <c r="E764" s="11"/>
      <c r="F764" s="11"/>
      <c r="G764" s="1"/>
      <c r="H764" s="4"/>
      <c r="I764" s="1"/>
      <c r="J764" s="11"/>
      <c r="K764" s="11"/>
      <c r="L764" s="12"/>
      <c r="M764" s="4"/>
      <c r="N764" s="12"/>
      <c r="O764" s="12"/>
      <c r="P764" s="12"/>
      <c r="Q764" s="12"/>
      <c r="R764" s="12"/>
      <c r="S764" s="12"/>
      <c r="T764" s="12"/>
      <c r="U764" s="12"/>
      <c r="V764" s="12"/>
      <c r="W764" s="6"/>
      <c r="X764" s="6"/>
      <c r="Y764" s="6"/>
      <c r="Z764" s="6"/>
      <c r="AA764" s="1"/>
      <c r="AB764" s="5"/>
      <c r="AC764" s="12"/>
      <c r="AD764" s="12"/>
      <c r="AE764" s="12"/>
      <c r="AF764" s="12"/>
      <c r="AG764" s="1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c r="KB764" s="1"/>
      <c r="KC764" s="1"/>
      <c r="KD764" s="1"/>
      <c r="KE764" s="1"/>
      <c r="KF764" s="1"/>
      <c r="KG764" s="1"/>
      <c r="KH764" s="1"/>
      <c r="KI764" s="1"/>
      <c r="KJ764" s="1"/>
      <c r="KK764" s="1"/>
      <c r="KL764" s="1"/>
      <c r="KM764" s="1"/>
      <c r="KN764" s="1"/>
      <c r="KO764" s="1"/>
      <c r="KP764" s="1"/>
      <c r="KQ764" s="1"/>
      <c r="KR764" s="1"/>
      <c r="KS764" s="1"/>
      <c r="KT764" s="1"/>
      <c r="KU764" s="1"/>
    </row>
    <row r="765" spans="1:307" s="2" customFormat="1" x14ac:dyDescent="0.25">
      <c r="A765" s="1"/>
      <c r="B765" s="11"/>
      <c r="C765" s="11"/>
      <c r="D765" s="11"/>
      <c r="E765" s="11"/>
      <c r="F765" s="11"/>
      <c r="G765" s="1"/>
      <c r="H765" s="4"/>
      <c r="I765" s="1"/>
      <c r="J765" s="11"/>
      <c r="K765" s="11"/>
      <c r="L765" s="12"/>
      <c r="M765" s="4"/>
      <c r="N765" s="12"/>
      <c r="O765" s="12"/>
      <c r="P765" s="12"/>
      <c r="Q765" s="12"/>
      <c r="R765" s="12"/>
      <c r="S765" s="12"/>
      <c r="T765" s="12"/>
      <c r="U765" s="12"/>
      <c r="V765" s="12"/>
      <c r="W765" s="6"/>
      <c r="X765" s="6"/>
      <c r="Y765" s="6"/>
      <c r="Z765" s="6"/>
      <c r="AA765" s="1"/>
      <c r="AB765" s="5"/>
      <c r="AC765" s="12"/>
      <c r="AD765" s="12"/>
      <c r="AE765" s="12"/>
      <c r="AF765" s="12"/>
      <c r="AG765" s="1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c r="KB765" s="1"/>
      <c r="KC765" s="1"/>
      <c r="KD765" s="1"/>
      <c r="KE765" s="1"/>
      <c r="KF765" s="1"/>
      <c r="KG765" s="1"/>
      <c r="KH765" s="1"/>
      <c r="KI765" s="1"/>
      <c r="KJ765" s="1"/>
      <c r="KK765" s="1"/>
      <c r="KL765" s="1"/>
      <c r="KM765" s="1"/>
      <c r="KN765" s="1"/>
      <c r="KO765" s="1"/>
      <c r="KP765" s="1"/>
      <c r="KQ765" s="1"/>
      <c r="KR765" s="1"/>
      <c r="KS765" s="1"/>
      <c r="KT765" s="1"/>
      <c r="KU765" s="1"/>
    </row>
    <row r="766" spans="1:307" s="2" customFormat="1" x14ac:dyDescent="0.25">
      <c r="A766" s="1"/>
      <c r="B766" s="11"/>
      <c r="C766" s="11"/>
      <c r="D766" s="11"/>
      <c r="E766" s="11"/>
      <c r="F766" s="11"/>
      <c r="G766" s="1"/>
      <c r="H766" s="4"/>
      <c r="I766" s="1"/>
      <c r="J766" s="11"/>
      <c r="K766" s="11"/>
      <c r="L766" s="12"/>
      <c r="M766" s="4"/>
      <c r="N766" s="12"/>
      <c r="O766" s="12"/>
      <c r="P766" s="12"/>
      <c r="Q766" s="12"/>
      <c r="R766" s="12"/>
      <c r="S766" s="12"/>
      <c r="T766" s="12"/>
      <c r="U766" s="12"/>
      <c r="V766" s="12"/>
      <c r="W766" s="6"/>
      <c r="X766" s="6"/>
      <c r="Y766" s="6"/>
      <c r="Z766" s="6"/>
      <c r="AA766" s="1"/>
      <c r="AB766" s="5"/>
      <c r="AC766" s="12"/>
      <c r="AD766" s="12"/>
      <c r="AE766" s="12"/>
      <c r="AF766" s="12"/>
      <c r="AG766" s="1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c r="KB766" s="1"/>
      <c r="KC766" s="1"/>
      <c r="KD766" s="1"/>
      <c r="KE766" s="1"/>
      <c r="KF766" s="1"/>
      <c r="KG766" s="1"/>
      <c r="KH766" s="1"/>
      <c r="KI766" s="1"/>
      <c r="KJ766" s="1"/>
      <c r="KK766" s="1"/>
      <c r="KL766" s="1"/>
      <c r="KM766" s="1"/>
      <c r="KN766" s="1"/>
      <c r="KO766" s="1"/>
      <c r="KP766" s="1"/>
      <c r="KQ766" s="1"/>
      <c r="KR766" s="1"/>
      <c r="KS766" s="1"/>
      <c r="KT766" s="1"/>
      <c r="KU766" s="1"/>
    </row>
    <row r="767" spans="1:307" s="2" customFormat="1" x14ac:dyDescent="0.25">
      <c r="A767" s="1"/>
      <c r="B767" s="11"/>
      <c r="C767" s="11"/>
      <c r="D767" s="11"/>
      <c r="E767" s="11"/>
      <c r="F767" s="11"/>
      <c r="G767" s="1"/>
      <c r="H767" s="4"/>
      <c r="I767" s="1"/>
      <c r="J767" s="11"/>
      <c r="K767" s="11"/>
      <c r="L767" s="12"/>
      <c r="M767" s="4"/>
      <c r="N767" s="12"/>
      <c r="O767" s="12"/>
      <c r="P767" s="12"/>
      <c r="Q767" s="12"/>
      <c r="R767" s="12"/>
      <c r="S767" s="12"/>
      <c r="T767" s="12"/>
      <c r="U767" s="12"/>
      <c r="V767" s="12"/>
      <c r="W767" s="6"/>
      <c r="X767" s="6"/>
      <c r="Y767" s="6"/>
      <c r="Z767" s="6"/>
      <c r="AA767" s="1"/>
      <c r="AB767" s="5"/>
      <c r="AC767" s="12"/>
      <c r="AD767" s="12"/>
      <c r="AE767" s="12"/>
      <c r="AF767" s="12"/>
      <c r="AG767" s="1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c r="KB767" s="1"/>
      <c r="KC767" s="1"/>
      <c r="KD767" s="1"/>
      <c r="KE767" s="1"/>
      <c r="KF767" s="1"/>
      <c r="KG767" s="1"/>
      <c r="KH767" s="1"/>
      <c r="KI767" s="1"/>
      <c r="KJ767" s="1"/>
      <c r="KK767" s="1"/>
      <c r="KL767" s="1"/>
      <c r="KM767" s="1"/>
      <c r="KN767" s="1"/>
      <c r="KO767" s="1"/>
      <c r="KP767" s="1"/>
      <c r="KQ767" s="1"/>
      <c r="KR767" s="1"/>
      <c r="KS767" s="1"/>
      <c r="KT767" s="1"/>
      <c r="KU767" s="1"/>
    </row>
    <row r="768" spans="1:307" s="2" customFormat="1" x14ac:dyDescent="0.25">
      <c r="A768" s="1"/>
      <c r="B768" s="11"/>
      <c r="C768" s="11"/>
      <c r="D768" s="11"/>
      <c r="E768" s="11"/>
      <c r="F768" s="11"/>
      <c r="G768" s="1"/>
      <c r="H768" s="4"/>
      <c r="I768" s="1"/>
      <c r="J768" s="11"/>
      <c r="K768" s="11"/>
      <c r="L768" s="12"/>
      <c r="M768" s="4"/>
      <c r="N768" s="12"/>
      <c r="O768" s="12"/>
      <c r="P768" s="12"/>
      <c r="Q768" s="12"/>
      <c r="R768" s="12"/>
      <c r="S768" s="12"/>
      <c r="T768" s="12"/>
      <c r="U768" s="12"/>
      <c r="V768" s="12"/>
      <c r="W768" s="6"/>
      <c r="X768" s="6"/>
      <c r="Y768" s="6"/>
      <c r="Z768" s="6"/>
      <c r="AA768" s="1"/>
      <c r="AB768" s="5"/>
      <c r="AC768" s="12"/>
      <c r="AD768" s="12"/>
      <c r="AE768" s="12"/>
      <c r="AF768" s="12"/>
      <c r="AG768" s="1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c r="KB768" s="1"/>
      <c r="KC768" s="1"/>
      <c r="KD768" s="1"/>
      <c r="KE768" s="1"/>
      <c r="KF768" s="1"/>
      <c r="KG768" s="1"/>
      <c r="KH768" s="1"/>
      <c r="KI768" s="1"/>
      <c r="KJ768" s="1"/>
      <c r="KK768" s="1"/>
      <c r="KL768" s="1"/>
      <c r="KM768" s="1"/>
      <c r="KN768" s="1"/>
      <c r="KO768" s="1"/>
      <c r="KP768" s="1"/>
      <c r="KQ768" s="1"/>
      <c r="KR768" s="1"/>
      <c r="KS768" s="1"/>
      <c r="KT768" s="1"/>
      <c r="KU768" s="1"/>
    </row>
    <row r="769" spans="1:307" s="2" customFormat="1" x14ac:dyDescent="0.25">
      <c r="A769" s="1"/>
      <c r="B769" s="11"/>
      <c r="C769" s="11"/>
      <c r="D769" s="11"/>
      <c r="E769" s="11"/>
      <c r="F769" s="11"/>
      <c r="G769" s="1"/>
      <c r="H769" s="4"/>
      <c r="I769" s="1"/>
      <c r="J769" s="11"/>
      <c r="K769" s="11"/>
      <c r="L769" s="12"/>
      <c r="M769" s="4"/>
      <c r="N769" s="12"/>
      <c r="O769" s="12"/>
      <c r="P769" s="12"/>
      <c r="Q769" s="12"/>
      <c r="R769" s="12"/>
      <c r="S769" s="12"/>
      <c r="T769" s="12"/>
      <c r="U769" s="12"/>
      <c r="V769" s="12"/>
      <c r="W769" s="6"/>
      <c r="X769" s="6"/>
      <c r="Y769" s="6"/>
      <c r="Z769" s="6"/>
      <c r="AA769" s="1"/>
      <c r="AB769" s="5"/>
      <c r="AC769" s="12"/>
      <c r="AD769" s="12"/>
      <c r="AE769" s="12"/>
      <c r="AF769" s="12"/>
      <c r="AG769" s="1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c r="KB769" s="1"/>
      <c r="KC769" s="1"/>
      <c r="KD769" s="1"/>
      <c r="KE769" s="1"/>
      <c r="KF769" s="1"/>
      <c r="KG769" s="1"/>
      <c r="KH769" s="1"/>
      <c r="KI769" s="1"/>
      <c r="KJ769" s="1"/>
      <c r="KK769" s="1"/>
      <c r="KL769" s="1"/>
      <c r="KM769" s="1"/>
      <c r="KN769" s="1"/>
      <c r="KO769" s="1"/>
      <c r="KP769" s="1"/>
      <c r="KQ769" s="1"/>
      <c r="KR769" s="1"/>
      <c r="KS769" s="1"/>
      <c r="KT769" s="1"/>
      <c r="KU769" s="1"/>
    </row>
    <row r="770" spans="1:307" s="2" customFormat="1" x14ac:dyDescent="0.25">
      <c r="A770" s="1"/>
      <c r="B770" s="11"/>
      <c r="C770" s="11"/>
      <c r="D770" s="11"/>
      <c r="E770" s="11"/>
      <c r="F770" s="11"/>
      <c r="G770" s="1"/>
      <c r="H770" s="4"/>
      <c r="I770" s="1"/>
      <c r="J770" s="11"/>
      <c r="K770" s="11"/>
      <c r="L770" s="12"/>
      <c r="M770" s="4"/>
      <c r="N770" s="12"/>
      <c r="O770" s="12"/>
      <c r="P770" s="12"/>
      <c r="Q770" s="12"/>
      <c r="R770" s="12"/>
      <c r="S770" s="12"/>
      <c r="T770" s="12"/>
      <c r="U770" s="12"/>
      <c r="V770" s="12"/>
      <c r="W770" s="6"/>
      <c r="X770" s="6"/>
      <c r="Y770" s="6"/>
      <c r="Z770" s="6"/>
      <c r="AA770" s="1"/>
      <c r="AB770" s="5"/>
      <c r="AC770" s="12"/>
      <c r="AD770" s="12"/>
      <c r="AE770" s="12"/>
      <c r="AF770" s="12"/>
      <c r="AG770" s="1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c r="KB770" s="1"/>
      <c r="KC770" s="1"/>
      <c r="KD770" s="1"/>
      <c r="KE770" s="1"/>
      <c r="KF770" s="1"/>
      <c r="KG770" s="1"/>
      <c r="KH770" s="1"/>
      <c r="KI770" s="1"/>
      <c r="KJ770" s="1"/>
      <c r="KK770" s="1"/>
      <c r="KL770" s="1"/>
      <c r="KM770" s="1"/>
      <c r="KN770" s="1"/>
      <c r="KO770" s="1"/>
      <c r="KP770" s="1"/>
      <c r="KQ770" s="1"/>
      <c r="KR770" s="1"/>
      <c r="KS770" s="1"/>
      <c r="KT770" s="1"/>
      <c r="KU770" s="1"/>
    </row>
    <row r="771" spans="1:307" s="2" customFormat="1" x14ac:dyDescent="0.25">
      <c r="A771" s="1"/>
      <c r="B771" s="11"/>
      <c r="C771" s="11"/>
      <c r="D771" s="11"/>
      <c r="E771" s="11"/>
      <c r="F771" s="11"/>
      <c r="G771" s="1"/>
      <c r="H771" s="4"/>
      <c r="I771" s="1"/>
      <c r="J771" s="11"/>
      <c r="K771" s="11"/>
      <c r="L771" s="12"/>
      <c r="M771" s="4"/>
      <c r="N771" s="12"/>
      <c r="O771" s="12"/>
      <c r="P771" s="12"/>
      <c r="Q771" s="12"/>
      <c r="R771" s="12"/>
      <c r="S771" s="12"/>
      <c r="T771" s="12"/>
      <c r="U771" s="12"/>
      <c r="V771" s="12"/>
      <c r="W771" s="6"/>
      <c r="X771" s="6"/>
      <c r="Y771" s="6"/>
      <c r="Z771" s="6"/>
      <c r="AA771" s="1"/>
      <c r="AB771" s="5"/>
      <c r="AC771" s="12"/>
      <c r="AD771" s="12"/>
      <c r="AE771" s="12"/>
      <c r="AF771" s="12"/>
      <c r="AG771" s="1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c r="KB771" s="1"/>
      <c r="KC771" s="1"/>
      <c r="KD771" s="1"/>
      <c r="KE771" s="1"/>
      <c r="KF771" s="1"/>
      <c r="KG771" s="1"/>
      <c r="KH771" s="1"/>
      <c r="KI771" s="1"/>
      <c r="KJ771" s="1"/>
      <c r="KK771" s="1"/>
      <c r="KL771" s="1"/>
      <c r="KM771" s="1"/>
      <c r="KN771" s="1"/>
      <c r="KO771" s="1"/>
      <c r="KP771" s="1"/>
      <c r="KQ771" s="1"/>
      <c r="KR771" s="1"/>
      <c r="KS771" s="1"/>
      <c r="KT771" s="1"/>
      <c r="KU771" s="1"/>
    </row>
    <row r="772" spans="1:307" s="2" customFormat="1" x14ac:dyDescent="0.25">
      <c r="A772" s="1"/>
      <c r="B772" s="11"/>
      <c r="C772" s="11"/>
      <c r="D772" s="11"/>
      <c r="E772" s="11"/>
      <c r="F772" s="11"/>
      <c r="G772" s="1"/>
      <c r="H772" s="4"/>
      <c r="I772" s="1"/>
      <c r="J772" s="11"/>
      <c r="K772" s="11"/>
      <c r="L772" s="12"/>
      <c r="M772" s="4"/>
      <c r="N772" s="12"/>
      <c r="O772" s="12"/>
      <c r="P772" s="12"/>
      <c r="Q772" s="12"/>
      <c r="R772" s="12"/>
      <c r="S772" s="12"/>
      <c r="T772" s="12"/>
      <c r="U772" s="12"/>
      <c r="V772" s="12"/>
      <c r="W772" s="6"/>
      <c r="X772" s="6"/>
      <c r="Y772" s="6"/>
      <c r="Z772" s="6"/>
      <c r="AA772" s="1"/>
      <c r="AB772" s="5"/>
      <c r="AC772" s="12"/>
      <c r="AD772" s="12"/>
      <c r="AE772" s="12"/>
      <c r="AF772" s="12"/>
      <c r="AG772" s="1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c r="KB772" s="1"/>
      <c r="KC772" s="1"/>
      <c r="KD772" s="1"/>
      <c r="KE772" s="1"/>
      <c r="KF772" s="1"/>
      <c r="KG772" s="1"/>
      <c r="KH772" s="1"/>
      <c r="KI772" s="1"/>
      <c r="KJ772" s="1"/>
      <c r="KK772" s="1"/>
      <c r="KL772" s="1"/>
      <c r="KM772" s="1"/>
      <c r="KN772" s="1"/>
      <c r="KO772" s="1"/>
      <c r="KP772" s="1"/>
      <c r="KQ772" s="1"/>
      <c r="KR772" s="1"/>
      <c r="KS772" s="1"/>
      <c r="KT772" s="1"/>
      <c r="KU772" s="1"/>
    </row>
    <row r="773" spans="1:307" s="2" customFormat="1" x14ac:dyDescent="0.25">
      <c r="A773" s="1"/>
      <c r="B773" s="11"/>
      <c r="C773" s="11"/>
      <c r="D773" s="11"/>
      <c r="E773" s="11"/>
      <c r="F773" s="11"/>
      <c r="G773" s="1"/>
      <c r="H773" s="4"/>
      <c r="I773" s="1"/>
      <c r="J773" s="11"/>
      <c r="K773" s="11"/>
      <c r="L773" s="12"/>
      <c r="M773" s="4"/>
      <c r="N773" s="12"/>
      <c r="O773" s="12"/>
      <c r="P773" s="12"/>
      <c r="Q773" s="12"/>
      <c r="R773" s="12"/>
      <c r="S773" s="12"/>
      <c r="T773" s="12"/>
      <c r="U773" s="12"/>
      <c r="V773" s="12"/>
      <c r="W773" s="6"/>
      <c r="X773" s="6"/>
      <c r="Y773" s="6"/>
      <c r="Z773" s="6"/>
      <c r="AA773" s="1"/>
      <c r="AB773" s="5"/>
      <c r="AC773" s="12"/>
      <c r="AD773" s="12"/>
      <c r="AE773" s="12"/>
      <c r="AF773" s="12"/>
      <c r="AG773" s="1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c r="KB773" s="1"/>
      <c r="KC773" s="1"/>
      <c r="KD773" s="1"/>
      <c r="KE773" s="1"/>
      <c r="KF773" s="1"/>
      <c r="KG773" s="1"/>
      <c r="KH773" s="1"/>
      <c r="KI773" s="1"/>
      <c r="KJ773" s="1"/>
      <c r="KK773" s="1"/>
      <c r="KL773" s="1"/>
      <c r="KM773" s="1"/>
      <c r="KN773" s="1"/>
      <c r="KO773" s="1"/>
      <c r="KP773" s="1"/>
      <c r="KQ773" s="1"/>
      <c r="KR773" s="1"/>
      <c r="KS773" s="1"/>
      <c r="KT773" s="1"/>
      <c r="KU773" s="1"/>
    </row>
    <row r="774" spans="1:307" s="2" customFormat="1" x14ac:dyDescent="0.25">
      <c r="A774" s="1"/>
      <c r="B774" s="11"/>
      <c r="C774" s="11"/>
      <c r="D774" s="11"/>
      <c r="E774" s="11"/>
      <c r="F774" s="11"/>
      <c r="G774" s="1"/>
      <c r="H774" s="4"/>
      <c r="I774" s="1"/>
      <c r="J774" s="11"/>
      <c r="K774" s="11"/>
      <c r="L774" s="12"/>
      <c r="M774" s="4"/>
      <c r="N774" s="12"/>
      <c r="O774" s="12"/>
      <c r="P774" s="12"/>
      <c r="Q774" s="12"/>
      <c r="R774" s="12"/>
      <c r="S774" s="12"/>
      <c r="T774" s="12"/>
      <c r="U774" s="12"/>
      <c r="V774" s="12"/>
      <c r="W774" s="6"/>
      <c r="X774" s="6"/>
      <c r="Y774" s="6"/>
      <c r="Z774" s="6"/>
      <c r="AA774" s="1"/>
      <c r="AB774" s="5"/>
      <c r="AC774" s="12"/>
      <c r="AD774" s="12"/>
      <c r="AE774" s="12"/>
      <c r="AF774" s="12"/>
      <c r="AG774" s="1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c r="KB774" s="1"/>
      <c r="KC774" s="1"/>
      <c r="KD774" s="1"/>
      <c r="KE774" s="1"/>
      <c r="KF774" s="1"/>
      <c r="KG774" s="1"/>
      <c r="KH774" s="1"/>
      <c r="KI774" s="1"/>
      <c r="KJ774" s="1"/>
      <c r="KK774" s="1"/>
      <c r="KL774" s="1"/>
      <c r="KM774" s="1"/>
      <c r="KN774" s="1"/>
      <c r="KO774" s="1"/>
      <c r="KP774" s="1"/>
      <c r="KQ774" s="1"/>
      <c r="KR774" s="1"/>
      <c r="KS774" s="1"/>
      <c r="KT774" s="1"/>
      <c r="KU774" s="1"/>
    </row>
    <row r="775" spans="1:307" s="2" customFormat="1" x14ac:dyDescent="0.25">
      <c r="A775" s="1"/>
      <c r="B775" s="11"/>
      <c r="C775" s="11"/>
      <c r="D775" s="11"/>
      <c r="E775" s="11"/>
      <c r="F775" s="11"/>
      <c r="G775" s="1"/>
      <c r="H775" s="4"/>
      <c r="I775" s="1"/>
      <c r="J775" s="11"/>
      <c r="K775" s="11"/>
      <c r="L775" s="12"/>
      <c r="M775" s="4"/>
      <c r="N775" s="12"/>
      <c r="O775" s="12"/>
      <c r="P775" s="12"/>
      <c r="Q775" s="12"/>
      <c r="R775" s="12"/>
      <c r="S775" s="12"/>
      <c r="T775" s="12"/>
      <c r="U775" s="12"/>
      <c r="V775" s="12"/>
      <c r="W775" s="6"/>
      <c r="X775" s="6"/>
      <c r="Y775" s="6"/>
      <c r="Z775" s="6"/>
      <c r="AA775" s="1"/>
      <c r="AB775" s="5"/>
      <c r="AC775" s="12"/>
      <c r="AD775" s="12"/>
      <c r="AE775" s="12"/>
      <c r="AF775" s="12"/>
      <c r="AG775" s="1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c r="KB775" s="1"/>
      <c r="KC775" s="1"/>
      <c r="KD775" s="1"/>
      <c r="KE775" s="1"/>
      <c r="KF775" s="1"/>
      <c r="KG775" s="1"/>
      <c r="KH775" s="1"/>
      <c r="KI775" s="1"/>
      <c r="KJ775" s="1"/>
      <c r="KK775" s="1"/>
      <c r="KL775" s="1"/>
      <c r="KM775" s="1"/>
      <c r="KN775" s="1"/>
      <c r="KO775" s="1"/>
      <c r="KP775" s="1"/>
      <c r="KQ775" s="1"/>
      <c r="KR775" s="1"/>
      <c r="KS775" s="1"/>
      <c r="KT775" s="1"/>
      <c r="KU775" s="1"/>
    </row>
    <row r="776" spans="1:307" s="2" customFormat="1" x14ac:dyDescent="0.25">
      <c r="A776" s="1"/>
      <c r="B776" s="11"/>
      <c r="C776" s="11"/>
      <c r="D776" s="11"/>
      <c r="E776" s="11"/>
      <c r="F776" s="11"/>
      <c r="G776" s="1"/>
      <c r="H776" s="4"/>
      <c r="I776" s="1"/>
      <c r="J776" s="11"/>
      <c r="K776" s="11"/>
      <c r="L776" s="12"/>
      <c r="M776" s="4"/>
      <c r="N776" s="12"/>
      <c r="O776" s="12"/>
      <c r="P776" s="12"/>
      <c r="Q776" s="12"/>
      <c r="R776" s="12"/>
      <c r="S776" s="12"/>
      <c r="T776" s="12"/>
      <c r="U776" s="12"/>
      <c r="V776" s="12"/>
      <c r="W776" s="6"/>
      <c r="X776" s="6"/>
      <c r="Y776" s="6"/>
      <c r="Z776" s="6"/>
      <c r="AA776" s="1"/>
      <c r="AB776" s="5"/>
      <c r="AC776" s="12"/>
      <c r="AD776" s="12"/>
      <c r="AE776" s="12"/>
      <c r="AF776" s="12"/>
      <c r="AG776" s="1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c r="KB776" s="1"/>
      <c r="KC776" s="1"/>
      <c r="KD776" s="1"/>
      <c r="KE776" s="1"/>
      <c r="KF776" s="1"/>
      <c r="KG776" s="1"/>
      <c r="KH776" s="1"/>
      <c r="KI776" s="1"/>
      <c r="KJ776" s="1"/>
      <c r="KK776" s="1"/>
      <c r="KL776" s="1"/>
      <c r="KM776" s="1"/>
      <c r="KN776" s="1"/>
      <c r="KO776" s="1"/>
      <c r="KP776" s="1"/>
      <c r="KQ776" s="1"/>
      <c r="KR776" s="1"/>
      <c r="KS776" s="1"/>
      <c r="KT776" s="1"/>
      <c r="KU776" s="1"/>
    </row>
    <row r="777" spans="1:307" s="2" customFormat="1" x14ac:dyDescent="0.25">
      <c r="A777" s="1"/>
      <c r="B777" s="11"/>
      <c r="C777" s="11"/>
      <c r="D777" s="11"/>
      <c r="E777" s="11"/>
      <c r="F777" s="11"/>
      <c r="G777" s="1"/>
      <c r="H777" s="4"/>
      <c r="I777" s="1"/>
      <c r="J777" s="11"/>
      <c r="K777" s="11"/>
      <c r="L777" s="12"/>
      <c r="M777" s="4"/>
      <c r="N777" s="12"/>
      <c r="O777" s="12"/>
      <c r="P777" s="12"/>
      <c r="Q777" s="12"/>
      <c r="R777" s="12"/>
      <c r="S777" s="12"/>
      <c r="T777" s="12"/>
      <c r="U777" s="12"/>
      <c r="V777" s="12"/>
      <c r="W777" s="6"/>
      <c r="X777" s="6"/>
      <c r="Y777" s="6"/>
      <c r="Z777" s="6"/>
      <c r="AA777" s="1"/>
      <c r="AB777" s="5"/>
      <c r="AC777" s="12"/>
      <c r="AD777" s="12"/>
      <c r="AE777" s="12"/>
      <c r="AF777" s="12"/>
      <c r="AG777" s="1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c r="KB777" s="1"/>
      <c r="KC777" s="1"/>
      <c r="KD777" s="1"/>
      <c r="KE777" s="1"/>
      <c r="KF777" s="1"/>
      <c r="KG777" s="1"/>
      <c r="KH777" s="1"/>
      <c r="KI777" s="1"/>
      <c r="KJ777" s="1"/>
      <c r="KK777" s="1"/>
      <c r="KL777" s="1"/>
      <c r="KM777" s="1"/>
      <c r="KN777" s="1"/>
      <c r="KO777" s="1"/>
      <c r="KP777" s="1"/>
      <c r="KQ777" s="1"/>
      <c r="KR777" s="1"/>
      <c r="KS777" s="1"/>
      <c r="KT777" s="1"/>
      <c r="KU777" s="1"/>
    </row>
    <row r="778" spans="1:307" s="2" customFormat="1" x14ac:dyDescent="0.25">
      <c r="A778" s="1"/>
      <c r="B778" s="11"/>
      <c r="C778" s="11"/>
      <c r="D778" s="11"/>
      <c r="E778" s="11"/>
      <c r="F778" s="11"/>
      <c r="G778" s="1"/>
      <c r="H778" s="4"/>
      <c r="I778" s="1"/>
      <c r="J778" s="11"/>
      <c r="K778" s="11"/>
      <c r="L778" s="12"/>
      <c r="M778" s="4"/>
      <c r="N778" s="12"/>
      <c r="O778" s="12"/>
      <c r="P778" s="12"/>
      <c r="Q778" s="12"/>
      <c r="R778" s="12"/>
      <c r="S778" s="12"/>
      <c r="T778" s="12"/>
      <c r="U778" s="12"/>
      <c r="V778" s="12"/>
      <c r="W778" s="6"/>
      <c r="X778" s="6"/>
      <c r="Y778" s="6"/>
      <c r="Z778" s="6"/>
      <c r="AA778" s="1"/>
      <c r="AB778" s="5"/>
      <c r="AC778" s="12"/>
      <c r="AD778" s="12"/>
      <c r="AE778" s="12"/>
      <c r="AF778" s="12"/>
      <c r="AG778" s="1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c r="KB778" s="1"/>
      <c r="KC778" s="1"/>
      <c r="KD778" s="1"/>
      <c r="KE778" s="1"/>
      <c r="KF778" s="1"/>
      <c r="KG778" s="1"/>
      <c r="KH778" s="1"/>
      <c r="KI778" s="1"/>
      <c r="KJ778" s="1"/>
      <c r="KK778" s="1"/>
      <c r="KL778" s="1"/>
      <c r="KM778" s="1"/>
      <c r="KN778" s="1"/>
      <c r="KO778" s="1"/>
      <c r="KP778" s="1"/>
      <c r="KQ778" s="1"/>
      <c r="KR778" s="1"/>
      <c r="KS778" s="1"/>
      <c r="KT778" s="1"/>
      <c r="KU778" s="1"/>
    </row>
    <row r="779" spans="1:307" s="2" customFormat="1" x14ac:dyDescent="0.25">
      <c r="A779" s="1"/>
      <c r="B779" s="11"/>
      <c r="C779" s="11"/>
      <c r="D779" s="11"/>
      <c r="E779" s="11"/>
      <c r="F779" s="11"/>
      <c r="G779" s="1"/>
      <c r="H779" s="4"/>
      <c r="I779" s="1"/>
      <c r="J779" s="11"/>
      <c r="K779" s="11"/>
      <c r="L779" s="12"/>
      <c r="M779" s="4"/>
      <c r="N779" s="12"/>
      <c r="O779" s="12"/>
      <c r="P779" s="12"/>
      <c r="Q779" s="12"/>
      <c r="R779" s="12"/>
      <c r="S779" s="12"/>
      <c r="T779" s="12"/>
      <c r="U779" s="12"/>
      <c r="V779" s="12"/>
      <c r="W779" s="6"/>
      <c r="X779" s="6"/>
      <c r="Y779" s="6"/>
      <c r="Z779" s="6"/>
      <c r="AA779" s="1"/>
      <c r="AB779" s="5"/>
      <c r="AC779" s="12"/>
      <c r="AD779" s="12"/>
      <c r="AE779" s="12"/>
      <c r="AF779" s="12"/>
      <c r="AG779" s="1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c r="KB779" s="1"/>
      <c r="KC779" s="1"/>
      <c r="KD779" s="1"/>
      <c r="KE779" s="1"/>
      <c r="KF779" s="1"/>
      <c r="KG779" s="1"/>
      <c r="KH779" s="1"/>
      <c r="KI779" s="1"/>
      <c r="KJ779" s="1"/>
      <c r="KK779" s="1"/>
      <c r="KL779" s="1"/>
      <c r="KM779" s="1"/>
      <c r="KN779" s="1"/>
      <c r="KO779" s="1"/>
      <c r="KP779" s="1"/>
      <c r="KQ779" s="1"/>
      <c r="KR779" s="1"/>
      <c r="KS779" s="1"/>
      <c r="KT779" s="1"/>
      <c r="KU779" s="1"/>
    </row>
    <row r="780" spans="1:307" s="2" customFormat="1" x14ac:dyDescent="0.25">
      <c r="A780" s="1"/>
      <c r="B780" s="11"/>
      <c r="C780" s="11"/>
      <c r="D780" s="11"/>
      <c r="E780" s="11"/>
      <c r="F780" s="11"/>
      <c r="G780" s="1"/>
      <c r="H780" s="4"/>
      <c r="I780" s="1"/>
      <c r="J780" s="11"/>
      <c r="K780" s="11"/>
      <c r="L780" s="12"/>
      <c r="M780" s="4"/>
      <c r="N780" s="12"/>
      <c r="O780" s="12"/>
      <c r="P780" s="12"/>
      <c r="Q780" s="12"/>
      <c r="R780" s="12"/>
      <c r="S780" s="12"/>
      <c r="T780" s="12"/>
      <c r="U780" s="12"/>
      <c r="V780" s="12"/>
      <c r="W780" s="6"/>
      <c r="X780" s="6"/>
      <c r="Y780" s="6"/>
      <c r="Z780" s="6"/>
      <c r="AA780" s="1"/>
      <c r="AB780" s="5"/>
      <c r="AC780" s="12"/>
      <c r="AD780" s="12"/>
      <c r="AE780" s="12"/>
      <c r="AF780" s="12"/>
      <c r="AG780" s="1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c r="KB780" s="1"/>
      <c r="KC780" s="1"/>
      <c r="KD780" s="1"/>
      <c r="KE780" s="1"/>
      <c r="KF780" s="1"/>
      <c r="KG780" s="1"/>
      <c r="KH780" s="1"/>
      <c r="KI780" s="1"/>
      <c r="KJ780" s="1"/>
      <c r="KK780" s="1"/>
      <c r="KL780" s="1"/>
      <c r="KM780" s="1"/>
      <c r="KN780" s="1"/>
      <c r="KO780" s="1"/>
      <c r="KP780" s="1"/>
      <c r="KQ780" s="1"/>
      <c r="KR780" s="1"/>
      <c r="KS780" s="1"/>
      <c r="KT780" s="1"/>
      <c r="KU780" s="1"/>
    </row>
    <row r="781" spans="1:307" s="2" customFormat="1" x14ac:dyDescent="0.25">
      <c r="A781" s="1"/>
      <c r="B781" s="11"/>
      <c r="C781" s="11"/>
      <c r="D781" s="11"/>
      <c r="E781" s="11"/>
      <c r="F781" s="11"/>
      <c r="G781" s="1"/>
      <c r="H781" s="4"/>
      <c r="I781" s="1"/>
      <c r="J781" s="11"/>
      <c r="K781" s="11"/>
      <c r="L781" s="12"/>
      <c r="M781" s="4"/>
      <c r="N781" s="12"/>
      <c r="O781" s="12"/>
      <c r="P781" s="12"/>
      <c r="Q781" s="12"/>
      <c r="R781" s="12"/>
      <c r="S781" s="12"/>
      <c r="T781" s="12"/>
      <c r="U781" s="12"/>
      <c r="V781" s="12"/>
      <c r="W781" s="6"/>
      <c r="X781" s="6"/>
      <c r="Y781" s="6"/>
      <c r="Z781" s="6"/>
      <c r="AA781" s="1"/>
      <c r="AB781" s="5"/>
      <c r="AC781" s="12"/>
      <c r="AD781" s="12"/>
      <c r="AE781" s="12"/>
      <c r="AF781" s="12"/>
      <c r="AG781" s="1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c r="KB781" s="1"/>
      <c r="KC781" s="1"/>
      <c r="KD781" s="1"/>
      <c r="KE781" s="1"/>
      <c r="KF781" s="1"/>
      <c r="KG781" s="1"/>
      <c r="KH781" s="1"/>
      <c r="KI781" s="1"/>
      <c r="KJ781" s="1"/>
      <c r="KK781" s="1"/>
      <c r="KL781" s="1"/>
      <c r="KM781" s="1"/>
      <c r="KN781" s="1"/>
      <c r="KO781" s="1"/>
      <c r="KP781" s="1"/>
      <c r="KQ781" s="1"/>
      <c r="KR781" s="1"/>
      <c r="KS781" s="1"/>
      <c r="KT781" s="1"/>
      <c r="KU781" s="1"/>
    </row>
    <row r="782" spans="1:307" s="2" customFormat="1" x14ac:dyDescent="0.25">
      <c r="A782" s="1"/>
      <c r="B782" s="11"/>
      <c r="C782" s="11"/>
      <c r="D782" s="11"/>
      <c r="E782" s="11"/>
      <c r="F782" s="11"/>
      <c r="G782" s="1"/>
      <c r="H782" s="4"/>
      <c r="I782" s="1"/>
      <c r="J782" s="11"/>
      <c r="K782" s="11"/>
      <c r="L782" s="12"/>
      <c r="M782" s="4"/>
      <c r="N782" s="12"/>
      <c r="O782" s="12"/>
      <c r="P782" s="12"/>
      <c r="Q782" s="12"/>
      <c r="R782" s="12"/>
      <c r="S782" s="12"/>
      <c r="T782" s="12"/>
      <c r="U782" s="12"/>
      <c r="V782" s="12"/>
      <c r="W782" s="6"/>
      <c r="X782" s="6"/>
      <c r="Y782" s="6"/>
      <c r="Z782" s="6"/>
      <c r="AA782" s="1"/>
      <c r="AB782" s="5"/>
      <c r="AC782" s="12"/>
      <c r="AD782" s="12"/>
      <c r="AE782" s="12"/>
      <c r="AF782" s="12"/>
      <c r="AG782" s="1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c r="KB782" s="1"/>
      <c r="KC782" s="1"/>
      <c r="KD782" s="1"/>
      <c r="KE782" s="1"/>
      <c r="KF782" s="1"/>
      <c r="KG782" s="1"/>
      <c r="KH782" s="1"/>
      <c r="KI782" s="1"/>
      <c r="KJ782" s="1"/>
      <c r="KK782" s="1"/>
      <c r="KL782" s="1"/>
      <c r="KM782" s="1"/>
      <c r="KN782" s="1"/>
      <c r="KO782" s="1"/>
      <c r="KP782" s="1"/>
      <c r="KQ782" s="1"/>
      <c r="KR782" s="1"/>
      <c r="KS782" s="1"/>
      <c r="KT782" s="1"/>
      <c r="KU782" s="1"/>
    </row>
    <row r="783" spans="1:307" s="2" customFormat="1" x14ac:dyDescent="0.25">
      <c r="A783" s="1"/>
      <c r="B783" s="11"/>
      <c r="C783" s="11"/>
      <c r="D783" s="11"/>
      <c r="E783" s="11"/>
      <c r="F783" s="11"/>
      <c r="G783" s="1"/>
      <c r="H783" s="4"/>
      <c r="I783" s="1"/>
      <c r="J783" s="11"/>
      <c r="K783" s="11"/>
      <c r="L783" s="12"/>
      <c r="M783" s="4"/>
      <c r="N783" s="12"/>
      <c r="O783" s="12"/>
      <c r="P783" s="12"/>
      <c r="Q783" s="12"/>
      <c r="R783" s="12"/>
      <c r="S783" s="12"/>
      <c r="T783" s="12"/>
      <c r="U783" s="12"/>
      <c r="V783" s="12"/>
      <c r="W783" s="6"/>
      <c r="X783" s="6"/>
      <c r="Y783" s="6"/>
      <c r="Z783" s="6"/>
      <c r="AA783" s="1"/>
      <c r="AB783" s="5"/>
      <c r="AC783" s="12"/>
      <c r="AD783" s="12"/>
      <c r="AE783" s="12"/>
      <c r="AF783" s="12"/>
      <c r="AG783" s="1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c r="KB783" s="1"/>
      <c r="KC783" s="1"/>
      <c r="KD783" s="1"/>
      <c r="KE783" s="1"/>
      <c r="KF783" s="1"/>
      <c r="KG783" s="1"/>
      <c r="KH783" s="1"/>
      <c r="KI783" s="1"/>
      <c r="KJ783" s="1"/>
      <c r="KK783" s="1"/>
      <c r="KL783" s="1"/>
      <c r="KM783" s="1"/>
      <c r="KN783" s="1"/>
      <c r="KO783" s="1"/>
      <c r="KP783" s="1"/>
      <c r="KQ783" s="1"/>
      <c r="KR783" s="1"/>
      <c r="KS783" s="1"/>
      <c r="KT783" s="1"/>
      <c r="KU783" s="1"/>
    </row>
    <row r="784" spans="1:307" s="2" customFormat="1" x14ac:dyDescent="0.25">
      <c r="A784" s="1"/>
      <c r="B784" s="11"/>
      <c r="C784" s="11"/>
      <c r="D784" s="11"/>
      <c r="E784" s="11"/>
      <c r="F784" s="11"/>
      <c r="G784" s="1"/>
      <c r="H784" s="4"/>
      <c r="I784" s="1"/>
      <c r="J784" s="11"/>
      <c r="K784" s="11"/>
      <c r="L784" s="12"/>
      <c r="M784" s="4"/>
      <c r="N784" s="12"/>
      <c r="O784" s="12"/>
      <c r="P784" s="12"/>
      <c r="Q784" s="12"/>
      <c r="R784" s="12"/>
      <c r="S784" s="12"/>
      <c r="T784" s="12"/>
      <c r="U784" s="12"/>
      <c r="V784" s="12"/>
      <c r="W784" s="6"/>
      <c r="X784" s="6"/>
      <c r="Y784" s="6"/>
      <c r="Z784" s="6"/>
      <c r="AA784" s="1"/>
      <c r="AB784" s="5"/>
      <c r="AC784" s="12"/>
      <c r="AD784" s="12"/>
      <c r="AE784" s="12"/>
      <c r="AF784" s="12"/>
      <c r="AG784" s="1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c r="KB784" s="1"/>
      <c r="KC784" s="1"/>
      <c r="KD784" s="1"/>
      <c r="KE784" s="1"/>
      <c r="KF784" s="1"/>
      <c r="KG784" s="1"/>
      <c r="KH784" s="1"/>
      <c r="KI784" s="1"/>
      <c r="KJ784" s="1"/>
      <c r="KK784" s="1"/>
      <c r="KL784" s="1"/>
      <c r="KM784" s="1"/>
      <c r="KN784" s="1"/>
      <c r="KO784" s="1"/>
      <c r="KP784" s="1"/>
      <c r="KQ784" s="1"/>
      <c r="KR784" s="1"/>
      <c r="KS784" s="1"/>
      <c r="KT784" s="1"/>
      <c r="KU784" s="1"/>
    </row>
    <row r="785" spans="1:307" s="2" customFormat="1" x14ac:dyDescent="0.25">
      <c r="A785" s="1"/>
      <c r="B785" s="11"/>
      <c r="C785" s="11"/>
      <c r="D785" s="11"/>
      <c r="E785" s="11"/>
      <c r="F785" s="11"/>
      <c r="G785" s="1"/>
      <c r="H785" s="4"/>
      <c r="I785" s="1"/>
      <c r="J785" s="11"/>
      <c r="K785" s="11"/>
      <c r="L785" s="12"/>
      <c r="M785" s="4"/>
      <c r="N785" s="12"/>
      <c r="O785" s="12"/>
      <c r="P785" s="12"/>
      <c r="Q785" s="12"/>
      <c r="R785" s="12"/>
      <c r="S785" s="12"/>
      <c r="T785" s="12"/>
      <c r="U785" s="12"/>
      <c r="V785" s="12"/>
      <c r="W785" s="6"/>
      <c r="X785" s="6"/>
      <c r="Y785" s="6"/>
      <c r="Z785" s="6"/>
      <c r="AA785" s="1"/>
      <c r="AB785" s="5"/>
      <c r="AC785" s="12"/>
      <c r="AD785" s="12"/>
      <c r="AE785" s="12"/>
      <c r="AF785" s="12"/>
      <c r="AG785" s="1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c r="KB785" s="1"/>
      <c r="KC785" s="1"/>
      <c r="KD785" s="1"/>
      <c r="KE785" s="1"/>
      <c r="KF785" s="1"/>
      <c r="KG785" s="1"/>
      <c r="KH785" s="1"/>
      <c r="KI785" s="1"/>
      <c r="KJ785" s="1"/>
      <c r="KK785" s="1"/>
      <c r="KL785" s="1"/>
      <c r="KM785" s="1"/>
      <c r="KN785" s="1"/>
      <c r="KO785" s="1"/>
      <c r="KP785" s="1"/>
      <c r="KQ785" s="1"/>
      <c r="KR785" s="1"/>
      <c r="KS785" s="1"/>
      <c r="KT785" s="1"/>
      <c r="KU785" s="1"/>
    </row>
    <row r="786" spans="1:307" s="2" customFormat="1" x14ac:dyDescent="0.25">
      <c r="A786" s="1"/>
      <c r="B786" s="11"/>
      <c r="C786" s="11"/>
      <c r="D786" s="11"/>
      <c r="E786" s="11"/>
      <c r="F786" s="11"/>
      <c r="G786" s="1"/>
      <c r="H786" s="4"/>
      <c r="I786" s="1"/>
      <c r="J786" s="11"/>
      <c r="K786" s="11"/>
      <c r="L786" s="12"/>
      <c r="M786" s="4"/>
      <c r="N786" s="12"/>
      <c r="O786" s="12"/>
      <c r="P786" s="12"/>
      <c r="Q786" s="12"/>
      <c r="R786" s="12"/>
      <c r="S786" s="12"/>
      <c r="T786" s="12"/>
      <c r="U786" s="12"/>
      <c r="V786" s="12"/>
      <c r="W786" s="6"/>
      <c r="X786" s="6"/>
      <c r="Y786" s="6"/>
      <c r="Z786" s="6"/>
      <c r="AA786" s="1"/>
      <c r="AB786" s="5"/>
      <c r="AC786" s="12"/>
      <c r="AD786" s="12"/>
      <c r="AE786" s="12"/>
      <c r="AF786" s="12"/>
      <c r="AG786" s="1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c r="KB786" s="1"/>
      <c r="KC786" s="1"/>
      <c r="KD786" s="1"/>
      <c r="KE786" s="1"/>
      <c r="KF786" s="1"/>
      <c r="KG786" s="1"/>
      <c r="KH786" s="1"/>
      <c r="KI786" s="1"/>
      <c r="KJ786" s="1"/>
      <c r="KK786" s="1"/>
      <c r="KL786" s="1"/>
      <c r="KM786" s="1"/>
      <c r="KN786" s="1"/>
      <c r="KO786" s="1"/>
      <c r="KP786" s="1"/>
      <c r="KQ786" s="1"/>
      <c r="KR786" s="1"/>
      <c r="KS786" s="1"/>
      <c r="KT786" s="1"/>
      <c r="KU786" s="1"/>
    </row>
    <row r="787" spans="1:307" s="2" customFormat="1" x14ac:dyDescent="0.25">
      <c r="A787" s="1"/>
      <c r="B787" s="11"/>
      <c r="C787" s="11"/>
      <c r="D787" s="11"/>
      <c r="E787" s="11"/>
      <c r="F787" s="11"/>
      <c r="G787" s="1"/>
      <c r="H787" s="4"/>
      <c r="I787" s="1"/>
      <c r="J787" s="11"/>
      <c r="K787" s="11"/>
      <c r="L787" s="12"/>
      <c r="M787" s="4"/>
      <c r="N787" s="12"/>
      <c r="O787" s="12"/>
      <c r="P787" s="12"/>
      <c r="Q787" s="12"/>
      <c r="R787" s="12"/>
      <c r="S787" s="12"/>
      <c r="T787" s="12"/>
      <c r="U787" s="12"/>
      <c r="V787" s="12"/>
      <c r="W787" s="6"/>
      <c r="X787" s="6"/>
      <c r="Y787" s="6"/>
      <c r="Z787" s="6"/>
      <c r="AA787" s="1"/>
      <c r="AB787" s="5"/>
      <c r="AC787" s="12"/>
      <c r="AD787" s="12"/>
      <c r="AE787" s="12"/>
      <c r="AF787" s="12"/>
      <c r="AG787" s="1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c r="KB787" s="1"/>
      <c r="KC787" s="1"/>
      <c r="KD787" s="1"/>
      <c r="KE787" s="1"/>
      <c r="KF787" s="1"/>
      <c r="KG787" s="1"/>
      <c r="KH787" s="1"/>
      <c r="KI787" s="1"/>
      <c r="KJ787" s="1"/>
      <c r="KK787" s="1"/>
      <c r="KL787" s="1"/>
      <c r="KM787" s="1"/>
      <c r="KN787" s="1"/>
      <c r="KO787" s="1"/>
      <c r="KP787" s="1"/>
      <c r="KQ787" s="1"/>
      <c r="KR787" s="1"/>
      <c r="KS787" s="1"/>
      <c r="KT787" s="1"/>
      <c r="KU787" s="1"/>
    </row>
    <row r="788" spans="1:307" s="2" customFormat="1" x14ac:dyDescent="0.25">
      <c r="A788" s="1"/>
      <c r="B788" s="11"/>
      <c r="C788" s="11"/>
      <c r="D788" s="11"/>
      <c r="E788" s="11"/>
      <c r="F788" s="11"/>
      <c r="G788" s="1"/>
      <c r="H788" s="4"/>
      <c r="I788" s="1"/>
      <c r="J788" s="11"/>
      <c r="K788" s="11"/>
      <c r="L788" s="12"/>
      <c r="M788" s="4"/>
      <c r="N788" s="12"/>
      <c r="O788" s="12"/>
      <c r="P788" s="12"/>
      <c r="Q788" s="12"/>
      <c r="R788" s="12"/>
      <c r="S788" s="12"/>
      <c r="T788" s="12"/>
      <c r="U788" s="12"/>
      <c r="V788" s="12"/>
      <c r="W788" s="6"/>
      <c r="X788" s="6"/>
      <c r="Y788" s="6"/>
      <c r="Z788" s="6"/>
      <c r="AA788" s="1"/>
      <c r="AB788" s="5"/>
      <c r="AC788" s="12"/>
      <c r="AD788" s="12"/>
      <c r="AE788" s="12"/>
      <c r="AF788" s="12"/>
      <c r="AG788" s="1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c r="KB788" s="1"/>
      <c r="KC788" s="1"/>
      <c r="KD788" s="1"/>
      <c r="KE788" s="1"/>
      <c r="KF788" s="1"/>
      <c r="KG788" s="1"/>
      <c r="KH788" s="1"/>
      <c r="KI788" s="1"/>
      <c r="KJ788" s="1"/>
      <c r="KK788" s="1"/>
      <c r="KL788" s="1"/>
      <c r="KM788" s="1"/>
      <c r="KN788" s="1"/>
      <c r="KO788" s="1"/>
      <c r="KP788" s="1"/>
      <c r="KQ788" s="1"/>
      <c r="KR788" s="1"/>
      <c r="KS788" s="1"/>
      <c r="KT788" s="1"/>
      <c r="KU788" s="1"/>
    </row>
    <row r="789" spans="1:307" s="2" customFormat="1" x14ac:dyDescent="0.25">
      <c r="A789" s="1"/>
      <c r="B789" s="11"/>
      <c r="C789" s="11"/>
      <c r="D789" s="11"/>
      <c r="E789" s="11"/>
      <c r="F789" s="11"/>
      <c r="G789" s="1"/>
      <c r="H789" s="4"/>
      <c r="I789" s="1"/>
      <c r="J789" s="11"/>
      <c r="K789" s="11"/>
      <c r="L789" s="12"/>
      <c r="M789" s="4"/>
      <c r="N789" s="12"/>
      <c r="O789" s="12"/>
      <c r="P789" s="12"/>
      <c r="Q789" s="12"/>
      <c r="R789" s="12"/>
      <c r="S789" s="12"/>
      <c r="T789" s="12"/>
      <c r="U789" s="12"/>
      <c r="V789" s="12"/>
      <c r="W789" s="6"/>
      <c r="X789" s="6"/>
      <c r="Y789" s="6"/>
      <c r="Z789" s="6"/>
      <c r="AA789" s="1"/>
      <c r="AB789" s="5"/>
      <c r="AC789" s="12"/>
      <c r="AD789" s="12"/>
      <c r="AE789" s="12"/>
      <c r="AF789" s="12"/>
      <c r="AG789" s="1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c r="KB789" s="1"/>
      <c r="KC789" s="1"/>
      <c r="KD789" s="1"/>
      <c r="KE789" s="1"/>
      <c r="KF789" s="1"/>
      <c r="KG789" s="1"/>
      <c r="KH789" s="1"/>
      <c r="KI789" s="1"/>
      <c r="KJ789" s="1"/>
      <c r="KK789" s="1"/>
      <c r="KL789" s="1"/>
      <c r="KM789" s="1"/>
      <c r="KN789" s="1"/>
      <c r="KO789" s="1"/>
      <c r="KP789" s="1"/>
      <c r="KQ789" s="1"/>
      <c r="KR789" s="1"/>
      <c r="KS789" s="1"/>
      <c r="KT789" s="1"/>
      <c r="KU789" s="1"/>
    </row>
    <row r="790" spans="1:307" s="2" customFormat="1" x14ac:dyDescent="0.25">
      <c r="A790" s="1"/>
      <c r="B790" s="11"/>
      <c r="C790" s="11"/>
      <c r="D790" s="11"/>
      <c r="E790" s="11"/>
      <c r="F790" s="11"/>
      <c r="G790" s="1"/>
      <c r="H790" s="4"/>
      <c r="I790" s="1"/>
      <c r="J790" s="11"/>
      <c r="K790" s="11"/>
      <c r="L790" s="12"/>
      <c r="M790" s="4"/>
      <c r="N790" s="12"/>
      <c r="O790" s="12"/>
      <c r="P790" s="12"/>
      <c r="Q790" s="12"/>
      <c r="R790" s="12"/>
      <c r="S790" s="12"/>
      <c r="T790" s="12"/>
      <c r="U790" s="12"/>
      <c r="V790" s="12"/>
      <c r="W790" s="6"/>
      <c r="X790" s="6"/>
      <c r="Y790" s="6"/>
      <c r="Z790" s="6"/>
      <c r="AA790" s="1"/>
      <c r="AB790" s="5"/>
      <c r="AC790" s="12"/>
      <c r="AD790" s="12"/>
      <c r="AE790" s="12"/>
      <c r="AF790" s="12"/>
      <c r="AG790" s="1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c r="KB790" s="1"/>
      <c r="KC790" s="1"/>
      <c r="KD790" s="1"/>
      <c r="KE790" s="1"/>
      <c r="KF790" s="1"/>
      <c r="KG790" s="1"/>
      <c r="KH790" s="1"/>
      <c r="KI790" s="1"/>
      <c r="KJ790" s="1"/>
      <c r="KK790" s="1"/>
      <c r="KL790" s="1"/>
      <c r="KM790" s="1"/>
      <c r="KN790" s="1"/>
      <c r="KO790" s="1"/>
      <c r="KP790" s="1"/>
      <c r="KQ790" s="1"/>
      <c r="KR790" s="1"/>
      <c r="KS790" s="1"/>
      <c r="KT790" s="1"/>
      <c r="KU790" s="1"/>
    </row>
    <row r="791" spans="1:307" s="2" customFormat="1" x14ac:dyDescent="0.25">
      <c r="A791" s="1"/>
      <c r="B791" s="11"/>
      <c r="C791" s="11"/>
      <c r="D791" s="11"/>
      <c r="E791" s="11"/>
      <c r="F791" s="11"/>
      <c r="G791" s="1"/>
      <c r="H791" s="4"/>
      <c r="I791" s="1"/>
      <c r="J791" s="11"/>
      <c r="K791" s="11"/>
      <c r="L791" s="12"/>
      <c r="M791" s="4"/>
      <c r="N791" s="12"/>
      <c r="O791" s="12"/>
      <c r="P791" s="12"/>
      <c r="Q791" s="12"/>
      <c r="R791" s="12"/>
      <c r="S791" s="12"/>
      <c r="T791" s="12"/>
      <c r="U791" s="12"/>
      <c r="V791" s="12"/>
      <c r="W791" s="6"/>
      <c r="X791" s="6"/>
      <c r="Y791" s="6"/>
      <c r="Z791" s="6"/>
      <c r="AA791" s="1"/>
      <c r="AB791" s="5"/>
      <c r="AC791" s="12"/>
      <c r="AD791" s="12"/>
      <c r="AE791" s="12"/>
      <c r="AF791" s="12"/>
      <c r="AG791" s="1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c r="KB791" s="1"/>
      <c r="KC791" s="1"/>
      <c r="KD791" s="1"/>
      <c r="KE791" s="1"/>
      <c r="KF791" s="1"/>
      <c r="KG791" s="1"/>
      <c r="KH791" s="1"/>
      <c r="KI791" s="1"/>
      <c r="KJ791" s="1"/>
      <c r="KK791" s="1"/>
      <c r="KL791" s="1"/>
      <c r="KM791" s="1"/>
      <c r="KN791" s="1"/>
      <c r="KO791" s="1"/>
      <c r="KP791" s="1"/>
      <c r="KQ791" s="1"/>
      <c r="KR791" s="1"/>
      <c r="KS791" s="1"/>
      <c r="KT791" s="1"/>
      <c r="KU791" s="1"/>
    </row>
    <row r="792" spans="1:307" s="2" customFormat="1" x14ac:dyDescent="0.25">
      <c r="A792" s="1"/>
      <c r="B792" s="11"/>
      <c r="C792" s="11"/>
      <c r="D792" s="11"/>
      <c r="E792" s="11"/>
      <c r="F792" s="11"/>
      <c r="G792" s="1"/>
      <c r="H792" s="4"/>
      <c r="I792" s="1"/>
      <c r="J792" s="11"/>
      <c r="K792" s="11"/>
      <c r="L792" s="12"/>
      <c r="M792" s="4"/>
      <c r="N792" s="12"/>
      <c r="O792" s="12"/>
      <c r="P792" s="12"/>
      <c r="Q792" s="12"/>
      <c r="R792" s="12"/>
      <c r="S792" s="12"/>
      <c r="T792" s="12"/>
      <c r="U792" s="12"/>
      <c r="V792" s="12"/>
      <c r="W792" s="6"/>
      <c r="X792" s="6"/>
      <c r="Y792" s="6"/>
      <c r="Z792" s="6"/>
      <c r="AA792" s="1"/>
      <c r="AB792" s="5"/>
      <c r="AC792" s="12"/>
      <c r="AD792" s="12"/>
      <c r="AE792" s="12"/>
      <c r="AF792" s="12"/>
      <c r="AG792" s="1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c r="KB792" s="1"/>
      <c r="KC792" s="1"/>
      <c r="KD792" s="1"/>
      <c r="KE792" s="1"/>
      <c r="KF792" s="1"/>
      <c r="KG792" s="1"/>
      <c r="KH792" s="1"/>
      <c r="KI792" s="1"/>
      <c r="KJ792" s="1"/>
      <c r="KK792" s="1"/>
      <c r="KL792" s="1"/>
      <c r="KM792" s="1"/>
      <c r="KN792" s="1"/>
      <c r="KO792" s="1"/>
      <c r="KP792" s="1"/>
      <c r="KQ792" s="1"/>
      <c r="KR792" s="1"/>
      <c r="KS792" s="1"/>
      <c r="KT792" s="1"/>
      <c r="KU792" s="1"/>
    </row>
    <row r="793" spans="1:307" s="2" customFormat="1" x14ac:dyDescent="0.25">
      <c r="A793" s="1"/>
      <c r="B793" s="11"/>
      <c r="C793" s="11"/>
      <c r="D793" s="11"/>
      <c r="E793" s="11"/>
      <c r="F793" s="11"/>
      <c r="G793" s="1"/>
      <c r="H793" s="4"/>
      <c r="I793" s="1"/>
      <c r="J793" s="11"/>
      <c r="K793" s="11"/>
      <c r="L793" s="12"/>
      <c r="M793" s="4"/>
      <c r="N793" s="12"/>
      <c r="O793" s="12"/>
      <c r="P793" s="12"/>
      <c r="Q793" s="12"/>
      <c r="R793" s="12"/>
      <c r="S793" s="12"/>
      <c r="T793" s="12"/>
      <c r="U793" s="12"/>
      <c r="V793" s="12"/>
      <c r="W793" s="6"/>
      <c r="X793" s="6"/>
      <c r="Y793" s="6"/>
      <c r="Z793" s="6"/>
      <c r="AA793" s="1"/>
      <c r="AB793" s="5"/>
      <c r="AC793" s="12"/>
      <c r="AD793" s="12"/>
      <c r="AE793" s="12"/>
      <c r="AF793" s="12"/>
      <c r="AG793" s="1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c r="KB793" s="1"/>
      <c r="KC793" s="1"/>
      <c r="KD793" s="1"/>
      <c r="KE793" s="1"/>
      <c r="KF793" s="1"/>
      <c r="KG793" s="1"/>
      <c r="KH793" s="1"/>
      <c r="KI793" s="1"/>
      <c r="KJ793" s="1"/>
      <c r="KK793" s="1"/>
      <c r="KL793" s="1"/>
      <c r="KM793" s="1"/>
      <c r="KN793" s="1"/>
      <c r="KO793" s="1"/>
      <c r="KP793" s="1"/>
      <c r="KQ793" s="1"/>
      <c r="KR793" s="1"/>
      <c r="KS793" s="1"/>
      <c r="KT793" s="1"/>
      <c r="KU793" s="1"/>
    </row>
    <row r="794" spans="1:307" s="2" customFormat="1" x14ac:dyDescent="0.25">
      <c r="A794" s="1"/>
      <c r="B794" s="11"/>
      <c r="C794" s="11"/>
      <c r="D794" s="11"/>
      <c r="E794" s="11"/>
      <c r="F794" s="11"/>
      <c r="G794" s="1"/>
      <c r="H794" s="4"/>
      <c r="I794" s="1"/>
      <c r="J794" s="11"/>
      <c r="K794" s="11"/>
      <c r="L794" s="12"/>
      <c r="M794" s="4"/>
      <c r="N794" s="12"/>
      <c r="O794" s="12"/>
      <c r="P794" s="12"/>
      <c r="Q794" s="12"/>
      <c r="R794" s="12"/>
      <c r="S794" s="12"/>
      <c r="T794" s="12"/>
      <c r="U794" s="12"/>
      <c r="V794" s="12"/>
      <c r="W794" s="6"/>
      <c r="X794" s="6"/>
      <c r="Y794" s="6"/>
      <c r="Z794" s="6"/>
      <c r="AA794" s="1"/>
      <c r="AB794" s="5"/>
      <c r="AC794" s="12"/>
      <c r="AD794" s="12"/>
      <c r="AE794" s="12"/>
      <c r="AF794" s="12"/>
      <c r="AG794" s="1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c r="KB794" s="1"/>
      <c r="KC794" s="1"/>
      <c r="KD794" s="1"/>
      <c r="KE794" s="1"/>
      <c r="KF794" s="1"/>
      <c r="KG794" s="1"/>
      <c r="KH794" s="1"/>
      <c r="KI794" s="1"/>
      <c r="KJ794" s="1"/>
      <c r="KK794" s="1"/>
      <c r="KL794" s="1"/>
      <c r="KM794" s="1"/>
      <c r="KN794" s="1"/>
      <c r="KO794" s="1"/>
      <c r="KP794" s="1"/>
      <c r="KQ794" s="1"/>
      <c r="KR794" s="1"/>
      <c r="KS794" s="1"/>
      <c r="KT794" s="1"/>
      <c r="KU794" s="1"/>
    </row>
    <row r="795" spans="1:307" s="2" customFormat="1" x14ac:dyDescent="0.25">
      <c r="A795" s="1"/>
      <c r="B795" s="11"/>
      <c r="C795" s="11"/>
      <c r="D795" s="11"/>
      <c r="E795" s="11"/>
      <c r="F795" s="11"/>
      <c r="G795" s="1"/>
      <c r="H795" s="4"/>
      <c r="I795" s="1"/>
      <c r="J795" s="11"/>
      <c r="K795" s="11"/>
      <c r="L795" s="12"/>
      <c r="M795" s="4"/>
      <c r="N795" s="12"/>
      <c r="O795" s="12"/>
      <c r="P795" s="12"/>
      <c r="Q795" s="12"/>
      <c r="R795" s="12"/>
      <c r="S795" s="12"/>
      <c r="T795" s="12"/>
      <c r="U795" s="12"/>
      <c r="V795" s="12"/>
      <c r="W795" s="6"/>
      <c r="X795" s="6"/>
      <c r="Y795" s="6"/>
      <c r="Z795" s="6"/>
      <c r="AA795" s="1"/>
      <c r="AB795" s="5"/>
      <c r="AC795" s="12"/>
      <c r="AD795" s="12"/>
      <c r="AE795" s="12"/>
      <c r="AF795" s="12"/>
      <c r="AG795" s="1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c r="KB795" s="1"/>
      <c r="KC795" s="1"/>
      <c r="KD795" s="1"/>
      <c r="KE795" s="1"/>
      <c r="KF795" s="1"/>
      <c r="KG795" s="1"/>
      <c r="KH795" s="1"/>
      <c r="KI795" s="1"/>
      <c r="KJ795" s="1"/>
      <c r="KK795" s="1"/>
      <c r="KL795" s="1"/>
      <c r="KM795" s="1"/>
      <c r="KN795" s="1"/>
      <c r="KO795" s="1"/>
      <c r="KP795" s="1"/>
      <c r="KQ795" s="1"/>
      <c r="KR795" s="1"/>
      <c r="KS795" s="1"/>
      <c r="KT795" s="1"/>
      <c r="KU795" s="1"/>
    </row>
    <row r="796" spans="1:307" s="2" customFormat="1" x14ac:dyDescent="0.25">
      <c r="A796" s="1"/>
      <c r="B796" s="11"/>
      <c r="C796" s="11"/>
      <c r="D796" s="11"/>
      <c r="E796" s="11"/>
      <c r="F796" s="11"/>
      <c r="G796" s="1"/>
      <c r="H796" s="4"/>
      <c r="I796" s="1"/>
      <c r="J796" s="11"/>
      <c r="K796" s="11"/>
      <c r="L796" s="12"/>
      <c r="M796" s="4"/>
      <c r="N796" s="12"/>
      <c r="O796" s="12"/>
      <c r="P796" s="12"/>
      <c r="Q796" s="12"/>
      <c r="R796" s="12"/>
      <c r="S796" s="12"/>
      <c r="T796" s="12"/>
      <c r="U796" s="12"/>
      <c r="V796" s="12"/>
      <c r="W796" s="6"/>
      <c r="X796" s="6"/>
      <c r="Y796" s="6"/>
      <c r="Z796" s="6"/>
      <c r="AA796" s="1"/>
      <c r="AB796" s="5"/>
      <c r="AC796" s="12"/>
      <c r="AD796" s="12"/>
      <c r="AE796" s="12"/>
      <c r="AF796" s="12"/>
      <c r="AG796" s="1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c r="KB796" s="1"/>
      <c r="KC796" s="1"/>
      <c r="KD796" s="1"/>
      <c r="KE796" s="1"/>
      <c r="KF796" s="1"/>
      <c r="KG796" s="1"/>
      <c r="KH796" s="1"/>
      <c r="KI796" s="1"/>
      <c r="KJ796" s="1"/>
      <c r="KK796" s="1"/>
      <c r="KL796" s="1"/>
      <c r="KM796" s="1"/>
      <c r="KN796" s="1"/>
      <c r="KO796" s="1"/>
      <c r="KP796" s="1"/>
      <c r="KQ796" s="1"/>
      <c r="KR796" s="1"/>
      <c r="KS796" s="1"/>
      <c r="KT796" s="1"/>
      <c r="KU796" s="1"/>
    </row>
    <row r="797" spans="1:307" s="2" customFormat="1" x14ac:dyDescent="0.25">
      <c r="A797" s="1"/>
      <c r="B797" s="11"/>
      <c r="C797" s="11"/>
      <c r="D797" s="11"/>
      <c r="E797" s="11"/>
      <c r="F797" s="11"/>
      <c r="G797" s="1"/>
      <c r="H797" s="4"/>
      <c r="I797" s="1"/>
      <c r="J797" s="11"/>
      <c r="K797" s="11"/>
      <c r="L797" s="12"/>
      <c r="M797" s="4"/>
      <c r="N797" s="12"/>
      <c r="O797" s="12"/>
      <c r="P797" s="12"/>
      <c r="Q797" s="12"/>
      <c r="R797" s="12"/>
      <c r="S797" s="12"/>
      <c r="T797" s="12"/>
      <c r="U797" s="12"/>
      <c r="V797" s="12"/>
      <c r="W797" s="6"/>
      <c r="X797" s="6"/>
      <c r="Y797" s="6"/>
      <c r="Z797" s="6"/>
      <c r="AA797" s="1"/>
      <c r="AB797" s="5"/>
      <c r="AC797" s="12"/>
      <c r="AD797" s="12"/>
      <c r="AE797" s="12"/>
      <c r="AF797" s="12"/>
      <c r="AG797" s="1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c r="KB797" s="1"/>
      <c r="KC797" s="1"/>
      <c r="KD797" s="1"/>
      <c r="KE797" s="1"/>
      <c r="KF797" s="1"/>
      <c r="KG797" s="1"/>
      <c r="KH797" s="1"/>
      <c r="KI797" s="1"/>
      <c r="KJ797" s="1"/>
      <c r="KK797" s="1"/>
      <c r="KL797" s="1"/>
      <c r="KM797" s="1"/>
      <c r="KN797" s="1"/>
      <c r="KO797" s="1"/>
      <c r="KP797" s="1"/>
      <c r="KQ797" s="1"/>
      <c r="KR797" s="1"/>
      <c r="KS797" s="1"/>
      <c r="KT797" s="1"/>
      <c r="KU797" s="1"/>
    </row>
    <row r="798" spans="1:307" s="2" customFormat="1" x14ac:dyDescent="0.25">
      <c r="A798" s="1"/>
      <c r="B798" s="11"/>
      <c r="C798" s="11"/>
      <c r="D798" s="11"/>
      <c r="E798" s="11"/>
      <c r="F798" s="11"/>
      <c r="G798" s="1"/>
      <c r="H798" s="4"/>
      <c r="I798" s="1"/>
      <c r="J798" s="11"/>
      <c r="K798" s="11"/>
      <c r="L798" s="12"/>
      <c r="M798" s="4"/>
      <c r="N798" s="12"/>
      <c r="O798" s="12"/>
      <c r="P798" s="12"/>
      <c r="Q798" s="12"/>
      <c r="R798" s="12"/>
      <c r="S798" s="12"/>
      <c r="T798" s="12"/>
      <c r="U798" s="12"/>
      <c r="V798" s="12"/>
      <c r="W798" s="6"/>
      <c r="X798" s="6"/>
      <c r="Y798" s="6"/>
      <c r="Z798" s="6"/>
      <c r="AA798" s="1"/>
      <c r="AB798" s="5"/>
      <c r="AC798" s="12"/>
      <c r="AD798" s="12"/>
      <c r="AE798" s="12"/>
      <c r="AF798" s="12"/>
      <c r="AG798" s="1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c r="KB798" s="1"/>
      <c r="KC798" s="1"/>
      <c r="KD798" s="1"/>
      <c r="KE798" s="1"/>
      <c r="KF798" s="1"/>
      <c r="KG798" s="1"/>
      <c r="KH798" s="1"/>
      <c r="KI798" s="1"/>
      <c r="KJ798" s="1"/>
      <c r="KK798" s="1"/>
      <c r="KL798" s="1"/>
      <c r="KM798" s="1"/>
      <c r="KN798" s="1"/>
      <c r="KO798" s="1"/>
      <c r="KP798" s="1"/>
      <c r="KQ798" s="1"/>
      <c r="KR798" s="1"/>
      <c r="KS798" s="1"/>
      <c r="KT798" s="1"/>
      <c r="KU798" s="1"/>
    </row>
    <row r="799" spans="1:307" s="2" customFormat="1" x14ac:dyDescent="0.25">
      <c r="A799" s="1"/>
      <c r="B799" s="11"/>
      <c r="C799" s="11"/>
      <c r="D799" s="11"/>
      <c r="E799" s="11"/>
      <c r="F799" s="11"/>
      <c r="G799" s="1"/>
      <c r="H799" s="4"/>
      <c r="I799" s="1"/>
      <c r="J799" s="11"/>
      <c r="K799" s="11"/>
      <c r="L799" s="12"/>
      <c r="M799" s="4"/>
      <c r="N799" s="12"/>
      <c r="O799" s="12"/>
      <c r="P799" s="12"/>
      <c r="Q799" s="12"/>
      <c r="R799" s="12"/>
      <c r="S799" s="12"/>
      <c r="T799" s="12"/>
      <c r="U799" s="12"/>
      <c r="V799" s="12"/>
      <c r="W799" s="6"/>
      <c r="X799" s="6"/>
      <c r="Y799" s="6"/>
      <c r="Z799" s="6"/>
      <c r="AA799" s="1"/>
      <c r="AB799" s="5"/>
      <c r="AC799" s="12"/>
      <c r="AD799" s="12"/>
      <c r="AE799" s="12"/>
      <c r="AF799" s="12"/>
      <c r="AG799" s="1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c r="KB799" s="1"/>
      <c r="KC799" s="1"/>
      <c r="KD799" s="1"/>
      <c r="KE799" s="1"/>
      <c r="KF799" s="1"/>
      <c r="KG799" s="1"/>
      <c r="KH799" s="1"/>
      <c r="KI799" s="1"/>
      <c r="KJ799" s="1"/>
      <c r="KK799" s="1"/>
      <c r="KL799" s="1"/>
      <c r="KM799" s="1"/>
      <c r="KN799" s="1"/>
      <c r="KO799" s="1"/>
      <c r="KP799" s="1"/>
      <c r="KQ799" s="1"/>
      <c r="KR799" s="1"/>
      <c r="KS799" s="1"/>
      <c r="KT799" s="1"/>
      <c r="KU799" s="1"/>
    </row>
    <row r="800" spans="1:307" s="2" customFormat="1" x14ac:dyDescent="0.25">
      <c r="A800" s="1"/>
      <c r="B800" s="11"/>
      <c r="C800" s="11"/>
      <c r="D800" s="11"/>
      <c r="E800" s="11"/>
      <c r="F800" s="11"/>
      <c r="G800" s="1"/>
      <c r="H800" s="4"/>
      <c r="I800" s="1"/>
      <c r="J800" s="11"/>
      <c r="K800" s="11"/>
      <c r="L800" s="12"/>
      <c r="M800" s="4"/>
      <c r="N800" s="12"/>
      <c r="O800" s="12"/>
      <c r="P800" s="12"/>
      <c r="Q800" s="12"/>
      <c r="R800" s="12"/>
      <c r="S800" s="12"/>
      <c r="T800" s="12"/>
      <c r="U800" s="12"/>
      <c r="V800" s="12"/>
      <c r="W800" s="6"/>
      <c r="X800" s="6"/>
      <c r="Y800" s="6"/>
      <c r="Z800" s="6"/>
      <c r="AA800" s="1"/>
      <c r="AB800" s="5"/>
      <c r="AC800" s="12"/>
      <c r="AD800" s="12"/>
      <c r="AE800" s="12"/>
      <c r="AF800" s="12"/>
      <c r="AG800" s="1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c r="KB800" s="1"/>
      <c r="KC800" s="1"/>
      <c r="KD800" s="1"/>
      <c r="KE800" s="1"/>
      <c r="KF800" s="1"/>
      <c r="KG800" s="1"/>
      <c r="KH800" s="1"/>
      <c r="KI800" s="1"/>
      <c r="KJ800" s="1"/>
      <c r="KK800" s="1"/>
      <c r="KL800" s="1"/>
      <c r="KM800" s="1"/>
      <c r="KN800" s="1"/>
      <c r="KO800" s="1"/>
      <c r="KP800" s="1"/>
      <c r="KQ800" s="1"/>
      <c r="KR800" s="1"/>
      <c r="KS800" s="1"/>
      <c r="KT800" s="1"/>
      <c r="KU800" s="1"/>
    </row>
    <row r="801" spans="1:307" s="2" customFormat="1" x14ac:dyDescent="0.25">
      <c r="A801" s="1"/>
      <c r="B801" s="11"/>
      <c r="C801" s="11"/>
      <c r="D801" s="11"/>
      <c r="E801" s="11"/>
      <c r="F801" s="11"/>
      <c r="G801" s="1"/>
      <c r="H801" s="4"/>
      <c r="I801" s="1"/>
      <c r="J801" s="11"/>
      <c r="K801" s="11"/>
      <c r="L801" s="12"/>
      <c r="M801" s="4"/>
      <c r="N801" s="12"/>
      <c r="O801" s="12"/>
      <c r="P801" s="12"/>
      <c r="Q801" s="12"/>
      <c r="R801" s="12"/>
      <c r="S801" s="12"/>
      <c r="T801" s="12"/>
      <c r="U801" s="12"/>
      <c r="V801" s="12"/>
      <c r="W801" s="6"/>
      <c r="X801" s="6"/>
      <c r="Y801" s="6"/>
      <c r="Z801" s="6"/>
      <c r="AA801" s="1"/>
      <c r="AB801" s="5"/>
      <c r="AC801" s="12"/>
      <c r="AD801" s="12"/>
      <c r="AE801" s="12"/>
      <c r="AF801" s="12"/>
      <c r="AG801" s="1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c r="KB801" s="1"/>
      <c r="KC801" s="1"/>
      <c r="KD801" s="1"/>
      <c r="KE801" s="1"/>
      <c r="KF801" s="1"/>
      <c r="KG801" s="1"/>
      <c r="KH801" s="1"/>
      <c r="KI801" s="1"/>
      <c r="KJ801" s="1"/>
      <c r="KK801" s="1"/>
      <c r="KL801" s="1"/>
      <c r="KM801" s="1"/>
      <c r="KN801" s="1"/>
      <c r="KO801" s="1"/>
      <c r="KP801" s="1"/>
      <c r="KQ801" s="1"/>
      <c r="KR801" s="1"/>
      <c r="KS801" s="1"/>
      <c r="KT801" s="1"/>
      <c r="KU801" s="1"/>
    </row>
    <row r="802" spans="1:307" s="2" customFormat="1" x14ac:dyDescent="0.25">
      <c r="A802" s="1"/>
      <c r="B802" s="11"/>
      <c r="C802" s="11"/>
      <c r="D802" s="11"/>
      <c r="E802" s="11"/>
      <c r="F802" s="11"/>
      <c r="G802" s="1"/>
      <c r="H802" s="4"/>
      <c r="I802" s="1"/>
      <c r="J802" s="11"/>
      <c r="K802" s="11"/>
      <c r="L802" s="12"/>
      <c r="M802" s="4"/>
      <c r="N802" s="12"/>
      <c r="O802" s="12"/>
      <c r="P802" s="12"/>
      <c r="Q802" s="12"/>
      <c r="R802" s="12"/>
      <c r="S802" s="12"/>
      <c r="T802" s="12"/>
      <c r="U802" s="12"/>
      <c r="V802" s="12"/>
      <c r="W802" s="6"/>
      <c r="X802" s="6"/>
      <c r="Y802" s="6"/>
      <c r="Z802" s="6"/>
      <c r="AA802" s="1"/>
      <c r="AB802" s="5"/>
      <c r="AC802" s="12"/>
      <c r="AD802" s="12"/>
      <c r="AE802" s="12"/>
      <c r="AF802" s="12"/>
      <c r="AG802" s="1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c r="KB802" s="1"/>
      <c r="KC802" s="1"/>
      <c r="KD802" s="1"/>
      <c r="KE802" s="1"/>
      <c r="KF802" s="1"/>
      <c r="KG802" s="1"/>
      <c r="KH802" s="1"/>
      <c r="KI802" s="1"/>
      <c r="KJ802" s="1"/>
      <c r="KK802" s="1"/>
      <c r="KL802" s="1"/>
      <c r="KM802" s="1"/>
      <c r="KN802" s="1"/>
      <c r="KO802" s="1"/>
      <c r="KP802" s="1"/>
      <c r="KQ802" s="1"/>
      <c r="KR802" s="1"/>
      <c r="KS802" s="1"/>
      <c r="KT802" s="1"/>
      <c r="KU802" s="1"/>
    </row>
    <row r="803" spans="1:307" s="2" customFormat="1" x14ac:dyDescent="0.25">
      <c r="A803" s="1"/>
      <c r="B803" s="11"/>
      <c r="C803" s="11"/>
      <c r="D803" s="11"/>
      <c r="E803" s="11"/>
      <c r="F803" s="11"/>
      <c r="G803" s="1"/>
      <c r="H803" s="4"/>
      <c r="I803" s="1"/>
      <c r="J803" s="11"/>
      <c r="K803" s="11"/>
      <c r="L803" s="12"/>
      <c r="M803" s="4"/>
      <c r="N803" s="12"/>
      <c r="O803" s="12"/>
      <c r="P803" s="12"/>
      <c r="Q803" s="12"/>
      <c r="R803" s="12"/>
      <c r="S803" s="12"/>
      <c r="T803" s="12"/>
      <c r="U803" s="12"/>
      <c r="V803" s="12"/>
      <c r="W803" s="6"/>
      <c r="X803" s="6"/>
      <c r="Y803" s="6"/>
      <c r="Z803" s="6"/>
      <c r="AA803" s="1"/>
      <c r="AB803" s="5"/>
      <c r="AC803" s="12"/>
      <c r="AD803" s="12"/>
      <c r="AE803" s="12"/>
      <c r="AF803" s="12"/>
      <c r="AG803" s="1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c r="KB803" s="1"/>
      <c r="KC803" s="1"/>
      <c r="KD803" s="1"/>
      <c r="KE803" s="1"/>
      <c r="KF803" s="1"/>
      <c r="KG803" s="1"/>
      <c r="KH803" s="1"/>
      <c r="KI803" s="1"/>
      <c r="KJ803" s="1"/>
      <c r="KK803" s="1"/>
      <c r="KL803" s="1"/>
      <c r="KM803" s="1"/>
      <c r="KN803" s="1"/>
      <c r="KO803" s="1"/>
      <c r="KP803" s="1"/>
      <c r="KQ803" s="1"/>
      <c r="KR803" s="1"/>
      <c r="KS803" s="1"/>
      <c r="KT803" s="1"/>
      <c r="KU803" s="1"/>
    </row>
    <row r="804" spans="1:307" s="2" customFormat="1" x14ac:dyDescent="0.25">
      <c r="A804" s="1"/>
      <c r="B804" s="11"/>
      <c r="C804" s="11"/>
      <c r="D804" s="11"/>
      <c r="E804" s="11"/>
      <c r="F804" s="11"/>
      <c r="G804" s="1"/>
      <c r="H804" s="4"/>
      <c r="I804" s="1"/>
      <c r="J804" s="11"/>
      <c r="K804" s="11"/>
      <c r="L804" s="12"/>
      <c r="M804" s="4"/>
      <c r="N804" s="12"/>
      <c r="O804" s="12"/>
      <c r="P804" s="12"/>
      <c r="Q804" s="12"/>
      <c r="R804" s="12"/>
      <c r="S804" s="12"/>
      <c r="T804" s="12"/>
      <c r="U804" s="12"/>
      <c r="V804" s="12"/>
      <c r="W804" s="6"/>
      <c r="X804" s="6"/>
      <c r="Y804" s="6"/>
      <c r="Z804" s="6"/>
      <c r="AA804" s="1"/>
      <c r="AB804" s="5"/>
      <c r="AC804" s="12"/>
      <c r="AD804" s="12"/>
      <c r="AE804" s="12"/>
      <c r="AF804" s="12"/>
      <c r="AG804" s="1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c r="KB804" s="1"/>
      <c r="KC804" s="1"/>
      <c r="KD804" s="1"/>
      <c r="KE804" s="1"/>
      <c r="KF804" s="1"/>
      <c r="KG804" s="1"/>
      <c r="KH804" s="1"/>
      <c r="KI804" s="1"/>
      <c r="KJ804" s="1"/>
      <c r="KK804" s="1"/>
      <c r="KL804" s="1"/>
      <c r="KM804" s="1"/>
      <c r="KN804" s="1"/>
      <c r="KO804" s="1"/>
      <c r="KP804" s="1"/>
      <c r="KQ804" s="1"/>
      <c r="KR804" s="1"/>
      <c r="KS804" s="1"/>
      <c r="KT804" s="1"/>
      <c r="KU804" s="1"/>
    </row>
    <row r="805" spans="1:307" s="2" customFormat="1" x14ac:dyDescent="0.25">
      <c r="A805" s="1"/>
      <c r="B805" s="11"/>
      <c r="C805" s="11"/>
      <c r="D805" s="11"/>
      <c r="E805" s="11"/>
      <c r="F805" s="11"/>
      <c r="G805" s="1"/>
      <c r="H805" s="4"/>
      <c r="I805" s="1"/>
      <c r="J805" s="11"/>
      <c r="K805" s="11"/>
      <c r="L805" s="12"/>
      <c r="M805" s="4"/>
      <c r="N805" s="12"/>
      <c r="O805" s="12"/>
      <c r="P805" s="12"/>
      <c r="Q805" s="12"/>
      <c r="R805" s="12"/>
      <c r="S805" s="12"/>
      <c r="T805" s="12"/>
      <c r="U805" s="12"/>
      <c r="V805" s="12"/>
      <c r="W805" s="6"/>
      <c r="X805" s="6"/>
      <c r="Y805" s="6"/>
      <c r="Z805" s="6"/>
      <c r="AA805" s="1"/>
      <c r="AB805" s="5"/>
      <c r="AC805" s="12"/>
      <c r="AD805" s="12"/>
      <c r="AE805" s="12"/>
      <c r="AF805" s="12"/>
      <c r="AG805" s="1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c r="KB805" s="1"/>
      <c r="KC805" s="1"/>
      <c r="KD805" s="1"/>
      <c r="KE805" s="1"/>
      <c r="KF805" s="1"/>
      <c r="KG805" s="1"/>
      <c r="KH805" s="1"/>
      <c r="KI805" s="1"/>
      <c r="KJ805" s="1"/>
      <c r="KK805" s="1"/>
      <c r="KL805" s="1"/>
      <c r="KM805" s="1"/>
      <c r="KN805" s="1"/>
      <c r="KO805" s="1"/>
      <c r="KP805" s="1"/>
      <c r="KQ805" s="1"/>
      <c r="KR805" s="1"/>
      <c r="KS805" s="1"/>
      <c r="KT805" s="1"/>
      <c r="KU805" s="1"/>
    </row>
    <row r="806" spans="1:307" s="2" customFormat="1" x14ac:dyDescent="0.25">
      <c r="A806" s="1"/>
      <c r="B806" s="11"/>
      <c r="C806" s="11"/>
      <c r="D806" s="11"/>
      <c r="E806" s="11"/>
      <c r="F806" s="11"/>
      <c r="G806" s="1"/>
      <c r="H806" s="4"/>
      <c r="I806" s="1"/>
      <c r="J806" s="11"/>
      <c r="K806" s="11"/>
      <c r="L806" s="12"/>
      <c r="M806" s="4"/>
      <c r="N806" s="12"/>
      <c r="O806" s="12"/>
      <c r="P806" s="12"/>
      <c r="Q806" s="12"/>
      <c r="R806" s="12"/>
      <c r="S806" s="12"/>
      <c r="T806" s="12"/>
      <c r="U806" s="12"/>
      <c r="V806" s="12"/>
      <c r="W806" s="6"/>
      <c r="X806" s="6"/>
      <c r="Y806" s="6"/>
      <c r="Z806" s="6"/>
      <c r="AA806" s="1"/>
      <c r="AB806" s="5"/>
      <c r="AC806" s="12"/>
      <c r="AD806" s="12"/>
      <c r="AE806" s="12"/>
      <c r="AF806" s="12"/>
      <c r="AG806" s="1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c r="KB806" s="1"/>
      <c r="KC806" s="1"/>
      <c r="KD806" s="1"/>
      <c r="KE806" s="1"/>
      <c r="KF806" s="1"/>
      <c r="KG806" s="1"/>
      <c r="KH806" s="1"/>
      <c r="KI806" s="1"/>
      <c r="KJ806" s="1"/>
      <c r="KK806" s="1"/>
      <c r="KL806" s="1"/>
      <c r="KM806" s="1"/>
      <c r="KN806" s="1"/>
      <c r="KO806" s="1"/>
      <c r="KP806" s="1"/>
      <c r="KQ806" s="1"/>
      <c r="KR806" s="1"/>
      <c r="KS806" s="1"/>
      <c r="KT806" s="1"/>
      <c r="KU806" s="1"/>
    </row>
    <row r="807" spans="1:307" s="2" customFormat="1" x14ac:dyDescent="0.25">
      <c r="A807" s="1"/>
      <c r="B807" s="11"/>
      <c r="C807" s="11"/>
      <c r="D807" s="11"/>
      <c r="E807" s="11"/>
      <c r="F807" s="11"/>
      <c r="G807" s="1"/>
      <c r="H807" s="4"/>
      <c r="I807" s="1"/>
      <c r="J807" s="11"/>
      <c r="K807" s="11"/>
      <c r="L807" s="12"/>
      <c r="M807" s="4"/>
      <c r="N807" s="12"/>
      <c r="O807" s="12"/>
      <c r="P807" s="12"/>
      <c r="Q807" s="12"/>
      <c r="R807" s="12"/>
      <c r="S807" s="12"/>
      <c r="T807" s="12"/>
      <c r="U807" s="12"/>
      <c r="V807" s="12"/>
      <c r="W807" s="6"/>
      <c r="X807" s="6"/>
      <c r="Y807" s="6"/>
      <c r="Z807" s="6"/>
      <c r="AA807" s="1"/>
      <c r="AB807" s="5"/>
      <c r="AC807" s="12"/>
      <c r="AD807" s="12"/>
      <c r="AE807" s="12"/>
      <c r="AF807" s="12"/>
      <c r="AG807" s="1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c r="KB807" s="1"/>
      <c r="KC807" s="1"/>
      <c r="KD807" s="1"/>
      <c r="KE807" s="1"/>
      <c r="KF807" s="1"/>
      <c r="KG807" s="1"/>
      <c r="KH807" s="1"/>
      <c r="KI807" s="1"/>
      <c r="KJ807" s="1"/>
      <c r="KK807" s="1"/>
      <c r="KL807" s="1"/>
      <c r="KM807" s="1"/>
      <c r="KN807" s="1"/>
      <c r="KO807" s="1"/>
      <c r="KP807" s="1"/>
      <c r="KQ807" s="1"/>
      <c r="KR807" s="1"/>
      <c r="KS807" s="1"/>
      <c r="KT807" s="1"/>
      <c r="KU807" s="1"/>
    </row>
    <row r="808" spans="1:307" s="2" customFormat="1" x14ac:dyDescent="0.25">
      <c r="A808" s="1"/>
      <c r="B808" s="11"/>
      <c r="C808" s="11"/>
      <c r="D808" s="11"/>
      <c r="E808" s="11"/>
      <c r="F808" s="11"/>
      <c r="G808" s="1"/>
      <c r="H808" s="4"/>
      <c r="I808" s="1"/>
      <c r="J808" s="11"/>
      <c r="K808" s="11"/>
      <c r="L808" s="12"/>
      <c r="M808" s="4"/>
      <c r="N808" s="12"/>
      <c r="O808" s="12"/>
      <c r="P808" s="12"/>
      <c r="Q808" s="12"/>
      <c r="R808" s="12"/>
      <c r="S808" s="12"/>
      <c r="T808" s="12"/>
      <c r="U808" s="12"/>
      <c r="V808" s="12"/>
      <c r="W808" s="6"/>
      <c r="X808" s="6"/>
      <c r="Y808" s="6"/>
      <c r="Z808" s="6"/>
      <c r="AA808" s="1"/>
      <c r="AB808" s="5"/>
      <c r="AC808" s="12"/>
      <c r="AD808" s="12"/>
      <c r="AE808" s="12"/>
      <c r="AF808" s="12"/>
      <c r="AG808" s="1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c r="KB808" s="1"/>
      <c r="KC808" s="1"/>
      <c r="KD808" s="1"/>
      <c r="KE808" s="1"/>
      <c r="KF808" s="1"/>
      <c r="KG808" s="1"/>
      <c r="KH808" s="1"/>
      <c r="KI808" s="1"/>
      <c r="KJ808" s="1"/>
      <c r="KK808" s="1"/>
      <c r="KL808" s="1"/>
      <c r="KM808" s="1"/>
      <c r="KN808" s="1"/>
      <c r="KO808" s="1"/>
      <c r="KP808" s="1"/>
      <c r="KQ808" s="1"/>
      <c r="KR808" s="1"/>
      <c r="KS808" s="1"/>
      <c r="KT808" s="1"/>
      <c r="KU808" s="1"/>
    </row>
    <row r="809" spans="1:307" s="2" customFormat="1" x14ac:dyDescent="0.25">
      <c r="A809" s="1"/>
      <c r="B809" s="11"/>
      <c r="C809" s="11"/>
      <c r="D809" s="11"/>
      <c r="E809" s="11"/>
      <c r="F809" s="11"/>
      <c r="G809" s="1"/>
      <c r="H809" s="4"/>
      <c r="I809" s="1"/>
      <c r="J809" s="11"/>
      <c r="K809" s="11"/>
      <c r="L809" s="12"/>
      <c r="M809" s="4"/>
      <c r="N809" s="12"/>
      <c r="O809" s="12"/>
      <c r="P809" s="12"/>
      <c r="Q809" s="12"/>
      <c r="R809" s="12"/>
      <c r="S809" s="12"/>
      <c r="T809" s="12"/>
      <c r="U809" s="12"/>
      <c r="V809" s="12"/>
      <c r="W809" s="6"/>
      <c r="X809" s="6"/>
      <c r="Y809" s="6"/>
      <c r="Z809" s="6"/>
      <c r="AA809" s="1"/>
      <c r="AB809" s="5"/>
      <c r="AC809" s="12"/>
      <c r="AD809" s="12"/>
      <c r="AE809" s="12"/>
      <c r="AF809" s="12"/>
      <c r="AG809" s="1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c r="KB809" s="1"/>
      <c r="KC809" s="1"/>
      <c r="KD809" s="1"/>
      <c r="KE809" s="1"/>
      <c r="KF809" s="1"/>
      <c r="KG809" s="1"/>
      <c r="KH809" s="1"/>
      <c r="KI809" s="1"/>
      <c r="KJ809" s="1"/>
      <c r="KK809" s="1"/>
      <c r="KL809" s="1"/>
      <c r="KM809" s="1"/>
      <c r="KN809" s="1"/>
      <c r="KO809" s="1"/>
      <c r="KP809" s="1"/>
      <c r="KQ809" s="1"/>
      <c r="KR809" s="1"/>
      <c r="KS809" s="1"/>
      <c r="KT809" s="1"/>
      <c r="KU809" s="1"/>
    </row>
    <row r="810" spans="1:307" s="2" customFormat="1" x14ac:dyDescent="0.25">
      <c r="A810" s="1"/>
      <c r="B810" s="11"/>
      <c r="C810" s="11"/>
      <c r="D810" s="11"/>
      <c r="E810" s="11"/>
      <c r="F810" s="11"/>
      <c r="G810" s="1"/>
      <c r="H810" s="4"/>
      <c r="I810" s="1"/>
      <c r="J810" s="11"/>
      <c r="K810" s="11"/>
      <c r="L810" s="12"/>
      <c r="M810" s="4"/>
      <c r="N810" s="12"/>
      <c r="O810" s="12"/>
      <c r="P810" s="12"/>
      <c r="Q810" s="12"/>
      <c r="R810" s="12"/>
      <c r="S810" s="12"/>
      <c r="T810" s="12"/>
      <c r="U810" s="12"/>
      <c r="V810" s="12"/>
      <c r="W810" s="6"/>
      <c r="X810" s="6"/>
      <c r="Y810" s="6"/>
      <c r="Z810" s="6"/>
      <c r="AA810" s="1"/>
      <c r="AB810" s="5"/>
      <c r="AC810" s="12"/>
      <c r="AD810" s="12"/>
      <c r="AE810" s="12"/>
      <c r="AF810" s="12"/>
      <c r="AG810" s="1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c r="KB810" s="1"/>
      <c r="KC810" s="1"/>
      <c r="KD810" s="1"/>
      <c r="KE810" s="1"/>
      <c r="KF810" s="1"/>
      <c r="KG810" s="1"/>
      <c r="KH810" s="1"/>
      <c r="KI810" s="1"/>
      <c r="KJ810" s="1"/>
      <c r="KK810" s="1"/>
      <c r="KL810" s="1"/>
      <c r="KM810" s="1"/>
      <c r="KN810" s="1"/>
      <c r="KO810" s="1"/>
      <c r="KP810" s="1"/>
      <c r="KQ810" s="1"/>
      <c r="KR810" s="1"/>
      <c r="KS810" s="1"/>
      <c r="KT810" s="1"/>
      <c r="KU810" s="1"/>
    </row>
    <row r="811" spans="1:307" s="2" customFormat="1" x14ac:dyDescent="0.25">
      <c r="A811" s="1"/>
      <c r="B811" s="11"/>
      <c r="C811" s="11"/>
      <c r="D811" s="11"/>
      <c r="E811" s="11"/>
      <c r="F811" s="11"/>
      <c r="G811" s="1"/>
      <c r="H811" s="4"/>
      <c r="I811" s="1"/>
      <c r="J811" s="11"/>
      <c r="K811" s="11"/>
      <c r="L811" s="12"/>
      <c r="M811" s="4"/>
      <c r="N811" s="12"/>
      <c r="O811" s="12"/>
      <c r="P811" s="12"/>
      <c r="Q811" s="12"/>
      <c r="R811" s="12"/>
      <c r="S811" s="12"/>
      <c r="T811" s="12"/>
      <c r="U811" s="12"/>
      <c r="V811" s="12"/>
      <c r="W811" s="6"/>
      <c r="X811" s="6"/>
      <c r="Y811" s="6"/>
      <c r="Z811" s="6"/>
      <c r="AA811" s="1"/>
      <c r="AB811" s="5"/>
      <c r="AC811" s="12"/>
      <c r="AD811" s="12"/>
      <c r="AE811" s="12"/>
      <c r="AF811" s="12"/>
      <c r="AG811" s="1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c r="KB811" s="1"/>
      <c r="KC811" s="1"/>
      <c r="KD811" s="1"/>
      <c r="KE811" s="1"/>
      <c r="KF811" s="1"/>
      <c r="KG811" s="1"/>
      <c r="KH811" s="1"/>
      <c r="KI811" s="1"/>
      <c r="KJ811" s="1"/>
      <c r="KK811" s="1"/>
      <c r="KL811" s="1"/>
      <c r="KM811" s="1"/>
      <c r="KN811" s="1"/>
      <c r="KO811" s="1"/>
      <c r="KP811" s="1"/>
      <c r="KQ811" s="1"/>
      <c r="KR811" s="1"/>
      <c r="KS811" s="1"/>
      <c r="KT811" s="1"/>
      <c r="KU811" s="1"/>
    </row>
    <row r="812" spans="1:307" s="2" customFormat="1" x14ac:dyDescent="0.25">
      <c r="A812" s="1"/>
      <c r="B812" s="11"/>
      <c r="C812" s="11"/>
      <c r="D812" s="11"/>
      <c r="E812" s="11"/>
      <c r="F812" s="11"/>
      <c r="G812" s="1"/>
      <c r="H812" s="4"/>
      <c r="I812" s="1"/>
      <c r="J812" s="11"/>
      <c r="K812" s="11"/>
      <c r="L812" s="12"/>
      <c r="M812" s="4"/>
      <c r="N812" s="12"/>
      <c r="O812" s="12"/>
      <c r="P812" s="12"/>
      <c r="Q812" s="12"/>
      <c r="R812" s="12"/>
      <c r="S812" s="12"/>
      <c r="T812" s="12"/>
      <c r="U812" s="12"/>
      <c r="V812" s="12"/>
      <c r="W812" s="6"/>
      <c r="X812" s="6"/>
      <c r="Y812" s="6"/>
      <c r="Z812" s="6"/>
      <c r="AA812" s="1"/>
      <c r="AB812" s="5"/>
      <c r="AC812" s="12"/>
      <c r="AD812" s="12"/>
      <c r="AE812" s="12"/>
      <c r="AF812" s="12"/>
      <c r="AG812" s="1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c r="KB812" s="1"/>
      <c r="KC812" s="1"/>
      <c r="KD812" s="1"/>
      <c r="KE812" s="1"/>
      <c r="KF812" s="1"/>
      <c r="KG812" s="1"/>
      <c r="KH812" s="1"/>
      <c r="KI812" s="1"/>
      <c r="KJ812" s="1"/>
      <c r="KK812" s="1"/>
      <c r="KL812" s="1"/>
      <c r="KM812" s="1"/>
      <c r="KN812" s="1"/>
      <c r="KO812" s="1"/>
      <c r="KP812" s="1"/>
      <c r="KQ812" s="1"/>
      <c r="KR812" s="1"/>
      <c r="KS812" s="1"/>
      <c r="KT812" s="1"/>
      <c r="KU812" s="1"/>
    </row>
    <row r="813" spans="1:307" s="2" customFormat="1" x14ac:dyDescent="0.25">
      <c r="A813" s="1"/>
      <c r="B813" s="11"/>
      <c r="C813" s="11"/>
      <c r="D813" s="11"/>
      <c r="E813" s="11"/>
      <c r="F813" s="11"/>
      <c r="G813" s="1"/>
      <c r="H813" s="4"/>
      <c r="I813" s="1"/>
      <c r="J813" s="11"/>
      <c r="K813" s="11"/>
      <c r="L813" s="12"/>
      <c r="M813" s="4"/>
      <c r="N813" s="12"/>
      <c r="O813" s="12"/>
      <c r="P813" s="12"/>
      <c r="Q813" s="12"/>
      <c r="R813" s="12"/>
      <c r="S813" s="12"/>
      <c r="T813" s="12"/>
      <c r="U813" s="12"/>
      <c r="V813" s="12"/>
      <c r="W813" s="6"/>
      <c r="X813" s="6"/>
      <c r="Y813" s="6"/>
      <c r="Z813" s="6"/>
      <c r="AA813" s="1"/>
      <c r="AB813" s="5"/>
      <c r="AC813" s="12"/>
      <c r="AD813" s="12"/>
      <c r="AE813" s="12"/>
      <c r="AF813" s="12"/>
      <c r="AG813" s="1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c r="KB813" s="1"/>
      <c r="KC813" s="1"/>
      <c r="KD813" s="1"/>
      <c r="KE813" s="1"/>
      <c r="KF813" s="1"/>
      <c r="KG813" s="1"/>
      <c r="KH813" s="1"/>
      <c r="KI813" s="1"/>
      <c r="KJ813" s="1"/>
      <c r="KK813" s="1"/>
      <c r="KL813" s="1"/>
      <c r="KM813" s="1"/>
      <c r="KN813" s="1"/>
      <c r="KO813" s="1"/>
      <c r="KP813" s="1"/>
      <c r="KQ813" s="1"/>
      <c r="KR813" s="1"/>
      <c r="KS813" s="1"/>
      <c r="KT813" s="1"/>
      <c r="KU813" s="1"/>
    </row>
    <row r="814" spans="1:307" s="2" customFormat="1" x14ac:dyDescent="0.25">
      <c r="A814" s="1"/>
      <c r="B814" s="11"/>
      <c r="C814" s="11"/>
      <c r="D814" s="11"/>
      <c r="E814" s="11"/>
      <c r="F814" s="11"/>
      <c r="G814" s="1"/>
      <c r="H814" s="4"/>
      <c r="I814" s="1"/>
      <c r="J814" s="11"/>
      <c r="K814" s="11"/>
      <c r="L814" s="12"/>
      <c r="M814" s="4"/>
      <c r="N814" s="12"/>
      <c r="O814" s="12"/>
      <c r="P814" s="12"/>
      <c r="Q814" s="12"/>
      <c r="R814" s="12"/>
      <c r="S814" s="12"/>
      <c r="T814" s="12"/>
      <c r="U814" s="12"/>
      <c r="V814" s="12"/>
      <c r="W814" s="6"/>
      <c r="X814" s="6"/>
      <c r="Y814" s="6"/>
      <c r="Z814" s="6"/>
      <c r="AA814" s="1"/>
      <c r="AB814" s="5"/>
      <c r="AC814" s="12"/>
      <c r="AD814" s="12"/>
      <c r="AE814" s="12"/>
      <c r="AF814" s="12"/>
      <c r="AG814" s="1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c r="KB814" s="1"/>
      <c r="KC814" s="1"/>
      <c r="KD814" s="1"/>
      <c r="KE814" s="1"/>
      <c r="KF814" s="1"/>
      <c r="KG814" s="1"/>
      <c r="KH814" s="1"/>
      <c r="KI814" s="1"/>
      <c r="KJ814" s="1"/>
      <c r="KK814" s="1"/>
      <c r="KL814" s="1"/>
      <c r="KM814" s="1"/>
      <c r="KN814" s="1"/>
      <c r="KO814" s="1"/>
      <c r="KP814" s="1"/>
      <c r="KQ814" s="1"/>
      <c r="KR814" s="1"/>
      <c r="KS814" s="1"/>
      <c r="KT814" s="1"/>
      <c r="KU814" s="1"/>
    </row>
    <row r="815" spans="1:307" s="2" customFormat="1" x14ac:dyDescent="0.25">
      <c r="A815" s="1"/>
      <c r="B815" s="11"/>
      <c r="C815" s="11"/>
      <c r="D815" s="11"/>
      <c r="E815" s="11"/>
      <c r="F815" s="11"/>
      <c r="G815" s="1"/>
      <c r="H815" s="4"/>
      <c r="I815" s="1"/>
      <c r="J815" s="11"/>
      <c r="K815" s="11"/>
      <c r="L815" s="12"/>
      <c r="M815" s="4"/>
      <c r="N815" s="12"/>
      <c r="O815" s="12"/>
      <c r="P815" s="12"/>
      <c r="Q815" s="12"/>
      <c r="R815" s="12"/>
      <c r="S815" s="12"/>
      <c r="T815" s="12"/>
      <c r="U815" s="12"/>
      <c r="V815" s="12"/>
      <c r="W815" s="6"/>
      <c r="X815" s="6"/>
      <c r="Y815" s="6"/>
      <c r="Z815" s="6"/>
      <c r="AA815" s="1"/>
      <c r="AB815" s="5"/>
      <c r="AC815" s="12"/>
      <c r="AD815" s="12"/>
      <c r="AE815" s="12"/>
      <c r="AF815" s="12"/>
      <c r="AG815" s="1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c r="KB815" s="1"/>
      <c r="KC815" s="1"/>
      <c r="KD815" s="1"/>
      <c r="KE815" s="1"/>
      <c r="KF815" s="1"/>
      <c r="KG815" s="1"/>
      <c r="KH815" s="1"/>
      <c r="KI815" s="1"/>
      <c r="KJ815" s="1"/>
      <c r="KK815" s="1"/>
      <c r="KL815" s="1"/>
      <c r="KM815" s="1"/>
      <c r="KN815" s="1"/>
      <c r="KO815" s="1"/>
      <c r="KP815" s="1"/>
      <c r="KQ815" s="1"/>
      <c r="KR815" s="1"/>
      <c r="KS815" s="1"/>
      <c r="KT815" s="1"/>
      <c r="KU815" s="1"/>
    </row>
    <row r="816" spans="1:307" s="2" customFormat="1" x14ac:dyDescent="0.25">
      <c r="A816" s="1"/>
      <c r="B816" s="11"/>
      <c r="C816" s="11"/>
      <c r="D816" s="11"/>
      <c r="E816" s="11"/>
      <c r="F816" s="11"/>
      <c r="G816" s="1"/>
      <c r="H816" s="4"/>
      <c r="I816" s="1"/>
      <c r="J816" s="11"/>
      <c r="K816" s="11"/>
      <c r="L816" s="12"/>
      <c r="M816" s="4"/>
      <c r="N816" s="12"/>
      <c r="O816" s="12"/>
      <c r="P816" s="12"/>
      <c r="Q816" s="12"/>
      <c r="R816" s="12"/>
      <c r="S816" s="12"/>
      <c r="T816" s="12"/>
      <c r="U816" s="12"/>
      <c r="V816" s="12"/>
      <c r="W816" s="6"/>
      <c r="X816" s="6"/>
      <c r="Y816" s="6"/>
      <c r="Z816" s="6"/>
      <c r="AA816" s="1"/>
      <c r="AB816" s="5"/>
      <c r="AC816" s="12"/>
      <c r="AD816" s="12"/>
      <c r="AE816" s="12"/>
      <c r="AF816" s="12"/>
      <c r="AG816" s="1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c r="KB816" s="1"/>
      <c r="KC816" s="1"/>
      <c r="KD816" s="1"/>
      <c r="KE816" s="1"/>
      <c r="KF816" s="1"/>
      <c r="KG816" s="1"/>
      <c r="KH816" s="1"/>
      <c r="KI816" s="1"/>
      <c r="KJ816" s="1"/>
      <c r="KK816" s="1"/>
      <c r="KL816" s="1"/>
      <c r="KM816" s="1"/>
      <c r="KN816" s="1"/>
      <c r="KO816" s="1"/>
      <c r="KP816" s="1"/>
      <c r="KQ816" s="1"/>
      <c r="KR816" s="1"/>
      <c r="KS816" s="1"/>
      <c r="KT816" s="1"/>
      <c r="KU816" s="1"/>
    </row>
    <row r="817" spans="1:307" s="2" customFormat="1" x14ac:dyDescent="0.25">
      <c r="A817" s="1"/>
      <c r="B817" s="11"/>
      <c r="C817" s="11"/>
      <c r="D817" s="11"/>
      <c r="E817" s="11"/>
      <c r="F817" s="11"/>
      <c r="G817" s="1"/>
      <c r="H817" s="4"/>
      <c r="I817" s="1"/>
      <c r="J817" s="11"/>
      <c r="K817" s="11"/>
      <c r="L817" s="12"/>
      <c r="M817" s="4"/>
      <c r="N817" s="12"/>
      <c r="O817" s="12"/>
      <c r="P817" s="12"/>
      <c r="Q817" s="12"/>
      <c r="R817" s="12"/>
      <c r="S817" s="12"/>
      <c r="T817" s="12"/>
      <c r="U817" s="12"/>
      <c r="V817" s="12"/>
      <c r="W817" s="6"/>
      <c r="X817" s="6"/>
      <c r="Y817" s="6"/>
      <c r="Z817" s="6"/>
      <c r="AA817" s="1"/>
      <c r="AB817" s="5"/>
      <c r="AC817" s="12"/>
      <c r="AD817" s="12"/>
      <c r="AE817" s="12"/>
      <c r="AF817" s="12"/>
      <c r="AG817" s="1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c r="KB817" s="1"/>
      <c r="KC817" s="1"/>
      <c r="KD817" s="1"/>
      <c r="KE817" s="1"/>
      <c r="KF817" s="1"/>
      <c r="KG817" s="1"/>
      <c r="KH817" s="1"/>
      <c r="KI817" s="1"/>
      <c r="KJ817" s="1"/>
      <c r="KK817" s="1"/>
      <c r="KL817" s="1"/>
      <c r="KM817" s="1"/>
      <c r="KN817" s="1"/>
      <c r="KO817" s="1"/>
      <c r="KP817" s="1"/>
      <c r="KQ817" s="1"/>
      <c r="KR817" s="1"/>
      <c r="KS817" s="1"/>
      <c r="KT817" s="1"/>
      <c r="KU817" s="1"/>
    </row>
    <row r="818" spans="1:307" s="2" customFormat="1" x14ac:dyDescent="0.25">
      <c r="A818" s="1"/>
      <c r="B818" s="11"/>
      <c r="C818" s="11"/>
      <c r="D818" s="11"/>
      <c r="E818" s="11"/>
      <c r="F818" s="11"/>
      <c r="G818" s="1"/>
      <c r="H818" s="4"/>
      <c r="I818" s="1"/>
      <c r="J818" s="11"/>
      <c r="K818" s="11"/>
      <c r="L818" s="12"/>
      <c r="M818" s="4"/>
      <c r="N818" s="12"/>
      <c r="O818" s="12"/>
      <c r="P818" s="12"/>
      <c r="Q818" s="12"/>
      <c r="R818" s="12"/>
      <c r="S818" s="12"/>
      <c r="T818" s="12"/>
      <c r="U818" s="12"/>
      <c r="V818" s="12"/>
      <c r="W818" s="6"/>
      <c r="X818" s="6"/>
      <c r="Y818" s="6"/>
      <c r="Z818" s="6"/>
      <c r="AA818" s="1"/>
      <c r="AB818" s="5"/>
      <c r="AC818" s="12"/>
      <c r="AD818" s="12"/>
      <c r="AE818" s="12"/>
      <c r="AF818" s="12"/>
      <c r="AG818" s="1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c r="KB818" s="1"/>
      <c r="KC818" s="1"/>
      <c r="KD818" s="1"/>
      <c r="KE818" s="1"/>
      <c r="KF818" s="1"/>
      <c r="KG818" s="1"/>
      <c r="KH818" s="1"/>
      <c r="KI818" s="1"/>
      <c r="KJ818" s="1"/>
      <c r="KK818" s="1"/>
      <c r="KL818" s="1"/>
      <c r="KM818" s="1"/>
      <c r="KN818" s="1"/>
      <c r="KO818" s="1"/>
      <c r="KP818" s="1"/>
      <c r="KQ818" s="1"/>
      <c r="KR818" s="1"/>
      <c r="KS818" s="1"/>
      <c r="KT818" s="1"/>
      <c r="KU818" s="1"/>
    </row>
    <row r="819" spans="1:307" s="2" customFormat="1" x14ac:dyDescent="0.25">
      <c r="A819" s="1"/>
      <c r="B819" s="11"/>
      <c r="C819" s="11"/>
      <c r="D819" s="11"/>
      <c r="E819" s="11"/>
      <c r="F819" s="11"/>
      <c r="G819" s="1"/>
      <c r="H819" s="4"/>
      <c r="I819" s="1"/>
      <c r="J819" s="11"/>
      <c r="K819" s="11"/>
      <c r="L819" s="12"/>
      <c r="M819" s="4"/>
      <c r="N819" s="12"/>
      <c r="O819" s="12"/>
      <c r="P819" s="12"/>
      <c r="Q819" s="12"/>
      <c r="R819" s="12"/>
      <c r="S819" s="12"/>
      <c r="T819" s="12"/>
      <c r="U819" s="12"/>
      <c r="V819" s="12"/>
      <c r="W819" s="6"/>
      <c r="X819" s="6"/>
      <c r="Y819" s="6"/>
      <c r="Z819" s="6"/>
      <c r="AA819" s="1"/>
      <c r="AB819" s="5"/>
      <c r="AC819" s="12"/>
      <c r="AD819" s="12"/>
      <c r="AE819" s="12"/>
      <c r="AF819" s="12"/>
      <c r="AG819" s="1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c r="KB819" s="1"/>
      <c r="KC819" s="1"/>
      <c r="KD819" s="1"/>
      <c r="KE819" s="1"/>
      <c r="KF819" s="1"/>
      <c r="KG819" s="1"/>
      <c r="KH819" s="1"/>
      <c r="KI819" s="1"/>
      <c r="KJ819" s="1"/>
      <c r="KK819" s="1"/>
      <c r="KL819" s="1"/>
      <c r="KM819" s="1"/>
      <c r="KN819" s="1"/>
      <c r="KO819" s="1"/>
      <c r="KP819" s="1"/>
      <c r="KQ819" s="1"/>
      <c r="KR819" s="1"/>
      <c r="KS819" s="1"/>
      <c r="KT819" s="1"/>
      <c r="KU819" s="1"/>
    </row>
    <row r="820" spans="1:307" s="2" customFormat="1" x14ac:dyDescent="0.25">
      <c r="A820" s="1"/>
      <c r="B820" s="11"/>
      <c r="C820" s="11"/>
      <c r="D820" s="11"/>
      <c r="E820" s="11"/>
      <c r="F820" s="11"/>
      <c r="G820" s="1"/>
      <c r="H820" s="4"/>
      <c r="I820" s="1"/>
      <c r="J820" s="11"/>
      <c r="K820" s="11"/>
      <c r="L820" s="12"/>
      <c r="M820" s="4"/>
      <c r="N820" s="12"/>
      <c r="O820" s="12"/>
      <c r="P820" s="12"/>
      <c r="Q820" s="12"/>
      <c r="R820" s="12"/>
      <c r="S820" s="12"/>
      <c r="T820" s="12"/>
      <c r="U820" s="12"/>
      <c r="V820" s="12"/>
      <c r="W820" s="6"/>
      <c r="X820" s="6"/>
      <c r="Y820" s="6"/>
      <c r="Z820" s="6"/>
      <c r="AA820" s="1"/>
      <c r="AB820" s="5"/>
      <c r="AC820" s="12"/>
      <c r="AD820" s="12"/>
      <c r="AE820" s="12"/>
      <c r="AF820" s="12"/>
      <c r="AG820" s="1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c r="KB820" s="1"/>
      <c r="KC820" s="1"/>
      <c r="KD820" s="1"/>
      <c r="KE820" s="1"/>
      <c r="KF820" s="1"/>
      <c r="KG820" s="1"/>
      <c r="KH820" s="1"/>
      <c r="KI820" s="1"/>
      <c r="KJ820" s="1"/>
      <c r="KK820" s="1"/>
      <c r="KL820" s="1"/>
      <c r="KM820" s="1"/>
      <c r="KN820" s="1"/>
      <c r="KO820" s="1"/>
      <c r="KP820" s="1"/>
      <c r="KQ820" s="1"/>
      <c r="KR820" s="1"/>
      <c r="KS820" s="1"/>
      <c r="KT820" s="1"/>
      <c r="KU820" s="1"/>
    </row>
    <row r="821" spans="1:307" s="2" customFormat="1" x14ac:dyDescent="0.25">
      <c r="A821" s="1"/>
      <c r="B821" s="11"/>
      <c r="C821" s="11"/>
      <c r="D821" s="11"/>
      <c r="E821" s="11"/>
      <c r="F821" s="11"/>
      <c r="G821" s="1"/>
      <c r="H821" s="4"/>
      <c r="I821" s="1"/>
      <c r="J821" s="11"/>
      <c r="K821" s="11"/>
      <c r="L821" s="12"/>
      <c r="M821" s="4"/>
      <c r="N821" s="12"/>
      <c r="O821" s="12"/>
      <c r="P821" s="12"/>
      <c r="Q821" s="12"/>
      <c r="R821" s="12"/>
      <c r="S821" s="12"/>
      <c r="T821" s="12"/>
      <c r="U821" s="12"/>
      <c r="V821" s="12"/>
      <c r="W821" s="6"/>
      <c r="X821" s="6"/>
      <c r="Y821" s="6"/>
      <c r="Z821" s="6"/>
      <c r="AA821" s="1"/>
      <c r="AB821" s="5"/>
      <c r="AC821" s="12"/>
      <c r="AD821" s="12"/>
      <c r="AE821" s="12"/>
      <c r="AF821" s="12"/>
      <c r="AG821" s="1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c r="KB821" s="1"/>
      <c r="KC821" s="1"/>
      <c r="KD821" s="1"/>
      <c r="KE821" s="1"/>
      <c r="KF821" s="1"/>
      <c r="KG821" s="1"/>
      <c r="KH821" s="1"/>
      <c r="KI821" s="1"/>
      <c r="KJ821" s="1"/>
      <c r="KK821" s="1"/>
      <c r="KL821" s="1"/>
      <c r="KM821" s="1"/>
      <c r="KN821" s="1"/>
      <c r="KO821" s="1"/>
      <c r="KP821" s="1"/>
      <c r="KQ821" s="1"/>
      <c r="KR821" s="1"/>
      <c r="KS821" s="1"/>
      <c r="KT821" s="1"/>
      <c r="KU821" s="1"/>
    </row>
    <row r="822" spans="1:307" s="2" customFormat="1" x14ac:dyDescent="0.25">
      <c r="A822" s="1"/>
      <c r="B822" s="11"/>
      <c r="C822" s="11"/>
      <c r="D822" s="11"/>
      <c r="E822" s="11"/>
      <c r="F822" s="11"/>
      <c r="G822" s="1"/>
      <c r="H822" s="4"/>
      <c r="I822" s="1"/>
      <c r="J822" s="11"/>
      <c r="K822" s="11"/>
      <c r="L822" s="12"/>
      <c r="M822" s="4"/>
      <c r="N822" s="12"/>
      <c r="O822" s="12"/>
      <c r="P822" s="12"/>
      <c r="Q822" s="12"/>
      <c r="R822" s="12"/>
      <c r="S822" s="12"/>
      <c r="T822" s="12"/>
      <c r="U822" s="12"/>
      <c r="V822" s="12"/>
      <c r="W822" s="6"/>
      <c r="X822" s="6"/>
      <c r="Y822" s="6"/>
      <c r="Z822" s="6"/>
      <c r="AA822" s="1"/>
      <c r="AB822" s="5"/>
      <c r="AC822" s="12"/>
      <c r="AD822" s="12"/>
      <c r="AE822" s="12"/>
      <c r="AF822" s="12"/>
      <c r="AG822" s="1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c r="KB822" s="1"/>
      <c r="KC822" s="1"/>
      <c r="KD822" s="1"/>
      <c r="KE822" s="1"/>
      <c r="KF822" s="1"/>
      <c r="KG822" s="1"/>
      <c r="KH822" s="1"/>
      <c r="KI822" s="1"/>
      <c r="KJ822" s="1"/>
      <c r="KK822" s="1"/>
      <c r="KL822" s="1"/>
      <c r="KM822" s="1"/>
      <c r="KN822" s="1"/>
      <c r="KO822" s="1"/>
      <c r="KP822" s="1"/>
      <c r="KQ822" s="1"/>
      <c r="KR822" s="1"/>
      <c r="KS822" s="1"/>
      <c r="KT822" s="1"/>
      <c r="KU822" s="1"/>
    </row>
    <row r="823" spans="1:307" s="2" customFormat="1" x14ac:dyDescent="0.25">
      <c r="A823" s="1"/>
      <c r="B823" s="11"/>
      <c r="C823" s="11"/>
      <c r="D823" s="11"/>
      <c r="E823" s="11"/>
      <c r="F823" s="11"/>
      <c r="G823" s="1"/>
      <c r="H823" s="4"/>
      <c r="I823" s="1"/>
      <c r="J823" s="11"/>
      <c r="K823" s="11"/>
      <c r="L823" s="12"/>
      <c r="M823" s="4"/>
      <c r="N823" s="12"/>
      <c r="O823" s="12"/>
      <c r="P823" s="12"/>
      <c r="Q823" s="12"/>
      <c r="R823" s="12"/>
      <c r="S823" s="12"/>
      <c r="T823" s="12"/>
      <c r="U823" s="12"/>
      <c r="V823" s="12"/>
      <c r="W823" s="6"/>
      <c r="X823" s="6"/>
      <c r="Y823" s="6"/>
      <c r="Z823" s="6"/>
      <c r="AA823" s="1"/>
      <c r="AB823" s="5"/>
      <c r="AC823" s="12"/>
      <c r="AD823" s="12"/>
      <c r="AE823" s="12"/>
      <c r="AF823" s="12"/>
      <c r="AG823" s="1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c r="KB823" s="1"/>
      <c r="KC823" s="1"/>
      <c r="KD823" s="1"/>
      <c r="KE823" s="1"/>
      <c r="KF823" s="1"/>
      <c r="KG823" s="1"/>
      <c r="KH823" s="1"/>
      <c r="KI823" s="1"/>
      <c r="KJ823" s="1"/>
      <c r="KK823" s="1"/>
      <c r="KL823" s="1"/>
      <c r="KM823" s="1"/>
      <c r="KN823" s="1"/>
      <c r="KO823" s="1"/>
      <c r="KP823" s="1"/>
      <c r="KQ823" s="1"/>
      <c r="KR823" s="1"/>
      <c r="KS823" s="1"/>
      <c r="KT823" s="1"/>
      <c r="KU823" s="1"/>
    </row>
    <row r="824" spans="1:307" s="2" customFormat="1" x14ac:dyDescent="0.25">
      <c r="A824" s="1"/>
      <c r="B824" s="11"/>
      <c r="C824" s="11"/>
      <c r="D824" s="11"/>
      <c r="E824" s="11"/>
      <c r="F824" s="11"/>
      <c r="G824" s="1"/>
      <c r="H824" s="4"/>
      <c r="I824" s="1"/>
      <c r="J824" s="11"/>
      <c r="K824" s="11"/>
      <c r="L824" s="12"/>
      <c r="M824" s="4"/>
      <c r="N824" s="12"/>
      <c r="O824" s="12"/>
      <c r="P824" s="12"/>
      <c r="Q824" s="12"/>
      <c r="R824" s="12"/>
      <c r="S824" s="12"/>
      <c r="T824" s="12"/>
      <c r="U824" s="12"/>
      <c r="V824" s="12"/>
      <c r="W824" s="6"/>
      <c r="X824" s="6"/>
      <c r="Y824" s="6"/>
      <c r="Z824" s="6"/>
      <c r="AA824" s="1"/>
      <c r="AB824" s="5"/>
      <c r="AC824" s="12"/>
      <c r="AD824" s="12"/>
      <c r="AE824" s="12"/>
      <c r="AF824" s="12"/>
      <c r="AG824" s="1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c r="KB824" s="1"/>
      <c r="KC824" s="1"/>
      <c r="KD824" s="1"/>
      <c r="KE824" s="1"/>
      <c r="KF824" s="1"/>
      <c r="KG824" s="1"/>
      <c r="KH824" s="1"/>
      <c r="KI824" s="1"/>
      <c r="KJ824" s="1"/>
      <c r="KK824" s="1"/>
      <c r="KL824" s="1"/>
      <c r="KM824" s="1"/>
      <c r="KN824" s="1"/>
      <c r="KO824" s="1"/>
      <c r="KP824" s="1"/>
      <c r="KQ824" s="1"/>
      <c r="KR824" s="1"/>
      <c r="KS824" s="1"/>
      <c r="KT824" s="1"/>
      <c r="KU824" s="1"/>
    </row>
    <row r="825" spans="1:307" s="2" customFormat="1" x14ac:dyDescent="0.25">
      <c r="A825" s="1"/>
      <c r="B825" s="11"/>
      <c r="C825" s="11"/>
      <c r="D825" s="11"/>
      <c r="E825" s="11"/>
      <c r="F825" s="11"/>
      <c r="G825" s="1"/>
      <c r="H825" s="4"/>
      <c r="I825" s="1"/>
      <c r="J825" s="11"/>
      <c r="K825" s="11"/>
      <c r="L825" s="12"/>
      <c r="M825" s="4"/>
      <c r="N825" s="12"/>
      <c r="O825" s="12"/>
      <c r="P825" s="12"/>
      <c r="Q825" s="12"/>
      <c r="R825" s="12"/>
      <c r="S825" s="12"/>
      <c r="T825" s="12"/>
      <c r="U825" s="12"/>
      <c r="V825" s="12"/>
      <c r="W825" s="6"/>
      <c r="X825" s="6"/>
      <c r="Y825" s="6"/>
      <c r="Z825" s="6"/>
      <c r="AA825" s="1"/>
      <c r="AB825" s="5"/>
      <c r="AC825" s="12"/>
      <c r="AD825" s="12"/>
      <c r="AE825" s="12"/>
      <c r="AF825" s="12"/>
      <c r="AG825" s="1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c r="KB825" s="1"/>
      <c r="KC825" s="1"/>
      <c r="KD825" s="1"/>
      <c r="KE825" s="1"/>
      <c r="KF825" s="1"/>
      <c r="KG825" s="1"/>
      <c r="KH825" s="1"/>
      <c r="KI825" s="1"/>
      <c r="KJ825" s="1"/>
      <c r="KK825" s="1"/>
      <c r="KL825" s="1"/>
      <c r="KM825" s="1"/>
      <c r="KN825" s="1"/>
      <c r="KO825" s="1"/>
      <c r="KP825" s="1"/>
      <c r="KQ825" s="1"/>
      <c r="KR825" s="1"/>
      <c r="KS825" s="1"/>
      <c r="KT825" s="1"/>
      <c r="KU825" s="1"/>
    </row>
    <row r="826" spans="1:307" s="2" customFormat="1" x14ac:dyDescent="0.25">
      <c r="A826" s="1"/>
      <c r="B826" s="11"/>
      <c r="C826" s="11"/>
      <c r="D826" s="11"/>
      <c r="E826" s="11"/>
      <c r="F826" s="11"/>
      <c r="G826" s="1"/>
      <c r="H826" s="4"/>
      <c r="I826" s="1"/>
      <c r="J826" s="11"/>
      <c r="K826" s="11"/>
      <c r="L826" s="12"/>
      <c r="M826" s="4"/>
      <c r="N826" s="12"/>
      <c r="O826" s="12"/>
      <c r="P826" s="12"/>
      <c r="Q826" s="12"/>
      <c r="R826" s="12"/>
      <c r="S826" s="12"/>
      <c r="T826" s="12"/>
      <c r="U826" s="12"/>
      <c r="V826" s="12"/>
      <c r="W826" s="6"/>
      <c r="X826" s="6"/>
      <c r="Y826" s="6"/>
      <c r="Z826" s="6"/>
      <c r="AA826" s="1"/>
      <c r="AB826" s="5"/>
      <c r="AC826" s="12"/>
      <c r="AD826" s="12"/>
      <c r="AE826" s="12"/>
      <c r="AF826" s="12"/>
      <c r="AG826" s="1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c r="KB826" s="1"/>
      <c r="KC826" s="1"/>
      <c r="KD826" s="1"/>
      <c r="KE826" s="1"/>
      <c r="KF826" s="1"/>
      <c r="KG826" s="1"/>
      <c r="KH826" s="1"/>
      <c r="KI826" s="1"/>
      <c r="KJ826" s="1"/>
      <c r="KK826" s="1"/>
      <c r="KL826" s="1"/>
      <c r="KM826" s="1"/>
      <c r="KN826" s="1"/>
      <c r="KO826" s="1"/>
      <c r="KP826" s="1"/>
      <c r="KQ826" s="1"/>
      <c r="KR826" s="1"/>
      <c r="KS826" s="1"/>
      <c r="KT826" s="1"/>
      <c r="KU826" s="1"/>
    </row>
    <row r="827" spans="1:307" s="2" customFormat="1" x14ac:dyDescent="0.25">
      <c r="A827" s="1"/>
      <c r="B827" s="11"/>
      <c r="C827" s="11"/>
      <c r="D827" s="11"/>
      <c r="E827" s="11"/>
      <c r="F827" s="11"/>
      <c r="G827" s="1"/>
      <c r="H827" s="4"/>
      <c r="I827" s="1"/>
      <c r="J827" s="11"/>
      <c r="K827" s="11"/>
      <c r="L827" s="12"/>
      <c r="M827" s="4"/>
      <c r="N827" s="12"/>
      <c r="O827" s="12"/>
      <c r="P827" s="12"/>
      <c r="Q827" s="12"/>
      <c r="R827" s="12"/>
      <c r="S827" s="12"/>
      <c r="T827" s="12"/>
      <c r="U827" s="12"/>
      <c r="V827" s="12"/>
      <c r="W827" s="6"/>
      <c r="X827" s="6"/>
      <c r="Y827" s="6"/>
      <c r="Z827" s="6"/>
      <c r="AA827" s="1"/>
      <c r="AB827" s="5"/>
      <c r="AC827" s="12"/>
      <c r="AD827" s="12"/>
      <c r="AE827" s="12"/>
      <c r="AF827" s="12"/>
      <c r="AG827" s="1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c r="KB827" s="1"/>
      <c r="KC827" s="1"/>
      <c r="KD827" s="1"/>
      <c r="KE827" s="1"/>
      <c r="KF827" s="1"/>
      <c r="KG827" s="1"/>
      <c r="KH827" s="1"/>
      <c r="KI827" s="1"/>
      <c r="KJ827" s="1"/>
      <c r="KK827" s="1"/>
      <c r="KL827" s="1"/>
      <c r="KM827" s="1"/>
      <c r="KN827" s="1"/>
      <c r="KO827" s="1"/>
      <c r="KP827" s="1"/>
      <c r="KQ827" s="1"/>
      <c r="KR827" s="1"/>
      <c r="KS827" s="1"/>
      <c r="KT827" s="1"/>
      <c r="KU827" s="1"/>
    </row>
    <row r="828" spans="1:307" s="2" customFormat="1" x14ac:dyDescent="0.25">
      <c r="A828" s="1"/>
      <c r="B828" s="11"/>
      <c r="C828" s="11"/>
      <c r="D828" s="11"/>
      <c r="E828" s="11"/>
      <c r="F828" s="11"/>
      <c r="G828" s="1"/>
      <c r="H828" s="4"/>
      <c r="I828" s="1"/>
      <c r="J828" s="11"/>
      <c r="K828" s="11"/>
      <c r="L828" s="12"/>
      <c r="M828" s="4"/>
      <c r="N828" s="12"/>
      <c r="O828" s="12"/>
      <c r="P828" s="12"/>
      <c r="Q828" s="12"/>
      <c r="R828" s="12"/>
      <c r="S828" s="12"/>
      <c r="T828" s="12"/>
      <c r="U828" s="12"/>
      <c r="V828" s="12"/>
      <c r="W828" s="6"/>
      <c r="X828" s="6"/>
      <c r="Y828" s="6"/>
      <c r="Z828" s="6"/>
      <c r="AA828" s="1"/>
      <c r="AB828" s="5"/>
      <c r="AC828" s="12"/>
      <c r="AD828" s="12"/>
      <c r="AE828" s="12"/>
      <c r="AF828" s="12"/>
      <c r="AG828" s="1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c r="KB828" s="1"/>
      <c r="KC828" s="1"/>
      <c r="KD828" s="1"/>
      <c r="KE828" s="1"/>
      <c r="KF828" s="1"/>
      <c r="KG828" s="1"/>
      <c r="KH828" s="1"/>
      <c r="KI828" s="1"/>
      <c r="KJ828" s="1"/>
      <c r="KK828" s="1"/>
      <c r="KL828" s="1"/>
      <c r="KM828" s="1"/>
      <c r="KN828" s="1"/>
      <c r="KO828" s="1"/>
      <c r="KP828" s="1"/>
      <c r="KQ828" s="1"/>
      <c r="KR828" s="1"/>
      <c r="KS828" s="1"/>
      <c r="KT828" s="1"/>
      <c r="KU828" s="1"/>
    </row>
    <row r="829" spans="1:307" s="2" customFormat="1" x14ac:dyDescent="0.25">
      <c r="A829" s="1"/>
      <c r="B829" s="11"/>
      <c r="C829" s="11"/>
      <c r="D829" s="11"/>
      <c r="E829" s="11"/>
      <c r="F829" s="11"/>
      <c r="G829" s="1"/>
      <c r="H829" s="4"/>
      <c r="I829" s="1"/>
      <c r="J829" s="11"/>
      <c r="K829" s="11"/>
      <c r="L829" s="12"/>
      <c r="M829" s="4"/>
      <c r="N829" s="12"/>
      <c r="O829" s="12"/>
      <c r="P829" s="12"/>
      <c r="Q829" s="12"/>
      <c r="R829" s="12"/>
      <c r="S829" s="12"/>
      <c r="T829" s="12"/>
      <c r="U829" s="12"/>
      <c r="V829" s="12"/>
      <c r="W829" s="6"/>
      <c r="X829" s="6"/>
      <c r="Y829" s="6"/>
      <c r="Z829" s="6"/>
      <c r="AA829" s="1"/>
      <c r="AB829" s="5"/>
      <c r="AC829" s="12"/>
      <c r="AD829" s="12"/>
      <c r="AE829" s="12"/>
      <c r="AF829" s="12"/>
      <c r="AG829" s="1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c r="KB829" s="1"/>
      <c r="KC829" s="1"/>
      <c r="KD829" s="1"/>
      <c r="KE829" s="1"/>
      <c r="KF829" s="1"/>
      <c r="KG829" s="1"/>
      <c r="KH829" s="1"/>
      <c r="KI829" s="1"/>
      <c r="KJ829" s="1"/>
      <c r="KK829" s="1"/>
      <c r="KL829" s="1"/>
      <c r="KM829" s="1"/>
      <c r="KN829" s="1"/>
      <c r="KO829" s="1"/>
      <c r="KP829" s="1"/>
      <c r="KQ829" s="1"/>
      <c r="KR829" s="1"/>
      <c r="KS829" s="1"/>
      <c r="KT829" s="1"/>
      <c r="KU829" s="1"/>
    </row>
    <row r="830" spans="1:307" s="2" customFormat="1" x14ac:dyDescent="0.25">
      <c r="A830" s="1"/>
      <c r="B830" s="11"/>
      <c r="C830" s="11"/>
      <c r="D830" s="11"/>
      <c r="E830" s="11"/>
      <c r="F830" s="11"/>
      <c r="G830" s="1"/>
      <c r="H830" s="4"/>
      <c r="I830" s="1"/>
      <c r="J830" s="11"/>
      <c r="K830" s="11"/>
      <c r="L830" s="12"/>
      <c r="M830" s="4"/>
      <c r="N830" s="12"/>
      <c r="O830" s="12"/>
      <c r="P830" s="12"/>
      <c r="Q830" s="12"/>
      <c r="R830" s="12"/>
      <c r="S830" s="12"/>
      <c r="T830" s="12"/>
      <c r="U830" s="12"/>
      <c r="V830" s="12"/>
      <c r="W830" s="6"/>
      <c r="X830" s="6"/>
      <c r="Y830" s="6"/>
      <c r="Z830" s="6"/>
      <c r="AA830" s="1"/>
      <c r="AB830" s="5"/>
      <c r="AC830" s="12"/>
      <c r="AD830" s="12"/>
      <c r="AE830" s="12"/>
      <c r="AF830" s="12"/>
      <c r="AG830" s="1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c r="KB830" s="1"/>
      <c r="KC830" s="1"/>
      <c r="KD830" s="1"/>
      <c r="KE830" s="1"/>
      <c r="KF830" s="1"/>
      <c r="KG830" s="1"/>
      <c r="KH830" s="1"/>
      <c r="KI830" s="1"/>
      <c r="KJ830" s="1"/>
      <c r="KK830" s="1"/>
      <c r="KL830" s="1"/>
      <c r="KM830" s="1"/>
      <c r="KN830" s="1"/>
      <c r="KO830" s="1"/>
      <c r="KP830" s="1"/>
      <c r="KQ830" s="1"/>
      <c r="KR830" s="1"/>
      <c r="KS830" s="1"/>
      <c r="KT830" s="1"/>
      <c r="KU830" s="1"/>
    </row>
    <row r="831" spans="1:307" s="2" customFormat="1" x14ac:dyDescent="0.25">
      <c r="A831" s="1"/>
      <c r="B831" s="11"/>
      <c r="C831" s="11"/>
      <c r="D831" s="11"/>
      <c r="E831" s="11"/>
      <c r="F831" s="11"/>
      <c r="G831" s="1"/>
      <c r="H831" s="4"/>
      <c r="I831" s="1"/>
      <c r="J831" s="11"/>
      <c r="K831" s="11"/>
      <c r="L831" s="12"/>
      <c r="M831" s="4"/>
      <c r="N831" s="12"/>
      <c r="O831" s="12"/>
      <c r="P831" s="12"/>
      <c r="Q831" s="12"/>
      <c r="R831" s="12"/>
      <c r="S831" s="12"/>
      <c r="T831" s="12"/>
      <c r="U831" s="12"/>
      <c r="V831" s="12"/>
      <c r="W831" s="6"/>
      <c r="X831" s="6"/>
      <c r="Y831" s="6"/>
      <c r="Z831" s="6"/>
      <c r="AA831" s="1"/>
      <c r="AB831" s="5"/>
      <c r="AC831" s="12"/>
      <c r="AD831" s="12"/>
      <c r="AE831" s="12"/>
      <c r="AF831" s="12"/>
      <c r="AG831" s="1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c r="KB831" s="1"/>
      <c r="KC831" s="1"/>
      <c r="KD831" s="1"/>
      <c r="KE831" s="1"/>
      <c r="KF831" s="1"/>
      <c r="KG831" s="1"/>
      <c r="KH831" s="1"/>
      <c r="KI831" s="1"/>
      <c r="KJ831" s="1"/>
      <c r="KK831" s="1"/>
      <c r="KL831" s="1"/>
      <c r="KM831" s="1"/>
      <c r="KN831" s="1"/>
      <c r="KO831" s="1"/>
      <c r="KP831" s="1"/>
      <c r="KQ831" s="1"/>
      <c r="KR831" s="1"/>
      <c r="KS831" s="1"/>
      <c r="KT831" s="1"/>
      <c r="KU831" s="1"/>
    </row>
    <row r="832" spans="1:307" s="2" customFormat="1" x14ac:dyDescent="0.25">
      <c r="A832" s="1"/>
      <c r="B832" s="11"/>
      <c r="C832" s="11"/>
      <c r="D832" s="11"/>
      <c r="E832" s="11"/>
      <c r="F832" s="11"/>
      <c r="G832" s="1"/>
      <c r="H832" s="4"/>
      <c r="I832" s="1"/>
      <c r="J832" s="11"/>
      <c r="K832" s="11"/>
      <c r="L832" s="12"/>
      <c r="M832" s="4"/>
      <c r="N832" s="12"/>
      <c r="O832" s="12"/>
      <c r="P832" s="12"/>
      <c r="Q832" s="12"/>
      <c r="R832" s="12"/>
      <c r="S832" s="12"/>
      <c r="T832" s="12"/>
      <c r="U832" s="12"/>
      <c r="V832" s="12"/>
      <c r="W832" s="6"/>
      <c r="X832" s="6"/>
      <c r="Y832" s="6"/>
      <c r="Z832" s="6"/>
      <c r="AA832" s="1"/>
      <c r="AB832" s="5"/>
      <c r="AC832" s="12"/>
      <c r="AD832" s="12"/>
      <c r="AE832" s="12"/>
      <c r="AF832" s="12"/>
      <c r="AG832" s="1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c r="KB832" s="1"/>
      <c r="KC832" s="1"/>
      <c r="KD832" s="1"/>
      <c r="KE832" s="1"/>
      <c r="KF832" s="1"/>
      <c r="KG832" s="1"/>
      <c r="KH832" s="1"/>
      <c r="KI832" s="1"/>
      <c r="KJ832" s="1"/>
      <c r="KK832" s="1"/>
      <c r="KL832" s="1"/>
      <c r="KM832" s="1"/>
      <c r="KN832" s="1"/>
      <c r="KO832" s="1"/>
      <c r="KP832" s="1"/>
      <c r="KQ832" s="1"/>
      <c r="KR832" s="1"/>
      <c r="KS832" s="1"/>
      <c r="KT832" s="1"/>
      <c r="KU832" s="1"/>
    </row>
    <row r="833" spans="1:307" s="2" customFormat="1" x14ac:dyDescent="0.25">
      <c r="A833" s="1"/>
      <c r="B833" s="11"/>
      <c r="C833" s="11"/>
      <c r="D833" s="11"/>
      <c r="E833" s="11"/>
      <c r="F833" s="11"/>
      <c r="G833" s="1"/>
      <c r="H833" s="4"/>
      <c r="I833" s="1"/>
      <c r="J833" s="11"/>
      <c r="K833" s="11"/>
      <c r="L833" s="12"/>
      <c r="M833" s="4"/>
      <c r="N833" s="12"/>
      <c r="O833" s="12"/>
      <c r="P833" s="12"/>
      <c r="Q833" s="12"/>
      <c r="R833" s="12"/>
      <c r="S833" s="12"/>
      <c r="T833" s="12"/>
      <c r="U833" s="12"/>
      <c r="V833" s="12"/>
      <c r="W833" s="6"/>
      <c r="X833" s="6"/>
      <c r="Y833" s="6"/>
      <c r="Z833" s="6"/>
      <c r="AA833" s="1"/>
      <c r="AB833" s="5"/>
      <c r="AC833" s="12"/>
      <c r="AD833" s="12"/>
      <c r="AE833" s="12"/>
      <c r="AF833" s="12"/>
      <c r="AG833" s="1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c r="KB833" s="1"/>
      <c r="KC833" s="1"/>
      <c r="KD833" s="1"/>
      <c r="KE833" s="1"/>
      <c r="KF833" s="1"/>
      <c r="KG833" s="1"/>
      <c r="KH833" s="1"/>
      <c r="KI833" s="1"/>
      <c r="KJ833" s="1"/>
      <c r="KK833" s="1"/>
      <c r="KL833" s="1"/>
      <c r="KM833" s="1"/>
      <c r="KN833" s="1"/>
      <c r="KO833" s="1"/>
      <c r="KP833" s="1"/>
      <c r="KQ833" s="1"/>
      <c r="KR833" s="1"/>
      <c r="KS833" s="1"/>
      <c r="KT833" s="1"/>
      <c r="KU833" s="1"/>
    </row>
    <row r="834" spans="1:307" s="2" customFormat="1" x14ac:dyDescent="0.25">
      <c r="A834" s="1"/>
      <c r="B834" s="11"/>
      <c r="C834" s="11"/>
      <c r="D834" s="11"/>
      <c r="E834" s="11"/>
      <c r="F834" s="11"/>
      <c r="G834" s="1"/>
      <c r="H834" s="4"/>
      <c r="I834" s="1"/>
      <c r="J834" s="11"/>
      <c r="K834" s="11"/>
      <c r="L834" s="12"/>
      <c r="M834" s="4"/>
      <c r="N834" s="12"/>
      <c r="O834" s="12"/>
      <c r="P834" s="12"/>
      <c r="Q834" s="12"/>
      <c r="R834" s="12"/>
      <c r="S834" s="12"/>
      <c r="T834" s="12"/>
      <c r="U834" s="12"/>
      <c r="V834" s="12"/>
      <c r="W834" s="6"/>
      <c r="X834" s="6"/>
      <c r="Y834" s="6"/>
      <c r="Z834" s="6"/>
      <c r="AA834" s="1"/>
      <c r="AB834" s="5"/>
      <c r="AC834" s="12"/>
      <c r="AD834" s="12"/>
      <c r="AE834" s="12"/>
      <c r="AF834" s="12"/>
      <c r="AG834" s="1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c r="KB834" s="1"/>
      <c r="KC834" s="1"/>
      <c r="KD834" s="1"/>
      <c r="KE834" s="1"/>
      <c r="KF834" s="1"/>
      <c r="KG834" s="1"/>
      <c r="KH834" s="1"/>
      <c r="KI834" s="1"/>
      <c r="KJ834" s="1"/>
      <c r="KK834" s="1"/>
      <c r="KL834" s="1"/>
      <c r="KM834" s="1"/>
      <c r="KN834" s="1"/>
      <c r="KO834" s="1"/>
      <c r="KP834" s="1"/>
      <c r="KQ834" s="1"/>
      <c r="KR834" s="1"/>
      <c r="KS834" s="1"/>
      <c r="KT834" s="1"/>
      <c r="KU834" s="1"/>
    </row>
    <row r="835" spans="1:307" s="2" customFormat="1" x14ac:dyDescent="0.25">
      <c r="A835" s="1"/>
      <c r="B835" s="11"/>
      <c r="C835" s="11"/>
      <c r="D835" s="11"/>
      <c r="E835" s="11"/>
      <c r="F835" s="11"/>
      <c r="G835" s="1"/>
      <c r="H835" s="4"/>
      <c r="I835" s="1"/>
      <c r="J835" s="11"/>
      <c r="K835" s="11"/>
      <c r="L835" s="12"/>
      <c r="M835" s="4"/>
      <c r="N835" s="12"/>
      <c r="O835" s="12"/>
      <c r="P835" s="12"/>
      <c r="Q835" s="12"/>
      <c r="R835" s="12"/>
      <c r="S835" s="12"/>
      <c r="T835" s="12"/>
      <c r="U835" s="12"/>
      <c r="V835" s="12"/>
      <c r="W835" s="6"/>
      <c r="X835" s="6"/>
      <c r="Y835" s="6"/>
      <c r="Z835" s="6"/>
      <c r="AA835" s="1"/>
      <c r="AB835" s="5"/>
      <c r="AC835" s="12"/>
      <c r="AD835" s="12"/>
      <c r="AE835" s="12"/>
      <c r="AF835" s="12"/>
      <c r="AG835" s="1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c r="KB835" s="1"/>
      <c r="KC835" s="1"/>
      <c r="KD835" s="1"/>
      <c r="KE835" s="1"/>
      <c r="KF835" s="1"/>
      <c r="KG835" s="1"/>
      <c r="KH835" s="1"/>
      <c r="KI835" s="1"/>
      <c r="KJ835" s="1"/>
      <c r="KK835" s="1"/>
      <c r="KL835" s="1"/>
      <c r="KM835" s="1"/>
      <c r="KN835" s="1"/>
      <c r="KO835" s="1"/>
      <c r="KP835" s="1"/>
      <c r="KQ835" s="1"/>
      <c r="KR835" s="1"/>
      <c r="KS835" s="1"/>
      <c r="KT835" s="1"/>
      <c r="KU835" s="1"/>
    </row>
    <row r="836" spans="1:307" s="2" customFormat="1" x14ac:dyDescent="0.25">
      <c r="A836" s="1"/>
      <c r="B836" s="11"/>
      <c r="C836" s="11"/>
      <c r="D836" s="11"/>
      <c r="E836" s="11"/>
      <c r="F836" s="11"/>
      <c r="G836" s="1"/>
      <c r="H836" s="4"/>
      <c r="I836" s="1"/>
      <c r="J836" s="11"/>
      <c r="K836" s="11"/>
      <c r="L836" s="12"/>
      <c r="M836" s="4"/>
      <c r="N836" s="12"/>
      <c r="O836" s="12"/>
      <c r="P836" s="12"/>
      <c r="Q836" s="12"/>
      <c r="R836" s="12"/>
      <c r="S836" s="12"/>
      <c r="T836" s="12"/>
      <c r="U836" s="12"/>
      <c r="V836" s="12"/>
      <c r="W836" s="6"/>
      <c r="X836" s="6"/>
      <c r="Y836" s="6"/>
      <c r="Z836" s="6"/>
      <c r="AA836" s="1"/>
      <c r="AB836" s="5"/>
      <c r="AC836" s="12"/>
      <c r="AD836" s="12"/>
      <c r="AE836" s="12"/>
      <c r="AF836" s="12"/>
      <c r="AG836" s="1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c r="KB836" s="1"/>
      <c r="KC836" s="1"/>
      <c r="KD836" s="1"/>
      <c r="KE836" s="1"/>
      <c r="KF836" s="1"/>
      <c r="KG836" s="1"/>
      <c r="KH836" s="1"/>
      <c r="KI836" s="1"/>
      <c r="KJ836" s="1"/>
      <c r="KK836" s="1"/>
      <c r="KL836" s="1"/>
      <c r="KM836" s="1"/>
      <c r="KN836" s="1"/>
      <c r="KO836" s="1"/>
      <c r="KP836" s="1"/>
      <c r="KQ836" s="1"/>
      <c r="KR836" s="1"/>
      <c r="KS836" s="1"/>
      <c r="KT836" s="1"/>
      <c r="KU836" s="1"/>
    </row>
    <row r="837" spans="1:307" s="2" customFormat="1" x14ac:dyDescent="0.25">
      <c r="A837" s="1"/>
      <c r="B837" s="11"/>
      <c r="C837" s="11"/>
      <c r="D837" s="11"/>
      <c r="E837" s="11"/>
      <c r="F837" s="11"/>
      <c r="G837" s="1"/>
      <c r="H837" s="4"/>
      <c r="I837" s="1"/>
      <c r="J837" s="11"/>
      <c r="K837" s="11"/>
      <c r="L837" s="12"/>
      <c r="M837" s="4"/>
      <c r="N837" s="12"/>
      <c r="O837" s="12"/>
      <c r="P837" s="12"/>
      <c r="Q837" s="12"/>
      <c r="R837" s="12"/>
      <c r="S837" s="12"/>
      <c r="T837" s="12"/>
      <c r="U837" s="12"/>
      <c r="V837" s="12"/>
      <c r="W837" s="6"/>
      <c r="X837" s="6"/>
      <c r="Y837" s="6"/>
      <c r="Z837" s="6"/>
      <c r="AA837" s="1"/>
      <c r="AB837" s="5"/>
      <c r="AC837" s="12"/>
      <c r="AD837" s="12"/>
      <c r="AE837" s="12"/>
      <c r="AF837" s="12"/>
      <c r="AG837" s="1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c r="KB837" s="1"/>
      <c r="KC837" s="1"/>
      <c r="KD837" s="1"/>
      <c r="KE837" s="1"/>
      <c r="KF837" s="1"/>
      <c r="KG837" s="1"/>
      <c r="KH837" s="1"/>
      <c r="KI837" s="1"/>
      <c r="KJ837" s="1"/>
      <c r="KK837" s="1"/>
      <c r="KL837" s="1"/>
      <c r="KM837" s="1"/>
      <c r="KN837" s="1"/>
      <c r="KO837" s="1"/>
      <c r="KP837" s="1"/>
      <c r="KQ837" s="1"/>
      <c r="KR837" s="1"/>
      <c r="KS837" s="1"/>
      <c r="KT837" s="1"/>
      <c r="KU837" s="1"/>
    </row>
    <row r="838" spans="1:307" s="2" customFormat="1" x14ac:dyDescent="0.25">
      <c r="A838" s="1"/>
      <c r="B838" s="11"/>
      <c r="C838" s="11"/>
      <c r="D838" s="11"/>
      <c r="E838" s="11"/>
      <c r="F838" s="11"/>
      <c r="G838" s="1"/>
      <c r="H838" s="4"/>
      <c r="I838" s="1"/>
      <c r="J838" s="11"/>
      <c r="K838" s="11"/>
      <c r="L838" s="12"/>
      <c r="M838" s="4"/>
      <c r="N838" s="12"/>
      <c r="O838" s="12"/>
      <c r="P838" s="12"/>
      <c r="Q838" s="12"/>
      <c r="R838" s="12"/>
      <c r="S838" s="12"/>
      <c r="T838" s="12"/>
      <c r="U838" s="12"/>
      <c r="V838" s="12"/>
      <c r="W838" s="6"/>
      <c r="X838" s="6"/>
      <c r="Y838" s="6"/>
      <c r="Z838" s="6"/>
      <c r="AA838" s="1"/>
      <c r="AB838" s="5"/>
      <c r="AC838" s="12"/>
      <c r="AD838" s="12"/>
      <c r="AE838" s="12"/>
      <c r="AF838" s="12"/>
      <c r="AG838" s="1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c r="KB838" s="1"/>
      <c r="KC838" s="1"/>
      <c r="KD838" s="1"/>
      <c r="KE838" s="1"/>
      <c r="KF838" s="1"/>
      <c r="KG838" s="1"/>
      <c r="KH838" s="1"/>
      <c r="KI838" s="1"/>
      <c r="KJ838" s="1"/>
      <c r="KK838" s="1"/>
      <c r="KL838" s="1"/>
      <c r="KM838" s="1"/>
      <c r="KN838" s="1"/>
      <c r="KO838" s="1"/>
      <c r="KP838" s="1"/>
      <c r="KQ838" s="1"/>
      <c r="KR838" s="1"/>
      <c r="KS838" s="1"/>
      <c r="KT838" s="1"/>
      <c r="KU838" s="1"/>
    </row>
    <row r="839" spans="1:307" s="2" customFormat="1" x14ac:dyDescent="0.25">
      <c r="A839" s="1"/>
      <c r="B839" s="11"/>
      <c r="C839" s="11"/>
      <c r="D839" s="11"/>
      <c r="E839" s="11"/>
      <c r="F839" s="11"/>
      <c r="G839" s="1"/>
      <c r="H839" s="4"/>
      <c r="I839" s="1"/>
      <c r="J839" s="11"/>
      <c r="K839" s="11"/>
      <c r="L839" s="12"/>
      <c r="M839" s="4"/>
      <c r="N839" s="12"/>
      <c r="O839" s="12"/>
      <c r="P839" s="12"/>
      <c r="Q839" s="12"/>
      <c r="R839" s="12"/>
      <c r="S839" s="12"/>
      <c r="T839" s="12"/>
      <c r="U839" s="12"/>
      <c r="V839" s="12"/>
      <c r="W839" s="6"/>
      <c r="X839" s="6"/>
      <c r="Y839" s="6"/>
      <c r="Z839" s="6"/>
      <c r="AA839" s="1"/>
      <c r="AB839" s="5"/>
      <c r="AC839" s="12"/>
      <c r="AD839" s="12"/>
      <c r="AE839" s="12"/>
      <c r="AF839" s="12"/>
      <c r="AG839" s="1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c r="KB839" s="1"/>
      <c r="KC839" s="1"/>
      <c r="KD839" s="1"/>
      <c r="KE839" s="1"/>
      <c r="KF839" s="1"/>
      <c r="KG839" s="1"/>
      <c r="KH839" s="1"/>
      <c r="KI839" s="1"/>
      <c r="KJ839" s="1"/>
      <c r="KK839" s="1"/>
      <c r="KL839" s="1"/>
      <c r="KM839" s="1"/>
      <c r="KN839" s="1"/>
      <c r="KO839" s="1"/>
      <c r="KP839" s="1"/>
      <c r="KQ839" s="1"/>
      <c r="KR839" s="1"/>
      <c r="KS839" s="1"/>
      <c r="KT839" s="1"/>
      <c r="KU839" s="1"/>
    </row>
    <row r="840" spans="1:307" s="2" customFormat="1" x14ac:dyDescent="0.25">
      <c r="A840" s="1"/>
      <c r="B840" s="11"/>
      <c r="C840" s="11"/>
      <c r="D840" s="11"/>
      <c r="E840" s="11"/>
      <c r="F840" s="11"/>
      <c r="G840" s="1"/>
      <c r="H840" s="4"/>
      <c r="I840" s="1"/>
      <c r="J840" s="11"/>
      <c r="K840" s="11"/>
      <c r="L840" s="12"/>
      <c r="M840" s="4"/>
      <c r="N840" s="12"/>
      <c r="O840" s="12"/>
      <c r="P840" s="12"/>
      <c r="Q840" s="12"/>
      <c r="R840" s="12"/>
      <c r="S840" s="12"/>
      <c r="T840" s="12"/>
      <c r="U840" s="12"/>
      <c r="V840" s="12"/>
      <c r="W840" s="6"/>
      <c r="X840" s="6"/>
      <c r="Y840" s="6"/>
      <c r="Z840" s="6"/>
      <c r="AA840" s="1"/>
      <c r="AB840" s="5"/>
      <c r="AC840" s="12"/>
      <c r="AD840" s="12"/>
      <c r="AE840" s="12"/>
      <c r="AF840" s="12"/>
      <c r="AG840" s="1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c r="KB840" s="1"/>
      <c r="KC840" s="1"/>
      <c r="KD840" s="1"/>
      <c r="KE840" s="1"/>
      <c r="KF840" s="1"/>
      <c r="KG840" s="1"/>
      <c r="KH840" s="1"/>
      <c r="KI840" s="1"/>
      <c r="KJ840" s="1"/>
      <c r="KK840" s="1"/>
      <c r="KL840" s="1"/>
      <c r="KM840" s="1"/>
      <c r="KN840" s="1"/>
      <c r="KO840" s="1"/>
      <c r="KP840" s="1"/>
      <c r="KQ840" s="1"/>
      <c r="KR840" s="1"/>
      <c r="KS840" s="1"/>
      <c r="KT840" s="1"/>
      <c r="KU840" s="1"/>
    </row>
    <row r="841" spans="1:307" s="2" customFormat="1" x14ac:dyDescent="0.25">
      <c r="A841" s="1"/>
      <c r="B841" s="11"/>
      <c r="C841" s="11"/>
      <c r="D841" s="11"/>
      <c r="E841" s="11"/>
      <c r="F841" s="11"/>
      <c r="G841" s="1"/>
      <c r="H841" s="4"/>
      <c r="I841" s="1"/>
      <c r="J841" s="11"/>
      <c r="K841" s="11"/>
      <c r="L841" s="12"/>
      <c r="M841" s="4"/>
      <c r="N841" s="12"/>
      <c r="O841" s="12"/>
      <c r="P841" s="12"/>
      <c r="Q841" s="12"/>
      <c r="R841" s="12"/>
      <c r="S841" s="12"/>
      <c r="T841" s="12"/>
      <c r="U841" s="12"/>
      <c r="V841" s="12"/>
      <c r="W841" s="6"/>
      <c r="X841" s="6"/>
      <c r="Y841" s="6"/>
      <c r="Z841" s="6"/>
      <c r="AA841" s="1"/>
      <c r="AB841" s="5"/>
      <c r="AC841" s="12"/>
      <c r="AD841" s="12"/>
      <c r="AE841" s="12"/>
      <c r="AF841" s="12"/>
      <c r="AG841" s="1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c r="KB841" s="1"/>
      <c r="KC841" s="1"/>
      <c r="KD841" s="1"/>
      <c r="KE841" s="1"/>
      <c r="KF841" s="1"/>
      <c r="KG841" s="1"/>
      <c r="KH841" s="1"/>
      <c r="KI841" s="1"/>
      <c r="KJ841" s="1"/>
      <c r="KK841" s="1"/>
      <c r="KL841" s="1"/>
      <c r="KM841" s="1"/>
      <c r="KN841" s="1"/>
      <c r="KO841" s="1"/>
      <c r="KP841" s="1"/>
      <c r="KQ841" s="1"/>
      <c r="KR841" s="1"/>
      <c r="KS841" s="1"/>
      <c r="KT841" s="1"/>
      <c r="KU841" s="1"/>
    </row>
    <row r="842" spans="1:307" s="2" customFormat="1" x14ac:dyDescent="0.25">
      <c r="A842" s="1"/>
      <c r="B842" s="11"/>
      <c r="C842" s="11"/>
      <c r="D842" s="11"/>
      <c r="E842" s="11"/>
      <c r="F842" s="11"/>
      <c r="G842" s="1"/>
      <c r="H842" s="4"/>
      <c r="I842" s="1"/>
      <c r="J842" s="11"/>
      <c r="K842" s="11"/>
      <c r="L842" s="12"/>
      <c r="M842" s="4"/>
      <c r="N842" s="12"/>
      <c r="O842" s="12"/>
      <c r="P842" s="12"/>
      <c r="Q842" s="12"/>
      <c r="R842" s="12"/>
      <c r="S842" s="12"/>
      <c r="T842" s="12"/>
      <c r="U842" s="12"/>
      <c r="V842" s="12"/>
      <c r="W842" s="6"/>
      <c r="X842" s="6"/>
      <c r="Y842" s="6"/>
      <c r="Z842" s="6"/>
      <c r="AA842" s="1"/>
      <c r="AB842" s="5"/>
      <c r="AC842" s="12"/>
      <c r="AD842" s="12"/>
      <c r="AE842" s="12"/>
      <c r="AF842" s="12"/>
      <c r="AG842" s="1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c r="KB842" s="1"/>
      <c r="KC842" s="1"/>
      <c r="KD842" s="1"/>
      <c r="KE842" s="1"/>
      <c r="KF842" s="1"/>
      <c r="KG842" s="1"/>
      <c r="KH842" s="1"/>
      <c r="KI842" s="1"/>
      <c r="KJ842" s="1"/>
      <c r="KK842" s="1"/>
      <c r="KL842" s="1"/>
      <c r="KM842" s="1"/>
      <c r="KN842" s="1"/>
      <c r="KO842" s="1"/>
      <c r="KP842" s="1"/>
      <c r="KQ842" s="1"/>
      <c r="KR842" s="1"/>
      <c r="KS842" s="1"/>
      <c r="KT842" s="1"/>
      <c r="KU842" s="1"/>
    </row>
    <row r="843" spans="1:307" s="2" customFormat="1" x14ac:dyDescent="0.25">
      <c r="A843" s="1"/>
      <c r="B843" s="11"/>
      <c r="C843" s="11"/>
      <c r="D843" s="11"/>
      <c r="E843" s="11"/>
      <c r="F843" s="11"/>
      <c r="G843" s="1"/>
      <c r="H843" s="4"/>
      <c r="I843" s="1"/>
      <c r="J843" s="11"/>
      <c r="K843" s="11"/>
      <c r="L843" s="12"/>
      <c r="M843" s="4"/>
      <c r="N843" s="12"/>
      <c r="O843" s="12"/>
      <c r="P843" s="12"/>
      <c r="Q843" s="12"/>
      <c r="R843" s="12"/>
      <c r="S843" s="12"/>
      <c r="T843" s="12"/>
      <c r="U843" s="12"/>
      <c r="V843" s="12"/>
      <c r="W843" s="6"/>
      <c r="X843" s="6"/>
      <c r="Y843" s="6"/>
      <c r="Z843" s="6"/>
      <c r="AA843" s="1"/>
      <c r="AB843" s="5"/>
      <c r="AC843" s="12"/>
      <c r="AD843" s="12"/>
      <c r="AE843" s="12"/>
      <c r="AF843" s="12"/>
      <c r="AG843" s="1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c r="KB843" s="1"/>
      <c r="KC843" s="1"/>
      <c r="KD843" s="1"/>
      <c r="KE843" s="1"/>
      <c r="KF843" s="1"/>
      <c r="KG843" s="1"/>
      <c r="KH843" s="1"/>
      <c r="KI843" s="1"/>
      <c r="KJ843" s="1"/>
      <c r="KK843" s="1"/>
      <c r="KL843" s="1"/>
      <c r="KM843" s="1"/>
      <c r="KN843" s="1"/>
      <c r="KO843" s="1"/>
      <c r="KP843" s="1"/>
      <c r="KQ843" s="1"/>
      <c r="KR843" s="1"/>
      <c r="KS843" s="1"/>
      <c r="KT843" s="1"/>
      <c r="KU843" s="1"/>
    </row>
    <row r="844" spans="1:307" s="2" customFormat="1" x14ac:dyDescent="0.25">
      <c r="A844" s="1"/>
      <c r="B844" s="11"/>
      <c r="C844" s="11"/>
      <c r="D844" s="11"/>
      <c r="E844" s="11"/>
      <c r="F844" s="11"/>
      <c r="G844" s="1"/>
      <c r="H844" s="4"/>
      <c r="I844" s="1"/>
      <c r="J844" s="11"/>
      <c r="K844" s="11"/>
      <c r="L844" s="12"/>
      <c r="M844" s="4"/>
      <c r="N844" s="12"/>
      <c r="O844" s="12"/>
      <c r="P844" s="12"/>
      <c r="Q844" s="12"/>
      <c r="R844" s="12"/>
      <c r="S844" s="12"/>
      <c r="T844" s="12"/>
      <c r="U844" s="12"/>
      <c r="V844" s="12"/>
      <c r="W844" s="6"/>
      <c r="X844" s="6"/>
      <c r="Y844" s="6"/>
      <c r="Z844" s="6"/>
      <c r="AA844" s="1"/>
      <c r="AB844" s="5"/>
      <c r="AC844" s="12"/>
      <c r="AD844" s="12"/>
      <c r="AE844" s="12"/>
      <c r="AF844" s="12"/>
      <c r="AG844" s="1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c r="KB844" s="1"/>
      <c r="KC844" s="1"/>
      <c r="KD844" s="1"/>
      <c r="KE844" s="1"/>
      <c r="KF844" s="1"/>
      <c r="KG844" s="1"/>
      <c r="KH844" s="1"/>
      <c r="KI844" s="1"/>
      <c r="KJ844" s="1"/>
      <c r="KK844" s="1"/>
      <c r="KL844" s="1"/>
      <c r="KM844" s="1"/>
      <c r="KN844" s="1"/>
      <c r="KO844" s="1"/>
      <c r="KP844" s="1"/>
      <c r="KQ844" s="1"/>
      <c r="KR844" s="1"/>
      <c r="KS844" s="1"/>
      <c r="KT844" s="1"/>
      <c r="KU844" s="1"/>
    </row>
    <row r="845" spans="1:307" s="2" customFormat="1" x14ac:dyDescent="0.25">
      <c r="A845" s="1"/>
      <c r="B845" s="11"/>
      <c r="C845" s="11"/>
      <c r="D845" s="11"/>
      <c r="E845" s="11"/>
      <c r="F845" s="11"/>
      <c r="G845" s="1"/>
      <c r="H845" s="4"/>
      <c r="I845" s="1"/>
      <c r="J845" s="11"/>
      <c r="K845" s="11"/>
      <c r="L845" s="12"/>
      <c r="M845" s="4"/>
      <c r="N845" s="12"/>
      <c r="O845" s="12"/>
      <c r="P845" s="12"/>
      <c r="Q845" s="12"/>
      <c r="R845" s="12"/>
      <c r="S845" s="12"/>
      <c r="T845" s="12"/>
      <c r="U845" s="12"/>
      <c r="V845" s="12"/>
      <c r="W845" s="6"/>
      <c r="X845" s="6"/>
      <c r="Y845" s="6"/>
      <c r="Z845" s="6"/>
      <c r="AA845" s="1"/>
      <c r="AB845" s="5"/>
      <c r="AC845" s="12"/>
      <c r="AD845" s="12"/>
      <c r="AE845" s="12"/>
      <c r="AF845" s="12"/>
      <c r="AG845" s="1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c r="KB845" s="1"/>
      <c r="KC845" s="1"/>
      <c r="KD845" s="1"/>
      <c r="KE845" s="1"/>
      <c r="KF845" s="1"/>
      <c r="KG845" s="1"/>
      <c r="KH845" s="1"/>
      <c r="KI845" s="1"/>
      <c r="KJ845" s="1"/>
      <c r="KK845" s="1"/>
      <c r="KL845" s="1"/>
      <c r="KM845" s="1"/>
      <c r="KN845" s="1"/>
      <c r="KO845" s="1"/>
      <c r="KP845" s="1"/>
      <c r="KQ845" s="1"/>
      <c r="KR845" s="1"/>
      <c r="KS845" s="1"/>
      <c r="KT845" s="1"/>
      <c r="KU845" s="1"/>
    </row>
    <row r="846" spans="1:307" s="2" customFormat="1" x14ac:dyDescent="0.25">
      <c r="A846" s="1"/>
      <c r="B846" s="11"/>
      <c r="C846" s="11"/>
      <c r="D846" s="11"/>
      <c r="E846" s="11"/>
      <c r="F846" s="11"/>
      <c r="G846" s="1"/>
      <c r="H846" s="4"/>
      <c r="I846" s="1"/>
      <c r="J846" s="11"/>
      <c r="K846" s="11"/>
      <c r="L846" s="12"/>
      <c r="M846" s="4"/>
      <c r="N846" s="12"/>
      <c r="O846" s="12"/>
      <c r="P846" s="12"/>
      <c r="Q846" s="12"/>
      <c r="R846" s="12"/>
      <c r="S846" s="12"/>
      <c r="T846" s="12"/>
      <c r="U846" s="12"/>
      <c r="V846" s="12"/>
      <c r="W846" s="6"/>
      <c r="X846" s="6"/>
      <c r="Y846" s="6"/>
      <c r="Z846" s="6"/>
      <c r="AA846" s="1"/>
      <c r="AB846" s="5"/>
      <c r="AC846" s="12"/>
      <c r="AD846" s="12"/>
      <c r="AE846" s="12"/>
      <c r="AF846" s="12"/>
      <c r="AG846" s="1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c r="KB846" s="1"/>
      <c r="KC846" s="1"/>
      <c r="KD846" s="1"/>
      <c r="KE846" s="1"/>
      <c r="KF846" s="1"/>
      <c r="KG846" s="1"/>
      <c r="KH846" s="1"/>
      <c r="KI846" s="1"/>
      <c r="KJ846" s="1"/>
      <c r="KK846" s="1"/>
      <c r="KL846" s="1"/>
      <c r="KM846" s="1"/>
      <c r="KN846" s="1"/>
      <c r="KO846" s="1"/>
      <c r="KP846" s="1"/>
      <c r="KQ846" s="1"/>
      <c r="KR846" s="1"/>
      <c r="KS846" s="1"/>
      <c r="KT846" s="1"/>
      <c r="KU846" s="1"/>
    </row>
    <row r="847" spans="1:307" s="2" customFormat="1" x14ac:dyDescent="0.25">
      <c r="A847" s="1"/>
      <c r="B847" s="11"/>
      <c r="C847" s="11"/>
      <c r="D847" s="11"/>
      <c r="E847" s="11"/>
      <c r="F847" s="11"/>
      <c r="G847" s="1"/>
      <c r="H847" s="4"/>
      <c r="I847" s="1"/>
      <c r="J847" s="11"/>
      <c r="K847" s="11"/>
      <c r="L847" s="12"/>
      <c r="M847" s="4"/>
      <c r="N847" s="12"/>
      <c r="O847" s="12"/>
      <c r="P847" s="12"/>
      <c r="Q847" s="12"/>
      <c r="R847" s="12"/>
      <c r="S847" s="12"/>
      <c r="T847" s="12"/>
      <c r="U847" s="12"/>
      <c r="V847" s="12"/>
      <c r="W847" s="6"/>
      <c r="X847" s="6"/>
      <c r="Y847" s="6"/>
      <c r="Z847" s="6"/>
      <c r="AA847" s="1"/>
      <c r="AB847" s="5"/>
      <c r="AC847" s="12"/>
      <c r="AD847" s="12"/>
      <c r="AE847" s="12"/>
      <c r="AF847" s="12"/>
      <c r="AG847" s="1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c r="KB847" s="1"/>
      <c r="KC847" s="1"/>
      <c r="KD847" s="1"/>
      <c r="KE847" s="1"/>
      <c r="KF847" s="1"/>
      <c r="KG847" s="1"/>
      <c r="KH847" s="1"/>
      <c r="KI847" s="1"/>
      <c r="KJ847" s="1"/>
      <c r="KK847" s="1"/>
      <c r="KL847" s="1"/>
      <c r="KM847" s="1"/>
      <c r="KN847" s="1"/>
      <c r="KO847" s="1"/>
      <c r="KP847" s="1"/>
      <c r="KQ847" s="1"/>
      <c r="KR847" s="1"/>
      <c r="KS847" s="1"/>
      <c r="KT847" s="1"/>
      <c r="KU847" s="1"/>
    </row>
    <row r="848" spans="1:307" s="2" customFormat="1" x14ac:dyDescent="0.25">
      <c r="A848" s="1"/>
      <c r="B848" s="11"/>
      <c r="C848" s="11"/>
      <c r="D848" s="11"/>
      <c r="E848" s="11"/>
      <c r="F848" s="11"/>
      <c r="G848" s="1"/>
      <c r="H848" s="4"/>
      <c r="I848" s="1"/>
      <c r="J848" s="11"/>
      <c r="K848" s="11"/>
      <c r="L848" s="12"/>
      <c r="M848" s="4"/>
      <c r="N848" s="12"/>
      <c r="O848" s="12"/>
      <c r="P848" s="12"/>
      <c r="Q848" s="12"/>
      <c r="R848" s="12"/>
      <c r="S848" s="12"/>
      <c r="T848" s="12"/>
      <c r="U848" s="12"/>
      <c r="V848" s="12"/>
      <c r="W848" s="6"/>
      <c r="X848" s="6"/>
      <c r="Y848" s="6"/>
      <c r="Z848" s="6"/>
      <c r="AA848" s="1"/>
      <c r="AB848" s="5"/>
      <c r="AC848" s="12"/>
      <c r="AD848" s="12"/>
      <c r="AE848" s="12"/>
      <c r="AF848" s="12"/>
      <c r="AG848" s="1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c r="KB848" s="1"/>
      <c r="KC848" s="1"/>
      <c r="KD848" s="1"/>
      <c r="KE848" s="1"/>
      <c r="KF848" s="1"/>
      <c r="KG848" s="1"/>
      <c r="KH848" s="1"/>
      <c r="KI848" s="1"/>
      <c r="KJ848" s="1"/>
      <c r="KK848" s="1"/>
      <c r="KL848" s="1"/>
      <c r="KM848" s="1"/>
      <c r="KN848" s="1"/>
      <c r="KO848" s="1"/>
      <c r="KP848" s="1"/>
      <c r="KQ848" s="1"/>
      <c r="KR848" s="1"/>
      <c r="KS848" s="1"/>
      <c r="KT848" s="1"/>
      <c r="KU848" s="1"/>
    </row>
    <row r="849" spans="1:307" s="2" customFormat="1" x14ac:dyDescent="0.25">
      <c r="A849" s="1"/>
      <c r="B849" s="11"/>
      <c r="C849" s="11"/>
      <c r="D849" s="11"/>
      <c r="E849" s="11"/>
      <c r="F849" s="11"/>
      <c r="G849" s="1"/>
      <c r="H849" s="4"/>
      <c r="I849" s="1"/>
      <c r="J849" s="11"/>
      <c r="K849" s="11"/>
      <c r="L849" s="12"/>
      <c r="M849" s="4"/>
      <c r="N849" s="12"/>
      <c r="O849" s="12"/>
      <c r="P849" s="12"/>
      <c r="Q849" s="12"/>
      <c r="R849" s="12"/>
      <c r="S849" s="12"/>
      <c r="T849" s="12"/>
      <c r="U849" s="12"/>
      <c r="V849" s="12"/>
      <c r="W849" s="6"/>
      <c r="X849" s="6"/>
      <c r="Y849" s="6"/>
      <c r="Z849" s="6"/>
      <c r="AA849" s="1"/>
      <c r="AB849" s="5"/>
      <c r="AC849" s="12"/>
      <c r="AD849" s="12"/>
      <c r="AE849" s="12"/>
      <c r="AF849" s="12"/>
      <c r="AG849" s="1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c r="KB849" s="1"/>
      <c r="KC849" s="1"/>
      <c r="KD849" s="1"/>
      <c r="KE849" s="1"/>
      <c r="KF849" s="1"/>
      <c r="KG849" s="1"/>
      <c r="KH849" s="1"/>
      <c r="KI849" s="1"/>
      <c r="KJ849" s="1"/>
      <c r="KK849" s="1"/>
      <c r="KL849" s="1"/>
      <c r="KM849" s="1"/>
      <c r="KN849" s="1"/>
      <c r="KO849" s="1"/>
      <c r="KP849" s="1"/>
      <c r="KQ849" s="1"/>
      <c r="KR849" s="1"/>
      <c r="KS849" s="1"/>
      <c r="KT849" s="1"/>
      <c r="KU849" s="1"/>
    </row>
    <row r="850" spans="1:307" s="2" customFormat="1" x14ac:dyDescent="0.25">
      <c r="A850" s="1"/>
      <c r="B850" s="11"/>
      <c r="C850" s="11"/>
      <c r="D850" s="11"/>
      <c r="E850" s="11"/>
      <c r="F850" s="11"/>
      <c r="G850" s="1"/>
      <c r="H850" s="4"/>
      <c r="I850" s="1"/>
      <c r="J850" s="11"/>
      <c r="K850" s="11"/>
      <c r="L850" s="12"/>
      <c r="M850" s="4"/>
      <c r="N850" s="12"/>
      <c r="O850" s="12"/>
      <c r="P850" s="12"/>
      <c r="Q850" s="12"/>
      <c r="R850" s="12"/>
      <c r="S850" s="12"/>
      <c r="T850" s="12"/>
      <c r="U850" s="12"/>
      <c r="V850" s="12"/>
      <c r="W850" s="6"/>
      <c r="X850" s="6"/>
      <c r="Y850" s="6"/>
      <c r="Z850" s="6"/>
      <c r="AA850" s="1"/>
      <c r="AB850" s="5"/>
      <c r="AC850" s="12"/>
      <c r="AD850" s="12"/>
      <c r="AE850" s="12"/>
      <c r="AF850" s="12"/>
      <c r="AG850" s="1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c r="KB850" s="1"/>
      <c r="KC850" s="1"/>
      <c r="KD850" s="1"/>
      <c r="KE850" s="1"/>
      <c r="KF850" s="1"/>
      <c r="KG850" s="1"/>
      <c r="KH850" s="1"/>
      <c r="KI850" s="1"/>
      <c r="KJ850" s="1"/>
      <c r="KK850" s="1"/>
      <c r="KL850" s="1"/>
      <c r="KM850" s="1"/>
      <c r="KN850" s="1"/>
      <c r="KO850" s="1"/>
      <c r="KP850" s="1"/>
      <c r="KQ850" s="1"/>
      <c r="KR850" s="1"/>
      <c r="KS850" s="1"/>
      <c r="KT850" s="1"/>
      <c r="KU850" s="1"/>
    </row>
    <row r="851" spans="1:307" s="2" customFormat="1" x14ac:dyDescent="0.25">
      <c r="A851" s="1"/>
      <c r="B851" s="11"/>
      <c r="C851" s="11"/>
      <c r="D851" s="11"/>
      <c r="E851" s="11"/>
      <c r="F851" s="11"/>
      <c r="G851" s="1"/>
      <c r="H851" s="4"/>
      <c r="I851" s="1"/>
      <c r="J851" s="11"/>
      <c r="K851" s="11"/>
      <c r="L851" s="12"/>
      <c r="M851" s="4"/>
      <c r="N851" s="12"/>
      <c r="O851" s="12"/>
      <c r="P851" s="12"/>
      <c r="Q851" s="12"/>
      <c r="R851" s="12"/>
      <c r="S851" s="12"/>
      <c r="T851" s="12"/>
      <c r="U851" s="12"/>
      <c r="V851" s="12"/>
      <c r="W851" s="6"/>
      <c r="X851" s="6"/>
      <c r="Y851" s="6"/>
      <c r="Z851" s="6"/>
      <c r="AA851" s="1"/>
      <c r="AB851" s="5"/>
      <c r="AC851" s="12"/>
      <c r="AD851" s="12"/>
      <c r="AE851" s="12"/>
      <c r="AF851" s="12"/>
      <c r="AG851" s="1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c r="KB851" s="1"/>
      <c r="KC851" s="1"/>
      <c r="KD851" s="1"/>
      <c r="KE851" s="1"/>
      <c r="KF851" s="1"/>
      <c r="KG851" s="1"/>
      <c r="KH851" s="1"/>
      <c r="KI851" s="1"/>
      <c r="KJ851" s="1"/>
      <c r="KK851" s="1"/>
      <c r="KL851" s="1"/>
      <c r="KM851" s="1"/>
      <c r="KN851" s="1"/>
      <c r="KO851" s="1"/>
      <c r="KP851" s="1"/>
      <c r="KQ851" s="1"/>
      <c r="KR851" s="1"/>
      <c r="KS851" s="1"/>
      <c r="KT851" s="1"/>
      <c r="KU851" s="1"/>
    </row>
    <row r="852" spans="1:307" s="2" customFormat="1" x14ac:dyDescent="0.25">
      <c r="A852" s="1"/>
      <c r="B852" s="11"/>
      <c r="C852" s="11"/>
      <c r="D852" s="11"/>
      <c r="E852" s="11"/>
      <c r="F852" s="11"/>
      <c r="G852" s="1"/>
      <c r="H852" s="4"/>
      <c r="I852" s="1"/>
      <c r="J852" s="11"/>
      <c r="K852" s="11"/>
      <c r="L852" s="12"/>
      <c r="M852" s="4"/>
      <c r="N852" s="12"/>
      <c r="O852" s="12"/>
      <c r="P852" s="12"/>
      <c r="Q852" s="12"/>
      <c r="R852" s="12"/>
      <c r="S852" s="12"/>
      <c r="T852" s="12"/>
      <c r="U852" s="12"/>
      <c r="V852" s="12"/>
      <c r="W852" s="6"/>
      <c r="X852" s="6"/>
      <c r="Y852" s="6"/>
      <c r="Z852" s="6"/>
      <c r="AA852" s="1"/>
      <c r="AB852" s="5"/>
      <c r="AC852" s="12"/>
      <c r="AD852" s="12"/>
      <c r="AE852" s="12"/>
      <c r="AF852" s="12"/>
      <c r="AG852" s="1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c r="KB852" s="1"/>
      <c r="KC852" s="1"/>
      <c r="KD852" s="1"/>
      <c r="KE852" s="1"/>
      <c r="KF852" s="1"/>
      <c r="KG852" s="1"/>
      <c r="KH852" s="1"/>
      <c r="KI852" s="1"/>
      <c r="KJ852" s="1"/>
      <c r="KK852" s="1"/>
      <c r="KL852" s="1"/>
      <c r="KM852" s="1"/>
      <c r="KN852" s="1"/>
      <c r="KO852" s="1"/>
      <c r="KP852" s="1"/>
      <c r="KQ852" s="1"/>
      <c r="KR852" s="1"/>
      <c r="KS852" s="1"/>
      <c r="KT852" s="1"/>
      <c r="KU852" s="1"/>
    </row>
    <row r="853" spans="1:307" s="2" customFormat="1" x14ac:dyDescent="0.25">
      <c r="A853" s="1"/>
      <c r="B853" s="11"/>
      <c r="C853" s="11"/>
      <c r="D853" s="11"/>
      <c r="E853" s="11"/>
      <c r="F853" s="11"/>
      <c r="G853" s="1"/>
      <c r="H853" s="4"/>
      <c r="I853" s="1"/>
      <c r="J853" s="11"/>
      <c r="K853" s="11"/>
      <c r="L853" s="12"/>
      <c r="M853" s="4"/>
      <c r="N853" s="12"/>
      <c r="O853" s="12"/>
      <c r="P853" s="12"/>
      <c r="Q853" s="12"/>
      <c r="R853" s="12"/>
      <c r="S853" s="12"/>
      <c r="T853" s="12"/>
      <c r="U853" s="12"/>
      <c r="V853" s="12"/>
      <c r="W853" s="6"/>
      <c r="X853" s="6"/>
      <c r="Y853" s="6"/>
      <c r="Z853" s="6"/>
      <c r="AA853" s="1"/>
      <c r="AB853" s="5"/>
      <c r="AC853" s="12"/>
      <c r="AD853" s="12"/>
      <c r="AE853" s="12"/>
      <c r="AF853" s="12"/>
      <c r="AG853" s="1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c r="KB853" s="1"/>
      <c r="KC853" s="1"/>
      <c r="KD853" s="1"/>
      <c r="KE853" s="1"/>
      <c r="KF853" s="1"/>
      <c r="KG853" s="1"/>
      <c r="KH853" s="1"/>
      <c r="KI853" s="1"/>
      <c r="KJ853" s="1"/>
      <c r="KK853" s="1"/>
      <c r="KL853" s="1"/>
      <c r="KM853" s="1"/>
      <c r="KN853" s="1"/>
      <c r="KO853" s="1"/>
      <c r="KP853" s="1"/>
      <c r="KQ853" s="1"/>
      <c r="KR853" s="1"/>
      <c r="KS853" s="1"/>
      <c r="KT853" s="1"/>
      <c r="KU853" s="1"/>
    </row>
  </sheetData>
  <sortState xmlns:xlrd2="http://schemas.microsoft.com/office/spreadsheetml/2017/richdata2" ref="B3:AG308">
    <sortCondition ref="B3:B308"/>
  </sortState>
  <mergeCells count="5">
    <mergeCell ref="AI3:AM3"/>
    <mergeCell ref="B1:I1"/>
    <mergeCell ref="T1:AB1"/>
    <mergeCell ref="L1:S1"/>
    <mergeCell ref="AC1:AG1"/>
  </mergeCells>
  <pageMargins left="0.25" right="0.25" top="0.25" bottom="0.25" header="0.3" footer="0.3"/>
  <pageSetup paperSize="9" scale="67" orientation="landscape" r:id="rId1"/>
  <headerFooter>
    <oddFooter>&amp;R Witkowski &amp;P</oddFooter>
  </headerFooter>
  <rowBreaks count="3" manualBreakCount="3">
    <brk id="17" min="3" max="44" man="1"/>
    <brk id="53" min="3" max="44" man="1"/>
    <brk id="108" min="3" max="44"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75DB-FE54-4C73-9F04-B5ECAA08B68D}">
  <dimension ref="A1:LE853"/>
  <sheetViews>
    <sheetView tabSelected="1" zoomScale="90" zoomScaleNormal="90" zoomScaleSheetLayoutView="40" workbookViewId="0">
      <pane xSplit="1" ySplit="2" topLeftCell="L3" activePane="bottomRight" state="frozen"/>
      <selection pane="topRight" activeCell="B1" sqref="B1"/>
      <selection pane="bottomLeft" activeCell="A3" sqref="A3"/>
      <selection pane="bottomRight" activeCell="R31" sqref="R31"/>
    </sheetView>
  </sheetViews>
  <sheetFormatPr defaultColWidth="8.88671875" defaultRowHeight="13.2" x14ac:dyDescent="0.25"/>
  <cols>
    <col min="1" max="1" width="8.88671875" style="1"/>
    <col min="2" max="6" width="5.77734375" style="11" customWidth="1"/>
    <col min="7" max="7" width="6.21875" style="11" bestFit="1" customWidth="1"/>
    <col min="8" max="8" width="21.33203125" style="1" customWidth="1"/>
    <col min="9" max="9" width="20.6640625" style="4" customWidth="1"/>
    <col min="10" max="12" width="23.5546875" style="1" customWidth="1"/>
    <col min="13" max="13" width="11.33203125" style="86" bestFit="1" customWidth="1"/>
    <col min="14" max="14" width="11.33203125" style="86" customWidth="1"/>
    <col min="15" max="15" width="11.109375" style="86" bestFit="1" customWidth="1"/>
    <col min="16" max="16" width="9.5546875" style="12" customWidth="1"/>
    <col min="17" max="17" width="28.44140625" style="4" customWidth="1"/>
    <col min="18" max="18" width="8.88671875" style="4" customWidth="1"/>
    <col min="19" max="19" width="7.77734375" style="84" bestFit="1" customWidth="1"/>
    <col min="20" max="20" width="7.6640625" style="5" bestFit="1" customWidth="1"/>
    <col min="21" max="21" width="23.88671875" style="12" customWidth="1"/>
    <col min="22" max="24" width="5.109375" style="88" customWidth="1"/>
    <col min="25" max="25" width="6.109375" style="88" bestFit="1" customWidth="1"/>
    <col min="26" max="26" width="6.6640625" style="88" bestFit="1" customWidth="1"/>
    <col min="27" max="27" width="5.77734375" style="88" bestFit="1" customWidth="1"/>
    <col min="28" max="28" width="27.6640625" style="93" customWidth="1"/>
    <col min="29" max="29" width="8.109375" style="93" customWidth="1"/>
    <col min="30" max="30" width="15.77734375" style="93" bestFit="1" customWidth="1"/>
    <col min="31" max="31" width="19.6640625" style="6" customWidth="1"/>
    <col min="32" max="32" width="8.88671875" style="6" customWidth="1"/>
    <col min="33" max="33" width="11.109375" style="6" bestFit="1" customWidth="1"/>
    <col min="34" max="34" width="8.88671875" style="6" customWidth="1"/>
    <col min="35" max="35" width="12.5546875" style="6" bestFit="1" customWidth="1"/>
    <col min="36" max="36" width="21.5546875" style="6" bestFit="1" customWidth="1"/>
    <col min="37" max="37" width="16.44140625" style="89" customWidth="1"/>
    <col min="38" max="38" width="18.109375" style="84" customWidth="1"/>
    <col min="39" max="39" width="4.6640625" style="88" customWidth="1"/>
    <col min="40" max="40" width="8" style="88" bestFit="1" customWidth="1"/>
    <col min="41" max="41" width="7.44140625" style="88" bestFit="1" customWidth="1"/>
    <col min="42" max="42" width="7.44140625" style="88" customWidth="1"/>
    <col min="43" max="43" width="7" style="86" customWidth="1"/>
    <col min="44" max="44" width="8.88671875" style="1" customWidth="1"/>
    <col min="45" max="45" width="3.88671875" style="1" customWidth="1"/>
    <col min="46" max="46" width="8.88671875" style="1" customWidth="1"/>
    <col min="47" max="47" width="6.33203125" style="1" customWidth="1"/>
    <col min="48" max="48" width="3.6640625" style="1" customWidth="1"/>
    <col min="49" max="16384" width="8.88671875" style="1"/>
  </cols>
  <sheetData>
    <row r="1" spans="1:317" s="7" customFormat="1" ht="16.2" thickBot="1" x14ac:dyDescent="0.35">
      <c r="A1" s="74"/>
      <c r="B1" s="66" t="s">
        <v>173</v>
      </c>
      <c r="C1" s="55"/>
      <c r="D1" s="55"/>
      <c r="E1" s="55"/>
      <c r="F1" s="55"/>
      <c r="G1" s="55"/>
      <c r="H1" s="55"/>
      <c r="I1" s="55"/>
      <c r="J1" s="55"/>
      <c r="K1" s="55"/>
      <c r="L1" s="55"/>
      <c r="M1" s="94"/>
      <c r="N1" s="94"/>
      <c r="O1" s="94"/>
      <c r="P1" s="70" t="s">
        <v>292</v>
      </c>
      <c r="Q1" s="71"/>
      <c r="R1" s="71"/>
      <c r="S1" s="100"/>
      <c r="T1" s="100"/>
      <c r="U1" s="71"/>
      <c r="V1" s="71"/>
      <c r="W1" s="71"/>
      <c r="X1" s="72"/>
      <c r="Y1" s="67" t="s">
        <v>488</v>
      </c>
      <c r="Z1" s="68"/>
      <c r="AA1" s="68"/>
      <c r="AB1" s="68"/>
      <c r="AC1" s="68"/>
      <c r="AD1" s="68"/>
      <c r="AE1" s="68"/>
      <c r="AF1" s="68"/>
      <c r="AG1" s="68"/>
      <c r="AH1" s="68"/>
      <c r="AI1" s="68"/>
      <c r="AJ1" s="68"/>
      <c r="AK1" s="68"/>
      <c r="AL1" s="69"/>
      <c r="AM1" s="97" t="s">
        <v>540</v>
      </c>
      <c r="AN1" s="98"/>
      <c r="AO1" s="98"/>
      <c r="AP1" s="98"/>
      <c r="AQ1" s="99"/>
    </row>
    <row r="2" spans="1:317" s="17" customFormat="1" ht="13.8" thickBot="1" x14ac:dyDescent="0.3">
      <c r="A2" s="77" t="s">
        <v>553</v>
      </c>
      <c r="B2" s="78" t="s">
        <v>164</v>
      </c>
      <c r="C2" s="19" t="s">
        <v>166</v>
      </c>
      <c r="D2" s="19" t="s">
        <v>167</v>
      </c>
      <c r="E2" s="19" t="s">
        <v>172</v>
      </c>
      <c r="F2" s="19" t="s">
        <v>171</v>
      </c>
      <c r="G2" s="105" t="s">
        <v>613</v>
      </c>
      <c r="H2" s="19" t="s">
        <v>165</v>
      </c>
      <c r="I2" s="19" t="s">
        <v>163</v>
      </c>
      <c r="J2" s="78" t="s">
        <v>162</v>
      </c>
      <c r="K2" s="78" t="s">
        <v>594</v>
      </c>
      <c r="L2" s="78" t="s">
        <v>595</v>
      </c>
      <c r="M2" s="80" t="s">
        <v>288</v>
      </c>
      <c r="N2" s="106" t="s">
        <v>614</v>
      </c>
      <c r="O2" s="80" t="s">
        <v>289</v>
      </c>
      <c r="P2" s="104" t="s">
        <v>161</v>
      </c>
      <c r="Q2" s="19" t="s">
        <v>290</v>
      </c>
      <c r="R2" s="19"/>
      <c r="S2" s="81" t="s">
        <v>160</v>
      </c>
      <c r="T2" s="78" t="s">
        <v>159</v>
      </c>
      <c r="U2" s="19" t="s">
        <v>487</v>
      </c>
      <c r="V2" s="80" t="s">
        <v>158</v>
      </c>
      <c r="W2" s="91" t="s">
        <v>157</v>
      </c>
      <c r="X2" s="82" t="s">
        <v>156</v>
      </c>
      <c r="Y2" s="80" t="s">
        <v>482</v>
      </c>
      <c r="Z2" s="80" t="s">
        <v>483</v>
      </c>
      <c r="AA2" s="80" t="s">
        <v>484</v>
      </c>
      <c r="AB2" s="81" t="s">
        <v>485</v>
      </c>
      <c r="AC2" s="80" t="s">
        <v>486</v>
      </c>
      <c r="AD2" s="92" t="s">
        <v>272</v>
      </c>
      <c r="AE2" s="22" t="s">
        <v>447</v>
      </c>
      <c r="AF2" s="56" t="s">
        <v>554</v>
      </c>
      <c r="AG2" s="101" t="s">
        <v>591</v>
      </c>
      <c r="AH2" s="56" t="s">
        <v>555</v>
      </c>
      <c r="AI2" s="101" t="s">
        <v>592</v>
      </c>
      <c r="AJ2" s="101" t="s">
        <v>611</v>
      </c>
      <c r="AK2" s="80" t="s">
        <v>174</v>
      </c>
      <c r="AL2" s="80" t="s">
        <v>291</v>
      </c>
      <c r="AM2" s="80" t="s">
        <v>195</v>
      </c>
      <c r="AN2" s="81" t="s">
        <v>296</v>
      </c>
      <c r="AO2" s="81" t="s">
        <v>313</v>
      </c>
      <c r="AP2" s="80" t="s">
        <v>194</v>
      </c>
      <c r="AQ2" s="82" t="s">
        <v>294</v>
      </c>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row>
    <row r="3" spans="1:317" s="10" customFormat="1" ht="13.95" customHeight="1" x14ac:dyDescent="0.25">
      <c r="A3" s="76">
        <v>19584</v>
      </c>
      <c r="B3" s="3">
        <v>0.1</v>
      </c>
      <c r="C3" s="8">
        <f t="shared" ref="C3:C66" si="0">ABS(B3-E3)</f>
        <v>0.1</v>
      </c>
      <c r="D3" s="8">
        <f t="shared" ref="D3:D66" si="1">ABS(F3-B3)</f>
        <v>0.19999999999999998</v>
      </c>
      <c r="E3" s="3">
        <v>0</v>
      </c>
      <c r="F3" s="3">
        <v>0.3</v>
      </c>
      <c r="G3" s="3">
        <f>IF(C3&gt;D3, C3, D3)</f>
        <v>0.19999999999999998</v>
      </c>
      <c r="H3" s="4" t="s">
        <v>415</v>
      </c>
      <c r="I3" s="53" t="s">
        <v>416</v>
      </c>
      <c r="J3" s="4" t="s">
        <v>168</v>
      </c>
      <c r="K3" s="4"/>
      <c r="L3" s="4"/>
      <c r="M3" s="86" t="s">
        <v>4</v>
      </c>
      <c r="N3" s="4" t="str">
        <f>IF(M3="MS", "marine sediment", "marine oil")</f>
        <v>marine sediment</v>
      </c>
      <c r="O3" s="86" t="s">
        <v>27</v>
      </c>
      <c r="P3" s="5">
        <v>-25.26</v>
      </c>
      <c r="Q3" s="4" t="s">
        <v>293</v>
      </c>
      <c r="R3" s="4"/>
      <c r="S3" s="84">
        <f>P3+3.5</f>
        <v>-21.76</v>
      </c>
      <c r="T3" s="5">
        <v>1</v>
      </c>
      <c r="U3" s="4" t="s">
        <v>445</v>
      </c>
      <c r="V3" s="88">
        <f t="shared" ref="V3:V66" si="2">24.12-9866/AC3</f>
        <v>-9.5753551912568291</v>
      </c>
      <c r="W3" s="88">
        <f t="shared" ref="W3:W66" si="3">T3-1+V3</f>
        <v>-9.5753551912568291</v>
      </c>
      <c r="X3" s="88">
        <f t="shared" ref="X3:X66" si="4">1000*((W3+1000)/(S3+1000)-1)</f>
        <v>12.45568041456413</v>
      </c>
      <c r="Y3" s="88">
        <v>19.8</v>
      </c>
      <c r="Z3" s="88">
        <v>14.83</v>
      </c>
      <c r="AA3" s="88">
        <v>-1.2</v>
      </c>
      <c r="AB3" s="84" t="s">
        <v>341</v>
      </c>
      <c r="AC3" s="84">
        <f t="shared" ref="AC3:AC66" si="5">Y3+273</f>
        <v>292.8</v>
      </c>
      <c r="AD3" s="84">
        <v>35.07</v>
      </c>
      <c r="AE3" s="23" t="s">
        <v>448</v>
      </c>
      <c r="AF3" s="23">
        <v>34.43</v>
      </c>
      <c r="AG3" s="23">
        <f>VLOOKUP(A3, 'fixing lats'!A:F, 4, FALSE)</f>
        <v>34.43</v>
      </c>
      <c r="AH3" s="23">
        <v>-120.75783300000001</v>
      </c>
      <c r="AI3" s="23">
        <f>VLOOKUP(A3, 'fixing lats'!A:F, 6, FALSE)</f>
        <v>-120.7578</v>
      </c>
      <c r="AJ3" s="23" t="s">
        <v>612</v>
      </c>
      <c r="AK3" s="83" t="s">
        <v>342</v>
      </c>
      <c r="AL3" s="84" t="s">
        <v>169</v>
      </c>
      <c r="AM3" s="85">
        <v>170</v>
      </c>
      <c r="AN3" s="85">
        <f>AM3/([2]S2!$AC$1-X3)</f>
        <v>12.104537992448709</v>
      </c>
      <c r="AO3" s="86">
        <v>34</v>
      </c>
      <c r="AP3" s="87">
        <f t="shared" ref="AP3:AP66" si="6">EXP($AT$4+$AT$5*(100/AC3)+$AT$6*LN(AC3/100)+AO3*($AW$4+$AW$5*(AC3/100)+$AW$6*(AC3/100)^2))</f>
        <v>3.3699870086259E-2</v>
      </c>
      <c r="AQ3" s="88">
        <f t="shared" ref="AQ3:AQ66" si="7">AN3/AP3</f>
        <v>359.18648829997392</v>
      </c>
      <c r="AR3" s="1"/>
      <c r="AS3" s="107" t="s">
        <v>489</v>
      </c>
      <c r="AT3" s="108"/>
      <c r="AU3" s="108"/>
      <c r="AV3" s="108"/>
      <c r="AW3" s="109"/>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row>
    <row r="4" spans="1:317" ht="14.4" customHeight="1" x14ac:dyDescent="0.25">
      <c r="A4" s="76">
        <v>19585</v>
      </c>
      <c r="B4" s="3">
        <v>0.5</v>
      </c>
      <c r="C4" s="8">
        <f t="shared" si="0"/>
        <v>0.5</v>
      </c>
      <c r="D4" s="8">
        <f t="shared" si="1"/>
        <v>0.5</v>
      </c>
      <c r="E4" s="3">
        <v>0</v>
      </c>
      <c r="F4" s="3">
        <v>1</v>
      </c>
      <c r="G4" s="3">
        <f t="shared" ref="G4:G67" si="8">IF(C4&gt;D4, C4, D4)</f>
        <v>0.5</v>
      </c>
      <c r="H4" s="4" t="s">
        <v>415</v>
      </c>
      <c r="I4" s="53" t="s">
        <v>417</v>
      </c>
      <c r="J4" s="4" t="s">
        <v>168</v>
      </c>
      <c r="K4" s="4"/>
      <c r="L4" s="4"/>
      <c r="M4" s="86" t="s">
        <v>4</v>
      </c>
      <c r="N4" s="4" t="str">
        <f t="shared" ref="N4:N67" si="9">IF(M4="MS", "marine sediment", "marine oil")</f>
        <v>marine sediment</v>
      </c>
      <c r="O4" s="86" t="s">
        <v>27</v>
      </c>
      <c r="P4" s="5">
        <v>-24.38</v>
      </c>
      <c r="Q4" s="4" t="s">
        <v>293</v>
      </c>
      <c r="S4" s="84">
        <f t="shared" ref="S4:S67" si="10">P4+3.5</f>
        <v>-20.88</v>
      </c>
      <c r="T4" s="5">
        <v>1</v>
      </c>
      <c r="U4" s="4" t="s">
        <v>445</v>
      </c>
      <c r="V4" s="88">
        <f t="shared" si="2"/>
        <v>-10.512125807357481</v>
      </c>
      <c r="W4" s="88">
        <f t="shared" si="3"/>
        <v>-10.512125807357481</v>
      </c>
      <c r="X4" s="88">
        <f t="shared" si="4"/>
        <v>10.588971926467128</v>
      </c>
      <c r="Y4" s="88">
        <f t="shared" ref="Y4:Y31" si="11">Z4+AA4</f>
        <v>11.879999999999999</v>
      </c>
      <c r="Z4" s="88">
        <v>14.83</v>
      </c>
      <c r="AA4" s="88">
        <v>-2.95</v>
      </c>
      <c r="AB4" s="84" t="s">
        <v>341</v>
      </c>
      <c r="AC4" s="84">
        <f t="shared" si="5"/>
        <v>284.88</v>
      </c>
      <c r="AD4" s="84">
        <v>34.93</v>
      </c>
      <c r="AE4" s="23" t="s">
        <v>450</v>
      </c>
      <c r="AF4" s="23">
        <v>34.299999999999997</v>
      </c>
      <c r="AG4" s="23">
        <f>VLOOKUP(A4, 'fixing lats'!A:F, 4, FALSE)</f>
        <v>34.299999999999997</v>
      </c>
      <c r="AH4" s="23">
        <v>-120.75783300000001</v>
      </c>
      <c r="AI4" s="23">
        <f>VLOOKUP(A4, 'fixing lats'!A:F, 6, FALSE)</f>
        <v>-120.7578</v>
      </c>
      <c r="AJ4" s="23" t="s">
        <v>612</v>
      </c>
      <c r="AK4" s="83" t="s">
        <v>342</v>
      </c>
      <c r="AL4" s="84" t="s">
        <v>169</v>
      </c>
      <c r="AM4" s="85">
        <v>170</v>
      </c>
      <c r="AN4" s="85">
        <f>AM4/([2]S2!$AC$1-X4)</f>
        <v>10.684413302166547</v>
      </c>
      <c r="AO4" s="86">
        <v>34</v>
      </c>
      <c r="AP4" s="87">
        <f t="shared" si="6"/>
        <v>4.2800266256230381E-2</v>
      </c>
      <c r="AQ4" s="88">
        <f t="shared" si="7"/>
        <v>249.63427185715767</v>
      </c>
      <c r="AS4" s="2" t="s">
        <v>307</v>
      </c>
      <c r="AT4" s="1">
        <v>-58.0931</v>
      </c>
      <c r="AV4" s="1" t="s">
        <v>310</v>
      </c>
      <c r="AW4" s="63">
        <v>2.7765999999999999E-2</v>
      </c>
    </row>
    <row r="5" spans="1:317" x14ac:dyDescent="0.25">
      <c r="A5" s="76">
        <v>19586</v>
      </c>
      <c r="B5" s="3">
        <v>0.8</v>
      </c>
      <c r="C5" s="8">
        <f t="shared" si="0"/>
        <v>0.30000000000000004</v>
      </c>
      <c r="D5" s="8">
        <f t="shared" si="1"/>
        <v>0.19999999999999996</v>
      </c>
      <c r="E5" s="3">
        <v>0.5</v>
      </c>
      <c r="F5" s="3">
        <v>1</v>
      </c>
      <c r="G5" s="3">
        <f t="shared" si="8"/>
        <v>0.30000000000000004</v>
      </c>
      <c r="H5" s="4" t="s">
        <v>415</v>
      </c>
      <c r="I5" s="53" t="s">
        <v>418</v>
      </c>
      <c r="J5" s="4" t="s">
        <v>168</v>
      </c>
      <c r="K5" s="4"/>
      <c r="L5" s="4"/>
      <c r="M5" s="86" t="s">
        <v>4</v>
      </c>
      <c r="N5" s="4" t="str">
        <f t="shared" si="9"/>
        <v>marine sediment</v>
      </c>
      <c r="O5" s="86" t="s">
        <v>27</v>
      </c>
      <c r="P5" s="5">
        <v>-25.73</v>
      </c>
      <c r="Q5" s="4" t="s">
        <v>293</v>
      </c>
      <c r="S5" s="84">
        <f t="shared" si="10"/>
        <v>-22.23</v>
      </c>
      <c r="T5" s="5">
        <v>1</v>
      </c>
      <c r="U5" s="4" t="s">
        <v>445</v>
      </c>
      <c r="V5" s="88">
        <f t="shared" si="2"/>
        <v>-10.397020606654305</v>
      </c>
      <c r="W5" s="88">
        <f t="shared" si="3"/>
        <v>-10.397020606654305</v>
      </c>
      <c r="X5" s="88">
        <f t="shared" si="4"/>
        <v>12.10200700915931</v>
      </c>
      <c r="Y5" s="88">
        <f t="shared" si="11"/>
        <v>12.83</v>
      </c>
      <c r="Z5" s="88">
        <v>15.49</v>
      </c>
      <c r="AA5" s="88">
        <v>-2.66</v>
      </c>
      <c r="AB5" s="84" t="s">
        <v>341</v>
      </c>
      <c r="AC5" s="84">
        <f t="shared" si="5"/>
        <v>285.83</v>
      </c>
      <c r="AD5" s="84">
        <v>34.630000000000003</v>
      </c>
      <c r="AE5" s="23" t="s">
        <v>449</v>
      </c>
      <c r="AF5" s="23">
        <v>34.200000000000003</v>
      </c>
      <c r="AG5" s="23">
        <f>VLOOKUP(A5, 'fixing lats'!A:F, 4, FALSE)</f>
        <v>34.200000000000003</v>
      </c>
      <c r="AH5" s="23">
        <v>-120.757834</v>
      </c>
      <c r="AI5" s="23">
        <f>VLOOKUP(A5, 'fixing lats'!A:F, 6, FALSE)</f>
        <v>-120.7578</v>
      </c>
      <c r="AJ5" s="23" t="s">
        <v>612</v>
      </c>
      <c r="AK5" s="83" t="s">
        <v>342</v>
      </c>
      <c r="AL5" s="84" t="s">
        <v>169</v>
      </c>
      <c r="AM5" s="85">
        <v>170</v>
      </c>
      <c r="AN5" s="85">
        <f>AM5/([2]S2!$AC$1-X5)</f>
        <v>11.80720119173178</v>
      </c>
      <c r="AO5" s="86">
        <v>34</v>
      </c>
      <c r="AP5" s="87">
        <f t="shared" si="6"/>
        <v>4.1518282361807213E-2</v>
      </c>
      <c r="AQ5" s="88">
        <f t="shared" si="7"/>
        <v>284.38558919270849</v>
      </c>
      <c r="AS5" s="2" t="s">
        <v>308</v>
      </c>
      <c r="AT5" s="1">
        <v>90.506900000000002</v>
      </c>
      <c r="AV5" s="1" t="s">
        <v>311</v>
      </c>
      <c r="AW5" s="63">
        <v>-2.5888000000000001E-2</v>
      </c>
    </row>
    <row r="6" spans="1:317" s="2" customFormat="1" ht="13.95" customHeight="1" x14ac:dyDescent="0.25">
      <c r="A6" s="76">
        <v>19587</v>
      </c>
      <c r="B6" s="3">
        <v>1.8</v>
      </c>
      <c r="C6" s="8">
        <f t="shared" si="0"/>
        <v>0.30000000000000004</v>
      </c>
      <c r="D6" s="8">
        <f t="shared" si="1"/>
        <v>0.19999999999999996</v>
      </c>
      <c r="E6" s="3">
        <v>1.5</v>
      </c>
      <c r="F6" s="3">
        <v>2</v>
      </c>
      <c r="G6" s="3">
        <f t="shared" si="8"/>
        <v>0.30000000000000004</v>
      </c>
      <c r="H6" s="25" t="s">
        <v>419</v>
      </c>
      <c r="I6" s="53" t="s">
        <v>420</v>
      </c>
      <c r="J6" s="4" t="s">
        <v>168</v>
      </c>
      <c r="K6" s="4"/>
      <c r="L6" s="4"/>
      <c r="M6" s="86" t="s">
        <v>4</v>
      </c>
      <c r="N6" s="4" t="str">
        <f t="shared" si="9"/>
        <v>marine sediment</v>
      </c>
      <c r="O6" s="86" t="s">
        <v>27</v>
      </c>
      <c r="P6" s="5">
        <v>-24.1</v>
      </c>
      <c r="Q6" s="4" t="s">
        <v>293</v>
      </c>
      <c r="R6" s="4"/>
      <c r="S6" s="84">
        <f t="shared" si="10"/>
        <v>-20.6</v>
      </c>
      <c r="T6" s="5">
        <v>1.3</v>
      </c>
      <c r="U6" s="4" t="s">
        <v>445</v>
      </c>
      <c r="V6" s="88">
        <f t="shared" si="2"/>
        <v>-10.206670493885145</v>
      </c>
      <c r="W6" s="88">
        <f t="shared" si="3"/>
        <v>-9.9066704938851444</v>
      </c>
      <c r="X6" s="88">
        <f t="shared" si="4"/>
        <v>10.918245360542089</v>
      </c>
      <c r="Y6" s="88">
        <f t="shared" si="11"/>
        <v>14.415000000000001</v>
      </c>
      <c r="Z6" s="88">
        <v>15.49</v>
      </c>
      <c r="AA6" s="88">
        <v>-1.075</v>
      </c>
      <c r="AB6" s="84" t="s">
        <v>341</v>
      </c>
      <c r="AC6" s="84">
        <f t="shared" si="5"/>
        <v>287.41500000000002</v>
      </c>
      <c r="AD6" s="84">
        <v>34.436666666666703</v>
      </c>
      <c r="AE6" s="23" t="s">
        <v>451</v>
      </c>
      <c r="AF6" s="23">
        <v>33.86</v>
      </c>
      <c r="AG6" s="23">
        <f>VLOOKUP(A6, 'fixing lats'!A:F, 4, FALSE)</f>
        <v>33.86</v>
      </c>
      <c r="AH6" s="23">
        <v>-120.757835</v>
      </c>
      <c r="AI6" s="23">
        <f>VLOOKUP(A6, 'fixing lats'!A:F, 6, FALSE)</f>
        <v>-120.7578</v>
      </c>
      <c r="AJ6" s="23" t="s">
        <v>612</v>
      </c>
      <c r="AK6" s="83" t="s">
        <v>342</v>
      </c>
      <c r="AL6" s="84" t="s">
        <v>169</v>
      </c>
      <c r="AM6" s="85">
        <v>170</v>
      </c>
      <c r="AN6" s="85">
        <f>AM6/([2]S2!$AC$1-X6)</f>
        <v>10.910196183522647</v>
      </c>
      <c r="AO6" s="86">
        <v>34</v>
      </c>
      <c r="AP6" s="87">
        <f t="shared" si="6"/>
        <v>3.9506766707647981E-2</v>
      </c>
      <c r="AQ6" s="88">
        <f t="shared" si="7"/>
        <v>276.16018957609555</v>
      </c>
      <c r="AR6" s="1"/>
      <c r="AS6" s="10" t="s">
        <v>309</v>
      </c>
      <c r="AT6" s="9">
        <v>22.294</v>
      </c>
      <c r="AU6" s="9"/>
      <c r="AV6" s="9" t="s">
        <v>312</v>
      </c>
      <c r="AW6" s="64">
        <v>5.0578000000000003E-3</v>
      </c>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row>
    <row r="7" spans="1:317" x14ac:dyDescent="0.25">
      <c r="A7" s="76">
        <v>19588</v>
      </c>
      <c r="B7" s="3">
        <v>2.1</v>
      </c>
      <c r="C7" s="8">
        <f t="shared" si="0"/>
        <v>0.10000000000000009</v>
      </c>
      <c r="D7" s="8">
        <f t="shared" si="1"/>
        <v>0.19999999999999973</v>
      </c>
      <c r="E7" s="3">
        <v>2</v>
      </c>
      <c r="F7" s="3">
        <v>2.2999999999999998</v>
      </c>
      <c r="G7" s="3">
        <f t="shared" si="8"/>
        <v>0.19999999999999973</v>
      </c>
      <c r="H7" s="25" t="s">
        <v>419</v>
      </c>
      <c r="I7" s="53" t="s">
        <v>421</v>
      </c>
      <c r="J7" s="4" t="s">
        <v>168</v>
      </c>
      <c r="K7" s="4"/>
      <c r="L7" s="4"/>
      <c r="M7" s="86" t="s">
        <v>4</v>
      </c>
      <c r="N7" s="4" t="str">
        <f t="shared" si="9"/>
        <v>marine sediment</v>
      </c>
      <c r="O7" s="86" t="s">
        <v>27</v>
      </c>
      <c r="P7" s="5">
        <v>-24.3</v>
      </c>
      <c r="Q7" s="4" t="s">
        <v>293</v>
      </c>
      <c r="S7" s="84">
        <f t="shared" si="10"/>
        <v>-20.8</v>
      </c>
      <c r="T7" s="5">
        <v>1.8</v>
      </c>
      <c r="U7" s="4" t="s">
        <v>445</v>
      </c>
      <c r="V7" s="88">
        <f t="shared" si="2"/>
        <v>-10.005419390543391</v>
      </c>
      <c r="W7" s="88">
        <f t="shared" si="3"/>
        <v>-9.2054193905433905</v>
      </c>
      <c r="X7" s="88">
        <f t="shared" si="4"/>
        <v>11.840870720441821</v>
      </c>
      <c r="Y7" s="88">
        <f t="shared" si="11"/>
        <v>16.11</v>
      </c>
      <c r="Z7" s="88">
        <v>16.96</v>
      </c>
      <c r="AA7" s="88">
        <v>-0.85</v>
      </c>
      <c r="AB7" s="84" t="s">
        <v>341</v>
      </c>
      <c r="AC7" s="84">
        <f t="shared" si="5"/>
        <v>289.11</v>
      </c>
      <c r="AD7" s="84">
        <v>34.216666666666697</v>
      </c>
      <c r="AE7" s="23" t="s">
        <v>452</v>
      </c>
      <c r="AF7" s="23">
        <v>33.76</v>
      </c>
      <c r="AG7" s="23">
        <f>VLOOKUP(A7, 'fixing lats'!A:F, 4, FALSE)</f>
        <v>33.76</v>
      </c>
      <c r="AH7" s="23">
        <v>-120.757836</v>
      </c>
      <c r="AI7" s="23">
        <f>VLOOKUP(A7, 'fixing lats'!A:F, 6, FALSE)</f>
        <v>-120.7578</v>
      </c>
      <c r="AJ7" s="23" t="s">
        <v>612</v>
      </c>
      <c r="AK7" s="83" t="s">
        <v>342</v>
      </c>
      <c r="AL7" s="84" t="s">
        <v>169</v>
      </c>
      <c r="AM7" s="85">
        <v>170</v>
      </c>
      <c r="AN7" s="85">
        <f>AM7/([2]S2!$AC$1-X7)</f>
        <v>11.596868869767123</v>
      </c>
      <c r="AO7" s="86">
        <v>34</v>
      </c>
      <c r="AP7" s="87">
        <f t="shared" si="6"/>
        <v>3.7518256384137867E-2</v>
      </c>
      <c r="AQ7" s="88">
        <f t="shared" si="7"/>
        <v>309.09935555187735</v>
      </c>
    </row>
    <row r="8" spans="1:317" ht="14.4" customHeight="1" x14ac:dyDescent="0.25">
      <c r="A8" s="76">
        <v>19589</v>
      </c>
      <c r="B8" s="3">
        <v>2.2999999999999998</v>
      </c>
      <c r="C8" s="8">
        <f t="shared" si="0"/>
        <v>0.29999999999999982</v>
      </c>
      <c r="D8" s="8">
        <f t="shared" si="1"/>
        <v>0.20000000000000018</v>
      </c>
      <c r="E8" s="3">
        <v>2</v>
      </c>
      <c r="F8" s="3">
        <v>2.5</v>
      </c>
      <c r="G8" s="3">
        <f t="shared" si="8"/>
        <v>0.29999999999999982</v>
      </c>
      <c r="H8" s="25" t="s">
        <v>419</v>
      </c>
      <c r="I8" s="53" t="s">
        <v>422</v>
      </c>
      <c r="J8" s="4" t="s">
        <v>168</v>
      </c>
      <c r="K8" s="4"/>
      <c r="L8" s="4"/>
      <c r="M8" s="86" t="s">
        <v>4</v>
      </c>
      <c r="N8" s="4" t="str">
        <f t="shared" si="9"/>
        <v>marine sediment</v>
      </c>
      <c r="O8" s="86" t="s">
        <v>27</v>
      </c>
      <c r="P8" s="5">
        <v>-25.35</v>
      </c>
      <c r="Q8" s="4" t="s">
        <v>293</v>
      </c>
      <c r="S8" s="84">
        <f t="shared" si="10"/>
        <v>-21.85</v>
      </c>
      <c r="T8" s="5">
        <v>1.9</v>
      </c>
      <c r="U8" s="4" t="s">
        <v>445</v>
      </c>
      <c r="V8" s="88">
        <f t="shared" si="2"/>
        <v>-9.9198576163750154</v>
      </c>
      <c r="W8" s="88">
        <f t="shared" si="3"/>
        <v>-9.019857616375015</v>
      </c>
      <c r="X8" s="88">
        <f t="shared" si="4"/>
        <v>13.116743223048566</v>
      </c>
      <c r="Y8" s="88">
        <f t="shared" si="11"/>
        <v>16.8367</v>
      </c>
      <c r="Z8" s="88">
        <v>16.96</v>
      </c>
      <c r="AA8" s="88">
        <v>-0.12330000000000001</v>
      </c>
      <c r="AB8" s="84" t="s">
        <v>341</v>
      </c>
      <c r="AC8" s="84">
        <f t="shared" si="5"/>
        <v>289.83670000000001</v>
      </c>
      <c r="AD8" s="84">
        <v>33.996666666666698</v>
      </c>
      <c r="AE8" s="23" t="s">
        <v>453</v>
      </c>
      <c r="AF8" s="23">
        <v>33.69</v>
      </c>
      <c r="AG8" s="23">
        <f>VLOOKUP(A8, 'fixing lats'!A:F, 4, FALSE)</f>
        <v>33.69</v>
      </c>
      <c r="AH8" s="23">
        <v>-120.75783699999999</v>
      </c>
      <c r="AI8" s="23">
        <f>VLOOKUP(A8, 'fixing lats'!A:F, 6, FALSE)</f>
        <v>-120.7578</v>
      </c>
      <c r="AJ8" s="23" t="s">
        <v>612</v>
      </c>
      <c r="AK8" s="83" t="s">
        <v>342</v>
      </c>
      <c r="AL8" s="84" t="s">
        <v>169</v>
      </c>
      <c r="AM8" s="85">
        <v>170</v>
      </c>
      <c r="AN8" s="85">
        <f>AM8/([2]S2!$AC$1-X8)</f>
        <v>12.702438788499746</v>
      </c>
      <c r="AO8" s="86">
        <v>34</v>
      </c>
      <c r="AP8" s="87">
        <f t="shared" si="6"/>
        <v>3.6713425028580472E-2</v>
      </c>
      <c r="AQ8" s="88">
        <f t="shared" si="7"/>
        <v>345.98893398290187</v>
      </c>
      <c r="AU8" s="1" t="s">
        <v>539</v>
      </c>
      <c r="AV8" s="6">
        <v>26.5</v>
      </c>
    </row>
    <row r="9" spans="1:317" x14ac:dyDescent="0.25">
      <c r="A9" s="76">
        <v>19590</v>
      </c>
      <c r="B9" s="3">
        <v>2.7</v>
      </c>
      <c r="C9" s="8">
        <f t="shared" si="0"/>
        <v>0.20000000000000018</v>
      </c>
      <c r="D9" s="8">
        <f t="shared" si="1"/>
        <v>0.29999999999999982</v>
      </c>
      <c r="E9" s="3">
        <v>2.5</v>
      </c>
      <c r="F9" s="3">
        <v>3</v>
      </c>
      <c r="G9" s="3">
        <f t="shared" si="8"/>
        <v>0.29999999999999982</v>
      </c>
      <c r="H9" s="25" t="s">
        <v>419</v>
      </c>
      <c r="I9" s="53" t="s">
        <v>423</v>
      </c>
      <c r="J9" s="4" t="s">
        <v>168</v>
      </c>
      <c r="K9" s="4"/>
      <c r="L9" s="4"/>
      <c r="M9" s="86" t="s">
        <v>4</v>
      </c>
      <c r="N9" s="4" t="str">
        <f t="shared" si="9"/>
        <v>marine sediment</v>
      </c>
      <c r="O9" s="86" t="s">
        <v>27</v>
      </c>
      <c r="P9" s="5">
        <v>-23.7</v>
      </c>
      <c r="Q9" s="4" t="s">
        <v>293</v>
      </c>
      <c r="S9" s="84">
        <f t="shared" si="10"/>
        <v>-20.2</v>
      </c>
      <c r="T9" s="5">
        <v>1.9</v>
      </c>
      <c r="U9" s="4" t="s">
        <v>445</v>
      </c>
      <c r="V9" s="88">
        <f t="shared" si="2"/>
        <v>-9.9923460000110644</v>
      </c>
      <c r="W9" s="88">
        <f t="shared" si="3"/>
        <v>-9.0923460000110641</v>
      </c>
      <c r="X9" s="88">
        <f t="shared" si="4"/>
        <v>11.336654419257908</v>
      </c>
      <c r="Y9" s="88">
        <f t="shared" si="11"/>
        <v>16.220800000000001</v>
      </c>
      <c r="Z9" s="88">
        <v>16.96</v>
      </c>
      <c r="AA9" s="88">
        <v>-0.73919999999999997</v>
      </c>
      <c r="AB9" s="84" t="s">
        <v>341</v>
      </c>
      <c r="AC9" s="84">
        <f t="shared" si="5"/>
        <v>289.2208</v>
      </c>
      <c r="AD9" s="84">
        <v>33.776666666666699</v>
      </c>
      <c r="AE9" s="23" t="s">
        <v>454</v>
      </c>
      <c r="AF9" s="23">
        <v>33.56</v>
      </c>
      <c r="AG9" s="23">
        <f>VLOOKUP(A9, 'fixing lats'!A:F, 4, FALSE)</f>
        <v>33.56</v>
      </c>
      <c r="AH9" s="23">
        <v>-120.75783800000001</v>
      </c>
      <c r="AI9" s="23">
        <f>VLOOKUP(A9, 'fixing lats'!A:F, 6, FALSE)</f>
        <v>-120.7578</v>
      </c>
      <c r="AJ9" s="23" t="s">
        <v>612</v>
      </c>
      <c r="AK9" s="83" t="s">
        <v>342</v>
      </c>
      <c r="AL9" s="84" t="s">
        <v>169</v>
      </c>
      <c r="AM9" s="85">
        <v>170</v>
      </c>
      <c r="AN9" s="85">
        <f>AM9/([2]S2!$AC$1-X9)</f>
        <v>11.211246165615664</v>
      </c>
      <c r="AO9" s="86">
        <v>34</v>
      </c>
      <c r="AP9" s="87">
        <f t="shared" si="6"/>
        <v>3.7393755995197377E-2</v>
      </c>
      <c r="AQ9" s="88">
        <f t="shared" si="7"/>
        <v>299.81599513714451</v>
      </c>
    </row>
    <row r="10" spans="1:317" x14ac:dyDescent="0.25">
      <c r="A10" s="76">
        <v>19591</v>
      </c>
      <c r="B10" s="3">
        <v>3.2</v>
      </c>
      <c r="C10" s="8">
        <f t="shared" si="0"/>
        <v>0.20000000000000018</v>
      </c>
      <c r="D10" s="8">
        <f t="shared" si="1"/>
        <v>0.29999999999999982</v>
      </c>
      <c r="E10" s="3">
        <v>3</v>
      </c>
      <c r="F10" s="3">
        <v>3.5</v>
      </c>
      <c r="G10" s="3">
        <f t="shared" si="8"/>
        <v>0.29999999999999982</v>
      </c>
      <c r="H10" s="25" t="s">
        <v>419</v>
      </c>
      <c r="I10" s="54" t="s">
        <v>424</v>
      </c>
      <c r="J10" s="4" t="s">
        <v>168</v>
      </c>
      <c r="K10" s="4"/>
      <c r="L10" s="4"/>
      <c r="M10" s="86" t="s">
        <v>4</v>
      </c>
      <c r="N10" s="4" t="str">
        <f t="shared" si="9"/>
        <v>marine sediment</v>
      </c>
      <c r="O10" s="86" t="s">
        <v>27</v>
      </c>
      <c r="P10" s="5">
        <v>-23.65</v>
      </c>
      <c r="Q10" s="4" t="s">
        <v>293</v>
      </c>
      <c r="S10" s="84">
        <f t="shared" si="10"/>
        <v>-20.149999999999999</v>
      </c>
      <c r="T10" s="5">
        <v>1.9</v>
      </c>
      <c r="U10" s="4" t="s">
        <v>445</v>
      </c>
      <c r="V10" s="88">
        <f t="shared" si="2"/>
        <v>-9.5681872470440901</v>
      </c>
      <c r="W10" s="88">
        <f t="shared" si="3"/>
        <v>-8.6681872470440897</v>
      </c>
      <c r="X10" s="88">
        <f t="shared" si="4"/>
        <v>11.717929022764473</v>
      </c>
      <c r="Y10" s="88">
        <f t="shared" si="11"/>
        <v>19.862300000000001</v>
      </c>
      <c r="Z10" s="88">
        <v>16.96</v>
      </c>
      <c r="AA10" s="88">
        <v>2.9022999999999999</v>
      </c>
      <c r="AB10" s="84" t="s">
        <v>341</v>
      </c>
      <c r="AC10" s="84">
        <f t="shared" si="5"/>
        <v>292.8623</v>
      </c>
      <c r="AD10" s="84">
        <v>33.5566666666667</v>
      </c>
      <c r="AE10" s="23" t="s">
        <v>455</v>
      </c>
      <c r="AF10" s="23">
        <v>33.39</v>
      </c>
      <c r="AG10" s="23">
        <f>VLOOKUP(A10, 'fixing lats'!A:F, 4, FALSE)</f>
        <v>33.39</v>
      </c>
      <c r="AH10" s="23">
        <v>-120.757839</v>
      </c>
      <c r="AI10" s="23">
        <f>VLOOKUP(A10, 'fixing lats'!A:F, 6, FALSE)</f>
        <v>-120.7578</v>
      </c>
      <c r="AJ10" s="23" t="s">
        <v>612</v>
      </c>
      <c r="AK10" s="83" t="s">
        <v>342</v>
      </c>
      <c r="AL10" s="84" t="s">
        <v>169</v>
      </c>
      <c r="AM10" s="85">
        <v>170</v>
      </c>
      <c r="AN10" s="85">
        <f>AM10/([2]S2!$AC$1-X10)</f>
        <v>11.500418328514385</v>
      </c>
      <c r="AO10" s="86">
        <v>34</v>
      </c>
      <c r="AP10" s="87">
        <f t="shared" si="6"/>
        <v>3.3640830834760646E-2</v>
      </c>
      <c r="AQ10" s="88">
        <f t="shared" si="7"/>
        <v>341.85892687974723</v>
      </c>
    </row>
    <row r="11" spans="1:317" s="10" customFormat="1" ht="13.95" customHeight="1" x14ac:dyDescent="0.25">
      <c r="A11" s="76">
        <v>19592</v>
      </c>
      <c r="B11" s="3">
        <v>3.8</v>
      </c>
      <c r="C11" s="8">
        <f t="shared" si="0"/>
        <v>0.29999999999999982</v>
      </c>
      <c r="D11" s="8">
        <f t="shared" si="1"/>
        <v>0.20000000000000018</v>
      </c>
      <c r="E11" s="3">
        <v>3.5</v>
      </c>
      <c r="F11" s="3">
        <v>4</v>
      </c>
      <c r="G11" s="3">
        <f t="shared" si="8"/>
        <v>0.29999999999999982</v>
      </c>
      <c r="H11" s="25" t="s">
        <v>419</v>
      </c>
      <c r="I11" s="53" t="s">
        <v>424</v>
      </c>
      <c r="J11" s="4" t="s">
        <v>168</v>
      </c>
      <c r="K11" s="4"/>
      <c r="L11" s="4"/>
      <c r="M11" s="86" t="s">
        <v>4</v>
      </c>
      <c r="N11" s="4" t="str">
        <f t="shared" si="9"/>
        <v>marine sediment</v>
      </c>
      <c r="O11" s="86" t="s">
        <v>27</v>
      </c>
      <c r="P11" s="5">
        <v>-24.79</v>
      </c>
      <c r="Q11" s="4" t="s">
        <v>293</v>
      </c>
      <c r="R11" s="4"/>
      <c r="S11" s="84">
        <f t="shared" si="10"/>
        <v>-21.29</v>
      </c>
      <c r="T11" s="5">
        <v>1.5</v>
      </c>
      <c r="U11" s="4" t="s">
        <v>445</v>
      </c>
      <c r="V11" s="88">
        <f t="shared" si="2"/>
        <v>-9.6334900444994567</v>
      </c>
      <c r="W11" s="88">
        <f t="shared" si="3"/>
        <v>-9.1334900444994567</v>
      </c>
      <c r="X11" s="88">
        <f t="shared" si="4"/>
        <v>12.420952024093435</v>
      </c>
      <c r="Y11" s="88">
        <f t="shared" si="11"/>
        <v>19.295699999999997</v>
      </c>
      <c r="Z11" s="88">
        <v>17.239999999999998</v>
      </c>
      <c r="AA11" s="88">
        <v>2.0556999999999999</v>
      </c>
      <c r="AB11" s="84" t="s">
        <v>341</v>
      </c>
      <c r="AC11" s="84">
        <f t="shared" si="5"/>
        <v>292.29570000000001</v>
      </c>
      <c r="AD11" s="84">
        <v>33.336666666666702</v>
      </c>
      <c r="AE11" s="23" t="s">
        <v>456</v>
      </c>
      <c r="AF11" s="23">
        <v>33.19</v>
      </c>
      <c r="AG11" s="23">
        <f>VLOOKUP(A11, 'fixing lats'!A:F, 4, FALSE)</f>
        <v>33.19</v>
      </c>
      <c r="AH11" s="23">
        <v>-120.75784</v>
      </c>
      <c r="AI11" s="23">
        <f>VLOOKUP(A11, 'fixing lats'!A:F, 6, FALSE)</f>
        <v>-120.7578</v>
      </c>
      <c r="AJ11" s="23" t="s">
        <v>612</v>
      </c>
      <c r="AK11" s="83" t="s">
        <v>342</v>
      </c>
      <c r="AL11" s="84" t="s">
        <v>169</v>
      </c>
      <c r="AM11" s="85">
        <v>170</v>
      </c>
      <c r="AN11" s="85">
        <f>AM11/([2]S2!$AC$1-X11)</f>
        <v>12.074680070053068</v>
      </c>
      <c r="AO11" s="86">
        <v>34</v>
      </c>
      <c r="AP11" s="87">
        <f t="shared" si="6"/>
        <v>3.4184028778119234E-2</v>
      </c>
      <c r="AQ11" s="88">
        <f t="shared" si="7"/>
        <v>353.22577535922034</v>
      </c>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row>
    <row r="12" spans="1:317" ht="14.4" customHeight="1" x14ac:dyDescent="0.25">
      <c r="A12" s="76">
        <v>19593</v>
      </c>
      <c r="B12" s="3">
        <v>4</v>
      </c>
      <c r="C12" s="8">
        <f t="shared" si="0"/>
        <v>0.20000000000000018</v>
      </c>
      <c r="D12" s="8">
        <f t="shared" si="1"/>
        <v>0.20000000000000018</v>
      </c>
      <c r="E12" s="3">
        <v>3.8</v>
      </c>
      <c r="F12" s="3">
        <v>4.2</v>
      </c>
      <c r="G12" s="3">
        <f t="shared" si="8"/>
        <v>0.20000000000000018</v>
      </c>
      <c r="H12" s="25" t="s">
        <v>419</v>
      </c>
      <c r="I12" s="53" t="s">
        <v>425</v>
      </c>
      <c r="J12" s="4" t="s">
        <v>168</v>
      </c>
      <c r="K12" s="4"/>
      <c r="L12" s="4"/>
      <c r="M12" s="86" t="s">
        <v>4</v>
      </c>
      <c r="N12" s="4" t="str">
        <f t="shared" si="9"/>
        <v>marine sediment</v>
      </c>
      <c r="O12" s="86" t="s">
        <v>27</v>
      </c>
      <c r="P12" s="5">
        <v>-25.54</v>
      </c>
      <c r="Q12" s="4" t="s">
        <v>293</v>
      </c>
      <c r="S12" s="84">
        <f t="shared" si="10"/>
        <v>-22.04</v>
      </c>
      <c r="T12" s="5">
        <v>1.5</v>
      </c>
      <c r="U12" s="4" t="s">
        <v>445</v>
      </c>
      <c r="V12" s="88">
        <f t="shared" si="2"/>
        <v>-9.7007507068557466</v>
      </c>
      <c r="W12" s="88">
        <f t="shared" si="3"/>
        <v>-9.2007507068557466</v>
      </c>
      <c r="X12" s="88">
        <f t="shared" si="4"/>
        <v>13.128603719113396</v>
      </c>
      <c r="Y12" s="88">
        <f t="shared" si="11"/>
        <v>18.714399999999998</v>
      </c>
      <c r="Z12" s="88">
        <v>17.239999999999998</v>
      </c>
      <c r="AA12" s="88">
        <v>1.4743999999999999</v>
      </c>
      <c r="AB12" s="84" t="s">
        <v>341</v>
      </c>
      <c r="AC12" s="84">
        <f t="shared" si="5"/>
        <v>291.71440000000001</v>
      </c>
      <c r="AD12" s="84">
        <v>33.116666666666703</v>
      </c>
      <c r="AE12" s="23" t="s">
        <v>457</v>
      </c>
      <c r="AF12" s="23">
        <v>33.119999999999997</v>
      </c>
      <c r="AG12" s="23">
        <f>VLOOKUP(A12, 'fixing lats'!A:F, 4, FALSE)</f>
        <v>33.119999999999997</v>
      </c>
      <c r="AH12" s="23">
        <v>-120.757841</v>
      </c>
      <c r="AI12" s="23">
        <f>VLOOKUP(A12, 'fixing lats'!A:F, 6, FALSE)</f>
        <v>-120.7578</v>
      </c>
      <c r="AJ12" s="23" t="s">
        <v>612</v>
      </c>
      <c r="AK12" s="83" t="s">
        <v>342</v>
      </c>
      <c r="AL12" s="84" t="s">
        <v>169</v>
      </c>
      <c r="AM12" s="85">
        <v>170</v>
      </c>
      <c r="AN12" s="85">
        <f>AM12/([2]S2!$AC$1-X12)</f>
        <v>12.713705915888687</v>
      </c>
      <c r="AO12" s="86">
        <v>34</v>
      </c>
      <c r="AP12" s="87">
        <f t="shared" si="6"/>
        <v>3.4756214218641675E-2</v>
      </c>
      <c r="AQ12" s="88">
        <f t="shared" si="7"/>
        <v>365.79662663805385</v>
      </c>
    </row>
    <row r="13" spans="1:317" x14ac:dyDescent="0.25">
      <c r="A13" s="76">
        <v>19594</v>
      </c>
      <c r="B13" s="3">
        <v>5</v>
      </c>
      <c r="C13" s="8">
        <f t="shared" si="0"/>
        <v>0.20000000000000018</v>
      </c>
      <c r="D13" s="8">
        <f t="shared" si="1"/>
        <v>0.20000000000000018</v>
      </c>
      <c r="E13" s="3">
        <v>4.8</v>
      </c>
      <c r="F13" s="3">
        <v>5.2</v>
      </c>
      <c r="G13" s="3">
        <f t="shared" si="8"/>
        <v>0.20000000000000018</v>
      </c>
      <c r="H13" s="4" t="s">
        <v>426</v>
      </c>
      <c r="I13" s="53" t="s">
        <v>427</v>
      </c>
      <c r="J13" s="4" t="s">
        <v>168</v>
      </c>
      <c r="K13" s="4"/>
      <c r="L13" s="4"/>
      <c r="M13" s="86" t="s">
        <v>4</v>
      </c>
      <c r="N13" s="4" t="str">
        <f t="shared" si="9"/>
        <v>marine sediment</v>
      </c>
      <c r="O13" s="86" t="s">
        <v>27</v>
      </c>
      <c r="P13" s="5">
        <v>-24.37</v>
      </c>
      <c r="Q13" s="4" t="s">
        <v>293</v>
      </c>
      <c r="S13" s="84">
        <f t="shared" si="10"/>
        <v>-20.87</v>
      </c>
      <c r="T13" s="5">
        <v>1.5</v>
      </c>
      <c r="U13" s="4" t="s">
        <v>445</v>
      </c>
      <c r="V13" s="88">
        <f t="shared" si="2"/>
        <v>-9.5234575535234249</v>
      </c>
      <c r="W13" s="88">
        <f t="shared" si="3"/>
        <v>-9.0234575535234249</v>
      </c>
      <c r="X13" s="88">
        <f t="shared" si="4"/>
        <v>12.099049611876467</v>
      </c>
      <c r="Y13" s="88">
        <f t="shared" si="11"/>
        <v>20.251666666666672</v>
      </c>
      <c r="Z13" s="88">
        <v>17.170000000000002</v>
      </c>
      <c r="AA13" s="88">
        <v>3.0816666666666701</v>
      </c>
      <c r="AB13" s="84" t="s">
        <v>341</v>
      </c>
      <c r="AC13" s="84">
        <f t="shared" si="5"/>
        <v>293.25166666666667</v>
      </c>
      <c r="AD13" s="84">
        <v>32.896666666666697</v>
      </c>
      <c r="AE13" s="23" t="s">
        <v>458</v>
      </c>
      <c r="AF13" s="23">
        <v>32.79</v>
      </c>
      <c r="AG13" s="23">
        <f>VLOOKUP(A13, 'fixing lats'!A:F, 4, FALSE)</f>
        <v>32.79</v>
      </c>
      <c r="AH13" s="23">
        <v>-120.757842</v>
      </c>
      <c r="AI13" s="23">
        <f>VLOOKUP(A13, 'fixing lats'!A:F, 6, FALSE)</f>
        <v>-120.7578</v>
      </c>
      <c r="AJ13" s="23" t="s">
        <v>612</v>
      </c>
      <c r="AK13" s="83" t="s">
        <v>342</v>
      </c>
      <c r="AL13" s="84" t="s">
        <v>169</v>
      </c>
      <c r="AM13" s="85">
        <v>170</v>
      </c>
      <c r="AN13" s="85">
        <f>AM13/([2]S2!$AC$1-X13)</f>
        <v>11.804776450045896</v>
      </c>
      <c r="AO13" s="86">
        <v>34</v>
      </c>
      <c r="AP13" s="87">
        <f t="shared" si="6"/>
        <v>3.327562637527301E-2</v>
      </c>
      <c r="AQ13" s="88">
        <f t="shared" si="7"/>
        <v>354.75745270472146</v>
      </c>
    </row>
    <row r="14" spans="1:317" s="2" customFormat="1" ht="13.95" customHeight="1" x14ac:dyDescent="0.25">
      <c r="A14" s="76">
        <v>19595</v>
      </c>
      <c r="B14" s="3">
        <v>5.5</v>
      </c>
      <c r="C14" s="8">
        <f t="shared" si="0"/>
        <v>9.9999999999999645E-2</v>
      </c>
      <c r="D14" s="8">
        <f t="shared" si="1"/>
        <v>9.9999999999999645E-2</v>
      </c>
      <c r="E14" s="3">
        <v>5.4</v>
      </c>
      <c r="F14" s="3">
        <v>5.6</v>
      </c>
      <c r="G14" s="3">
        <f t="shared" si="8"/>
        <v>9.9999999999999645E-2</v>
      </c>
      <c r="H14" s="25" t="s">
        <v>428</v>
      </c>
      <c r="I14" s="53" t="s">
        <v>429</v>
      </c>
      <c r="J14" s="4" t="s">
        <v>168</v>
      </c>
      <c r="K14" s="4"/>
      <c r="L14" s="4"/>
      <c r="M14" s="86" t="s">
        <v>4</v>
      </c>
      <c r="N14" s="4" t="str">
        <f t="shared" si="9"/>
        <v>marine sediment</v>
      </c>
      <c r="O14" s="86" t="s">
        <v>27</v>
      </c>
      <c r="P14" s="5">
        <v>-24.87</v>
      </c>
      <c r="Q14" s="4" t="s">
        <v>293</v>
      </c>
      <c r="R14" s="4"/>
      <c r="S14" s="84">
        <f t="shared" si="10"/>
        <v>-21.37</v>
      </c>
      <c r="T14" s="5">
        <v>1.9</v>
      </c>
      <c r="U14" s="4" t="s">
        <v>445</v>
      </c>
      <c r="V14" s="88">
        <f t="shared" si="2"/>
        <v>-9.5251785247411043</v>
      </c>
      <c r="W14" s="88">
        <f t="shared" si="3"/>
        <v>-8.6251785247411039</v>
      </c>
      <c r="X14" s="88">
        <f t="shared" si="4"/>
        <v>13.023125670844848</v>
      </c>
      <c r="Y14" s="88">
        <f t="shared" si="11"/>
        <v>20.236666666666672</v>
      </c>
      <c r="Z14" s="88">
        <v>17.170000000000002</v>
      </c>
      <c r="AA14" s="88">
        <v>3.06666666666667</v>
      </c>
      <c r="AB14" s="84" t="s">
        <v>341</v>
      </c>
      <c r="AC14" s="84">
        <f t="shared" si="5"/>
        <v>293.23666666666668</v>
      </c>
      <c r="AD14" s="84">
        <v>32.676666666666698</v>
      </c>
      <c r="AE14" s="23" t="s">
        <v>459</v>
      </c>
      <c r="AF14" s="23">
        <v>32.619999999999997</v>
      </c>
      <c r="AG14" s="23">
        <f>VLOOKUP(A14, 'fixing lats'!A:F, 4, FALSE)</f>
        <v>32.619999999999997</v>
      </c>
      <c r="AH14" s="23">
        <v>-120.75784299999999</v>
      </c>
      <c r="AI14" s="23">
        <f>VLOOKUP(A14, 'fixing lats'!A:F, 6, FALSE)</f>
        <v>-120.7578</v>
      </c>
      <c r="AJ14" s="23" t="s">
        <v>612</v>
      </c>
      <c r="AK14" s="83" t="s">
        <v>342</v>
      </c>
      <c r="AL14" s="84" t="s">
        <v>169</v>
      </c>
      <c r="AM14" s="85">
        <v>170</v>
      </c>
      <c r="AN14" s="85">
        <f>AM14/([2]S2!$AC$1-X14)</f>
        <v>12.614200878332081</v>
      </c>
      <c r="AO14" s="86">
        <v>34</v>
      </c>
      <c r="AP14" s="87">
        <f t="shared" si="6"/>
        <v>3.3289575701360145E-2</v>
      </c>
      <c r="AQ14" s="88">
        <f t="shared" si="7"/>
        <v>378.92345013627465</v>
      </c>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row>
    <row r="15" spans="1:317" x14ac:dyDescent="0.25">
      <c r="A15" s="76">
        <v>19596</v>
      </c>
      <c r="B15" s="3">
        <v>6</v>
      </c>
      <c r="C15" s="8">
        <f t="shared" si="0"/>
        <v>0.20000000000000018</v>
      </c>
      <c r="D15" s="8">
        <f t="shared" si="1"/>
        <v>0.20000000000000018</v>
      </c>
      <c r="E15" s="3">
        <v>5.8</v>
      </c>
      <c r="F15" s="3">
        <v>6.2</v>
      </c>
      <c r="G15" s="3">
        <f t="shared" si="8"/>
        <v>0.20000000000000018</v>
      </c>
      <c r="H15" s="25" t="s">
        <v>428</v>
      </c>
      <c r="I15" s="53" t="s">
        <v>430</v>
      </c>
      <c r="J15" s="4" t="s">
        <v>168</v>
      </c>
      <c r="K15" s="4"/>
      <c r="L15" s="4"/>
      <c r="M15" s="86" t="s">
        <v>4</v>
      </c>
      <c r="N15" s="4" t="str">
        <f t="shared" si="9"/>
        <v>marine sediment</v>
      </c>
      <c r="O15" s="86" t="s">
        <v>27</v>
      </c>
      <c r="P15" s="5">
        <v>-24.8</v>
      </c>
      <c r="Q15" s="4" t="s">
        <v>293</v>
      </c>
      <c r="S15" s="84">
        <f t="shared" si="10"/>
        <v>-21.3</v>
      </c>
      <c r="T15" s="5">
        <v>1.9</v>
      </c>
      <c r="U15" s="4" t="s">
        <v>445</v>
      </c>
      <c r="V15" s="88">
        <f t="shared" si="2"/>
        <v>-9.5268996720342365</v>
      </c>
      <c r="W15" s="88">
        <f t="shared" si="3"/>
        <v>-8.6268996720342361</v>
      </c>
      <c r="X15" s="88">
        <f t="shared" si="4"/>
        <v>12.948912156907744</v>
      </c>
      <c r="Y15" s="88">
        <f t="shared" si="11"/>
        <v>20.221666666666671</v>
      </c>
      <c r="Z15" s="88">
        <v>17.170000000000002</v>
      </c>
      <c r="AA15" s="88">
        <v>3.0516666666666699</v>
      </c>
      <c r="AB15" s="84" t="s">
        <v>341</v>
      </c>
      <c r="AC15" s="84">
        <f t="shared" si="5"/>
        <v>293.22166666666669</v>
      </c>
      <c r="AD15" s="84">
        <v>32.456666666666699</v>
      </c>
      <c r="AE15" s="23" t="s">
        <v>460</v>
      </c>
      <c r="AF15" s="23">
        <v>32.450000000000003</v>
      </c>
      <c r="AG15" s="23">
        <f>VLOOKUP(A15, 'fixing lats'!A:F, 4, FALSE)</f>
        <v>32.450000000000003</v>
      </c>
      <c r="AH15" s="23">
        <v>-120.75784400000001</v>
      </c>
      <c r="AI15" s="23">
        <f>VLOOKUP(A15, 'fixing lats'!A:F, 6, FALSE)</f>
        <v>-120.7578</v>
      </c>
      <c r="AJ15" s="23" t="s">
        <v>612</v>
      </c>
      <c r="AK15" s="83" t="s">
        <v>342</v>
      </c>
      <c r="AL15" s="84" t="s">
        <v>169</v>
      </c>
      <c r="AM15" s="85">
        <v>170</v>
      </c>
      <c r="AN15" s="85">
        <f>AM15/([2]S2!$AC$1-X15)</f>
        <v>12.545118293706469</v>
      </c>
      <c r="AO15" s="86">
        <v>34</v>
      </c>
      <c r="AP15" s="87">
        <f t="shared" si="6"/>
        <v>3.3303534569364392E-2</v>
      </c>
      <c r="AQ15" s="88">
        <f t="shared" si="7"/>
        <v>376.6902959677621</v>
      </c>
    </row>
    <row r="16" spans="1:317" ht="14.4" customHeight="1" x14ac:dyDescent="0.25">
      <c r="A16" s="76">
        <v>19597</v>
      </c>
      <c r="B16" s="3">
        <v>6.25</v>
      </c>
      <c r="C16" s="8">
        <f t="shared" si="0"/>
        <v>0.25</v>
      </c>
      <c r="D16" s="8">
        <f t="shared" si="1"/>
        <v>0.25</v>
      </c>
      <c r="E16" s="3">
        <v>6</v>
      </c>
      <c r="F16" s="3">
        <v>6.5</v>
      </c>
      <c r="G16" s="3">
        <f t="shared" si="8"/>
        <v>0.25</v>
      </c>
      <c r="H16" s="25" t="s">
        <v>428</v>
      </c>
      <c r="I16" s="53" t="s">
        <v>431</v>
      </c>
      <c r="J16" s="4" t="s">
        <v>168</v>
      </c>
      <c r="K16" s="4"/>
      <c r="L16" s="4"/>
      <c r="M16" s="86" t="s">
        <v>4</v>
      </c>
      <c r="N16" s="4" t="str">
        <f t="shared" si="9"/>
        <v>marine sediment</v>
      </c>
      <c r="O16" s="86" t="s">
        <v>27</v>
      </c>
      <c r="P16" s="5">
        <v>-24.86</v>
      </c>
      <c r="Q16" s="4" t="s">
        <v>293</v>
      </c>
      <c r="S16" s="84">
        <f t="shared" si="10"/>
        <v>-21.36</v>
      </c>
      <c r="T16" s="5">
        <v>2</v>
      </c>
      <c r="U16" s="4" t="s">
        <v>445</v>
      </c>
      <c r="V16" s="88">
        <f t="shared" si="2"/>
        <v>-9.5286209954298435</v>
      </c>
      <c r="W16" s="88">
        <f t="shared" si="3"/>
        <v>-8.5286209954298435</v>
      </c>
      <c r="X16" s="88">
        <f t="shared" si="4"/>
        <v>13.111439349066334</v>
      </c>
      <c r="Y16" s="88">
        <f t="shared" si="11"/>
        <v>20.206666666666671</v>
      </c>
      <c r="Z16" s="88">
        <v>17.170000000000002</v>
      </c>
      <c r="AA16" s="88">
        <v>3.0366666666666702</v>
      </c>
      <c r="AB16" s="84" t="s">
        <v>341</v>
      </c>
      <c r="AC16" s="84">
        <f t="shared" si="5"/>
        <v>293.20666666666665</v>
      </c>
      <c r="AD16" s="84">
        <v>32.2366666666667</v>
      </c>
      <c r="AE16" s="23" t="s">
        <v>461</v>
      </c>
      <c r="AF16" s="23">
        <v>32.369999999999997</v>
      </c>
      <c r="AG16" s="23">
        <f>VLOOKUP(A16, 'fixing lats'!A:F, 4, FALSE)</f>
        <v>32.369999999999997</v>
      </c>
      <c r="AH16" s="23">
        <v>-120.757845</v>
      </c>
      <c r="AI16" s="23">
        <f>VLOOKUP(A16, 'fixing lats'!A:F, 6, FALSE)</f>
        <v>-120.7578</v>
      </c>
      <c r="AJ16" s="23" t="s">
        <v>612</v>
      </c>
      <c r="AK16" s="83" t="s">
        <v>342</v>
      </c>
      <c r="AL16" s="84" t="s">
        <v>169</v>
      </c>
      <c r="AM16" s="85">
        <v>170</v>
      </c>
      <c r="AN16" s="85">
        <f>AM16/([2]S2!$AC$1-X16)</f>
        <v>12.69740672147195</v>
      </c>
      <c r="AO16" s="86">
        <v>34</v>
      </c>
      <c r="AP16" s="87">
        <f t="shared" si="6"/>
        <v>3.331750298701161E-2</v>
      </c>
      <c r="AQ16" s="88">
        <f t="shared" si="7"/>
        <v>381.10319150933572</v>
      </c>
    </row>
    <row r="17" spans="1:317" x14ac:dyDescent="0.25">
      <c r="A17" s="76">
        <v>19598</v>
      </c>
      <c r="B17" s="3">
        <v>7.25</v>
      </c>
      <c r="C17" s="8">
        <f t="shared" si="0"/>
        <v>0.25</v>
      </c>
      <c r="D17" s="8">
        <f t="shared" si="1"/>
        <v>0.25</v>
      </c>
      <c r="E17" s="3">
        <v>7</v>
      </c>
      <c r="F17" s="3">
        <v>7.5</v>
      </c>
      <c r="G17" s="3">
        <f t="shared" si="8"/>
        <v>0.25</v>
      </c>
      <c r="H17" s="25" t="s">
        <v>428</v>
      </c>
      <c r="I17" s="53" t="s">
        <v>432</v>
      </c>
      <c r="J17" s="4" t="s">
        <v>168</v>
      </c>
      <c r="K17" s="4"/>
      <c r="L17" s="4"/>
      <c r="M17" s="86" t="s">
        <v>4</v>
      </c>
      <c r="N17" s="4" t="str">
        <f t="shared" si="9"/>
        <v>marine sediment</v>
      </c>
      <c r="O17" s="86" t="s">
        <v>27</v>
      </c>
      <c r="P17" s="5">
        <v>-23.83</v>
      </c>
      <c r="Q17" s="4" t="s">
        <v>293</v>
      </c>
      <c r="S17" s="84">
        <f t="shared" si="10"/>
        <v>-20.329999999999998</v>
      </c>
      <c r="T17" s="5">
        <v>2.1</v>
      </c>
      <c r="U17" s="4" t="s">
        <v>445</v>
      </c>
      <c r="V17" s="88">
        <f t="shared" si="2"/>
        <v>-9.5395268015034098</v>
      </c>
      <c r="W17" s="88">
        <f t="shared" si="3"/>
        <v>-8.4395268015034102</v>
      </c>
      <c r="X17" s="88">
        <f t="shared" si="4"/>
        <v>12.137222940884707</v>
      </c>
      <c r="Y17" s="88">
        <f t="shared" si="11"/>
        <v>20.111666666666672</v>
      </c>
      <c r="Z17" s="88">
        <v>17.09</v>
      </c>
      <c r="AA17" s="88">
        <v>3.0216666666666701</v>
      </c>
      <c r="AB17" s="84" t="s">
        <v>341</v>
      </c>
      <c r="AC17" s="84">
        <f t="shared" si="5"/>
        <v>293.11166666666668</v>
      </c>
      <c r="AD17" s="84">
        <v>32.016666666666701</v>
      </c>
      <c r="AE17" s="23" t="s">
        <v>462</v>
      </c>
      <c r="AF17" s="23">
        <v>32.03</v>
      </c>
      <c r="AG17" s="23">
        <f>VLOOKUP(A17, 'fixing lats'!A:F, 4, FALSE)</f>
        <v>32.03</v>
      </c>
      <c r="AH17" s="23">
        <v>-120.757846</v>
      </c>
      <c r="AI17" s="23">
        <f>VLOOKUP(A17, 'fixing lats'!A:F, 6, FALSE)</f>
        <v>-120.7578</v>
      </c>
      <c r="AJ17" s="23" t="s">
        <v>612</v>
      </c>
      <c r="AK17" s="83" t="s">
        <v>342</v>
      </c>
      <c r="AL17" s="84" t="s">
        <v>169</v>
      </c>
      <c r="AM17" s="85">
        <v>170</v>
      </c>
      <c r="AN17" s="85">
        <f>AM17/([2]S2!$AC$1-X17)</f>
        <v>11.836151135696284</v>
      </c>
      <c r="AO17" s="86">
        <v>34</v>
      </c>
      <c r="AP17" s="87">
        <f t="shared" si="6"/>
        <v>3.3406191895501675E-2</v>
      </c>
      <c r="AQ17" s="88">
        <f t="shared" si="7"/>
        <v>354.31009834108283</v>
      </c>
    </row>
    <row r="18" spans="1:317" s="10" customFormat="1" ht="13.95" customHeight="1" x14ac:dyDescent="0.25">
      <c r="A18" s="76">
        <v>19599</v>
      </c>
      <c r="B18" s="3">
        <v>7.75</v>
      </c>
      <c r="C18" s="8">
        <f t="shared" si="0"/>
        <v>0.25</v>
      </c>
      <c r="D18" s="8">
        <f t="shared" si="1"/>
        <v>0.25</v>
      </c>
      <c r="E18" s="3">
        <v>7.5</v>
      </c>
      <c r="F18" s="3">
        <v>8</v>
      </c>
      <c r="G18" s="3">
        <f t="shared" si="8"/>
        <v>0.25</v>
      </c>
      <c r="H18" s="25" t="s">
        <v>428</v>
      </c>
      <c r="I18" s="53" t="s">
        <v>478</v>
      </c>
      <c r="J18" s="4" t="s">
        <v>168</v>
      </c>
      <c r="K18" s="4"/>
      <c r="L18" s="4"/>
      <c r="M18" s="86" t="s">
        <v>4</v>
      </c>
      <c r="N18" s="4" t="str">
        <f t="shared" si="9"/>
        <v>marine sediment</v>
      </c>
      <c r="O18" s="86" t="s">
        <v>27</v>
      </c>
      <c r="P18" s="5">
        <v>-24.963999999999999</v>
      </c>
      <c r="Q18" s="4" t="s">
        <v>293</v>
      </c>
      <c r="R18" s="4"/>
      <c r="S18" s="84">
        <f t="shared" si="10"/>
        <v>-21.463999999999999</v>
      </c>
      <c r="T18" s="5">
        <v>1.5</v>
      </c>
      <c r="U18" s="4" t="s">
        <v>2</v>
      </c>
      <c r="V18" s="88">
        <f t="shared" si="2"/>
        <v>-9.5179133992499096</v>
      </c>
      <c r="W18" s="88">
        <f t="shared" si="3"/>
        <v>-9.0179133992499096</v>
      </c>
      <c r="X18" s="88">
        <f t="shared" si="4"/>
        <v>12.719089129832772</v>
      </c>
      <c r="Y18" s="88">
        <f t="shared" si="11"/>
        <v>20.3</v>
      </c>
      <c r="Z18" s="88">
        <v>17.09</v>
      </c>
      <c r="AA18" s="88">
        <v>3.21</v>
      </c>
      <c r="AB18" s="84" t="s">
        <v>341</v>
      </c>
      <c r="AC18" s="84">
        <f t="shared" si="5"/>
        <v>293.3</v>
      </c>
      <c r="AD18" s="84">
        <v>35.07</v>
      </c>
      <c r="AE18" s="23" t="s">
        <v>474</v>
      </c>
      <c r="AF18" s="23">
        <v>31.86</v>
      </c>
      <c r="AG18" s="23">
        <f>VLOOKUP(A18, 'fixing lats'!A:F, 4, FALSE)</f>
        <v>31.86</v>
      </c>
      <c r="AH18" s="23">
        <v>-120.757858</v>
      </c>
      <c r="AI18" s="23">
        <f>VLOOKUP(A18, 'fixing lats'!A:F, 6, FALSE)</f>
        <v>-120.75790000000001</v>
      </c>
      <c r="AJ18" s="23" t="s">
        <v>612</v>
      </c>
      <c r="AK18" s="83" t="s">
        <v>342</v>
      </c>
      <c r="AL18" s="84" t="s">
        <v>169</v>
      </c>
      <c r="AM18" s="85">
        <v>170</v>
      </c>
      <c r="AN18" s="85">
        <f>AM18/([2]S2!$AC$1-X18)</f>
        <v>12.335904469712101</v>
      </c>
      <c r="AO18" s="86">
        <v>34</v>
      </c>
      <c r="AP18" s="87">
        <f t="shared" si="6"/>
        <v>3.3230743364021716E-2</v>
      </c>
      <c r="AQ18" s="88">
        <f t="shared" si="7"/>
        <v>371.21963642462322</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row>
    <row r="19" spans="1:317" ht="14.4" customHeight="1" x14ac:dyDescent="0.25">
      <c r="A19" s="76">
        <v>19600</v>
      </c>
      <c r="B19" s="3">
        <v>8</v>
      </c>
      <c r="C19" s="8">
        <f t="shared" si="0"/>
        <v>2.6669999999999998</v>
      </c>
      <c r="D19" s="8">
        <f t="shared" si="1"/>
        <v>3.6199999999999992</v>
      </c>
      <c r="E19" s="3">
        <v>5.3330000000000002</v>
      </c>
      <c r="F19" s="3">
        <v>11.62</v>
      </c>
      <c r="G19" s="3">
        <f t="shared" si="8"/>
        <v>3.6199999999999992</v>
      </c>
      <c r="H19" s="4" t="s">
        <v>224</v>
      </c>
      <c r="I19" s="4" t="s">
        <v>155</v>
      </c>
      <c r="J19" s="4" t="s">
        <v>154</v>
      </c>
      <c r="K19" s="4"/>
      <c r="L19" s="4" t="s">
        <v>596</v>
      </c>
      <c r="M19" s="86" t="s">
        <v>1</v>
      </c>
      <c r="N19" s="4" t="str">
        <f t="shared" si="9"/>
        <v>marine oil</v>
      </c>
      <c r="O19" s="86" t="s">
        <v>0</v>
      </c>
      <c r="P19" s="5">
        <v>-25</v>
      </c>
      <c r="Q19" s="4" t="s">
        <v>25</v>
      </c>
      <c r="S19" s="84">
        <f t="shared" si="10"/>
        <v>-21.5</v>
      </c>
      <c r="T19" s="5">
        <v>1.5</v>
      </c>
      <c r="U19" s="4" t="s">
        <v>2</v>
      </c>
      <c r="V19" s="88">
        <f t="shared" si="2"/>
        <v>-9.9712232204561211</v>
      </c>
      <c r="W19" s="88">
        <f t="shared" si="3"/>
        <v>-9.4712232204561211</v>
      </c>
      <c r="X19" s="88">
        <f t="shared" si="4"/>
        <v>12.293077955589204</v>
      </c>
      <c r="Y19" s="88">
        <f t="shared" si="11"/>
        <v>16.399999999999999</v>
      </c>
      <c r="Z19" s="88">
        <v>13.2</v>
      </c>
      <c r="AA19" s="88">
        <v>3.2</v>
      </c>
      <c r="AB19" s="84" t="s">
        <v>341</v>
      </c>
      <c r="AC19" s="84">
        <f t="shared" si="5"/>
        <v>289.39999999999998</v>
      </c>
      <c r="AD19" s="84">
        <v>35</v>
      </c>
      <c r="AE19" s="23" t="s">
        <v>477</v>
      </c>
      <c r="AF19" s="23">
        <v>31.78</v>
      </c>
      <c r="AG19" s="23">
        <f>VLOOKUP(A19, 'fixing lats'!A:F, 4, FALSE)</f>
        <v>31.78</v>
      </c>
      <c r="AH19" s="23">
        <v>-120.75786100000001</v>
      </c>
      <c r="AI19" s="23">
        <f>VLOOKUP(A19, 'fixing lats'!A:F, 6, FALSE)</f>
        <v>-120.75790000000001</v>
      </c>
      <c r="AJ19" s="23" t="s">
        <v>612</v>
      </c>
      <c r="AK19" s="83" t="s">
        <v>342</v>
      </c>
      <c r="AL19" s="84" t="s">
        <v>169</v>
      </c>
      <c r="AM19" s="85">
        <v>170</v>
      </c>
      <c r="AN19" s="85">
        <f>AM19/($AV$8-X19)</f>
        <v>11.965997945830949</v>
      </c>
      <c r="AO19" s="85">
        <v>34</v>
      </c>
      <c r="AP19" s="87">
        <f t="shared" si="6"/>
        <v>3.7193770429646431E-2</v>
      </c>
      <c r="AQ19" s="88">
        <f t="shared" si="7"/>
        <v>321.72048726453085</v>
      </c>
    </row>
    <row r="20" spans="1:317" x14ac:dyDescent="0.25">
      <c r="A20" s="76">
        <v>19601</v>
      </c>
      <c r="B20" s="3">
        <v>8.25</v>
      </c>
      <c r="C20" s="8">
        <f t="shared" si="0"/>
        <v>0.25</v>
      </c>
      <c r="D20" s="8">
        <f t="shared" si="1"/>
        <v>0.25</v>
      </c>
      <c r="E20" s="3">
        <v>8</v>
      </c>
      <c r="F20" s="3">
        <v>8.5</v>
      </c>
      <c r="G20" s="3">
        <f t="shared" si="8"/>
        <v>0.25</v>
      </c>
      <c r="H20" s="25" t="s">
        <v>428</v>
      </c>
      <c r="I20" s="53" t="s">
        <v>479</v>
      </c>
      <c r="J20" s="4" t="s">
        <v>168</v>
      </c>
      <c r="K20" s="4"/>
      <c r="L20" s="4"/>
      <c r="M20" s="86" t="s">
        <v>4</v>
      </c>
      <c r="N20" s="4" t="str">
        <f t="shared" si="9"/>
        <v>marine sediment</v>
      </c>
      <c r="O20" s="86" t="s">
        <v>27</v>
      </c>
      <c r="P20" s="5">
        <v>-24.609000000000002</v>
      </c>
      <c r="Q20" s="4" t="s">
        <v>293</v>
      </c>
      <c r="S20" s="84">
        <f t="shared" si="10"/>
        <v>-21.109000000000002</v>
      </c>
      <c r="T20" s="5">
        <v>1.5</v>
      </c>
      <c r="U20" s="4" t="s">
        <v>2</v>
      </c>
      <c r="V20" s="88">
        <f t="shared" si="2"/>
        <v>-9.5121799897733048</v>
      </c>
      <c r="W20" s="88">
        <f t="shared" si="3"/>
        <v>-9.0121799897733048</v>
      </c>
      <c r="X20" s="88">
        <f t="shared" si="4"/>
        <v>12.357678240199066</v>
      </c>
      <c r="Y20" s="88">
        <f t="shared" si="11"/>
        <v>20.350000000000001</v>
      </c>
      <c r="Z20" s="88">
        <v>17.09</v>
      </c>
      <c r="AA20" s="88">
        <v>3.26</v>
      </c>
      <c r="AB20" s="84" t="s">
        <v>341</v>
      </c>
      <c r="AC20" s="84">
        <f t="shared" si="5"/>
        <v>293.35000000000002</v>
      </c>
      <c r="AD20" s="84">
        <v>34.93</v>
      </c>
      <c r="AE20" s="23" t="s">
        <v>475</v>
      </c>
      <c r="AF20" s="23">
        <v>31.7</v>
      </c>
      <c r="AG20" s="23">
        <f>VLOOKUP(A20, 'fixing lats'!A:F, 4, FALSE)</f>
        <v>31.7</v>
      </c>
      <c r="AH20" s="23">
        <v>-120.757859</v>
      </c>
      <c r="AI20" s="23">
        <f>VLOOKUP(A20, 'fixing lats'!A:F, 6, FALSE)</f>
        <v>-120.75790000000001</v>
      </c>
      <c r="AJ20" s="23" t="s">
        <v>612</v>
      </c>
      <c r="AK20" s="83" t="s">
        <v>342</v>
      </c>
      <c r="AL20" s="84" t="s">
        <v>169</v>
      </c>
      <c r="AM20" s="85">
        <v>170</v>
      </c>
      <c r="AN20" s="85">
        <f>AM20/([2]S2!$AC$1-X20)</f>
        <v>12.020657066594199</v>
      </c>
      <c r="AO20" s="86">
        <v>34</v>
      </c>
      <c r="AP20" s="87">
        <f t="shared" si="6"/>
        <v>3.3184416558445777E-2</v>
      </c>
      <c r="AQ20" s="88">
        <f t="shared" si="7"/>
        <v>362.23801149021006</v>
      </c>
    </row>
    <row r="21" spans="1:317" x14ac:dyDescent="0.25">
      <c r="A21" s="76">
        <v>19602</v>
      </c>
      <c r="B21" s="3">
        <v>9.25</v>
      </c>
      <c r="C21" s="8">
        <f t="shared" si="0"/>
        <v>0.25</v>
      </c>
      <c r="D21" s="8">
        <f t="shared" si="1"/>
        <v>0.25</v>
      </c>
      <c r="E21" s="3">
        <v>9</v>
      </c>
      <c r="F21" s="3">
        <v>9.5</v>
      </c>
      <c r="G21" s="3">
        <f t="shared" si="8"/>
        <v>0.25</v>
      </c>
      <c r="H21" s="25" t="s">
        <v>428</v>
      </c>
      <c r="I21" s="53" t="s">
        <v>433</v>
      </c>
      <c r="J21" s="4" t="s">
        <v>168</v>
      </c>
      <c r="K21" s="4"/>
      <c r="L21" s="4"/>
      <c r="M21" s="86" t="s">
        <v>4</v>
      </c>
      <c r="N21" s="4" t="str">
        <f t="shared" si="9"/>
        <v>marine sediment</v>
      </c>
      <c r="O21" s="86" t="s">
        <v>27</v>
      </c>
      <c r="P21" s="5">
        <v>-23.67</v>
      </c>
      <c r="Q21" s="4" t="s">
        <v>293</v>
      </c>
      <c r="S21" s="84">
        <f t="shared" si="10"/>
        <v>-20.170000000000002</v>
      </c>
      <c r="T21" s="5">
        <v>2.25</v>
      </c>
      <c r="U21" s="4" t="s">
        <v>445</v>
      </c>
      <c r="V21" s="88">
        <f t="shared" si="2"/>
        <v>-9.5412494171433728</v>
      </c>
      <c r="W21" s="88">
        <f t="shared" si="3"/>
        <v>-8.2912494171433728</v>
      </c>
      <c r="X21" s="88">
        <f t="shared" si="4"/>
        <v>12.123277081592221</v>
      </c>
      <c r="Y21" s="88">
        <f t="shared" si="11"/>
        <v>20.096666666666671</v>
      </c>
      <c r="Z21" s="88">
        <v>17.09</v>
      </c>
      <c r="AA21" s="88">
        <v>3.0066666666666699</v>
      </c>
      <c r="AB21" s="84" t="s">
        <v>341</v>
      </c>
      <c r="AC21" s="84">
        <f t="shared" si="5"/>
        <v>293.09666666666669</v>
      </c>
      <c r="AD21" s="84">
        <v>31.796666666666699</v>
      </c>
      <c r="AE21" s="23" t="s">
        <v>463</v>
      </c>
      <c r="AF21" s="23">
        <v>31.36</v>
      </c>
      <c r="AG21" s="23">
        <f>VLOOKUP(A21, 'fixing lats'!A:F, 4, FALSE)</f>
        <v>31.36</v>
      </c>
      <c r="AH21" s="23">
        <v>-120.757847</v>
      </c>
      <c r="AI21" s="23">
        <f>VLOOKUP(A21, 'fixing lats'!A:F, 6, FALSE)</f>
        <v>-120.7578</v>
      </c>
      <c r="AJ21" s="23" t="s">
        <v>612</v>
      </c>
      <c r="AK21" s="83" t="s">
        <v>342</v>
      </c>
      <c r="AL21" s="84" t="s">
        <v>169</v>
      </c>
      <c r="AM21" s="85">
        <v>170</v>
      </c>
      <c r="AN21" s="85">
        <f>AM21/([2]S2!$AC$1-X21)</f>
        <v>11.824669708444759</v>
      </c>
      <c r="AO21" s="86">
        <v>34</v>
      </c>
      <c r="AP21" s="87">
        <f t="shared" si="6"/>
        <v>3.3420230580625612E-2</v>
      </c>
      <c r="AQ21" s="88">
        <f t="shared" si="7"/>
        <v>353.81771768204857</v>
      </c>
    </row>
    <row r="22" spans="1:317" s="10" customFormat="1" ht="13.95" customHeight="1" x14ac:dyDescent="0.25">
      <c r="A22" s="76">
        <v>19603</v>
      </c>
      <c r="B22" s="3">
        <v>9.3000000000000007</v>
      </c>
      <c r="C22" s="8">
        <f t="shared" si="0"/>
        <v>0.30000000000000071</v>
      </c>
      <c r="D22" s="8">
        <f t="shared" si="1"/>
        <v>0.19999999999999929</v>
      </c>
      <c r="E22" s="3">
        <v>9</v>
      </c>
      <c r="F22" s="3">
        <v>9.5</v>
      </c>
      <c r="G22" s="3">
        <f t="shared" si="8"/>
        <v>0.30000000000000071</v>
      </c>
      <c r="H22" s="25" t="s">
        <v>428</v>
      </c>
      <c r="I22" s="53" t="s">
        <v>480</v>
      </c>
      <c r="J22" s="4" t="s">
        <v>168</v>
      </c>
      <c r="K22" s="4"/>
      <c r="L22" s="4"/>
      <c r="M22" s="86" t="s">
        <v>4</v>
      </c>
      <c r="N22" s="4" t="str">
        <f t="shared" si="9"/>
        <v>marine sediment</v>
      </c>
      <c r="O22" s="86" t="s">
        <v>27</v>
      </c>
      <c r="P22" s="5">
        <v>-24.776</v>
      </c>
      <c r="Q22" s="4" t="s">
        <v>293</v>
      </c>
      <c r="R22" s="4"/>
      <c r="S22" s="84">
        <f t="shared" si="10"/>
        <v>-21.276</v>
      </c>
      <c r="T22" s="5">
        <v>1.5</v>
      </c>
      <c r="U22" s="4" t="s">
        <v>2</v>
      </c>
      <c r="V22" s="88">
        <f t="shared" si="2"/>
        <v>-9.521354383332767</v>
      </c>
      <c r="W22" s="88">
        <f t="shared" si="3"/>
        <v>-9.021354383332767</v>
      </c>
      <c r="X22" s="88">
        <f t="shared" si="4"/>
        <v>12.521043334655202</v>
      </c>
      <c r="Y22" s="88">
        <f t="shared" si="11"/>
        <v>20.27</v>
      </c>
      <c r="Z22" s="88">
        <v>17.09</v>
      </c>
      <c r="AA22" s="88">
        <v>3.18</v>
      </c>
      <c r="AB22" s="84" t="s">
        <v>341</v>
      </c>
      <c r="AC22" s="84">
        <f t="shared" si="5"/>
        <v>293.27</v>
      </c>
      <c r="AD22" s="84">
        <v>34.630000000000003</v>
      </c>
      <c r="AE22" s="23" t="s">
        <v>476</v>
      </c>
      <c r="AF22" s="23">
        <v>31.34</v>
      </c>
      <c r="AG22" s="23">
        <f>VLOOKUP(A22, 'fixing lats'!A:F, 4, FALSE)</f>
        <v>31.34</v>
      </c>
      <c r="AH22" s="23">
        <v>-120.75785999999999</v>
      </c>
      <c r="AI22" s="23">
        <f>VLOOKUP(A22, 'fixing lats'!A:F, 6, FALSE)</f>
        <v>-120.75790000000001</v>
      </c>
      <c r="AJ22" s="23" t="s">
        <v>612</v>
      </c>
      <c r="AK22" s="83" t="s">
        <v>342</v>
      </c>
      <c r="AL22" s="84" t="s">
        <v>169</v>
      </c>
      <c r="AM22" s="85">
        <v>170</v>
      </c>
      <c r="AN22" s="85">
        <f>AM22/([2]S2!$AC$1-X22)</f>
        <v>12.161136490353865</v>
      </c>
      <c r="AO22" s="86">
        <v>34</v>
      </c>
      <c r="AP22" s="87">
        <f t="shared" si="6"/>
        <v>3.325859014584652E-2</v>
      </c>
      <c r="AQ22" s="88">
        <f t="shared" si="7"/>
        <v>365.6539990728561</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row>
    <row r="23" spans="1:317" ht="14.4" customHeight="1" x14ac:dyDescent="0.25">
      <c r="A23" s="76">
        <v>19604</v>
      </c>
      <c r="B23" s="3">
        <v>10.5</v>
      </c>
      <c r="C23" s="8">
        <f t="shared" si="0"/>
        <v>0.30000000000000071</v>
      </c>
      <c r="D23" s="8">
        <f t="shared" si="1"/>
        <v>0.19999999999999929</v>
      </c>
      <c r="E23" s="3">
        <v>10.199999999999999</v>
      </c>
      <c r="F23" s="3">
        <v>10.7</v>
      </c>
      <c r="G23" s="3">
        <f t="shared" si="8"/>
        <v>0.30000000000000071</v>
      </c>
      <c r="H23" s="25" t="s">
        <v>428</v>
      </c>
      <c r="I23" s="53" t="s">
        <v>434</v>
      </c>
      <c r="J23" s="4" t="s">
        <v>168</v>
      </c>
      <c r="K23" s="4"/>
      <c r="L23" s="4"/>
      <c r="M23" s="86" t="s">
        <v>4</v>
      </c>
      <c r="N23" s="4" t="str">
        <f t="shared" si="9"/>
        <v>marine sediment</v>
      </c>
      <c r="O23" s="86" t="s">
        <v>27</v>
      </c>
      <c r="P23" s="5">
        <v>-24.45</v>
      </c>
      <c r="Q23" s="4" t="s">
        <v>293</v>
      </c>
      <c r="S23" s="84">
        <f t="shared" si="10"/>
        <v>-20.95</v>
      </c>
      <c r="T23" s="5">
        <v>2.2000000000000002</v>
      </c>
      <c r="U23" s="4" t="s">
        <v>445</v>
      </c>
      <c r="V23" s="88">
        <f t="shared" si="2"/>
        <v>-9.5429722091112303</v>
      </c>
      <c r="W23" s="88">
        <f t="shared" si="3"/>
        <v>-8.3429722091112311</v>
      </c>
      <c r="X23" s="88">
        <f t="shared" si="4"/>
        <v>12.876796681363434</v>
      </c>
      <c r="Y23" s="88">
        <f t="shared" si="11"/>
        <v>20.081666666666671</v>
      </c>
      <c r="Z23" s="88">
        <v>17.09</v>
      </c>
      <c r="AA23" s="88">
        <v>2.9916666666666698</v>
      </c>
      <c r="AB23" s="84" t="s">
        <v>341</v>
      </c>
      <c r="AC23" s="84">
        <f t="shared" si="5"/>
        <v>293.08166666666665</v>
      </c>
      <c r="AD23" s="84">
        <v>31.5766666666667</v>
      </c>
      <c r="AE23" s="23" t="s">
        <v>464</v>
      </c>
      <c r="AF23" s="23">
        <v>31.01</v>
      </c>
      <c r="AG23" s="23">
        <f>VLOOKUP(A23, 'fixing lats'!A:F, 4, FALSE)</f>
        <v>31.01</v>
      </c>
      <c r="AH23" s="23">
        <v>-120.757848</v>
      </c>
      <c r="AI23" s="23">
        <f>VLOOKUP(A23, 'fixing lats'!A:F, 6, FALSE)</f>
        <v>-120.7578</v>
      </c>
      <c r="AJ23" s="23" t="s">
        <v>612</v>
      </c>
      <c r="AK23" s="83" t="s">
        <v>342</v>
      </c>
      <c r="AL23" s="84" t="s">
        <v>169</v>
      </c>
      <c r="AM23" s="85">
        <v>170</v>
      </c>
      <c r="AN23" s="85">
        <f>AM23/([2]S2!$AC$1-X23)</f>
        <v>12.478709744237591</v>
      </c>
      <c r="AO23" s="86">
        <v>34</v>
      </c>
      <c r="AP23" s="87">
        <f t="shared" si="6"/>
        <v>3.3434278880059412E-2</v>
      </c>
      <c r="AQ23" s="88">
        <f t="shared" si="7"/>
        <v>373.23101207007147</v>
      </c>
    </row>
    <row r="24" spans="1:317" x14ac:dyDescent="0.25">
      <c r="A24" s="76">
        <v>19605</v>
      </c>
      <c r="B24" s="24">
        <v>11</v>
      </c>
      <c r="C24" s="8">
        <f t="shared" si="0"/>
        <v>4</v>
      </c>
      <c r="D24" s="8">
        <f t="shared" si="1"/>
        <v>3</v>
      </c>
      <c r="E24" s="24">
        <v>7</v>
      </c>
      <c r="F24" s="24">
        <v>14</v>
      </c>
      <c r="G24" s="3">
        <f t="shared" si="8"/>
        <v>4</v>
      </c>
      <c r="H24" s="25" t="s">
        <v>541</v>
      </c>
      <c r="I24" s="26">
        <v>322050</v>
      </c>
      <c r="J24" s="25" t="s">
        <v>213</v>
      </c>
      <c r="K24" s="25"/>
      <c r="L24" s="25"/>
      <c r="M24" s="95" t="s">
        <v>1</v>
      </c>
      <c r="N24" s="4" t="str">
        <f t="shared" si="9"/>
        <v>marine oil</v>
      </c>
      <c r="O24" s="95" t="s">
        <v>0</v>
      </c>
      <c r="P24" s="27">
        <v>-23.923124999999999</v>
      </c>
      <c r="Q24" s="25" t="s">
        <v>293</v>
      </c>
      <c r="R24" s="25"/>
      <c r="S24" s="84">
        <f t="shared" si="10"/>
        <v>-20.423124999999999</v>
      </c>
      <c r="T24" s="5">
        <v>2.4500000000000002</v>
      </c>
      <c r="U24" s="4" t="s">
        <v>2</v>
      </c>
      <c r="V24" s="88">
        <f t="shared" si="2"/>
        <v>-9.256184032476316</v>
      </c>
      <c r="W24" s="88">
        <f t="shared" si="3"/>
        <v>-7.8061840324763159</v>
      </c>
      <c r="X24" s="88">
        <f t="shared" si="4"/>
        <v>12.87999062607903</v>
      </c>
      <c r="Y24" s="88">
        <f t="shared" si="11"/>
        <v>22.6</v>
      </c>
      <c r="Z24" s="88">
        <v>17.170000000000002</v>
      </c>
      <c r="AA24" s="88">
        <v>5.43</v>
      </c>
      <c r="AB24" s="84" t="s">
        <v>370</v>
      </c>
      <c r="AC24" s="84">
        <f t="shared" si="5"/>
        <v>295.60000000000002</v>
      </c>
      <c r="AD24" s="84"/>
      <c r="AE24" s="23"/>
      <c r="AF24" s="23"/>
      <c r="AG24" s="23"/>
      <c r="AH24" s="23"/>
      <c r="AI24" s="23"/>
      <c r="AJ24" s="23"/>
      <c r="AK24" s="83" t="s">
        <v>259</v>
      </c>
      <c r="AL24" s="84" t="s">
        <v>169</v>
      </c>
      <c r="AM24" s="85">
        <v>170</v>
      </c>
      <c r="AN24" s="85">
        <f>AM24/($AV$8-X24)</f>
        <v>12.481636049789287</v>
      </c>
      <c r="AO24" s="85">
        <v>34</v>
      </c>
      <c r="AP24" s="87">
        <f t="shared" si="6"/>
        <v>3.1204612135525459E-2</v>
      </c>
      <c r="AQ24" s="88">
        <f t="shared" si="7"/>
        <v>399.99330853977648</v>
      </c>
    </row>
    <row r="25" spans="1:317" s="2" customFormat="1" ht="13.95" customHeight="1" x14ac:dyDescent="0.25">
      <c r="A25" s="76">
        <v>19606</v>
      </c>
      <c r="B25" s="24">
        <v>11</v>
      </c>
      <c r="C25" s="8">
        <f t="shared" si="0"/>
        <v>4</v>
      </c>
      <c r="D25" s="8">
        <f t="shared" si="1"/>
        <v>3</v>
      </c>
      <c r="E25" s="24">
        <v>7</v>
      </c>
      <c r="F25" s="24">
        <v>14</v>
      </c>
      <c r="G25" s="3">
        <f t="shared" si="8"/>
        <v>4</v>
      </c>
      <c r="H25" s="25" t="s">
        <v>541</v>
      </c>
      <c r="I25" s="26">
        <v>322107</v>
      </c>
      <c r="J25" s="25" t="s">
        <v>213</v>
      </c>
      <c r="K25" s="25"/>
      <c r="L25" s="25"/>
      <c r="M25" s="95" t="s">
        <v>1</v>
      </c>
      <c r="N25" s="4" t="str">
        <f t="shared" si="9"/>
        <v>marine oil</v>
      </c>
      <c r="O25" s="95" t="s">
        <v>0</v>
      </c>
      <c r="P25" s="27">
        <v>-24.445916666666701</v>
      </c>
      <c r="Q25" s="25" t="s">
        <v>293</v>
      </c>
      <c r="R25" s="25"/>
      <c r="S25" s="84">
        <f t="shared" si="10"/>
        <v>-20.945916666666701</v>
      </c>
      <c r="T25" s="5">
        <v>2.4500000000000002</v>
      </c>
      <c r="U25" s="4" t="s">
        <v>2</v>
      </c>
      <c r="V25" s="88">
        <f t="shared" si="2"/>
        <v>-9.256184032476316</v>
      </c>
      <c r="W25" s="88">
        <f t="shared" si="3"/>
        <v>-7.8061840324763159</v>
      </c>
      <c r="X25" s="88">
        <f t="shared" si="4"/>
        <v>13.42084452521175</v>
      </c>
      <c r="Y25" s="88">
        <f t="shared" si="11"/>
        <v>22.6</v>
      </c>
      <c r="Z25" s="88">
        <v>17.170000000000002</v>
      </c>
      <c r="AA25" s="88">
        <v>5.43</v>
      </c>
      <c r="AB25" s="84" t="s">
        <v>371</v>
      </c>
      <c r="AC25" s="84">
        <f t="shared" si="5"/>
        <v>295.60000000000002</v>
      </c>
      <c r="AD25" s="84"/>
      <c r="AE25" s="23"/>
      <c r="AF25" s="23"/>
      <c r="AG25" s="23"/>
      <c r="AH25" s="23"/>
      <c r="AI25" s="23"/>
      <c r="AJ25" s="23"/>
      <c r="AK25" s="83" t="s">
        <v>259</v>
      </c>
      <c r="AL25" s="84" t="s">
        <v>169</v>
      </c>
      <c r="AM25" s="85">
        <v>170</v>
      </c>
      <c r="AN25" s="85">
        <f>AM25/($AV$8-X25)</f>
        <v>12.997781112679395</v>
      </c>
      <c r="AO25" s="85">
        <v>34</v>
      </c>
      <c r="AP25" s="87">
        <f t="shared" si="6"/>
        <v>3.1204612135525459E-2</v>
      </c>
      <c r="AQ25" s="88">
        <f t="shared" si="7"/>
        <v>416.53397440828417</v>
      </c>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row>
    <row r="26" spans="1:317" x14ac:dyDescent="0.25">
      <c r="A26" s="76">
        <v>19607</v>
      </c>
      <c r="B26" s="3">
        <v>11.1</v>
      </c>
      <c r="C26" s="8">
        <f t="shared" si="0"/>
        <v>0</v>
      </c>
      <c r="D26" s="8">
        <f t="shared" si="1"/>
        <v>0</v>
      </c>
      <c r="E26" s="3">
        <v>11.1</v>
      </c>
      <c r="F26" s="3">
        <v>11.1</v>
      </c>
      <c r="G26" s="3">
        <f t="shared" si="8"/>
        <v>0</v>
      </c>
      <c r="H26" s="25" t="s">
        <v>211</v>
      </c>
      <c r="I26" s="4" t="s">
        <v>149</v>
      </c>
      <c r="J26" s="4" t="s">
        <v>144</v>
      </c>
      <c r="K26" s="4"/>
      <c r="L26" s="4" t="s">
        <v>596</v>
      </c>
      <c r="M26" s="86" t="s">
        <v>4</v>
      </c>
      <c r="N26" s="4" t="str">
        <f t="shared" si="9"/>
        <v>marine sediment</v>
      </c>
      <c r="O26" s="86" t="s">
        <v>27</v>
      </c>
      <c r="P26" s="5">
        <v>-24.1</v>
      </c>
      <c r="Q26" s="4" t="s">
        <v>143</v>
      </c>
      <c r="S26" s="84">
        <f t="shared" si="10"/>
        <v>-20.6</v>
      </c>
      <c r="T26" s="5">
        <v>1.7</v>
      </c>
      <c r="U26" s="4" t="s">
        <v>2</v>
      </c>
      <c r="V26" s="88">
        <f t="shared" si="2"/>
        <v>-9.8538292011019273</v>
      </c>
      <c r="W26" s="88">
        <f t="shared" si="3"/>
        <v>-9.153829201101928</v>
      </c>
      <c r="X26" s="88">
        <f t="shared" si="4"/>
        <v>11.686921379312043</v>
      </c>
      <c r="Y26" s="88">
        <f t="shared" si="11"/>
        <v>17.399999999999999</v>
      </c>
      <c r="Z26" s="88">
        <v>13.2</v>
      </c>
      <c r="AA26" s="88">
        <v>4.2</v>
      </c>
      <c r="AB26" s="84" t="s">
        <v>341</v>
      </c>
      <c r="AC26" s="84">
        <f t="shared" si="5"/>
        <v>290.39999999999998</v>
      </c>
      <c r="AD26" s="84">
        <v>34.5</v>
      </c>
      <c r="AE26" s="23" t="s">
        <v>270</v>
      </c>
      <c r="AF26" s="23" t="s">
        <v>556</v>
      </c>
      <c r="AG26" s="23">
        <f>VLOOKUP(A26, 'fixing lats'!A:F, 4, FALSE)</f>
        <v>36.010300000000001</v>
      </c>
      <c r="AH26" s="23" t="s">
        <v>557</v>
      </c>
      <c r="AI26" s="23">
        <f>VLOOKUP(A26, 'fixing lats'!A:F, 6, FALSE)</f>
        <v>-121.0153</v>
      </c>
      <c r="AJ26" s="23" t="s">
        <v>612</v>
      </c>
      <c r="AK26" s="83" t="s">
        <v>170</v>
      </c>
      <c r="AL26" s="84" t="s">
        <v>169</v>
      </c>
      <c r="AM26" s="86">
        <v>170</v>
      </c>
      <c r="AN26" s="85">
        <f>AM26/($AV$8-X26)</f>
        <v>11.476344948482071</v>
      </c>
      <c r="AO26" s="85">
        <v>34</v>
      </c>
      <c r="AP26" s="87">
        <f t="shared" si="6"/>
        <v>3.6108185815871142E-2</v>
      </c>
      <c r="AQ26" s="88">
        <f t="shared" si="7"/>
        <v>317.83222250500631</v>
      </c>
    </row>
    <row r="27" spans="1:317" x14ac:dyDescent="0.25">
      <c r="A27" s="76">
        <v>19608</v>
      </c>
      <c r="B27" s="3">
        <v>11.3</v>
      </c>
      <c r="C27" s="8">
        <f t="shared" si="0"/>
        <v>0</v>
      </c>
      <c r="D27" s="8">
        <f t="shared" si="1"/>
        <v>0</v>
      </c>
      <c r="E27" s="3">
        <v>11.3</v>
      </c>
      <c r="F27" s="3">
        <v>11.3</v>
      </c>
      <c r="G27" s="3">
        <f t="shared" si="8"/>
        <v>0</v>
      </c>
      <c r="H27" s="25" t="s">
        <v>211</v>
      </c>
      <c r="I27" s="4" t="s">
        <v>150</v>
      </c>
      <c r="J27" s="4" t="s">
        <v>144</v>
      </c>
      <c r="K27" s="4"/>
      <c r="L27" s="4" t="s">
        <v>596</v>
      </c>
      <c r="M27" s="86" t="s">
        <v>4</v>
      </c>
      <c r="N27" s="4" t="str">
        <f t="shared" si="9"/>
        <v>marine sediment</v>
      </c>
      <c r="O27" s="86" t="s">
        <v>27</v>
      </c>
      <c r="P27" s="5">
        <v>-24.2</v>
      </c>
      <c r="Q27" s="4" t="s">
        <v>143</v>
      </c>
      <c r="S27" s="84">
        <f t="shared" si="10"/>
        <v>-20.7</v>
      </c>
      <c r="T27" s="5">
        <v>1.7</v>
      </c>
      <c r="U27" s="4" t="s">
        <v>2</v>
      </c>
      <c r="V27" s="88">
        <f t="shared" si="2"/>
        <v>-9.87607181006857</v>
      </c>
      <c r="W27" s="88">
        <f t="shared" si="3"/>
        <v>-9.1760718100685708</v>
      </c>
      <c r="X27" s="88">
        <f t="shared" si="4"/>
        <v>11.767515766293757</v>
      </c>
      <c r="Y27" s="88">
        <f t="shared" si="11"/>
        <v>17.21</v>
      </c>
      <c r="Z27" s="88">
        <v>13.2</v>
      </c>
      <c r="AA27" s="88">
        <v>4.01</v>
      </c>
      <c r="AB27" s="84" t="s">
        <v>341</v>
      </c>
      <c r="AC27" s="84">
        <f t="shared" si="5"/>
        <v>290.20999999999998</v>
      </c>
      <c r="AD27" s="84">
        <v>34.5</v>
      </c>
      <c r="AE27" s="23" t="s">
        <v>270</v>
      </c>
      <c r="AF27" s="23" t="s">
        <v>556</v>
      </c>
      <c r="AG27" s="23">
        <f>VLOOKUP(A27, 'fixing lats'!A:F, 4, FALSE)</f>
        <v>36.010300000000001</v>
      </c>
      <c r="AH27" s="23" t="s">
        <v>557</v>
      </c>
      <c r="AI27" s="23">
        <f>VLOOKUP(A27, 'fixing lats'!A:F, 6, FALSE)</f>
        <v>-121.0153</v>
      </c>
      <c r="AJ27" s="23" t="s">
        <v>612</v>
      </c>
      <c r="AK27" s="83" t="s">
        <v>170</v>
      </c>
      <c r="AL27" s="84" t="s">
        <v>169</v>
      </c>
      <c r="AM27" s="86">
        <v>170</v>
      </c>
      <c r="AN27" s="85">
        <f>AM27/($AV$8-X27)</f>
        <v>11.53912655213025</v>
      </c>
      <c r="AO27" s="85">
        <v>34</v>
      </c>
      <c r="AP27" s="87">
        <f t="shared" si="6"/>
        <v>3.6310550869293065E-2</v>
      </c>
      <c r="AQ27" s="88">
        <f t="shared" si="7"/>
        <v>317.78990612584192</v>
      </c>
    </row>
    <row r="28" spans="1:317" s="10" customFormat="1" ht="13.95" customHeight="1" x14ac:dyDescent="0.25">
      <c r="A28" s="76">
        <v>19609</v>
      </c>
      <c r="B28" s="3">
        <v>12</v>
      </c>
      <c r="C28" s="8">
        <f t="shared" si="0"/>
        <v>0.19999999999999929</v>
      </c>
      <c r="D28" s="8">
        <f t="shared" si="1"/>
        <v>0.19999999999999929</v>
      </c>
      <c r="E28" s="3">
        <v>11.8</v>
      </c>
      <c r="F28" s="3">
        <v>12.2</v>
      </c>
      <c r="G28" s="3">
        <f t="shared" si="8"/>
        <v>0.19999999999999929</v>
      </c>
      <c r="H28" s="25" t="s">
        <v>435</v>
      </c>
      <c r="I28" s="53" t="s">
        <v>436</v>
      </c>
      <c r="J28" s="4" t="s">
        <v>168</v>
      </c>
      <c r="K28" s="4"/>
      <c r="L28" s="4"/>
      <c r="M28" s="86" t="s">
        <v>4</v>
      </c>
      <c r="N28" s="4" t="str">
        <f t="shared" si="9"/>
        <v>marine sediment</v>
      </c>
      <c r="O28" s="86" t="s">
        <v>27</v>
      </c>
      <c r="P28" s="5">
        <v>-25.56</v>
      </c>
      <c r="Q28" s="4" t="s">
        <v>293</v>
      </c>
      <c r="R28" s="4"/>
      <c r="S28" s="84">
        <f t="shared" si="10"/>
        <v>-22.06</v>
      </c>
      <c r="T28" s="5">
        <v>2.1</v>
      </c>
      <c r="U28" s="4" t="s">
        <v>445</v>
      </c>
      <c r="V28" s="88">
        <f t="shared" si="2"/>
        <v>-9.5446951774340327</v>
      </c>
      <c r="W28" s="88">
        <f t="shared" si="3"/>
        <v>-8.4446951774340331</v>
      </c>
      <c r="X28" s="88">
        <f t="shared" si="4"/>
        <v>13.922433710213289</v>
      </c>
      <c r="Y28" s="88">
        <f t="shared" si="11"/>
        <v>20.06666666666667</v>
      </c>
      <c r="Z28" s="88">
        <v>17.09</v>
      </c>
      <c r="AA28" s="88">
        <v>2.9766666666666701</v>
      </c>
      <c r="AB28" s="84" t="s">
        <v>341</v>
      </c>
      <c r="AC28" s="84">
        <f t="shared" si="5"/>
        <v>293.06666666666666</v>
      </c>
      <c r="AD28" s="84">
        <v>31.356666666666701</v>
      </c>
      <c r="AE28" s="23" t="s">
        <v>465</v>
      </c>
      <c r="AF28" s="23">
        <v>30.73</v>
      </c>
      <c r="AG28" s="23">
        <f>VLOOKUP(A28, 'fixing lats'!A:F, 4, FALSE)</f>
        <v>30.73</v>
      </c>
      <c r="AH28" s="23">
        <v>-120.75784899999999</v>
      </c>
      <c r="AI28" s="23">
        <f>VLOOKUP(A28, 'fixing lats'!A:F, 6, FALSE)</f>
        <v>-120.7578</v>
      </c>
      <c r="AJ28" s="23" t="s">
        <v>612</v>
      </c>
      <c r="AK28" s="83" t="s">
        <v>342</v>
      </c>
      <c r="AL28" s="84" t="s">
        <v>169</v>
      </c>
      <c r="AM28" s="85">
        <v>170</v>
      </c>
      <c r="AN28" s="85">
        <f>AM28/([2]S2!$AC$1-X28)</f>
        <v>13.516128325878443</v>
      </c>
      <c r="AO28" s="86">
        <v>34</v>
      </c>
      <c r="AP28" s="87">
        <f t="shared" si="6"/>
        <v>3.3448336801597763E-2</v>
      </c>
      <c r="AQ28" s="88">
        <f t="shared" si="7"/>
        <v>404.08969827261495</v>
      </c>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row>
    <row r="29" spans="1:317" ht="14.4" customHeight="1" x14ac:dyDescent="0.25">
      <c r="A29" s="76">
        <v>19610</v>
      </c>
      <c r="B29" s="3">
        <v>12.5</v>
      </c>
      <c r="C29" s="8">
        <f t="shared" si="0"/>
        <v>0.30000000000000071</v>
      </c>
      <c r="D29" s="8">
        <f t="shared" si="1"/>
        <v>0.19999999999999929</v>
      </c>
      <c r="E29" s="3">
        <v>12.2</v>
      </c>
      <c r="F29" s="3">
        <v>12.7</v>
      </c>
      <c r="G29" s="3">
        <f t="shared" si="8"/>
        <v>0.30000000000000071</v>
      </c>
      <c r="H29" s="25" t="s">
        <v>435</v>
      </c>
      <c r="I29" s="53" t="s">
        <v>437</v>
      </c>
      <c r="J29" s="4" t="s">
        <v>168</v>
      </c>
      <c r="K29" s="4"/>
      <c r="L29" s="4"/>
      <c r="M29" s="86" t="s">
        <v>4</v>
      </c>
      <c r="N29" s="4" t="str">
        <f t="shared" si="9"/>
        <v>marine sediment</v>
      </c>
      <c r="O29" s="86" t="s">
        <v>27</v>
      </c>
      <c r="P29" s="5">
        <v>-25.25</v>
      </c>
      <c r="Q29" s="4" t="s">
        <v>293</v>
      </c>
      <c r="S29" s="84">
        <f t="shared" si="10"/>
        <v>-21.75</v>
      </c>
      <c r="T29" s="5">
        <v>2.1</v>
      </c>
      <c r="U29" s="4" t="s">
        <v>445</v>
      </c>
      <c r="V29" s="88">
        <f t="shared" si="2"/>
        <v>-9.546418322138873</v>
      </c>
      <c r="W29" s="88">
        <f t="shared" si="3"/>
        <v>-8.4464183221388733</v>
      </c>
      <c r="X29" s="88">
        <f t="shared" si="4"/>
        <v>13.599367930346107</v>
      </c>
      <c r="Y29" s="88">
        <f t="shared" si="11"/>
        <v>20.051666666666669</v>
      </c>
      <c r="Z29" s="88">
        <v>17.09</v>
      </c>
      <c r="AA29" s="88">
        <v>2.96166666666667</v>
      </c>
      <c r="AB29" s="84" t="s">
        <v>341</v>
      </c>
      <c r="AC29" s="84">
        <f t="shared" si="5"/>
        <v>293.05166666666668</v>
      </c>
      <c r="AD29" s="84">
        <v>31.136666666666699</v>
      </c>
      <c r="AE29" s="23" t="s">
        <v>466</v>
      </c>
      <c r="AF29" s="23">
        <v>30.63</v>
      </c>
      <c r="AG29" s="23">
        <f>VLOOKUP(A29, 'fixing lats'!A:F, 4, FALSE)</f>
        <v>30.63</v>
      </c>
      <c r="AH29" s="23">
        <v>-120.75785</v>
      </c>
      <c r="AI29" s="23">
        <f>VLOOKUP(A29, 'fixing lats'!A:F, 6, FALSE)</f>
        <v>-120.75790000000001</v>
      </c>
      <c r="AJ29" s="23" t="s">
        <v>612</v>
      </c>
      <c r="AK29" s="83" t="s">
        <v>342</v>
      </c>
      <c r="AL29" s="84" t="s">
        <v>169</v>
      </c>
      <c r="AM29" s="85">
        <v>170</v>
      </c>
      <c r="AN29" s="85">
        <f>AM29/([2]S2!$AC$1-X29)</f>
        <v>13.17764889984657</v>
      </c>
      <c r="AO29" s="86">
        <v>34</v>
      </c>
      <c r="AP29" s="87">
        <f t="shared" si="6"/>
        <v>3.3462404353042423E-2</v>
      </c>
      <c r="AQ29" s="88">
        <f t="shared" si="7"/>
        <v>393.80460414071979</v>
      </c>
    </row>
    <row r="30" spans="1:317" x14ac:dyDescent="0.25">
      <c r="A30" s="76">
        <v>19611</v>
      </c>
      <c r="B30" s="3">
        <v>13</v>
      </c>
      <c r="C30" s="8">
        <f t="shared" si="0"/>
        <v>0.19999999999999929</v>
      </c>
      <c r="D30" s="8">
        <f t="shared" si="1"/>
        <v>0.19999999999999929</v>
      </c>
      <c r="E30" s="3">
        <v>12.8</v>
      </c>
      <c r="F30" s="3">
        <v>13.2</v>
      </c>
      <c r="G30" s="3">
        <f t="shared" si="8"/>
        <v>0.19999999999999929</v>
      </c>
      <c r="H30" s="25" t="s">
        <v>435</v>
      </c>
      <c r="I30" s="53" t="s">
        <v>438</v>
      </c>
      <c r="J30" s="4" t="s">
        <v>168</v>
      </c>
      <c r="K30" s="4"/>
      <c r="L30" s="4"/>
      <c r="M30" s="86" t="s">
        <v>4</v>
      </c>
      <c r="N30" s="4" t="str">
        <f t="shared" si="9"/>
        <v>marine sediment</v>
      </c>
      <c r="O30" s="86" t="s">
        <v>27</v>
      </c>
      <c r="P30" s="5">
        <v>-25.78</v>
      </c>
      <c r="Q30" s="4" t="s">
        <v>293</v>
      </c>
      <c r="S30" s="84">
        <f t="shared" si="10"/>
        <v>-22.28</v>
      </c>
      <c r="T30" s="5">
        <v>2</v>
      </c>
      <c r="U30" s="4" t="s">
        <v>445</v>
      </c>
      <c r="V30" s="88">
        <f t="shared" si="2"/>
        <v>-9.5481416432528299</v>
      </c>
      <c r="W30" s="88">
        <f t="shared" si="3"/>
        <v>-8.5481416432528299</v>
      </c>
      <c r="X30" s="88">
        <f t="shared" si="4"/>
        <v>14.044775965252887</v>
      </c>
      <c r="Y30" s="88">
        <f t="shared" si="11"/>
        <v>20.036666666666669</v>
      </c>
      <c r="Z30" s="88">
        <v>17.09</v>
      </c>
      <c r="AA30" s="88">
        <v>2.9466666666666699</v>
      </c>
      <c r="AB30" s="84" t="s">
        <v>341</v>
      </c>
      <c r="AC30" s="84">
        <f t="shared" si="5"/>
        <v>293.03666666666669</v>
      </c>
      <c r="AD30" s="84">
        <v>30.9166666666667</v>
      </c>
      <c r="AE30" s="23" t="s">
        <v>467</v>
      </c>
      <c r="AF30" s="23">
        <v>30.54</v>
      </c>
      <c r="AG30" s="23">
        <f>VLOOKUP(A30, 'fixing lats'!A:F, 4, FALSE)</f>
        <v>30.54</v>
      </c>
      <c r="AH30" s="23">
        <v>-120.757851</v>
      </c>
      <c r="AI30" s="23">
        <f>VLOOKUP(A30, 'fixing lats'!A:F, 6, FALSE)</f>
        <v>-120.75790000000001</v>
      </c>
      <c r="AJ30" s="23" t="s">
        <v>612</v>
      </c>
      <c r="AK30" s="83" t="s">
        <v>342</v>
      </c>
      <c r="AL30" s="84" t="s">
        <v>169</v>
      </c>
      <c r="AM30" s="85">
        <v>170</v>
      </c>
      <c r="AN30" s="85">
        <f>AM30/([2]S2!$AC$1-X30)</f>
        <v>13.648891382904107</v>
      </c>
      <c r="AO30" s="86">
        <v>34</v>
      </c>
      <c r="AP30" s="87">
        <f t="shared" si="6"/>
        <v>3.3476481542203229E-2</v>
      </c>
      <c r="AQ30" s="88">
        <f t="shared" si="7"/>
        <v>407.71582777291525</v>
      </c>
    </row>
    <row r="31" spans="1:317" s="2" customFormat="1" ht="13.95" customHeight="1" x14ac:dyDescent="0.25">
      <c r="A31" s="76">
        <v>19612</v>
      </c>
      <c r="B31" s="3">
        <v>13.1</v>
      </c>
      <c r="C31" s="8">
        <f t="shared" si="0"/>
        <v>0</v>
      </c>
      <c r="D31" s="8">
        <f t="shared" si="1"/>
        <v>0</v>
      </c>
      <c r="E31" s="3">
        <v>13.1</v>
      </c>
      <c r="F31" s="3">
        <v>13.1</v>
      </c>
      <c r="G31" s="3">
        <f t="shared" si="8"/>
        <v>0</v>
      </c>
      <c r="H31" s="25" t="s">
        <v>211</v>
      </c>
      <c r="I31" s="4" t="s">
        <v>148</v>
      </c>
      <c r="J31" s="4" t="s">
        <v>144</v>
      </c>
      <c r="K31" s="4"/>
      <c r="L31" s="4" t="s">
        <v>596</v>
      </c>
      <c r="M31" s="86" t="s">
        <v>4</v>
      </c>
      <c r="N31" s="4" t="str">
        <f t="shared" si="9"/>
        <v>marine sediment</v>
      </c>
      <c r="O31" s="86" t="s">
        <v>27</v>
      </c>
      <c r="P31" s="5">
        <v>-24.8</v>
      </c>
      <c r="Q31" s="4" t="s">
        <v>143</v>
      </c>
      <c r="R31" s="4"/>
      <c r="S31" s="84">
        <f t="shared" si="10"/>
        <v>-21.3</v>
      </c>
      <c r="T31" s="5">
        <v>0.8</v>
      </c>
      <c r="U31" s="4" t="s">
        <v>347</v>
      </c>
      <c r="V31" s="88">
        <f t="shared" si="2"/>
        <v>-9.8222713042281562</v>
      </c>
      <c r="W31" s="88">
        <f t="shared" si="3"/>
        <v>-10.022271304228155</v>
      </c>
      <c r="X31" s="88">
        <f t="shared" si="4"/>
        <v>11.523172265016646</v>
      </c>
      <c r="Y31" s="88">
        <f t="shared" si="11"/>
        <v>17.669999999999998</v>
      </c>
      <c r="Z31" s="88">
        <v>13.2</v>
      </c>
      <c r="AA31" s="88">
        <v>4.47</v>
      </c>
      <c r="AB31" s="84" t="s">
        <v>341</v>
      </c>
      <c r="AC31" s="84">
        <f t="shared" si="5"/>
        <v>290.67</v>
      </c>
      <c r="AD31" s="84">
        <v>34.6</v>
      </c>
      <c r="AE31" s="23" t="s">
        <v>270</v>
      </c>
      <c r="AF31" s="23" t="s">
        <v>556</v>
      </c>
      <c r="AG31" s="23">
        <f>VLOOKUP(A31, 'fixing lats'!A:F, 4, FALSE)</f>
        <v>36.010300000000001</v>
      </c>
      <c r="AH31" s="23" t="s">
        <v>557</v>
      </c>
      <c r="AI31" s="23">
        <f>VLOOKUP(A31, 'fixing lats'!A:F, 6, FALSE)</f>
        <v>-121.0153</v>
      </c>
      <c r="AJ31" s="23" t="s">
        <v>612</v>
      </c>
      <c r="AK31" s="83" t="s">
        <v>170</v>
      </c>
      <c r="AL31" s="84" t="s">
        <v>169</v>
      </c>
      <c r="AM31" s="86">
        <v>170</v>
      </c>
      <c r="AN31" s="85">
        <f>AM31/($AV$8-X31)</f>
        <v>11.350868355313224</v>
      </c>
      <c r="AO31" s="85">
        <v>34</v>
      </c>
      <c r="AP31" s="87">
        <f t="shared" si="6"/>
        <v>3.5823685351821774E-2</v>
      </c>
      <c r="AQ31" s="88">
        <f t="shared" si="7"/>
        <v>316.85373081627932</v>
      </c>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row>
    <row r="32" spans="1:317" s="2" customFormat="1" ht="13.95" customHeight="1" x14ac:dyDescent="0.25">
      <c r="A32" s="76">
        <v>19613</v>
      </c>
      <c r="B32" s="3">
        <v>13.5</v>
      </c>
      <c r="C32" s="8">
        <f t="shared" si="0"/>
        <v>9.9999999999999645E-2</v>
      </c>
      <c r="D32" s="8">
        <f t="shared" si="1"/>
        <v>9.9999999999999645E-2</v>
      </c>
      <c r="E32" s="3">
        <v>13.4</v>
      </c>
      <c r="F32" s="3">
        <v>13.6</v>
      </c>
      <c r="G32" s="3">
        <f t="shared" si="8"/>
        <v>9.9999999999999645E-2</v>
      </c>
      <c r="H32" s="25" t="s">
        <v>211</v>
      </c>
      <c r="I32" s="4" t="s">
        <v>138</v>
      </c>
      <c r="J32" s="4" t="s">
        <v>137</v>
      </c>
      <c r="K32" s="4"/>
      <c r="L32" s="4"/>
      <c r="M32" s="86" t="s">
        <v>4</v>
      </c>
      <c r="N32" s="4" t="str">
        <f t="shared" si="9"/>
        <v>marine sediment</v>
      </c>
      <c r="O32" s="86" t="s">
        <v>0</v>
      </c>
      <c r="P32" s="5">
        <v>-29.1</v>
      </c>
      <c r="Q32" s="4" t="s">
        <v>134</v>
      </c>
      <c r="R32" s="4"/>
      <c r="S32" s="84">
        <f t="shared" si="10"/>
        <v>-25.6</v>
      </c>
      <c r="T32" s="5">
        <v>1.8</v>
      </c>
      <c r="U32" s="4" t="s">
        <v>295</v>
      </c>
      <c r="V32" s="88">
        <f t="shared" si="2"/>
        <v>-10.053882923449951</v>
      </c>
      <c r="W32" s="88">
        <f t="shared" si="3"/>
        <v>-9.2538829234499502</v>
      </c>
      <c r="X32" s="88">
        <f t="shared" si="4"/>
        <v>16.775571712387194</v>
      </c>
      <c r="Y32" s="88">
        <v>15.7</v>
      </c>
      <c r="Z32" s="88"/>
      <c r="AA32" s="88"/>
      <c r="AB32" s="84"/>
      <c r="AC32" s="84">
        <f t="shared" si="5"/>
        <v>288.7</v>
      </c>
      <c r="AD32" s="84"/>
      <c r="AE32" s="23"/>
      <c r="AF32" s="23"/>
      <c r="AG32" s="23"/>
      <c r="AH32" s="23"/>
      <c r="AI32" s="23"/>
      <c r="AJ32" s="23"/>
      <c r="AK32" s="83" t="s">
        <v>345</v>
      </c>
      <c r="AL32" s="84" t="s">
        <v>343</v>
      </c>
      <c r="AM32" s="86">
        <v>170</v>
      </c>
      <c r="AN32" s="85">
        <f>AM32/($AV$8-X32)</f>
        <v>17.481747509676204</v>
      </c>
      <c r="AO32" s="85">
        <v>34</v>
      </c>
      <c r="AP32" s="87">
        <f t="shared" si="6"/>
        <v>3.7984666366462076E-2</v>
      </c>
      <c r="AQ32" s="88">
        <f t="shared" si="7"/>
        <v>460.23169825999628</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row>
    <row r="33" spans="1:317" x14ac:dyDescent="0.25">
      <c r="A33" s="76">
        <v>19614</v>
      </c>
      <c r="B33" s="3">
        <v>13.9</v>
      </c>
      <c r="C33" s="8">
        <f t="shared" si="0"/>
        <v>0.20000000000000107</v>
      </c>
      <c r="D33" s="8">
        <f t="shared" si="1"/>
        <v>0.19999999999999929</v>
      </c>
      <c r="E33" s="3">
        <v>13.7</v>
      </c>
      <c r="F33" s="3">
        <v>14.1</v>
      </c>
      <c r="G33" s="3">
        <f t="shared" si="8"/>
        <v>0.20000000000000107</v>
      </c>
      <c r="H33" s="25" t="s">
        <v>435</v>
      </c>
      <c r="I33" s="53" t="s">
        <v>439</v>
      </c>
      <c r="J33" s="4" t="s">
        <v>168</v>
      </c>
      <c r="K33" s="4"/>
      <c r="L33" s="4"/>
      <c r="M33" s="86" t="s">
        <v>4</v>
      </c>
      <c r="N33" s="4" t="str">
        <f t="shared" si="9"/>
        <v>marine sediment</v>
      </c>
      <c r="O33" s="86" t="s">
        <v>27</v>
      </c>
      <c r="P33" s="5">
        <v>-26.07</v>
      </c>
      <c r="Q33" s="4" t="s">
        <v>293</v>
      </c>
      <c r="S33" s="84">
        <f t="shared" si="10"/>
        <v>-22.57</v>
      </c>
      <c r="T33" s="5">
        <v>2.1</v>
      </c>
      <c r="U33" s="4" t="s">
        <v>445</v>
      </c>
      <c r="V33" s="88">
        <f t="shared" si="2"/>
        <v>-9.5498651408030106</v>
      </c>
      <c r="W33" s="88">
        <f t="shared" si="3"/>
        <v>-8.449865140803011</v>
      </c>
      <c r="X33" s="88">
        <f t="shared" si="4"/>
        <v>14.4461852605271</v>
      </c>
      <c r="Y33" s="88">
        <f>Z33+AA33</f>
        <v>20.021666666666668</v>
      </c>
      <c r="Z33" s="88">
        <v>17.09</v>
      </c>
      <c r="AA33" s="88">
        <v>2.9316666666666702</v>
      </c>
      <c r="AB33" s="84" t="s">
        <v>341</v>
      </c>
      <c r="AC33" s="84">
        <f t="shared" si="5"/>
        <v>293.02166666666665</v>
      </c>
      <c r="AD33" s="84">
        <v>30.696666666666701</v>
      </c>
      <c r="AE33" s="23" t="s">
        <v>468</v>
      </c>
      <c r="AF33" s="23">
        <v>30.36</v>
      </c>
      <c r="AG33" s="23">
        <f>VLOOKUP(A33, 'fixing lats'!A:F, 4, FALSE)</f>
        <v>30.36</v>
      </c>
      <c r="AH33" s="23">
        <v>-120.757852</v>
      </c>
      <c r="AI33" s="23">
        <f>VLOOKUP(A33, 'fixing lats'!A:F, 6, FALSE)</f>
        <v>-120.75790000000001</v>
      </c>
      <c r="AJ33" s="23" t="s">
        <v>612</v>
      </c>
      <c r="AK33" s="83" t="s">
        <v>342</v>
      </c>
      <c r="AL33" s="84" t="s">
        <v>169</v>
      </c>
      <c r="AM33" s="85">
        <v>170</v>
      </c>
      <c r="AN33" s="85">
        <f>AM33/([2]S2!$AC$1-X33)</f>
        <v>14.103419015002542</v>
      </c>
      <c r="AO33" s="86">
        <v>34</v>
      </c>
      <c r="AP33" s="87">
        <f t="shared" si="6"/>
        <v>3.3490568376896485E-2</v>
      </c>
      <c r="AQ33" s="88">
        <f t="shared" si="7"/>
        <v>421.1161439927011</v>
      </c>
    </row>
    <row r="34" spans="1:317" ht="14.4" customHeight="1" x14ac:dyDescent="0.25">
      <c r="A34" s="76">
        <v>19615</v>
      </c>
      <c r="B34" s="24">
        <v>14</v>
      </c>
      <c r="C34" s="8">
        <f t="shared" si="0"/>
        <v>8.6999999999999993</v>
      </c>
      <c r="D34" s="8">
        <f t="shared" si="1"/>
        <v>9</v>
      </c>
      <c r="E34" s="24">
        <v>5.3</v>
      </c>
      <c r="F34" s="24">
        <v>23</v>
      </c>
      <c r="G34" s="3">
        <f t="shared" si="8"/>
        <v>9</v>
      </c>
      <c r="H34" s="25" t="s">
        <v>211</v>
      </c>
      <c r="I34" s="26">
        <v>52970</v>
      </c>
      <c r="J34" s="25" t="s">
        <v>212</v>
      </c>
      <c r="K34" s="25"/>
      <c r="L34" s="25" t="s">
        <v>212</v>
      </c>
      <c r="M34" s="95" t="s">
        <v>1</v>
      </c>
      <c r="N34" s="4" t="str">
        <f t="shared" si="9"/>
        <v>marine oil</v>
      </c>
      <c r="O34" s="95" t="s">
        <v>0</v>
      </c>
      <c r="P34" s="27">
        <f>AVERAGE(-23.139,-23.338)</f>
        <v>-23.238500000000002</v>
      </c>
      <c r="Q34" s="25" t="s">
        <v>293</v>
      </c>
      <c r="R34" s="25"/>
      <c r="S34" s="84">
        <f t="shared" si="10"/>
        <v>-19.738500000000002</v>
      </c>
      <c r="T34" s="5">
        <v>2.4500000000000002</v>
      </c>
      <c r="U34" s="4" t="s">
        <v>2</v>
      </c>
      <c r="V34" s="88">
        <f t="shared" si="2"/>
        <v>-9.256184032476316</v>
      </c>
      <c r="W34" s="88">
        <f t="shared" si="3"/>
        <v>-7.8061840324763159</v>
      </c>
      <c r="X34" s="88">
        <f t="shared" si="4"/>
        <v>12.172584527214259</v>
      </c>
      <c r="Y34" s="88">
        <f>Z34+AA34</f>
        <v>22.6</v>
      </c>
      <c r="Z34" s="88">
        <v>17.170000000000002</v>
      </c>
      <c r="AA34" s="88">
        <v>5.43</v>
      </c>
      <c r="AB34" s="84" t="s">
        <v>372</v>
      </c>
      <c r="AC34" s="84">
        <f t="shared" si="5"/>
        <v>295.60000000000002</v>
      </c>
      <c r="AD34" s="84"/>
      <c r="AE34" s="23"/>
      <c r="AF34" s="23"/>
      <c r="AG34" s="23"/>
      <c r="AH34" s="23"/>
      <c r="AI34" s="23"/>
      <c r="AJ34" s="23"/>
      <c r="AK34" s="83" t="s">
        <v>259</v>
      </c>
      <c r="AL34" s="84" t="s">
        <v>169</v>
      </c>
      <c r="AM34" s="85">
        <v>170</v>
      </c>
      <c r="AN34" s="85">
        <f t="shared" ref="AN34:AN39" si="12">AM34/($AV$8-X34)</f>
        <v>11.86536401648344</v>
      </c>
      <c r="AO34" s="85">
        <v>35</v>
      </c>
      <c r="AP34" s="87">
        <f t="shared" si="6"/>
        <v>3.1062512722921702E-2</v>
      </c>
      <c r="AQ34" s="88">
        <f t="shared" si="7"/>
        <v>381.98339336945304</v>
      </c>
    </row>
    <row r="35" spans="1:317" x14ac:dyDescent="0.25">
      <c r="A35" s="76">
        <v>19616</v>
      </c>
      <c r="B35" s="3">
        <v>14.3</v>
      </c>
      <c r="C35" s="8">
        <f t="shared" si="0"/>
        <v>0.10000000000000142</v>
      </c>
      <c r="D35" s="8">
        <f t="shared" si="1"/>
        <v>0.19999999999999929</v>
      </c>
      <c r="E35" s="3">
        <v>14.2</v>
      </c>
      <c r="F35" s="3">
        <v>14.5</v>
      </c>
      <c r="G35" s="3">
        <f t="shared" si="8"/>
        <v>0.19999999999999929</v>
      </c>
      <c r="H35" s="25" t="s">
        <v>211</v>
      </c>
      <c r="I35" s="4" t="s">
        <v>138</v>
      </c>
      <c r="J35" s="4" t="s">
        <v>137</v>
      </c>
      <c r="K35" s="4"/>
      <c r="L35" s="4"/>
      <c r="M35" s="86" t="s">
        <v>4</v>
      </c>
      <c r="N35" s="4" t="str">
        <f t="shared" si="9"/>
        <v>marine sediment</v>
      </c>
      <c r="O35" s="86" t="s">
        <v>0</v>
      </c>
      <c r="P35" s="5">
        <v>-30.2</v>
      </c>
      <c r="Q35" s="4" t="s">
        <v>134</v>
      </c>
      <c r="S35" s="84">
        <f t="shared" si="10"/>
        <v>-26.7</v>
      </c>
      <c r="T35" s="5">
        <v>1.8</v>
      </c>
      <c r="U35" s="4" t="s">
        <v>295</v>
      </c>
      <c r="V35" s="88">
        <f t="shared" si="2"/>
        <v>-10.077573656845754</v>
      </c>
      <c r="W35" s="88">
        <f t="shared" si="3"/>
        <v>-9.2775736568457532</v>
      </c>
      <c r="X35" s="88">
        <f t="shared" si="4"/>
        <v>17.90036611851864</v>
      </c>
      <c r="Y35" s="88">
        <v>15.5</v>
      </c>
      <c r="AB35" s="84"/>
      <c r="AC35" s="84">
        <f t="shared" si="5"/>
        <v>288.5</v>
      </c>
      <c r="AD35" s="84"/>
      <c r="AE35" s="23"/>
      <c r="AF35" s="23"/>
      <c r="AG35" s="23"/>
      <c r="AH35" s="23"/>
      <c r="AI35" s="23"/>
      <c r="AJ35" s="23"/>
      <c r="AK35" s="83" t="s">
        <v>345</v>
      </c>
      <c r="AL35" s="84" t="s">
        <v>343</v>
      </c>
      <c r="AM35" s="86">
        <v>170</v>
      </c>
      <c r="AN35" s="85">
        <f t="shared" si="12"/>
        <v>19.768283434261281</v>
      </c>
      <c r="AO35" s="85">
        <v>34</v>
      </c>
      <c r="AP35" s="87">
        <f t="shared" si="6"/>
        <v>3.8215492318308265E-2</v>
      </c>
      <c r="AQ35" s="88">
        <f t="shared" si="7"/>
        <v>517.28454181893915</v>
      </c>
    </row>
    <row r="36" spans="1:317" x14ac:dyDescent="0.25">
      <c r="A36" s="76">
        <v>19617</v>
      </c>
      <c r="B36" s="3">
        <v>14.5</v>
      </c>
      <c r="C36" s="8">
        <f t="shared" si="0"/>
        <v>9.9999999999999645E-2</v>
      </c>
      <c r="D36" s="8">
        <f t="shared" si="1"/>
        <v>9.9999999999999645E-2</v>
      </c>
      <c r="E36" s="3">
        <v>14.4</v>
      </c>
      <c r="F36" s="3">
        <v>14.6</v>
      </c>
      <c r="G36" s="3">
        <f t="shared" si="8"/>
        <v>9.9999999999999645E-2</v>
      </c>
      <c r="H36" s="25" t="s">
        <v>211</v>
      </c>
      <c r="I36" s="4" t="s">
        <v>138</v>
      </c>
      <c r="J36" s="4" t="s">
        <v>137</v>
      </c>
      <c r="K36" s="4"/>
      <c r="L36" s="4"/>
      <c r="M36" s="86" t="s">
        <v>4</v>
      </c>
      <c r="N36" s="4" t="str">
        <f t="shared" si="9"/>
        <v>marine sediment</v>
      </c>
      <c r="O36" s="86" t="s">
        <v>0</v>
      </c>
      <c r="P36" s="5">
        <v>-29.9</v>
      </c>
      <c r="Q36" s="4" t="s">
        <v>134</v>
      </c>
      <c r="S36" s="84">
        <f t="shared" si="10"/>
        <v>-26.4</v>
      </c>
      <c r="T36" s="5">
        <v>1.85</v>
      </c>
      <c r="U36" s="4" t="s">
        <v>295</v>
      </c>
      <c r="V36" s="88">
        <f t="shared" si="2"/>
        <v>-10.256306620209056</v>
      </c>
      <c r="W36" s="88">
        <f t="shared" si="3"/>
        <v>-9.4063066202090564</v>
      </c>
      <c r="X36" s="88">
        <f t="shared" si="4"/>
        <v>17.454491967739294</v>
      </c>
      <c r="Y36" s="88">
        <v>14</v>
      </c>
      <c r="AB36" s="89"/>
      <c r="AC36" s="84">
        <f t="shared" si="5"/>
        <v>287</v>
      </c>
      <c r="AD36" s="84"/>
      <c r="AE36" s="23"/>
      <c r="AF36" s="23"/>
      <c r="AG36" s="23"/>
      <c r="AH36" s="23"/>
      <c r="AI36" s="23"/>
      <c r="AJ36" s="23"/>
      <c r="AK36" s="83" t="s">
        <v>345</v>
      </c>
      <c r="AL36" s="84" t="s">
        <v>343</v>
      </c>
      <c r="AM36" s="86">
        <v>170</v>
      </c>
      <c r="AN36" s="85">
        <f t="shared" si="12"/>
        <v>18.793858719012448</v>
      </c>
      <c r="AO36" s="85">
        <v>34</v>
      </c>
      <c r="AP36" s="87">
        <f t="shared" si="6"/>
        <v>4.0018666712443481E-2</v>
      </c>
      <c r="AQ36" s="88">
        <f t="shared" si="7"/>
        <v>469.62730802744733</v>
      </c>
    </row>
    <row r="37" spans="1:317" ht="13.95" customHeight="1" x14ac:dyDescent="0.25">
      <c r="A37" s="76">
        <v>19618</v>
      </c>
      <c r="B37" s="3">
        <v>14.5</v>
      </c>
      <c r="C37" s="8">
        <f t="shared" si="0"/>
        <v>9.9999999999999645E-2</v>
      </c>
      <c r="D37" s="8">
        <f t="shared" si="1"/>
        <v>9.9999999999999645E-2</v>
      </c>
      <c r="E37" s="3">
        <v>14.4</v>
      </c>
      <c r="F37" s="3">
        <v>14.6</v>
      </c>
      <c r="G37" s="3">
        <f t="shared" si="8"/>
        <v>9.9999999999999645E-2</v>
      </c>
      <c r="H37" s="25" t="s">
        <v>211</v>
      </c>
      <c r="I37" s="4" t="s">
        <v>138</v>
      </c>
      <c r="J37" s="4" t="s">
        <v>137</v>
      </c>
      <c r="K37" s="4"/>
      <c r="L37" s="4"/>
      <c r="M37" s="86" t="s">
        <v>4</v>
      </c>
      <c r="N37" s="4" t="str">
        <f t="shared" si="9"/>
        <v>marine sediment</v>
      </c>
      <c r="O37" s="86" t="s">
        <v>0</v>
      </c>
      <c r="P37" s="5">
        <v>-30</v>
      </c>
      <c r="Q37" s="4" t="s">
        <v>134</v>
      </c>
      <c r="S37" s="84">
        <f t="shared" si="10"/>
        <v>-26.5</v>
      </c>
      <c r="T37" s="5">
        <v>1.85</v>
      </c>
      <c r="U37" s="4" t="s">
        <v>295</v>
      </c>
      <c r="V37" s="88">
        <f t="shared" si="2"/>
        <v>-10.256306620209056</v>
      </c>
      <c r="W37" s="88">
        <f t="shared" si="3"/>
        <v>-9.4063066202090564</v>
      </c>
      <c r="X37" s="88">
        <f t="shared" si="4"/>
        <v>17.559007067068144</v>
      </c>
      <c r="Y37" s="88">
        <v>14</v>
      </c>
      <c r="AB37" s="89"/>
      <c r="AC37" s="84">
        <f t="shared" si="5"/>
        <v>287</v>
      </c>
      <c r="AD37" s="84"/>
      <c r="AE37" s="23"/>
      <c r="AF37" s="23"/>
      <c r="AG37" s="23"/>
      <c r="AH37" s="23"/>
      <c r="AI37" s="23"/>
      <c r="AJ37" s="23"/>
      <c r="AK37" s="83" t="s">
        <v>345</v>
      </c>
      <c r="AL37" s="84" t="s">
        <v>343</v>
      </c>
      <c r="AM37" s="86">
        <v>170</v>
      </c>
      <c r="AN37" s="85">
        <f t="shared" si="12"/>
        <v>19.013548190363576</v>
      </c>
      <c r="AO37" s="85">
        <v>34</v>
      </c>
      <c r="AP37" s="87">
        <f t="shared" si="6"/>
        <v>4.0018666712443481E-2</v>
      </c>
      <c r="AQ37" s="88">
        <f t="shared" si="7"/>
        <v>475.11698295664274</v>
      </c>
    </row>
    <row r="38" spans="1:317" x14ac:dyDescent="0.25">
      <c r="A38" s="76">
        <v>19619</v>
      </c>
      <c r="B38" s="3">
        <v>14.6</v>
      </c>
      <c r="C38" s="8">
        <f t="shared" si="0"/>
        <v>9.9999999999999645E-2</v>
      </c>
      <c r="D38" s="8">
        <f t="shared" si="1"/>
        <v>9.9999999999999645E-2</v>
      </c>
      <c r="E38" s="3">
        <v>14.7</v>
      </c>
      <c r="F38" s="3">
        <v>14.7</v>
      </c>
      <c r="G38" s="3">
        <f t="shared" si="8"/>
        <v>9.9999999999999645E-2</v>
      </c>
      <c r="H38" s="25" t="s">
        <v>211</v>
      </c>
      <c r="I38" s="4" t="s">
        <v>146</v>
      </c>
      <c r="J38" s="4" t="s">
        <v>144</v>
      </c>
      <c r="K38" s="4"/>
      <c r="L38" s="4" t="s">
        <v>596</v>
      </c>
      <c r="M38" s="86" t="s">
        <v>4</v>
      </c>
      <c r="N38" s="4" t="str">
        <f t="shared" si="9"/>
        <v>marine sediment</v>
      </c>
      <c r="O38" s="86" t="s">
        <v>27</v>
      </c>
      <c r="P38" s="5">
        <v>-25.2</v>
      </c>
      <c r="Q38" s="4" t="s">
        <v>143</v>
      </c>
      <c r="S38" s="84">
        <f t="shared" si="10"/>
        <v>-21.7</v>
      </c>
      <c r="T38" s="5">
        <v>1.6</v>
      </c>
      <c r="U38" s="4" t="s">
        <v>348</v>
      </c>
      <c r="V38" s="88">
        <f t="shared" si="2"/>
        <v>-9.6214500683994579</v>
      </c>
      <c r="W38" s="88">
        <f t="shared" si="3"/>
        <v>-9.0214500683994583</v>
      </c>
      <c r="X38" s="88">
        <f t="shared" si="4"/>
        <v>12.959777094552427</v>
      </c>
      <c r="Y38" s="88">
        <f>Z38+AA38</f>
        <v>19.399999999999999</v>
      </c>
      <c r="Z38" s="88">
        <v>13.2</v>
      </c>
      <c r="AA38" s="88">
        <v>6.2</v>
      </c>
      <c r="AB38" s="84" t="s">
        <v>341</v>
      </c>
      <c r="AC38" s="84">
        <f t="shared" si="5"/>
        <v>292.39999999999998</v>
      </c>
      <c r="AD38" s="84">
        <v>34.6</v>
      </c>
      <c r="AE38" s="23" t="s">
        <v>270</v>
      </c>
      <c r="AF38" s="23" t="s">
        <v>556</v>
      </c>
      <c r="AG38" s="23">
        <f>VLOOKUP(A38, 'fixing lats'!A:F, 4, FALSE)</f>
        <v>36.010300000000001</v>
      </c>
      <c r="AH38" s="23" t="s">
        <v>557</v>
      </c>
      <c r="AI38" s="23">
        <f>VLOOKUP(A38, 'fixing lats'!A:F, 6, FALSE)</f>
        <v>-121.0153</v>
      </c>
      <c r="AJ38" s="23" t="s">
        <v>612</v>
      </c>
      <c r="AK38" s="83" t="s">
        <v>170</v>
      </c>
      <c r="AL38" s="84" t="s">
        <v>169</v>
      </c>
      <c r="AM38" s="86">
        <v>170</v>
      </c>
      <c r="AN38" s="85">
        <f t="shared" si="12"/>
        <v>12.555184740097943</v>
      </c>
      <c r="AO38" s="85">
        <v>34</v>
      </c>
      <c r="AP38" s="87">
        <f t="shared" si="6"/>
        <v>3.4082973703772688E-2</v>
      </c>
      <c r="AQ38" s="88">
        <f t="shared" si="7"/>
        <v>368.37116529853125</v>
      </c>
    </row>
    <row r="39" spans="1:317" ht="13.2" customHeight="1" x14ac:dyDescent="0.25">
      <c r="A39" s="76">
        <v>19620</v>
      </c>
      <c r="B39" s="3">
        <v>14.7</v>
      </c>
      <c r="C39" s="8">
        <f t="shared" si="0"/>
        <v>9.9999999999999645E-2</v>
      </c>
      <c r="D39" s="8">
        <f t="shared" si="1"/>
        <v>9.9999999999999645E-2</v>
      </c>
      <c r="E39" s="3">
        <v>14.6</v>
      </c>
      <c r="F39" s="3">
        <v>14.6</v>
      </c>
      <c r="G39" s="3">
        <f t="shared" si="8"/>
        <v>9.9999999999999645E-2</v>
      </c>
      <c r="H39" s="25" t="s">
        <v>211</v>
      </c>
      <c r="I39" s="4" t="s">
        <v>147</v>
      </c>
      <c r="J39" s="4" t="s">
        <v>144</v>
      </c>
      <c r="K39" s="4"/>
      <c r="L39" s="4" t="s">
        <v>596</v>
      </c>
      <c r="M39" s="86" t="s">
        <v>4</v>
      </c>
      <c r="N39" s="4" t="str">
        <f t="shared" si="9"/>
        <v>marine sediment</v>
      </c>
      <c r="O39" s="86" t="s">
        <v>27</v>
      </c>
      <c r="P39" s="5">
        <v>-25.8</v>
      </c>
      <c r="Q39" s="4" t="s">
        <v>143</v>
      </c>
      <c r="S39" s="84">
        <f t="shared" si="10"/>
        <v>-22.3</v>
      </c>
      <c r="T39" s="5">
        <v>1.3</v>
      </c>
      <c r="U39" s="4" t="s">
        <v>349</v>
      </c>
      <c r="V39" s="88">
        <f t="shared" si="2"/>
        <v>-9.5880187228808644</v>
      </c>
      <c r="W39" s="88">
        <f t="shared" si="3"/>
        <v>-9.2880187228808637</v>
      </c>
      <c r="X39" s="88">
        <f t="shared" si="4"/>
        <v>13.308766776229053</v>
      </c>
      <c r="Y39" s="88">
        <f>Z39+AA39</f>
        <v>19.689999999999998</v>
      </c>
      <c r="Z39" s="88">
        <v>13.2</v>
      </c>
      <c r="AA39" s="88">
        <v>6.49</v>
      </c>
      <c r="AB39" s="84" t="s">
        <v>341</v>
      </c>
      <c r="AC39" s="84">
        <f t="shared" si="5"/>
        <v>292.69</v>
      </c>
      <c r="AD39" s="84">
        <v>34.6</v>
      </c>
      <c r="AE39" s="23" t="s">
        <v>270</v>
      </c>
      <c r="AF39" s="23" t="s">
        <v>556</v>
      </c>
      <c r="AG39" s="23">
        <f>VLOOKUP(A39, 'fixing lats'!A:F, 4, FALSE)</f>
        <v>36.010300000000001</v>
      </c>
      <c r="AH39" s="23" t="s">
        <v>557</v>
      </c>
      <c r="AI39" s="23">
        <f>VLOOKUP(A39, 'fixing lats'!A:F, 6, FALSE)</f>
        <v>-121.0153</v>
      </c>
      <c r="AJ39" s="23" t="s">
        <v>612</v>
      </c>
      <c r="AK39" s="83" t="s">
        <v>170</v>
      </c>
      <c r="AL39" s="84" t="s">
        <v>169</v>
      </c>
      <c r="AM39" s="86">
        <v>170</v>
      </c>
      <c r="AN39" s="85">
        <f t="shared" si="12"/>
        <v>12.887347006620697</v>
      </c>
      <c r="AO39" s="85">
        <v>34</v>
      </c>
      <c r="AP39" s="87">
        <f t="shared" si="6"/>
        <v>3.3804524585486169E-2</v>
      </c>
      <c r="AQ39" s="88">
        <f t="shared" si="7"/>
        <v>381.2314228537864</v>
      </c>
    </row>
    <row r="40" spans="1:317" s="2" customFormat="1" x14ac:dyDescent="0.25">
      <c r="A40" s="76">
        <v>19621</v>
      </c>
      <c r="B40" s="3">
        <v>14.8</v>
      </c>
      <c r="C40" s="8">
        <f t="shared" si="0"/>
        <v>0.30000000000000071</v>
      </c>
      <c r="D40" s="8">
        <f t="shared" si="1"/>
        <v>0.19999999999999929</v>
      </c>
      <c r="E40" s="3">
        <v>14.5</v>
      </c>
      <c r="F40" s="3">
        <v>15</v>
      </c>
      <c r="G40" s="3">
        <f t="shared" si="8"/>
        <v>0.30000000000000071</v>
      </c>
      <c r="H40" s="4" t="s">
        <v>435</v>
      </c>
      <c r="I40" s="53" t="s">
        <v>440</v>
      </c>
      <c r="J40" s="4" t="s">
        <v>168</v>
      </c>
      <c r="K40" s="4"/>
      <c r="L40" s="4"/>
      <c r="M40" s="86" t="s">
        <v>4</v>
      </c>
      <c r="N40" s="4" t="str">
        <f t="shared" si="9"/>
        <v>marine sediment</v>
      </c>
      <c r="O40" s="86" t="s">
        <v>27</v>
      </c>
      <c r="P40" s="5">
        <v>-24.32</v>
      </c>
      <c r="Q40" s="4" t="s">
        <v>293</v>
      </c>
      <c r="R40" s="4"/>
      <c r="S40" s="84">
        <f t="shared" si="10"/>
        <v>-20.82</v>
      </c>
      <c r="T40" s="5">
        <v>2.1</v>
      </c>
      <c r="U40" s="4" t="s">
        <v>445</v>
      </c>
      <c r="V40" s="88">
        <f t="shared" si="2"/>
        <v>-9.5515888148165011</v>
      </c>
      <c r="W40" s="88">
        <f t="shared" si="3"/>
        <v>-8.4515888148165015</v>
      </c>
      <c r="X40" s="88">
        <f t="shared" si="4"/>
        <v>12.631396867974765</v>
      </c>
      <c r="Y40" s="88">
        <f>Z40+AA40</f>
        <v>20.006666666666671</v>
      </c>
      <c r="Z40" s="88">
        <v>17.09</v>
      </c>
      <c r="AA40" s="88">
        <v>2.9166666666666701</v>
      </c>
      <c r="AB40" s="84" t="s">
        <v>341</v>
      </c>
      <c r="AC40" s="84">
        <f t="shared" si="5"/>
        <v>293.00666666666666</v>
      </c>
      <c r="AD40" s="84">
        <v>30.476666666666699</v>
      </c>
      <c r="AE40" s="23" t="s">
        <v>469</v>
      </c>
      <c r="AF40" s="23">
        <v>30.19</v>
      </c>
      <c r="AG40" s="23">
        <f>VLOOKUP(A40, 'fixing lats'!A:F, 4, FALSE)</f>
        <v>30.19</v>
      </c>
      <c r="AH40" s="23">
        <v>-120.757853</v>
      </c>
      <c r="AI40" s="23">
        <f>VLOOKUP(A40, 'fixing lats'!A:F, 6, FALSE)</f>
        <v>-120.75790000000001</v>
      </c>
      <c r="AJ40" s="23" t="s">
        <v>612</v>
      </c>
      <c r="AK40" s="83" t="s">
        <v>342</v>
      </c>
      <c r="AL40" s="84" t="s">
        <v>169</v>
      </c>
      <c r="AM40" s="85">
        <v>170</v>
      </c>
      <c r="AN40" s="85">
        <f>AM40/([2]S2!$AC$1-X40)</f>
        <v>12.257903581323035</v>
      </c>
      <c r="AO40" s="86">
        <v>34</v>
      </c>
      <c r="AP40" s="87">
        <f t="shared" si="6"/>
        <v>3.3504664864946812E-2</v>
      </c>
      <c r="AQ40" s="88">
        <f t="shared" si="7"/>
        <v>365.85662416660898</v>
      </c>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row>
    <row r="41" spans="1:317" ht="12.6" customHeight="1" x14ac:dyDescent="0.25">
      <c r="A41" s="76">
        <v>19622</v>
      </c>
      <c r="B41" s="3">
        <v>14.8</v>
      </c>
      <c r="C41" s="8">
        <f t="shared" si="0"/>
        <v>0.10000000000000142</v>
      </c>
      <c r="D41" s="8">
        <f t="shared" si="1"/>
        <v>9.9999999999999645E-2</v>
      </c>
      <c r="E41" s="3">
        <v>14.7</v>
      </c>
      <c r="F41" s="3">
        <v>14.9</v>
      </c>
      <c r="G41" s="3">
        <f t="shared" si="8"/>
        <v>0.10000000000000142</v>
      </c>
      <c r="H41" s="25" t="s">
        <v>211</v>
      </c>
      <c r="I41" s="4" t="s">
        <v>138</v>
      </c>
      <c r="J41" s="4" t="s">
        <v>137</v>
      </c>
      <c r="K41" s="4"/>
      <c r="L41" s="4"/>
      <c r="M41" s="86" t="s">
        <v>4</v>
      </c>
      <c r="N41" s="4" t="str">
        <f t="shared" si="9"/>
        <v>marine sediment</v>
      </c>
      <c r="O41" s="86" t="s">
        <v>0</v>
      </c>
      <c r="P41" s="5">
        <v>-29.4</v>
      </c>
      <c r="Q41" s="4" t="s">
        <v>134</v>
      </c>
      <c r="S41" s="84">
        <f t="shared" si="10"/>
        <v>-25.9</v>
      </c>
      <c r="T41" s="5">
        <v>1.85</v>
      </c>
      <c r="U41" s="4" t="s">
        <v>295</v>
      </c>
      <c r="V41" s="88">
        <f t="shared" si="2"/>
        <v>-10.31630017452007</v>
      </c>
      <c r="W41" s="88">
        <f t="shared" si="3"/>
        <v>-9.4663001745200699</v>
      </c>
      <c r="X41" s="88">
        <f t="shared" si="4"/>
        <v>16.870649651452574</v>
      </c>
      <c r="Y41" s="88">
        <v>13.5</v>
      </c>
      <c r="AB41" s="89"/>
      <c r="AC41" s="84">
        <f t="shared" si="5"/>
        <v>286.5</v>
      </c>
      <c r="AD41" s="84"/>
      <c r="AE41" s="23"/>
      <c r="AF41" s="23"/>
      <c r="AG41" s="23"/>
      <c r="AH41" s="23"/>
      <c r="AI41" s="23"/>
      <c r="AJ41" s="23"/>
      <c r="AK41" s="83" t="s">
        <v>345</v>
      </c>
      <c r="AL41" s="84" t="s">
        <v>343</v>
      </c>
      <c r="AM41" s="86">
        <v>170</v>
      </c>
      <c r="AN41" s="85">
        <f>AM41/($AV$8-X41)</f>
        <v>17.654358170241906</v>
      </c>
      <c r="AO41" s="85">
        <v>34</v>
      </c>
      <c r="AP41" s="87">
        <f t="shared" si="6"/>
        <v>4.0649155610352303E-2</v>
      </c>
      <c r="AQ41" s="88">
        <f t="shared" si="7"/>
        <v>434.31057558661297</v>
      </c>
    </row>
    <row r="42" spans="1:317" x14ac:dyDescent="0.25">
      <c r="A42" s="76">
        <v>19623</v>
      </c>
      <c r="B42" s="3">
        <v>15</v>
      </c>
      <c r="C42" s="8">
        <f t="shared" si="0"/>
        <v>0.19999999999999929</v>
      </c>
      <c r="D42" s="8">
        <f t="shared" si="1"/>
        <v>0.19999999999999929</v>
      </c>
      <c r="E42" s="3">
        <v>14.8</v>
      </c>
      <c r="F42" s="3">
        <v>15.2</v>
      </c>
      <c r="G42" s="3">
        <f t="shared" si="8"/>
        <v>0.19999999999999929</v>
      </c>
      <c r="H42" s="4" t="s">
        <v>435</v>
      </c>
      <c r="I42" s="53" t="s">
        <v>441</v>
      </c>
      <c r="J42" s="4" t="s">
        <v>168</v>
      </c>
      <c r="K42" s="4"/>
      <c r="L42" s="4"/>
      <c r="M42" s="86" t="s">
        <v>4</v>
      </c>
      <c r="N42" s="4" t="str">
        <f t="shared" si="9"/>
        <v>marine sediment</v>
      </c>
      <c r="O42" s="86" t="s">
        <v>27</v>
      </c>
      <c r="P42" s="5">
        <v>-26.75</v>
      </c>
      <c r="Q42" s="4" t="s">
        <v>293</v>
      </c>
      <c r="S42" s="84">
        <f t="shared" si="10"/>
        <v>-23.25</v>
      </c>
      <c r="T42" s="5">
        <v>2.1</v>
      </c>
      <c r="U42" s="4" t="s">
        <v>445</v>
      </c>
      <c r="V42" s="88">
        <f t="shared" si="2"/>
        <v>-9.5533126653204015</v>
      </c>
      <c r="W42" s="88">
        <f t="shared" si="3"/>
        <v>-8.4533126653204018</v>
      </c>
      <c r="X42" s="88">
        <f t="shared" si="4"/>
        <v>15.148899242057423</v>
      </c>
      <c r="Y42" s="88">
        <f>Z42+AA42</f>
        <v>19.991666666666671</v>
      </c>
      <c r="Z42" s="88">
        <v>17.09</v>
      </c>
      <c r="AA42" s="88">
        <v>2.9016666666666699</v>
      </c>
      <c r="AB42" s="84" t="s">
        <v>341</v>
      </c>
      <c r="AC42" s="84">
        <f t="shared" si="5"/>
        <v>292.99166666666667</v>
      </c>
      <c r="AD42" s="84">
        <v>30.2566666666667</v>
      </c>
      <c r="AE42" s="23" t="s">
        <v>470</v>
      </c>
      <c r="AF42" s="23">
        <v>30.15</v>
      </c>
      <c r="AG42" s="23">
        <f>VLOOKUP(A42, 'fixing lats'!A:F, 4, FALSE)</f>
        <v>30.15</v>
      </c>
      <c r="AH42" s="23">
        <v>-120.75785399999999</v>
      </c>
      <c r="AI42" s="23">
        <f>VLOOKUP(A42, 'fixing lats'!A:F, 6, FALSE)</f>
        <v>-120.75790000000001</v>
      </c>
      <c r="AJ42" s="23" t="s">
        <v>612</v>
      </c>
      <c r="AK42" s="83" t="s">
        <v>342</v>
      </c>
      <c r="AL42" s="84" t="s">
        <v>169</v>
      </c>
      <c r="AM42" s="85">
        <v>170</v>
      </c>
      <c r="AN42" s="85">
        <f>AM42/([2]S2!$AC$1-X42)</f>
        <v>14.976521099158408</v>
      </c>
      <c r="AO42" s="86">
        <v>34</v>
      </c>
      <c r="AP42" s="87">
        <f t="shared" si="6"/>
        <v>3.3518771014185711E-2</v>
      </c>
      <c r="AQ42" s="88">
        <f t="shared" si="7"/>
        <v>446.80997083157047</v>
      </c>
    </row>
    <row r="43" spans="1:317" x14ac:dyDescent="0.25">
      <c r="A43" s="76">
        <v>19624</v>
      </c>
      <c r="B43" s="3">
        <v>15</v>
      </c>
      <c r="C43" s="8">
        <f t="shared" si="0"/>
        <v>0</v>
      </c>
      <c r="D43" s="8">
        <f t="shared" si="1"/>
        <v>0</v>
      </c>
      <c r="E43" s="3">
        <v>15</v>
      </c>
      <c r="F43" s="3">
        <v>15</v>
      </c>
      <c r="G43" s="3">
        <f t="shared" si="8"/>
        <v>0</v>
      </c>
      <c r="H43" s="25" t="s">
        <v>211</v>
      </c>
      <c r="I43" s="4" t="s">
        <v>145</v>
      </c>
      <c r="J43" s="4" t="s">
        <v>144</v>
      </c>
      <c r="K43" s="4"/>
      <c r="L43" s="4" t="s">
        <v>596</v>
      </c>
      <c r="M43" s="86" t="s">
        <v>4</v>
      </c>
      <c r="N43" s="4" t="str">
        <f t="shared" si="9"/>
        <v>marine sediment</v>
      </c>
      <c r="O43" s="86" t="s">
        <v>27</v>
      </c>
      <c r="P43" s="5">
        <v>-26.3</v>
      </c>
      <c r="Q43" s="4" t="s">
        <v>143</v>
      </c>
      <c r="S43" s="84">
        <f t="shared" si="10"/>
        <v>-22.8</v>
      </c>
      <c r="T43" s="5">
        <v>1.2</v>
      </c>
      <c r="U43" s="4" t="s">
        <v>350</v>
      </c>
      <c r="V43" s="88">
        <f t="shared" si="2"/>
        <v>-9.604149717996922</v>
      </c>
      <c r="W43" s="88">
        <f t="shared" si="3"/>
        <v>-9.4041497179969227</v>
      </c>
      <c r="X43" s="88">
        <f t="shared" si="4"/>
        <v>13.708401844047424</v>
      </c>
      <c r="Y43" s="88">
        <f>Z43+AA43</f>
        <v>19.549999999999997</v>
      </c>
      <c r="Z43" s="88">
        <v>13.2</v>
      </c>
      <c r="AA43" s="88">
        <v>6.35</v>
      </c>
      <c r="AB43" s="84" t="s">
        <v>341</v>
      </c>
      <c r="AC43" s="84">
        <f t="shared" si="5"/>
        <v>292.55</v>
      </c>
      <c r="AD43" s="84">
        <v>34.6</v>
      </c>
      <c r="AE43" s="23" t="s">
        <v>270</v>
      </c>
      <c r="AF43" s="23" t="s">
        <v>556</v>
      </c>
      <c r="AG43" s="23">
        <f>VLOOKUP(A43, 'fixing lats'!A:F, 4, FALSE)</f>
        <v>36.010300000000001</v>
      </c>
      <c r="AH43" s="23" t="s">
        <v>557</v>
      </c>
      <c r="AI43" s="23">
        <f>VLOOKUP(A43, 'fixing lats'!A:F, 6, FALSE)</f>
        <v>-121.0153</v>
      </c>
      <c r="AJ43" s="23" t="s">
        <v>612</v>
      </c>
      <c r="AK43" s="83" t="s">
        <v>170</v>
      </c>
      <c r="AL43" s="84" t="s">
        <v>169</v>
      </c>
      <c r="AM43" s="86">
        <v>170</v>
      </c>
      <c r="AN43" s="85">
        <f t="shared" ref="AN43:AN48" si="13">AM43/($AV$8-X43)</f>
        <v>13.289973459718981</v>
      </c>
      <c r="AO43" s="85">
        <v>34</v>
      </c>
      <c r="AP43" s="87">
        <f t="shared" si="6"/>
        <v>3.3938486060615669E-2</v>
      </c>
      <c r="AQ43" s="88">
        <f t="shared" si="7"/>
        <v>391.59005018616585</v>
      </c>
    </row>
    <row r="44" spans="1:317" ht="13.2" customHeight="1" x14ac:dyDescent="0.25">
      <c r="A44" s="76">
        <v>19625</v>
      </c>
      <c r="B44" s="3">
        <v>15</v>
      </c>
      <c r="C44" s="8">
        <f t="shared" si="0"/>
        <v>9.6669999999999998</v>
      </c>
      <c r="D44" s="8">
        <f t="shared" si="1"/>
        <v>8.0300000000000011</v>
      </c>
      <c r="E44" s="3">
        <v>5.3330000000000002</v>
      </c>
      <c r="F44" s="3">
        <v>23.03</v>
      </c>
      <c r="G44" s="3">
        <f t="shared" si="8"/>
        <v>9.6669999999999998</v>
      </c>
      <c r="H44" s="25" t="s">
        <v>211</v>
      </c>
      <c r="I44" s="4">
        <v>1507</v>
      </c>
      <c r="J44" s="4" t="s">
        <v>140</v>
      </c>
      <c r="K44" s="4"/>
      <c r="L44" s="4" t="s">
        <v>596</v>
      </c>
      <c r="M44" s="86" t="s">
        <v>1</v>
      </c>
      <c r="N44" s="4" t="str">
        <f t="shared" si="9"/>
        <v>marine oil</v>
      </c>
      <c r="O44" s="86" t="s">
        <v>0</v>
      </c>
      <c r="P44" s="4">
        <v>-26.1</v>
      </c>
      <c r="Q44" s="4" t="s">
        <v>139</v>
      </c>
      <c r="S44" s="84">
        <f t="shared" si="10"/>
        <v>-22.6</v>
      </c>
      <c r="T44" s="5">
        <v>1.2</v>
      </c>
      <c r="U44" s="4" t="s">
        <v>351</v>
      </c>
      <c r="V44" s="88">
        <f t="shared" si="2"/>
        <v>-9.6191423295260243</v>
      </c>
      <c r="W44" s="88">
        <f t="shared" si="3"/>
        <v>-9.419142329526025</v>
      </c>
      <c r="X44" s="88">
        <f t="shared" si="4"/>
        <v>13.485632975725359</v>
      </c>
      <c r="Y44" s="88">
        <f>Z44+AA44</f>
        <v>19.419999999999998</v>
      </c>
      <c r="Z44" s="88">
        <v>13.2</v>
      </c>
      <c r="AA44" s="88">
        <v>6.22</v>
      </c>
      <c r="AB44" s="84" t="s">
        <v>341</v>
      </c>
      <c r="AC44" s="84">
        <f t="shared" si="5"/>
        <v>292.42</v>
      </c>
      <c r="AD44" s="84">
        <v>34.6</v>
      </c>
      <c r="AE44" s="23" t="s">
        <v>270</v>
      </c>
      <c r="AF44" s="23" t="s">
        <v>556</v>
      </c>
      <c r="AG44" s="23">
        <f>VLOOKUP(A44, 'fixing lats'!A:F, 4, FALSE)</f>
        <v>36.010300000000001</v>
      </c>
      <c r="AH44" s="23" t="s">
        <v>557</v>
      </c>
      <c r="AI44" s="23">
        <f>VLOOKUP(A44, 'fixing lats'!A:F, 6, FALSE)</f>
        <v>-121.0153</v>
      </c>
      <c r="AJ44" s="23" t="s">
        <v>612</v>
      </c>
      <c r="AK44" s="83" t="s">
        <v>170</v>
      </c>
      <c r="AL44" s="84" t="s">
        <v>169</v>
      </c>
      <c r="AM44" s="86">
        <v>170</v>
      </c>
      <c r="AN44" s="85">
        <f t="shared" si="13"/>
        <v>13.062486994789129</v>
      </c>
      <c r="AO44" s="85">
        <v>34</v>
      </c>
      <c r="AP44" s="87">
        <f t="shared" si="6"/>
        <v>3.4063651175066059E-2</v>
      </c>
      <c r="AQ44" s="88">
        <f t="shared" si="7"/>
        <v>383.47289689105963</v>
      </c>
    </row>
    <row r="45" spans="1:317" x14ac:dyDescent="0.25">
      <c r="A45" s="76">
        <v>19626</v>
      </c>
      <c r="B45" s="3">
        <v>15</v>
      </c>
      <c r="C45" s="8">
        <f t="shared" si="0"/>
        <v>9.6669999999999998</v>
      </c>
      <c r="D45" s="8">
        <f t="shared" si="1"/>
        <v>8.0300000000000011</v>
      </c>
      <c r="E45" s="3">
        <v>5.3330000000000002</v>
      </c>
      <c r="F45" s="3">
        <v>23.03</v>
      </c>
      <c r="G45" s="3">
        <f t="shared" si="8"/>
        <v>9.6669999999999998</v>
      </c>
      <c r="H45" s="25" t="s">
        <v>211</v>
      </c>
      <c r="I45" s="4">
        <v>502</v>
      </c>
      <c r="J45" s="4" t="s">
        <v>142</v>
      </c>
      <c r="K45" s="4"/>
      <c r="L45" s="4" t="s">
        <v>596</v>
      </c>
      <c r="M45" s="86" t="s">
        <v>1</v>
      </c>
      <c r="N45" s="4" t="str">
        <f t="shared" si="9"/>
        <v>marine oil</v>
      </c>
      <c r="O45" s="86" t="s">
        <v>0</v>
      </c>
      <c r="P45" s="4">
        <v>-26.6</v>
      </c>
      <c r="Q45" s="4" t="s">
        <v>141</v>
      </c>
      <c r="S45" s="84">
        <f t="shared" si="10"/>
        <v>-23.1</v>
      </c>
      <c r="T45" s="5">
        <v>2.2000000000000002</v>
      </c>
      <c r="U45" s="4" t="s">
        <v>366</v>
      </c>
      <c r="V45" s="88">
        <f t="shared" si="2"/>
        <v>-9.3320055606415089</v>
      </c>
      <c r="W45" s="88">
        <f t="shared" si="3"/>
        <v>-8.1320055606415096</v>
      </c>
      <c r="X45" s="88">
        <f t="shared" si="4"/>
        <v>15.321931046533566</v>
      </c>
      <c r="Y45" s="88">
        <f>Z45+AA45</f>
        <v>21.93</v>
      </c>
      <c r="Z45" s="88">
        <v>15.73</v>
      </c>
      <c r="AA45" s="88">
        <v>6.2</v>
      </c>
      <c r="AB45" s="84" t="s">
        <v>341</v>
      </c>
      <c r="AC45" s="84">
        <f t="shared" si="5"/>
        <v>294.93</v>
      </c>
      <c r="AD45" s="84">
        <v>34.6</v>
      </c>
      <c r="AE45" s="23" t="s">
        <v>271</v>
      </c>
      <c r="AF45" s="23" t="s">
        <v>558</v>
      </c>
      <c r="AG45" s="23">
        <f>VLOOKUP(A45, 'fixing lats'!A:F, 4, FALSE)</f>
        <v>42.015099999999997</v>
      </c>
      <c r="AH45" s="23" t="s">
        <v>559</v>
      </c>
      <c r="AI45" s="23">
        <f>VLOOKUP(A45, 'fixing lats'!A:F, 6, FALSE)</f>
        <v>-9.0044000000000004</v>
      </c>
      <c r="AJ45" s="23" t="s">
        <v>612</v>
      </c>
      <c r="AK45" s="83" t="s">
        <v>175</v>
      </c>
      <c r="AL45" s="84" t="s">
        <v>169</v>
      </c>
      <c r="AM45" s="86">
        <v>170</v>
      </c>
      <c r="AN45" s="85">
        <f t="shared" si="13"/>
        <v>15.208351344735734</v>
      </c>
      <c r="AO45" s="85">
        <v>34</v>
      </c>
      <c r="AP45" s="87">
        <f t="shared" si="6"/>
        <v>3.1773310908302439E-2</v>
      </c>
      <c r="AQ45" s="88">
        <f t="shared" si="7"/>
        <v>478.65176495540339</v>
      </c>
    </row>
    <row r="46" spans="1:317" x14ac:dyDescent="0.25">
      <c r="A46" s="76">
        <v>19627</v>
      </c>
      <c r="B46" s="3">
        <v>15.1</v>
      </c>
      <c r="C46" s="8">
        <f t="shared" si="0"/>
        <v>9.9999999999999645E-2</v>
      </c>
      <c r="D46" s="8">
        <f t="shared" si="1"/>
        <v>9.9999999999999645E-2</v>
      </c>
      <c r="E46" s="3">
        <v>15</v>
      </c>
      <c r="F46" s="3">
        <v>15.2</v>
      </c>
      <c r="G46" s="3">
        <f t="shared" si="8"/>
        <v>9.9999999999999645E-2</v>
      </c>
      <c r="H46" s="25" t="s">
        <v>211</v>
      </c>
      <c r="I46" s="4" t="s">
        <v>138</v>
      </c>
      <c r="J46" s="4" t="s">
        <v>137</v>
      </c>
      <c r="K46" s="4"/>
      <c r="L46" s="4"/>
      <c r="M46" s="86" t="s">
        <v>4</v>
      </c>
      <c r="N46" s="4" t="str">
        <f t="shared" si="9"/>
        <v>marine sediment</v>
      </c>
      <c r="O46" s="86" t="s">
        <v>0</v>
      </c>
      <c r="P46" s="5">
        <v>-29.5</v>
      </c>
      <c r="Q46" s="4" t="s">
        <v>134</v>
      </c>
      <c r="S46" s="84">
        <f t="shared" si="10"/>
        <v>-26</v>
      </c>
      <c r="T46" s="5">
        <v>1.7</v>
      </c>
      <c r="U46" s="4" t="s">
        <v>295</v>
      </c>
      <c r="V46" s="88">
        <f t="shared" si="2"/>
        <v>-10.256306620209056</v>
      </c>
      <c r="W46" s="88">
        <f t="shared" si="3"/>
        <v>-9.5563066202090567</v>
      </c>
      <c r="X46" s="88">
        <f t="shared" si="4"/>
        <v>16.882642073707377</v>
      </c>
      <c r="Y46" s="88">
        <v>14</v>
      </c>
      <c r="AB46" s="89"/>
      <c r="AC46" s="84">
        <f t="shared" si="5"/>
        <v>287</v>
      </c>
      <c r="AD46" s="84"/>
      <c r="AE46" s="23"/>
      <c r="AF46" s="23"/>
      <c r="AG46" s="23"/>
      <c r="AH46" s="23"/>
      <c r="AI46" s="23"/>
      <c r="AJ46" s="23"/>
      <c r="AK46" s="83" t="s">
        <v>345</v>
      </c>
      <c r="AL46" s="84" t="s">
        <v>343</v>
      </c>
      <c r="AM46" s="86">
        <v>170</v>
      </c>
      <c r="AN46" s="85">
        <f t="shared" si="13"/>
        <v>17.676372378243489</v>
      </c>
      <c r="AO46" s="85">
        <v>34</v>
      </c>
      <c r="AP46" s="87">
        <f t="shared" si="6"/>
        <v>4.0018666712443481E-2</v>
      </c>
      <c r="AQ46" s="88">
        <f t="shared" si="7"/>
        <v>441.70318079955331</v>
      </c>
    </row>
    <row r="47" spans="1:317" ht="13.2" customHeight="1" x14ac:dyDescent="0.25">
      <c r="A47" s="76">
        <v>19628</v>
      </c>
      <c r="B47" s="3">
        <v>15.2</v>
      </c>
      <c r="C47" s="8">
        <f t="shared" si="0"/>
        <v>9.9999999999999645E-2</v>
      </c>
      <c r="D47" s="8">
        <f t="shared" si="1"/>
        <v>5.0000000000000711E-2</v>
      </c>
      <c r="E47" s="3">
        <v>15.1</v>
      </c>
      <c r="F47" s="3">
        <v>15.25</v>
      </c>
      <c r="G47" s="3">
        <f t="shared" si="8"/>
        <v>9.9999999999999645E-2</v>
      </c>
      <c r="H47" s="25" t="s">
        <v>211</v>
      </c>
      <c r="I47" s="4" t="s">
        <v>138</v>
      </c>
      <c r="J47" s="4" t="s">
        <v>137</v>
      </c>
      <c r="K47" s="4"/>
      <c r="L47" s="4"/>
      <c r="M47" s="86" t="s">
        <v>4</v>
      </c>
      <c r="N47" s="4" t="str">
        <f t="shared" si="9"/>
        <v>marine sediment</v>
      </c>
      <c r="O47" s="86" t="s">
        <v>0</v>
      </c>
      <c r="P47" s="5">
        <v>-30.4</v>
      </c>
      <c r="Q47" s="4" t="s">
        <v>134</v>
      </c>
      <c r="S47" s="84">
        <f t="shared" si="10"/>
        <v>-26.9</v>
      </c>
      <c r="T47" s="5">
        <v>1.7</v>
      </c>
      <c r="U47" s="4" t="s">
        <v>295</v>
      </c>
      <c r="V47" s="88">
        <f t="shared" si="2"/>
        <v>-10.36444599790283</v>
      </c>
      <c r="W47" s="88">
        <f t="shared" si="3"/>
        <v>-9.6644459979028312</v>
      </c>
      <c r="X47" s="88">
        <f t="shared" si="4"/>
        <v>17.712006990131755</v>
      </c>
      <c r="Y47" s="88">
        <v>13.1</v>
      </c>
      <c r="AB47" s="89"/>
      <c r="AC47" s="84">
        <f t="shared" si="5"/>
        <v>286.10000000000002</v>
      </c>
      <c r="AD47" s="84"/>
      <c r="AE47" s="23"/>
      <c r="AF47" s="23"/>
      <c r="AG47" s="23"/>
      <c r="AH47" s="23"/>
      <c r="AI47" s="23"/>
      <c r="AJ47" s="23"/>
      <c r="AK47" s="83" t="s">
        <v>345</v>
      </c>
      <c r="AL47" s="84" t="s">
        <v>343</v>
      </c>
      <c r="AM47" s="86">
        <v>170</v>
      </c>
      <c r="AN47" s="85">
        <f t="shared" si="13"/>
        <v>19.344576151699595</v>
      </c>
      <c r="AO47" s="85">
        <v>34</v>
      </c>
      <c r="AP47" s="87">
        <f t="shared" si="6"/>
        <v>4.1164635259048302E-2</v>
      </c>
      <c r="AQ47" s="88">
        <f t="shared" si="7"/>
        <v>469.93192165956356</v>
      </c>
    </row>
    <row r="48" spans="1:317" x14ac:dyDescent="0.25">
      <c r="A48" s="76">
        <v>19629</v>
      </c>
      <c r="B48" s="3">
        <v>15.25</v>
      </c>
      <c r="C48" s="8">
        <f t="shared" si="0"/>
        <v>5.0000000000000711E-2</v>
      </c>
      <c r="D48" s="8">
        <f t="shared" si="1"/>
        <v>5.0000000000000711E-2</v>
      </c>
      <c r="E48" s="3">
        <v>15.2</v>
      </c>
      <c r="F48" s="3">
        <v>15.3</v>
      </c>
      <c r="G48" s="3">
        <f t="shared" si="8"/>
        <v>5.0000000000000711E-2</v>
      </c>
      <c r="H48" s="25" t="s">
        <v>211</v>
      </c>
      <c r="I48" s="4" t="s">
        <v>138</v>
      </c>
      <c r="J48" s="4" t="s">
        <v>137</v>
      </c>
      <c r="K48" s="4"/>
      <c r="L48" s="4"/>
      <c r="M48" s="86" t="s">
        <v>4</v>
      </c>
      <c r="N48" s="4" t="str">
        <f t="shared" si="9"/>
        <v>marine sediment</v>
      </c>
      <c r="O48" s="86" t="s">
        <v>0</v>
      </c>
      <c r="P48" s="5">
        <v>-29.5</v>
      </c>
      <c r="Q48" s="4" t="s">
        <v>134</v>
      </c>
      <c r="S48" s="84">
        <f t="shared" si="10"/>
        <v>-26</v>
      </c>
      <c r="T48" s="5">
        <v>1.7</v>
      </c>
      <c r="U48" s="4" t="s">
        <v>295</v>
      </c>
      <c r="V48" s="88">
        <f t="shared" si="2"/>
        <v>-10.388569429870589</v>
      </c>
      <c r="W48" s="88">
        <f t="shared" si="3"/>
        <v>-9.68856942987059</v>
      </c>
      <c r="X48" s="88">
        <f t="shared" si="4"/>
        <v>16.746848634629828</v>
      </c>
      <c r="Y48" s="88">
        <v>12.9</v>
      </c>
      <c r="AB48" s="89"/>
      <c r="AC48" s="84">
        <f t="shared" si="5"/>
        <v>285.89999999999998</v>
      </c>
      <c r="AD48" s="84"/>
      <c r="AE48" s="23"/>
      <c r="AF48" s="23"/>
      <c r="AG48" s="23"/>
      <c r="AH48" s="23"/>
      <c r="AI48" s="23"/>
      <c r="AJ48" s="23"/>
      <c r="AK48" s="83" t="s">
        <v>345</v>
      </c>
      <c r="AL48" s="84" t="s">
        <v>343</v>
      </c>
      <c r="AM48" s="86">
        <v>170</v>
      </c>
      <c r="AN48" s="85">
        <f t="shared" si="13"/>
        <v>17.430263679040912</v>
      </c>
      <c r="AO48" s="85">
        <v>34</v>
      </c>
      <c r="AP48" s="87">
        <f t="shared" si="6"/>
        <v>4.1426149969017265E-2</v>
      </c>
      <c r="AQ48" s="88">
        <f t="shared" si="7"/>
        <v>420.75509532208656</v>
      </c>
    </row>
    <row r="49" spans="1:43" x14ac:dyDescent="0.25">
      <c r="A49" s="76">
        <v>19630</v>
      </c>
      <c r="B49" s="3">
        <v>15.6</v>
      </c>
      <c r="C49" s="8">
        <f t="shared" si="0"/>
        <v>9.9999999999999645E-2</v>
      </c>
      <c r="D49" s="8">
        <f t="shared" si="1"/>
        <v>9.9999999999999645E-2</v>
      </c>
      <c r="E49" s="3">
        <v>15.5</v>
      </c>
      <c r="F49" s="3">
        <v>15.7</v>
      </c>
      <c r="G49" s="3">
        <f t="shared" si="8"/>
        <v>9.9999999999999645E-2</v>
      </c>
      <c r="H49" s="4" t="s">
        <v>435</v>
      </c>
      <c r="I49" s="53" t="s">
        <v>442</v>
      </c>
      <c r="J49" s="4" t="s">
        <v>168</v>
      </c>
      <c r="K49" s="4"/>
      <c r="L49" s="4"/>
      <c r="M49" s="86" t="s">
        <v>4</v>
      </c>
      <c r="N49" s="4" t="str">
        <f t="shared" si="9"/>
        <v>marine sediment</v>
      </c>
      <c r="O49" s="86" t="s">
        <v>27</v>
      </c>
      <c r="P49" s="5">
        <v>-25.69</v>
      </c>
      <c r="Q49" s="4" t="s">
        <v>293</v>
      </c>
      <c r="S49" s="84">
        <f t="shared" si="10"/>
        <v>-22.19</v>
      </c>
      <c r="T49" s="5">
        <v>2</v>
      </c>
      <c r="U49" s="4" t="s">
        <v>445</v>
      </c>
      <c r="V49" s="88">
        <f t="shared" si="2"/>
        <v>-9.5550366923418188</v>
      </c>
      <c r="W49" s="88">
        <f t="shared" si="3"/>
        <v>-8.5550366923418188</v>
      </c>
      <c r="X49" s="88">
        <f t="shared" si="4"/>
        <v>13.944389306366434</v>
      </c>
      <c r="Y49" s="88">
        <f>Z49+AA49</f>
        <v>19.97666666666667</v>
      </c>
      <c r="Z49" s="88">
        <v>17.09</v>
      </c>
      <c r="AA49" s="88">
        <v>2.8866666666666698</v>
      </c>
      <c r="AB49" s="84" t="s">
        <v>341</v>
      </c>
      <c r="AC49" s="84">
        <f t="shared" si="5"/>
        <v>292.97666666666669</v>
      </c>
      <c r="AD49" s="84">
        <v>30.036666666666701</v>
      </c>
      <c r="AE49" s="23" t="s">
        <v>471</v>
      </c>
      <c r="AF49" s="23">
        <v>30.04</v>
      </c>
      <c r="AG49" s="23">
        <f>VLOOKUP(A49, 'fixing lats'!A:F, 4, FALSE)</f>
        <v>30.04</v>
      </c>
      <c r="AH49" s="23">
        <v>-120.75785500000001</v>
      </c>
      <c r="AI49" s="23">
        <f>VLOOKUP(A49, 'fixing lats'!A:F, 6, FALSE)</f>
        <v>-120.75790000000001</v>
      </c>
      <c r="AJ49" s="23" t="s">
        <v>612</v>
      </c>
      <c r="AK49" s="83" t="s">
        <v>342</v>
      </c>
      <c r="AL49" s="84" t="s">
        <v>169</v>
      </c>
      <c r="AM49" s="85">
        <v>170</v>
      </c>
      <c r="AN49" s="85">
        <f>AM49/([2]S2!$AC$1-X49)</f>
        <v>13.539763548594255</v>
      </c>
      <c r="AO49" s="86">
        <v>34</v>
      </c>
      <c r="AP49" s="87">
        <f t="shared" si="6"/>
        <v>3.3532886832452369E-2</v>
      </c>
      <c r="AQ49" s="88">
        <f t="shared" si="7"/>
        <v>403.77566107701705</v>
      </c>
    </row>
    <row r="50" spans="1:43" x14ac:dyDescent="0.25">
      <c r="A50" s="76">
        <v>19631</v>
      </c>
      <c r="B50" s="3">
        <v>15.7</v>
      </c>
      <c r="C50" s="8">
        <f t="shared" si="0"/>
        <v>0.19999999999999929</v>
      </c>
      <c r="D50" s="8">
        <f t="shared" si="1"/>
        <v>5.0000000000000711E-2</v>
      </c>
      <c r="E50" s="3">
        <v>15.5</v>
      </c>
      <c r="F50" s="3">
        <v>15.75</v>
      </c>
      <c r="G50" s="3">
        <f t="shared" si="8"/>
        <v>0.19999999999999929</v>
      </c>
      <c r="H50" s="25" t="s">
        <v>211</v>
      </c>
      <c r="I50" s="4" t="s">
        <v>138</v>
      </c>
      <c r="J50" s="4" t="s">
        <v>137</v>
      </c>
      <c r="K50" s="4"/>
      <c r="L50" s="4"/>
      <c r="M50" s="86" t="s">
        <v>4</v>
      </c>
      <c r="N50" s="4" t="str">
        <f t="shared" si="9"/>
        <v>marine sediment</v>
      </c>
      <c r="O50" s="86" t="s">
        <v>0</v>
      </c>
      <c r="P50" s="5">
        <v>-30.8</v>
      </c>
      <c r="Q50" s="4" t="s">
        <v>134</v>
      </c>
      <c r="S50" s="84">
        <f t="shared" si="10"/>
        <v>-27.3</v>
      </c>
      <c r="T50" s="5">
        <v>1.8</v>
      </c>
      <c r="U50" s="4" t="s">
        <v>295</v>
      </c>
      <c r="V50" s="88">
        <f t="shared" si="2"/>
        <v>-10.042049861495844</v>
      </c>
      <c r="W50" s="88">
        <f t="shared" si="3"/>
        <v>-9.2420498614958433</v>
      </c>
      <c r="X50" s="88">
        <f t="shared" si="4"/>
        <v>18.564768313461542</v>
      </c>
      <c r="Y50" s="88">
        <v>15.8</v>
      </c>
      <c r="AB50" s="89"/>
      <c r="AC50" s="84">
        <f t="shared" si="5"/>
        <v>288.8</v>
      </c>
      <c r="AD50" s="84"/>
      <c r="AE50" s="23"/>
      <c r="AF50" s="23"/>
      <c r="AG50" s="23"/>
      <c r="AH50" s="23"/>
      <c r="AI50" s="23"/>
      <c r="AJ50" s="23"/>
      <c r="AK50" s="83" t="s">
        <v>345</v>
      </c>
      <c r="AL50" s="84" t="s">
        <v>343</v>
      </c>
      <c r="AM50" s="86">
        <v>170</v>
      </c>
      <c r="AN50" s="85">
        <f>AM50/($AV$8-X50)</f>
        <v>21.423445050557579</v>
      </c>
      <c r="AO50" s="85">
        <v>34</v>
      </c>
      <c r="AP50" s="87">
        <f t="shared" si="6"/>
        <v>3.7870071779691018E-2</v>
      </c>
      <c r="AQ50" s="88">
        <f t="shared" si="7"/>
        <v>565.70912184134158</v>
      </c>
    </row>
    <row r="51" spans="1:43" x14ac:dyDescent="0.25">
      <c r="A51" s="76">
        <v>19632</v>
      </c>
      <c r="B51" s="3">
        <v>15.9</v>
      </c>
      <c r="C51" s="8">
        <f t="shared" si="0"/>
        <v>0.15000000000000036</v>
      </c>
      <c r="D51" s="8">
        <f t="shared" si="1"/>
        <v>0</v>
      </c>
      <c r="E51" s="3">
        <v>15.75</v>
      </c>
      <c r="F51" s="3">
        <v>15.9</v>
      </c>
      <c r="G51" s="3">
        <f t="shared" si="8"/>
        <v>0.15000000000000036</v>
      </c>
      <c r="H51" s="25" t="s">
        <v>211</v>
      </c>
      <c r="I51" s="4" t="s">
        <v>138</v>
      </c>
      <c r="J51" s="4" t="s">
        <v>137</v>
      </c>
      <c r="K51" s="4"/>
      <c r="L51" s="4"/>
      <c r="M51" s="86" t="s">
        <v>4</v>
      </c>
      <c r="N51" s="4" t="str">
        <f t="shared" si="9"/>
        <v>marine sediment</v>
      </c>
      <c r="O51" s="86" t="s">
        <v>0</v>
      </c>
      <c r="P51" s="5">
        <v>-31</v>
      </c>
      <c r="Q51" s="4" t="s">
        <v>134</v>
      </c>
      <c r="S51" s="84">
        <f t="shared" si="10"/>
        <v>-27.5</v>
      </c>
      <c r="T51" s="5">
        <v>2.1</v>
      </c>
      <c r="U51" s="4" t="s">
        <v>295</v>
      </c>
      <c r="V51" s="88">
        <f t="shared" si="2"/>
        <v>-10.256306620209056</v>
      </c>
      <c r="W51" s="88">
        <f t="shared" si="3"/>
        <v>-9.1563066202090564</v>
      </c>
      <c r="X51" s="88">
        <f t="shared" si="4"/>
        <v>18.862409645029167</v>
      </c>
      <c r="Y51" s="88">
        <v>14</v>
      </c>
      <c r="AB51" s="89"/>
      <c r="AC51" s="84">
        <f t="shared" si="5"/>
        <v>287</v>
      </c>
      <c r="AD51" s="84"/>
      <c r="AE51" s="23"/>
      <c r="AF51" s="23"/>
      <c r="AG51" s="23"/>
      <c r="AH51" s="23"/>
      <c r="AI51" s="23"/>
      <c r="AJ51" s="23"/>
      <c r="AK51" s="83" t="s">
        <v>345</v>
      </c>
      <c r="AL51" s="84" t="s">
        <v>343</v>
      </c>
      <c r="AM51" s="86">
        <v>170</v>
      </c>
      <c r="AN51" s="85">
        <f>AM51/($AV$8-X51)</f>
        <v>22.258329145573718</v>
      </c>
      <c r="AO51" s="85">
        <v>34</v>
      </c>
      <c r="AP51" s="87">
        <f t="shared" si="6"/>
        <v>4.0018666712443481E-2</v>
      </c>
      <c r="AQ51" s="88">
        <f t="shared" si="7"/>
        <v>556.19866862412664</v>
      </c>
    </row>
    <row r="52" spans="1:43" x14ac:dyDescent="0.25">
      <c r="A52" s="76">
        <v>19633</v>
      </c>
      <c r="B52" s="3">
        <v>16.100000000000001</v>
      </c>
      <c r="C52" s="8">
        <f t="shared" si="0"/>
        <v>0.10000000000000142</v>
      </c>
      <c r="D52" s="8">
        <f t="shared" si="1"/>
        <v>0.19999999999999929</v>
      </c>
      <c r="E52" s="3">
        <v>16</v>
      </c>
      <c r="F52" s="3">
        <v>16.3</v>
      </c>
      <c r="G52" s="3">
        <f t="shared" si="8"/>
        <v>0.19999999999999929</v>
      </c>
      <c r="H52" s="25" t="s">
        <v>435</v>
      </c>
      <c r="I52" s="53" t="s">
        <v>443</v>
      </c>
      <c r="J52" s="4" t="s">
        <v>168</v>
      </c>
      <c r="K52" s="4"/>
      <c r="L52" s="4"/>
      <c r="M52" s="86" t="s">
        <v>4</v>
      </c>
      <c r="N52" s="4" t="str">
        <f t="shared" si="9"/>
        <v>marine sediment</v>
      </c>
      <c r="O52" s="86" t="s">
        <v>27</v>
      </c>
      <c r="P52" s="5">
        <v>-26.07</v>
      </c>
      <c r="Q52" s="4" t="s">
        <v>293</v>
      </c>
      <c r="S52" s="84">
        <f t="shared" si="10"/>
        <v>-22.57</v>
      </c>
      <c r="T52" s="5">
        <v>2.2000000000000002</v>
      </c>
      <c r="U52" s="4" t="s">
        <v>445</v>
      </c>
      <c r="V52" s="88">
        <f t="shared" si="2"/>
        <v>-9.5567608959078818</v>
      </c>
      <c r="W52" s="88">
        <f t="shared" si="3"/>
        <v>-8.3567608959078825</v>
      </c>
      <c r="X52" s="88">
        <f t="shared" si="4"/>
        <v>14.54143939115049</v>
      </c>
      <c r="Y52" s="88">
        <f>Z52+AA52</f>
        <v>19.96166666666667</v>
      </c>
      <c r="Z52" s="88">
        <v>17.09</v>
      </c>
      <c r="AA52" s="88">
        <v>2.8716666666666701</v>
      </c>
      <c r="AB52" s="84" t="s">
        <v>341</v>
      </c>
      <c r="AC52" s="84">
        <f t="shared" si="5"/>
        <v>292.96166666666664</v>
      </c>
      <c r="AD52" s="84">
        <v>29.816666666666698</v>
      </c>
      <c r="AE52" s="23" t="s">
        <v>472</v>
      </c>
      <c r="AF52" s="23">
        <v>29.94</v>
      </c>
      <c r="AG52" s="23">
        <f>VLOOKUP(A52, 'fixing lats'!A:F, 4, FALSE)</f>
        <v>29.94</v>
      </c>
      <c r="AH52" s="23">
        <v>-120.757856</v>
      </c>
      <c r="AI52" s="23">
        <f>VLOOKUP(A52, 'fixing lats'!A:F, 6, FALSE)</f>
        <v>-120.75790000000001</v>
      </c>
      <c r="AJ52" s="23" t="s">
        <v>612</v>
      </c>
      <c r="AK52" s="83" t="s">
        <v>342</v>
      </c>
      <c r="AL52" s="84" t="s">
        <v>169</v>
      </c>
      <c r="AM52" s="85">
        <v>170</v>
      </c>
      <c r="AN52" s="85">
        <f>AM52/([2]S2!$AC$1-X52)</f>
        <v>14.21575769530302</v>
      </c>
      <c r="AO52" s="86">
        <v>34</v>
      </c>
      <c r="AP52" s="87">
        <f t="shared" si="6"/>
        <v>3.3547012327593592E-2</v>
      </c>
      <c r="AQ52" s="88">
        <f t="shared" si="7"/>
        <v>423.75629628305416</v>
      </c>
    </row>
    <row r="53" spans="1:43" x14ac:dyDescent="0.25">
      <c r="A53" s="76">
        <v>19634</v>
      </c>
      <c r="B53" s="3">
        <v>16.100000000000001</v>
      </c>
      <c r="C53" s="8">
        <f t="shared" si="0"/>
        <v>0.10000000000000142</v>
      </c>
      <c r="D53" s="8">
        <f t="shared" si="1"/>
        <v>9.9999999999997868E-2</v>
      </c>
      <c r="E53" s="3">
        <v>16</v>
      </c>
      <c r="F53" s="3">
        <v>16.2</v>
      </c>
      <c r="G53" s="3">
        <f t="shared" si="8"/>
        <v>0.10000000000000142</v>
      </c>
      <c r="H53" s="25" t="s">
        <v>211</v>
      </c>
      <c r="I53" s="4" t="s">
        <v>138</v>
      </c>
      <c r="J53" s="4" t="s">
        <v>137</v>
      </c>
      <c r="K53" s="4"/>
      <c r="L53" s="4"/>
      <c r="M53" s="86" t="s">
        <v>4</v>
      </c>
      <c r="N53" s="4" t="str">
        <f t="shared" si="9"/>
        <v>marine sediment</v>
      </c>
      <c r="O53" s="86" t="s">
        <v>0</v>
      </c>
      <c r="P53" s="5">
        <v>-29.2</v>
      </c>
      <c r="Q53" s="4" t="s">
        <v>134</v>
      </c>
      <c r="S53" s="84">
        <f t="shared" si="10"/>
        <v>-25.7</v>
      </c>
      <c r="T53" s="5">
        <v>2.1</v>
      </c>
      <c r="U53" s="4" t="s">
        <v>295</v>
      </c>
      <c r="V53" s="88">
        <f t="shared" si="2"/>
        <v>-10.220410720501217</v>
      </c>
      <c r="W53" s="88">
        <f t="shared" si="3"/>
        <v>-9.1204107205012175</v>
      </c>
      <c r="X53" s="88">
        <f t="shared" si="4"/>
        <v>17.016924232268195</v>
      </c>
      <c r="Y53" s="88">
        <v>14.3</v>
      </c>
      <c r="AB53" s="89"/>
      <c r="AC53" s="84">
        <f t="shared" si="5"/>
        <v>287.3</v>
      </c>
      <c r="AD53" s="84"/>
      <c r="AE53" s="23"/>
      <c r="AF53" s="23"/>
      <c r="AG53" s="23"/>
      <c r="AH53" s="23"/>
      <c r="AI53" s="23"/>
      <c r="AJ53" s="23"/>
      <c r="AK53" s="83" t="s">
        <v>345</v>
      </c>
      <c r="AL53" s="84" t="s">
        <v>343</v>
      </c>
      <c r="AM53" s="86">
        <v>170</v>
      </c>
      <c r="AN53" s="85">
        <f>AM53/($AV$8-X53)</f>
        <v>17.926673176909688</v>
      </c>
      <c r="AO53" s="85">
        <v>34</v>
      </c>
      <c r="AP53" s="87">
        <f t="shared" si="6"/>
        <v>3.9647597968974005E-2</v>
      </c>
      <c r="AQ53" s="88">
        <f t="shared" si="7"/>
        <v>452.15029649307132</v>
      </c>
    </row>
    <row r="54" spans="1:43" ht="13.2" customHeight="1" x14ac:dyDescent="0.25">
      <c r="A54" s="76">
        <v>19635</v>
      </c>
      <c r="B54" s="3">
        <v>16.25</v>
      </c>
      <c r="C54" s="8">
        <f t="shared" si="0"/>
        <v>0.14999999999999858</v>
      </c>
      <c r="D54" s="8">
        <f t="shared" si="1"/>
        <v>5.0000000000000711E-2</v>
      </c>
      <c r="E54" s="3">
        <v>16.100000000000001</v>
      </c>
      <c r="F54" s="3">
        <v>16.3</v>
      </c>
      <c r="G54" s="3">
        <f t="shared" si="8"/>
        <v>0.14999999999999858</v>
      </c>
      <c r="H54" s="25" t="s">
        <v>211</v>
      </c>
      <c r="I54" s="4" t="s">
        <v>138</v>
      </c>
      <c r="J54" s="4" t="s">
        <v>137</v>
      </c>
      <c r="K54" s="4"/>
      <c r="L54" s="4"/>
      <c r="M54" s="86" t="s">
        <v>4</v>
      </c>
      <c r="N54" s="4" t="str">
        <f t="shared" si="9"/>
        <v>marine sediment</v>
      </c>
      <c r="O54" s="86" t="s">
        <v>0</v>
      </c>
      <c r="P54" s="5">
        <v>-29.7</v>
      </c>
      <c r="Q54" s="4" t="s">
        <v>134</v>
      </c>
      <c r="S54" s="84">
        <f t="shared" si="10"/>
        <v>-26.2</v>
      </c>
      <c r="T54" s="5">
        <v>2.1</v>
      </c>
      <c r="U54" s="4" t="s">
        <v>295</v>
      </c>
      <c r="V54" s="88">
        <f t="shared" si="2"/>
        <v>-10.220410720501217</v>
      </c>
      <c r="W54" s="88">
        <f t="shared" si="3"/>
        <v>-9.1204107205012175</v>
      </c>
      <c r="X54" s="88">
        <f t="shared" si="4"/>
        <v>17.539114068082505</v>
      </c>
      <c r="Y54" s="88">
        <v>14.3</v>
      </c>
      <c r="AB54" s="89"/>
      <c r="AC54" s="84">
        <f t="shared" si="5"/>
        <v>287.3</v>
      </c>
      <c r="AD54" s="84"/>
      <c r="AE54" s="23"/>
      <c r="AF54" s="23"/>
      <c r="AG54" s="23"/>
      <c r="AH54" s="23"/>
      <c r="AI54" s="23"/>
      <c r="AJ54" s="23"/>
      <c r="AK54" s="83" t="s">
        <v>345</v>
      </c>
      <c r="AL54" s="84" t="s">
        <v>343</v>
      </c>
      <c r="AM54" s="86">
        <v>170</v>
      </c>
      <c r="AN54" s="85">
        <f>AM54/($AV$8-X54)</f>
        <v>18.971338469389771</v>
      </c>
      <c r="AO54" s="85">
        <v>34</v>
      </c>
      <c r="AP54" s="87">
        <f t="shared" si="6"/>
        <v>3.9647597968974005E-2</v>
      </c>
      <c r="AQ54" s="88">
        <f t="shared" si="7"/>
        <v>478.49906277388305</v>
      </c>
    </row>
    <row r="55" spans="1:43" ht="13.2" customHeight="1" x14ac:dyDescent="0.25">
      <c r="A55" s="76">
        <v>19636</v>
      </c>
      <c r="B55" s="3">
        <v>16.3</v>
      </c>
      <c r="C55" s="8">
        <f t="shared" si="0"/>
        <v>5.0000000000000711E-2</v>
      </c>
      <c r="D55" s="8">
        <f t="shared" si="1"/>
        <v>0.19999999999999929</v>
      </c>
      <c r="E55" s="3">
        <v>16.25</v>
      </c>
      <c r="F55" s="3">
        <v>16.5</v>
      </c>
      <c r="G55" s="3">
        <f t="shared" si="8"/>
        <v>0.19999999999999929</v>
      </c>
      <c r="H55" s="25" t="s">
        <v>211</v>
      </c>
      <c r="I55" s="4" t="s">
        <v>138</v>
      </c>
      <c r="J55" s="4" t="s">
        <v>137</v>
      </c>
      <c r="K55" s="4"/>
      <c r="L55" s="4"/>
      <c r="M55" s="86" t="s">
        <v>4</v>
      </c>
      <c r="N55" s="4" t="str">
        <f t="shared" si="9"/>
        <v>marine sediment</v>
      </c>
      <c r="O55" s="86" t="s">
        <v>0</v>
      </c>
      <c r="P55" s="5">
        <v>-30.8</v>
      </c>
      <c r="Q55" s="4" t="s">
        <v>134</v>
      </c>
      <c r="S55" s="84">
        <f t="shared" si="10"/>
        <v>-27.3</v>
      </c>
      <c r="T55" s="5">
        <v>2.1</v>
      </c>
      <c r="U55" s="4" t="s">
        <v>295</v>
      </c>
      <c r="V55" s="88">
        <f t="shared" si="2"/>
        <v>-10.220410720501217</v>
      </c>
      <c r="W55" s="88">
        <f t="shared" si="3"/>
        <v>-9.1204107205012175</v>
      </c>
      <c r="X55" s="88">
        <f t="shared" si="4"/>
        <v>18.689821403823139</v>
      </c>
      <c r="Y55" s="88">
        <v>14.3</v>
      </c>
      <c r="AB55" s="89"/>
      <c r="AC55" s="84">
        <f t="shared" si="5"/>
        <v>287.3</v>
      </c>
      <c r="AD55" s="84"/>
      <c r="AE55" s="23"/>
      <c r="AF55" s="23"/>
      <c r="AG55" s="23"/>
      <c r="AH55" s="23"/>
      <c r="AI55" s="23"/>
      <c r="AJ55" s="23"/>
      <c r="AK55" s="83" t="s">
        <v>345</v>
      </c>
      <c r="AL55" s="84" t="s">
        <v>343</v>
      </c>
      <c r="AM55" s="86">
        <v>170</v>
      </c>
      <c r="AN55" s="85">
        <f>AM55/($AV$8-X55)</f>
        <v>21.766467681445366</v>
      </c>
      <c r="AO55" s="85">
        <v>34</v>
      </c>
      <c r="AP55" s="87">
        <f t="shared" si="6"/>
        <v>3.9647597968974005E-2</v>
      </c>
      <c r="AQ55" s="88">
        <f t="shared" si="7"/>
        <v>548.99839577869477</v>
      </c>
    </row>
    <row r="56" spans="1:43" ht="13.2" customHeight="1" x14ac:dyDescent="0.25">
      <c r="A56" s="76">
        <v>19637</v>
      </c>
      <c r="B56" s="3">
        <v>16.399999999999999</v>
      </c>
      <c r="C56" s="8">
        <f t="shared" si="0"/>
        <v>0.19999999999999929</v>
      </c>
      <c r="D56" s="8">
        <f t="shared" si="1"/>
        <v>0.20000000000000284</v>
      </c>
      <c r="E56" s="3">
        <v>16.2</v>
      </c>
      <c r="F56" s="3">
        <v>16.600000000000001</v>
      </c>
      <c r="G56" s="3">
        <f t="shared" si="8"/>
        <v>0.20000000000000284</v>
      </c>
      <c r="H56" s="25" t="s">
        <v>435</v>
      </c>
      <c r="I56" s="53" t="s">
        <v>444</v>
      </c>
      <c r="J56" s="4" t="s">
        <v>168</v>
      </c>
      <c r="K56" s="4"/>
      <c r="L56" s="4"/>
      <c r="M56" s="86" t="s">
        <v>4</v>
      </c>
      <c r="N56" s="4" t="str">
        <f t="shared" si="9"/>
        <v>marine sediment</v>
      </c>
      <c r="O56" s="86" t="s">
        <v>27</v>
      </c>
      <c r="P56" s="5">
        <v>-25.89</v>
      </c>
      <c r="Q56" s="4" t="s">
        <v>293</v>
      </c>
      <c r="S56" s="84">
        <f t="shared" si="10"/>
        <v>-22.39</v>
      </c>
      <c r="T56" s="5">
        <v>2.2000000000000002</v>
      </c>
      <c r="U56" s="4" t="s">
        <v>445</v>
      </c>
      <c r="V56" s="88">
        <f t="shared" si="2"/>
        <v>-9.5584852760456975</v>
      </c>
      <c r="W56" s="88">
        <f t="shared" si="3"/>
        <v>-8.3584852760456982</v>
      </c>
      <c r="X56" s="88">
        <f t="shared" si="4"/>
        <v>14.352875608836024</v>
      </c>
      <c r="Y56" s="88">
        <f>Z56+AA56</f>
        <v>19.946666666666669</v>
      </c>
      <c r="Z56" s="88">
        <v>17.09</v>
      </c>
      <c r="AA56" s="88">
        <v>2.85666666666667</v>
      </c>
      <c r="AB56" s="84" t="s">
        <v>341</v>
      </c>
      <c r="AC56" s="84">
        <f t="shared" si="5"/>
        <v>292.94666666666666</v>
      </c>
      <c r="AD56" s="84">
        <v>29.5966666666667</v>
      </c>
      <c r="AE56" s="23" t="s">
        <v>473</v>
      </c>
      <c r="AF56" s="23">
        <v>29.89</v>
      </c>
      <c r="AG56" s="23">
        <f>VLOOKUP(A56, 'fixing lats'!A:F, 4, FALSE)</f>
        <v>29.89</v>
      </c>
      <c r="AH56" s="23">
        <v>-120.757857</v>
      </c>
      <c r="AI56" s="23">
        <f>VLOOKUP(A56, 'fixing lats'!A:F, 6, FALSE)</f>
        <v>-120.75790000000001</v>
      </c>
      <c r="AJ56" s="23" t="s">
        <v>612</v>
      </c>
      <c r="AK56" s="83" t="s">
        <v>342</v>
      </c>
      <c r="AL56" s="84" t="s">
        <v>169</v>
      </c>
      <c r="AM56" s="85">
        <v>170</v>
      </c>
      <c r="AN56" s="85">
        <f>AM56/([2]S2!$AC$1-X56)</f>
        <v>13.995081842058099</v>
      </c>
      <c r="AO56" s="86">
        <v>34</v>
      </c>
      <c r="AP56" s="87">
        <f t="shared" si="6"/>
        <v>3.356114750746348E-2</v>
      </c>
      <c r="AQ56" s="88">
        <f t="shared" si="7"/>
        <v>417.00248297367688</v>
      </c>
    </row>
    <row r="57" spans="1:43" ht="13.2" customHeight="1" x14ac:dyDescent="0.25">
      <c r="A57" s="76">
        <v>19638</v>
      </c>
      <c r="B57" s="3">
        <v>16.7</v>
      </c>
      <c r="C57" s="8">
        <f t="shared" si="0"/>
        <v>0.19999999999999929</v>
      </c>
      <c r="D57" s="8">
        <f t="shared" si="1"/>
        <v>0.10000000000000142</v>
      </c>
      <c r="E57" s="3">
        <v>16.5</v>
      </c>
      <c r="F57" s="3">
        <v>16.8</v>
      </c>
      <c r="G57" s="3">
        <f t="shared" si="8"/>
        <v>0.19999999999999929</v>
      </c>
      <c r="H57" s="25" t="s">
        <v>211</v>
      </c>
      <c r="I57" s="4" t="s">
        <v>138</v>
      </c>
      <c r="J57" s="4" t="s">
        <v>137</v>
      </c>
      <c r="K57" s="4"/>
      <c r="L57" s="4"/>
      <c r="M57" s="86" t="s">
        <v>4</v>
      </c>
      <c r="N57" s="4" t="str">
        <f t="shared" si="9"/>
        <v>marine sediment</v>
      </c>
      <c r="O57" s="86" t="s">
        <v>0</v>
      </c>
      <c r="P57" s="5">
        <v>-30.3</v>
      </c>
      <c r="Q57" s="4" t="s">
        <v>134</v>
      </c>
      <c r="S57" s="84">
        <f t="shared" si="10"/>
        <v>-26.8</v>
      </c>
      <c r="T57" s="5">
        <v>1.8</v>
      </c>
      <c r="U57" s="4" t="s">
        <v>295</v>
      </c>
      <c r="V57" s="88">
        <f t="shared" si="2"/>
        <v>-10.280278940027895</v>
      </c>
      <c r="W57" s="88">
        <f t="shared" si="3"/>
        <v>-9.480278940027894</v>
      </c>
      <c r="X57" s="88">
        <f t="shared" si="4"/>
        <v>17.796671865980329</v>
      </c>
      <c r="Y57" s="88">
        <v>13.8</v>
      </c>
      <c r="AB57" s="89"/>
      <c r="AC57" s="84">
        <f t="shared" si="5"/>
        <v>286.8</v>
      </c>
      <c r="AD57" s="84"/>
      <c r="AE57" s="23"/>
      <c r="AF57" s="23"/>
      <c r="AG57" s="23"/>
      <c r="AH57" s="23"/>
      <c r="AI57" s="23"/>
      <c r="AJ57" s="23"/>
      <c r="AK57" s="83" t="s">
        <v>345</v>
      </c>
      <c r="AL57" s="84" t="s">
        <v>343</v>
      </c>
      <c r="AM57" s="86">
        <v>170</v>
      </c>
      <c r="AN57" s="85">
        <f t="shared" ref="AN57:AN120" si="14">AM57/($AV$8-X57)</f>
        <v>19.532757743041081</v>
      </c>
      <c r="AO57" s="85">
        <v>34</v>
      </c>
      <c r="AP57" s="87">
        <f t="shared" si="6"/>
        <v>4.0269038851952543E-2</v>
      </c>
      <c r="AQ57" s="88">
        <f t="shared" si="7"/>
        <v>485.05646769599986</v>
      </c>
    </row>
    <row r="58" spans="1:43" ht="13.2" customHeight="1" x14ac:dyDescent="0.25">
      <c r="A58" s="76">
        <v>19639</v>
      </c>
      <c r="B58" s="3">
        <v>17</v>
      </c>
      <c r="C58" s="8">
        <f t="shared" si="0"/>
        <v>0.10000000000000142</v>
      </c>
      <c r="D58" s="8">
        <f t="shared" si="1"/>
        <v>0.10000000000000142</v>
      </c>
      <c r="E58" s="3">
        <v>16.899999999999999</v>
      </c>
      <c r="F58" s="3">
        <v>17.100000000000001</v>
      </c>
      <c r="G58" s="3">
        <f t="shared" si="8"/>
        <v>0.10000000000000142</v>
      </c>
      <c r="H58" s="25" t="s">
        <v>211</v>
      </c>
      <c r="I58" s="4" t="s">
        <v>138</v>
      </c>
      <c r="J58" s="4" t="s">
        <v>137</v>
      </c>
      <c r="K58" s="4"/>
      <c r="L58" s="4"/>
      <c r="M58" s="86" t="s">
        <v>4</v>
      </c>
      <c r="N58" s="4" t="str">
        <f t="shared" si="9"/>
        <v>marine sediment</v>
      </c>
      <c r="O58" s="86" t="s">
        <v>0</v>
      </c>
      <c r="P58" s="5">
        <v>-30.1</v>
      </c>
      <c r="Q58" s="4" t="s">
        <v>134</v>
      </c>
      <c r="S58" s="84">
        <f t="shared" si="10"/>
        <v>-26.6</v>
      </c>
      <c r="T58" s="5">
        <v>1.8</v>
      </c>
      <c r="U58" s="4" t="s">
        <v>295</v>
      </c>
      <c r="V58" s="88">
        <f t="shared" si="2"/>
        <v>-10.352396925227115</v>
      </c>
      <c r="W58" s="88">
        <f t="shared" si="3"/>
        <v>-9.5523969252271144</v>
      </c>
      <c r="X58" s="88">
        <f t="shared" si="4"/>
        <v>17.513461141126953</v>
      </c>
      <c r="Y58" s="88">
        <v>13.2</v>
      </c>
      <c r="AB58" s="89"/>
      <c r="AC58" s="84">
        <f t="shared" si="5"/>
        <v>286.2</v>
      </c>
      <c r="AD58" s="84"/>
      <c r="AE58" s="23"/>
      <c r="AF58" s="23"/>
      <c r="AG58" s="23"/>
      <c r="AH58" s="23"/>
      <c r="AI58" s="23"/>
      <c r="AJ58" s="23"/>
      <c r="AK58" s="83" t="s">
        <v>345</v>
      </c>
      <c r="AL58" s="84" t="s">
        <v>343</v>
      </c>
      <c r="AM58" s="86">
        <v>170</v>
      </c>
      <c r="AN58" s="85">
        <f t="shared" si="14"/>
        <v>18.917182985543644</v>
      </c>
      <c r="AO58" s="85">
        <v>34</v>
      </c>
      <c r="AP58" s="87">
        <f t="shared" si="6"/>
        <v>4.1034827064051468E-2</v>
      </c>
      <c r="AQ58" s="88">
        <f t="shared" si="7"/>
        <v>461.00311221040891</v>
      </c>
    </row>
    <row r="59" spans="1:43" ht="13.2" customHeight="1" x14ac:dyDescent="0.25">
      <c r="A59" s="76">
        <v>19640</v>
      </c>
      <c r="B59" s="3">
        <v>17.2</v>
      </c>
      <c r="C59" s="8">
        <f t="shared" si="0"/>
        <v>9.9999999999997868E-2</v>
      </c>
      <c r="D59" s="8">
        <f t="shared" si="1"/>
        <v>0.19999999999999929</v>
      </c>
      <c r="E59" s="3">
        <v>17.100000000000001</v>
      </c>
      <c r="F59" s="3">
        <v>17.399999999999999</v>
      </c>
      <c r="G59" s="3">
        <f t="shared" si="8"/>
        <v>0.19999999999999929</v>
      </c>
      <c r="H59" s="25" t="s">
        <v>211</v>
      </c>
      <c r="I59" s="4" t="s">
        <v>138</v>
      </c>
      <c r="J59" s="4" t="s">
        <v>137</v>
      </c>
      <c r="K59" s="4"/>
      <c r="L59" s="4"/>
      <c r="M59" s="86" t="s">
        <v>4</v>
      </c>
      <c r="N59" s="4" t="str">
        <f t="shared" si="9"/>
        <v>marine sediment</v>
      </c>
      <c r="O59" s="86" t="s">
        <v>0</v>
      </c>
      <c r="P59" s="5">
        <v>-29.4</v>
      </c>
      <c r="Q59" s="4" t="s">
        <v>134</v>
      </c>
      <c r="S59" s="84">
        <f t="shared" si="10"/>
        <v>-25.9</v>
      </c>
      <c r="T59" s="5">
        <v>1.9</v>
      </c>
      <c r="U59" s="4" t="s">
        <v>295</v>
      </c>
      <c r="V59" s="88">
        <f t="shared" si="2"/>
        <v>-10.36444599790283</v>
      </c>
      <c r="W59" s="88">
        <f t="shared" si="3"/>
        <v>-9.4644459979028301</v>
      </c>
      <c r="X59" s="88">
        <f t="shared" si="4"/>
        <v>16.872553128115307</v>
      </c>
      <c r="Y59" s="88">
        <v>13.1</v>
      </c>
      <c r="AB59" s="89"/>
      <c r="AC59" s="84">
        <f t="shared" si="5"/>
        <v>286.10000000000002</v>
      </c>
      <c r="AD59" s="84"/>
      <c r="AE59" s="23"/>
      <c r="AF59" s="23"/>
      <c r="AG59" s="23"/>
      <c r="AH59" s="23"/>
      <c r="AI59" s="23"/>
      <c r="AJ59" s="23"/>
      <c r="AK59" s="83" t="s">
        <v>345</v>
      </c>
      <c r="AL59" s="84" t="s">
        <v>343</v>
      </c>
      <c r="AM59" s="86">
        <v>170</v>
      </c>
      <c r="AN59" s="85">
        <f t="shared" si="14"/>
        <v>17.657848676003169</v>
      </c>
      <c r="AO59" s="85">
        <v>34</v>
      </c>
      <c r="AP59" s="87">
        <f t="shared" si="6"/>
        <v>4.1164635259048302E-2</v>
      </c>
      <c r="AQ59" s="88">
        <f t="shared" si="7"/>
        <v>428.95676264061734</v>
      </c>
    </row>
    <row r="60" spans="1:43" ht="13.2" customHeight="1" x14ac:dyDescent="0.25">
      <c r="A60" s="76">
        <v>19641</v>
      </c>
      <c r="B60" s="3">
        <v>17.600000000000001</v>
      </c>
      <c r="C60" s="8">
        <f t="shared" si="0"/>
        <v>0.10000000000000142</v>
      </c>
      <c r="D60" s="8">
        <f t="shared" si="1"/>
        <v>0.14999999999999858</v>
      </c>
      <c r="E60" s="3">
        <v>17.5</v>
      </c>
      <c r="F60" s="3">
        <v>17.75</v>
      </c>
      <c r="G60" s="3">
        <f t="shared" si="8"/>
        <v>0.14999999999999858</v>
      </c>
      <c r="H60" s="25" t="s">
        <v>211</v>
      </c>
      <c r="I60" s="4" t="s">
        <v>138</v>
      </c>
      <c r="J60" s="4" t="s">
        <v>137</v>
      </c>
      <c r="K60" s="4"/>
      <c r="L60" s="4"/>
      <c r="M60" s="86" t="s">
        <v>4</v>
      </c>
      <c r="N60" s="4" t="str">
        <f t="shared" si="9"/>
        <v>marine sediment</v>
      </c>
      <c r="O60" s="86" t="s">
        <v>0</v>
      </c>
      <c r="P60" s="5">
        <v>-29.6</v>
      </c>
      <c r="Q60" s="4" t="s">
        <v>134</v>
      </c>
      <c r="S60" s="84">
        <f t="shared" si="10"/>
        <v>-26.1</v>
      </c>
      <c r="T60" s="5">
        <v>1.95</v>
      </c>
      <c r="U60" s="4" t="s">
        <v>295</v>
      </c>
      <c r="V60" s="88">
        <f t="shared" si="2"/>
        <v>-10.101297259798816</v>
      </c>
      <c r="W60" s="88">
        <f t="shared" si="3"/>
        <v>-9.1512972597988167</v>
      </c>
      <c r="X60" s="88">
        <f t="shared" si="4"/>
        <v>17.402918924120712</v>
      </c>
      <c r="Y60" s="88">
        <v>15.3</v>
      </c>
      <c r="AB60" s="89"/>
      <c r="AC60" s="84">
        <f t="shared" si="5"/>
        <v>288.3</v>
      </c>
      <c r="AD60" s="84"/>
      <c r="AE60" s="23"/>
      <c r="AF60" s="23"/>
      <c r="AG60" s="23"/>
      <c r="AH60" s="23"/>
      <c r="AI60" s="23"/>
      <c r="AJ60" s="23"/>
      <c r="AK60" s="83" t="s">
        <v>345</v>
      </c>
      <c r="AL60" s="84" t="s">
        <v>343</v>
      </c>
      <c r="AM60" s="86">
        <v>170</v>
      </c>
      <c r="AN60" s="85">
        <f t="shared" si="14"/>
        <v>18.687312840461683</v>
      </c>
      <c r="AO60" s="85">
        <v>34</v>
      </c>
      <c r="AP60" s="87">
        <f t="shared" si="6"/>
        <v>3.8448521250536945E-2</v>
      </c>
      <c r="AQ60" s="88">
        <f t="shared" si="7"/>
        <v>486.03463105101105</v>
      </c>
    </row>
    <row r="61" spans="1:43" ht="13.2" customHeight="1" x14ac:dyDescent="0.25">
      <c r="A61" s="76">
        <v>19642</v>
      </c>
      <c r="B61" s="3">
        <v>17.899999999999999</v>
      </c>
      <c r="C61" s="8">
        <f t="shared" si="0"/>
        <v>9.9999999999997868E-2</v>
      </c>
      <c r="D61" s="8">
        <f t="shared" si="1"/>
        <v>0.20000000000000284</v>
      </c>
      <c r="E61" s="3">
        <v>17.8</v>
      </c>
      <c r="F61" s="3">
        <v>18.100000000000001</v>
      </c>
      <c r="G61" s="3">
        <f t="shared" si="8"/>
        <v>0.20000000000000284</v>
      </c>
      <c r="H61" s="25" t="s">
        <v>211</v>
      </c>
      <c r="I61" s="4" t="s">
        <v>138</v>
      </c>
      <c r="J61" s="4" t="s">
        <v>137</v>
      </c>
      <c r="K61" s="4"/>
      <c r="L61" s="4"/>
      <c r="M61" s="86" t="s">
        <v>4</v>
      </c>
      <c r="N61" s="4" t="str">
        <f t="shared" si="9"/>
        <v>marine sediment</v>
      </c>
      <c r="O61" s="86" t="s">
        <v>0</v>
      </c>
      <c r="P61" s="5">
        <v>-30</v>
      </c>
      <c r="Q61" s="4" t="s">
        <v>134</v>
      </c>
      <c r="S61" s="84">
        <f t="shared" si="10"/>
        <v>-26.5</v>
      </c>
      <c r="T61" s="5">
        <v>1.55</v>
      </c>
      <c r="U61" s="4" t="s">
        <v>295</v>
      </c>
      <c r="V61" s="88">
        <f t="shared" si="2"/>
        <v>-10.31630017452007</v>
      </c>
      <c r="W61" s="88">
        <f t="shared" si="3"/>
        <v>-9.7663001745200688</v>
      </c>
      <c r="X61" s="88">
        <f t="shared" si="4"/>
        <v>17.189213996384069</v>
      </c>
      <c r="Y61" s="88">
        <v>13.5</v>
      </c>
      <c r="AB61" s="89"/>
      <c r="AC61" s="84">
        <f t="shared" si="5"/>
        <v>286.5</v>
      </c>
      <c r="AD61" s="84"/>
      <c r="AE61" s="23"/>
      <c r="AF61" s="23"/>
      <c r="AG61" s="23"/>
      <c r="AH61" s="23"/>
      <c r="AI61" s="23"/>
      <c r="AJ61" s="23"/>
      <c r="AK61" s="83" t="s">
        <v>345</v>
      </c>
      <c r="AL61" s="84" t="s">
        <v>343</v>
      </c>
      <c r="AM61" s="86">
        <v>170</v>
      </c>
      <c r="AN61" s="85">
        <f t="shared" si="14"/>
        <v>18.258394074783688</v>
      </c>
      <c r="AO61" s="85">
        <v>34</v>
      </c>
      <c r="AP61" s="87">
        <f t="shared" si="6"/>
        <v>4.0649155610352303E-2</v>
      </c>
      <c r="AQ61" s="88">
        <f t="shared" si="7"/>
        <v>449.170316102058</v>
      </c>
    </row>
    <row r="62" spans="1:43" ht="13.2" customHeight="1" x14ac:dyDescent="0.25">
      <c r="A62" s="76">
        <v>19643</v>
      </c>
      <c r="B62" s="3">
        <v>18</v>
      </c>
      <c r="C62" s="8">
        <f t="shared" si="0"/>
        <v>12.667</v>
      </c>
      <c r="D62" s="8">
        <f t="shared" si="1"/>
        <v>5.0300000000000011</v>
      </c>
      <c r="E62" s="3">
        <v>5.3330000000000002</v>
      </c>
      <c r="F62" s="3">
        <v>23.03</v>
      </c>
      <c r="G62" s="3">
        <f t="shared" si="8"/>
        <v>12.667</v>
      </c>
      <c r="H62" s="4" t="s">
        <v>211</v>
      </c>
      <c r="I62" s="4" t="s">
        <v>153</v>
      </c>
      <c r="J62" s="4" t="s">
        <v>152</v>
      </c>
      <c r="K62" s="4"/>
      <c r="L62" s="4" t="s">
        <v>597</v>
      </c>
      <c r="M62" s="86" t="s">
        <v>4</v>
      </c>
      <c r="N62" s="4" t="str">
        <f t="shared" si="9"/>
        <v>marine sediment</v>
      </c>
      <c r="O62" s="86" t="s">
        <v>27</v>
      </c>
      <c r="P62" s="5">
        <v>-23.3</v>
      </c>
      <c r="Q62" s="4" t="s">
        <v>151</v>
      </c>
      <c r="S62" s="84">
        <f t="shared" si="10"/>
        <v>-19.8</v>
      </c>
      <c r="T62" s="5">
        <v>1.2</v>
      </c>
      <c r="U62" s="4" t="s">
        <v>352</v>
      </c>
      <c r="V62" s="88">
        <f t="shared" si="2"/>
        <v>-8.7677629254308478</v>
      </c>
      <c r="W62" s="88">
        <f t="shared" si="3"/>
        <v>-8.5677629254308485</v>
      </c>
      <c r="X62" s="88">
        <f t="shared" si="4"/>
        <v>11.459127805110159</v>
      </c>
      <c r="Y62" s="88">
        <f>Z62+AA62</f>
        <v>26.99</v>
      </c>
      <c r="Z62" s="88">
        <v>20.93</v>
      </c>
      <c r="AA62" s="88">
        <v>6.06</v>
      </c>
      <c r="AB62" s="84" t="s">
        <v>341</v>
      </c>
      <c r="AC62" s="84">
        <f t="shared" si="5"/>
        <v>299.99</v>
      </c>
      <c r="AD62" s="84"/>
      <c r="AE62" s="23" t="s">
        <v>273</v>
      </c>
      <c r="AF62" s="23" t="s">
        <v>560</v>
      </c>
      <c r="AG62" s="23">
        <f>VLOOKUP(A62, 'fixing lats'!A:F, 4, FALSE)</f>
        <v>39.0077</v>
      </c>
      <c r="AH62" s="23" t="s">
        <v>561</v>
      </c>
      <c r="AI62" s="23">
        <f>VLOOKUP(A62, 'fixing lats'!A:F, 6, FALSE)</f>
        <v>140.0087</v>
      </c>
      <c r="AJ62" s="23" t="s">
        <v>612</v>
      </c>
      <c r="AK62" s="83" t="s">
        <v>170</v>
      </c>
      <c r="AL62" s="84" t="s">
        <v>169</v>
      </c>
      <c r="AM62" s="85">
        <v>170</v>
      </c>
      <c r="AN62" s="85">
        <f t="shared" si="14"/>
        <v>11.302536036291682</v>
      </c>
      <c r="AO62" s="85">
        <v>34</v>
      </c>
      <c r="AP62" s="87">
        <f t="shared" si="6"/>
        <v>2.7868206053205488E-2</v>
      </c>
      <c r="AQ62" s="88">
        <f t="shared" si="7"/>
        <v>405.57099422593188</v>
      </c>
    </row>
    <row r="63" spans="1:43" ht="13.2" customHeight="1" x14ac:dyDescent="0.25">
      <c r="A63" s="76">
        <v>19644</v>
      </c>
      <c r="B63" s="3">
        <v>18.2</v>
      </c>
      <c r="C63" s="8">
        <f t="shared" si="0"/>
        <v>0.19999999999999929</v>
      </c>
      <c r="D63" s="8">
        <f t="shared" si="1"/>
        <v>0.10000000000000142</v>
      </c>
      <c r="E63" s="3">
        <v>18</v>
      </c>
      <c r="F63" s="3">
        <v>18.3</v>
      </c>
      <c r="G63" s="3">
        <f t="shared" si="8"/>
        <v>0.19999999999999929</v>
      </c>
      <c r="H63" s="25" t="s">
        <v>211</v>
      </c>
      <c r="I63" s="4" t="s">
        <v>138</v>
      </c>
      <c r="J63" s="4" t="s">
        <v>137</v>
      </c>
      <c r="K63" s="4"/>
      <c r="L63" s="4"/>
      <c r="M63" s="86" t="s">
        <v>4</v>
      </c>
      <c r="N63" s="4" t="str">
        <f t="shared" si="9"/>
        <v>marine sediment</v>
      </c>
      <c r="O63" s="86" t="s">
        <v>0</v>
      </c>
      <c r="P63" s="5">
        <v>-29.3</v>
      </c>
      <c r="Q63" s="4" t="s">
        <v>134</v>
      </c>
      <c r="S63" s="84">
        <f t="shared" si="10"/>
        <v>-25.8</v>
      </c>
      <c r="T63" s="5">
        <v>1.45</v>
      </c>
      <c r="U63" s="4" t="s">
        <v>295</v>
      </c>
      <c r="V63" s="88">
        <f t="shared" si="2"/>
        <v>-10.376503496503492</v>
      </c>
      <c r="W63" s="88">
        <f t="shared" si="3"/>
        <v>-9.9265034965034928</v>
      </c>
      <c r="X63" s="88">
        <f t="shared" si="4"/>
        <v>16.293878570618368</v>
      </c>
      <c r="Y63" s="88">
        <v>13</v>
      </c>
      <c r="AB63" s="89"/>
      <c r="AC63" s="84">
        <f t="shared" si="5"/>
        <v>286</v>
      </c>
      <c r="AD63" s="84"/>
      <c r="AE63" s="23"/>
      <c r="AF63" s="23"/>
      <c r="AG63" s="23"/>
      <c r="AH63" s="23"/>
      <c r="AI63" s="23"/>
      <c r="AJ63" s="23"/>
      <c r="AK63" s="83" t="s">
        <v>345</v>
      </c>
      <c r="AL63" s="84" t="s">
        <v>343</v>
      </c>
      <c r="AM63" s="86">
        <v>170</v>
      </c>
      <c r="AN63" s="85">
        <f t="shared" si="14"/>
        <v>16.656670330278438</v>
      </c>
      <c r="AO63" s="85">
        <v>34</v>
      </c>
      <c r="AP63" s="87">
        <f t="shared" si="6"/>
        <v>4.1295075008635315E-2</v>
      </c>
      <c r="AQ63" s="88">
        <f t="shared" si="7"/>
        <v>403.35730899617738</v>
      </c>
    </row>
    <row r="64" spans="1:43" ht="13.2" customHeight="1" x14ac:dyDescent="0.25">
      <c r="A64" s="76">
        <v>19645</v>
      </c>
      <c r="B64" s="3">
        <v>18.3</v>
      </c>
      <c r="C64" s="8">
        <f t="shared" si="0"/>
        <v>0.10000000000000142</v>
      </c>
      <c r="D64" s="8">
        <f t="shared" si="1"/>
        <v>0.19999999999999929</v>
      </c>
      <c r="E64" s="3">
        <v>18.2</v>
      </c>
      <c r="F64" s="3">
        <v>18.5</v>
      </c>
      <c r="G64" s="3">
        <f t="shared" si="8"/>
        <v>0.19999999999999929</v>
      </c>
      <c r="H64" s="25" t="s">
        <v>211</v>
      </c>
      <c r="I64" s="4" t="s">
        <v>138</v>
      </c>
      <c r="J64" s="4" t="s">
        <v>137</v>
      </c>
      <c r="K64" s="4"/>
      <c r="L64" s="4"/>
      <c r="M64" s="86" t="s">
        <v>4</v>
      </c>
      <c r="N64" s="4" t="str">
        <f t="shared" si="9"/>
        <v>marine sediment</v>
      </c>
      <c r="O64" s="86" t="s">
        <v>0</v>
      </c>
      <c r="P64" s="5">
        <v>-29</v>
      </c>
      <c r="Q64" s="4" t="s">
        <v>134</v>
      </c>
      <c r="S64" s="84">
        <f t="shared" si="10"/>
        <v>-25.5</v>
      </c>
      <c r="T64" s="5">
        <v>1.5</v>
      </c>
      <c r="U64" s="4" t="s">
        <v>295</v>
      </c>
      <c r="V64" s="88">
        <f t="shared" si="2"/>
        <v>-10.436917688266195</v>
      </c>
      <c r="W64" s="88">
        <f t="shared" si="3"/>
        <v>-9.9369176882661954</v>
      </c>
      <c r="X64" s="88">
        <f t="shared" si="4"/>
        <v>15.970325614913961</v>
      </c>
      <c r="Y64" s="88">
        <v>12.5</v>
      </c>
      <c r="AB64" s="89"/>
      <c r="AC64" s="84">
        <f t="shared" si="5"/>
        <v>285.5</v>
      </c>
      <c r="AD64" s="84"/>
      <c r="AE64" s="23"/>
      <c r="AF64" s="23"/>
      <c r="AG64" s="23"/>
      <c r="AH64" s="23"/>
      <c r="AI64" s="23"/>
      <c r="AJ64" s="23"/>
      <c r="AK64" s="83" t="s">
        <v>345</v>
      </c>
      <c r="AL64" s="84" t="s">
        <v>343</v>
      </c>
      <c r="AM64" s="86">
        <v>170</v>
      </c>
      <c r="AN64" s="85">
        <f t="shared" si="14"/>
        <v>16.144848718283601</v>
      </c>
      <c r="AO64" s="85">
        <v>34</v>
      </c>
      <c r="AP64" s="87">
        <f t="shared" si="6"/>
        <v>4.1956875909107724E-2</v>
      </c>
      <c r="AQ64" s="88">
        <f t="shared" si="7"/>
        <v>384.79625492752626</v>
      </c>
    </row>
    <row r="65" spans="1:43" ht="13.2" customHeight="1" x14ac:dyDescent="0.25">
      <c r="A65" s="76">
        <v>19646</v>
      </c>
      <c r="B65" s="3">
        <v>18.600000000000001</v>
      </c>
      <c r="C65" s="8">
        <f t="shared" si="0"/>
        <v>0.10000000000000142</v>
      </c>
      <c r="D65" s="8">
        <f t="shared" si="1"/>
        <v>0.14999999999999858</v>
      </c>
      <c r="E65" s="3">
        <v>18.5</v>
      </c>
      <c r="F65" s="3">
        <v>18.75</v>
      </c>
      <c r="G65" s="3">
        <f t="shared" si="8"/>
        <v>0.14999999999999858</v>
      </c>
      <c r="H65" s="25" t="s">
        <v>211</v>
      </c>
      <c r="I65" s="4" t="s">
        <v>138</v>
      </c>
      <c r="J65" s="4" t="s">
        <v>137</v>
      </c>
      <c r="K65" s="4"/>
      <c r="L65" s="4"/>
      <c r="M65" s="86" t="s">
        <v>4</v>
      </c>
      <c r="N65" s="4" t="str">
        <f t="shared" si="9"/>
        <v>marine sediment</v>
      </c>
      <c r="O65" s="86" t="s">
        <v>0</v>
      </c>
      <c r="P65" s="5">
        <v>-30.3</v>
      </c>
      <c r="Q65" s="4" t="s">
        <v>134</v>
      </c>
      <c r="S65" s="84">
        <f t="shared" si="10"/>
        <v>-26.8</v>
      </c>
      <c r="T65" s="5">
        <v>1.5</v>
      </c>
      <c r="U65" s="4" t="s">
        <v>295</v>
      </c>
      <c r="V65" s="88">
        <f t="shared" si="2"/>
        <v>-10.461142656852434</v>
      </c>
      <c r="W65" s="88">
        <f t="shared" si="3"/>
        <v>-9.9611426568524344</v>
      </c>
      <c r="X65" s="88">
        <f t="shared" si="4"/>
        <v>17.302566115030338</v>
      </c>
      <c r="Y65" s="88">
        <v>12.3</v>
      </c>
      <c r="AB65" s="89"/>
      <c r="AC65" s="84">
        <f t="shared" si="5"/>
        <v>285.3</v>
      </c>
      <c r="AD65" s="84"/>
      <c r="AE65" s="23"/>
      <c r="AF65" s="23"/>
      <c r="AG65" s="23"/>
      <c r="AH65" s="23"/>
      <c r="AI65" s="23"/>
      <c r="AJ65" s="23"/>
      <c r="AK65" s="83" t="s">
        <v>345</v>
      </c>
      <c r="AL65" s="84" t="s">
        <v>343</v>
      </c>
      <c r="AM65" s="86">
        <v>170</v>
      </c>
      <c r="AN65" s="85">
        <f t="shared" si="14"/>
        <v>18.483416366581551</v>
      </c>
      <c r="AO65" s="85">
        <v>34</v>
      </c>
      <c r="AP65" s="87">
        <f t="shared" si="6"/>
        <v>4.2226147034434482E-2</v>
      </c>
      <c r="AQ65" s="88">
        <f t="shared" si="7"/>
        <v>437.72443532460437</v>
      </c>
    </row>
    <row r="66" spans="1:43" ht="13.2" customHeight="1" x14ac:dyDescent="0.25">
      <c r="A66" s="76">
        <v>19647</v>
      </c>
      <c r="B66" s="3">
        <v>18.75</v>
      </c>
      <c r="C66" s="8">
        <f t="shared" si="0"/>
        <v>0.14999999999999858</v>
      </c>
      <c r="D66" s="8">
        <f t="shared" si="1"/>
        <v>0.14999999999999858</v>
      </c>
      <c r="E66" s="3">
        <v>18.600000000000001</v>
      </c>
      <c r="F66" s="3">
        <v>18.899999999999999</v>
      </c>
      <c r="G66" s="3">
        <f t="shared" si="8"/>
        <v>0.14999999999999858</v>
      </c>
      <c r="H66" s="25" t="s">
        <v>211</v>
      </c>
      <c r="I66" s="4" t="s">
        <v>138</v>
      </c>
      <c r="J66" s="4" t="s">
        <v>137</v>
      </c>
      <c r="K66" s="4"/>
      <c r="L66" s="4"/>
      <c r="M66" s="86" t="s">
        <v>4</v>
      </c>
      <c r="N66" s="4" t="str">
        <f t="shared" si="9"/>
        <v>marine sediment</v>
      </c>
      <c r="O66" s="86" t="s">
        <v>0</v>
      </c>
      <c r="P66" s="5">
        <v>-29.5</v>
      </c>
      <c r="Q66" s="4" t="s">
        <v>134</v>
      </c>
      <c r="S66" s="84">
        <f t="shared" si="10"/>
        <v>-26</v>
      </c>
      <c r="T66" s="5">
        <v>1.5</v>
      </c>
      <c r="U66" s="4" t="s">
        <v>295</v>
      </c>
      <c r="V66" s="88">
        <f t="shared" si="2"/>
        <v>-10.497543859649124</v>
      </c>
      <c r="W66" s="88">
        <f t="shared" si="3"/>
        <v>-9.9975438596491237</v>
      </c>
      <c r="X66" s="88">
        <f t="shared" si="4"/>
        <v>16.429626427465038</v>
      </c>
      <c r="Y66" s="88">
        <v>12</v>
      </c>
      <c r="AB66" s="89"/>
      <c r="AC66" s="84">
        <f t="shared" si="5"/>
        <v>285</v>
      </c>
      <c r="AD66" s="84"/>
      <c r="AE66" s="23"/>
      <c r="AF66" s="23"/>
      <c r="AG66" s="23"/>
      <c r="AH66" s="23"/>
      <c r="AI66" s="23"/>
      <c r="AJ66" s="23"/>
      <c r="AK66" s="83" t="s">
        <v>345</v>
      </c>
      <c r="AL66" s="84" t="s">
        <v>343</v>
      </c>
      <c r="AM66" s="86">
        <v>170</v>
      </c>
      <c r="AN66" s="85">
        <f t="shared" si="14"/>
        <v>16.881200957990558</v>
      </c>
      <c r="AO66" s="85">
        <v>34</v>
      </c>
      <c r="AP66" s="87">
        <f t="shared" si="6"/>
        <v>4.2635024720750953E-2</v>
      </c>
      <c r="AQ66" s="88">
        <f t="shared" si="7"/>
        <v>395.94678479860914</v>
      </c>
    </row>
    <row r="67" spans="1:43" ht="13.2" customHeight="1" x14ac:dyDescent="0.25">
      <c r="A67" s="76">
        <v>19648</v>
      </c>
      <c r="B67" s="3">
        <v>18.899999999999999</v>
      </c>
      <c r="C67" s="8">
        <f t="shared" ref="C67:C130" si="15">ABS(B67-E67)</f>
        <v>0.19999999999999929</v>
      </c>
      <c r="D67" s="8">
        <f t="shared" ref="D67:D130" si="16">ABS(F67-B67)</f>
        <v>0.10000000000000142</v>
      </c>
      <c r="E67" s="3">
        <v>18.7</v>
      </c>
      <c r="F67" s="3">
        <v>19</v>
      </c>
      <c r="G67" s="3">
        <f t="shared" si="8"/>
        <v>0.19999999999999929</v>
      </c>
      <c r="H67" s="25" t="s">
        <v>211</v>
      </c>
      <c r="I67" s="4" t="s">
        <v>138</v>
      </c>
      <c r="J67" s="4" t="s">
        <v>137</v>
      </c>
      <c r="K67" s="4"/>
      <c r="L67" s="4"/>
      <c r="M67" s="86" t="s">
        <v>4</v>
      </c>
      <c r="N67" s="4" t="str">
        <f t="shared" si="9"/>
        <v>marine sediment</v>
      </c>
      <c r="O67" s="86" t="s">
        <v>0</v>
      </c>
      <c r="P67" s="5">
        <v>-30</v>
      </c>
      <c r="Q67" s="4" t="s">
        <v>134</v>
      </c>
      <c r="S67" s="84">
        <f t="shared" si="10"/>
        <v>-26.5</v>
      </c>
      <c r="T67" s="5">
        <v>1.5</v>
      </c>
      <c r="U67" s="4" t="s">
        <v>295</v>
      </c>
      <c r="V67" s="88">
        <f t="shared" ref="V67:V130" si="17">24.12-9866/AC67</f>
        <v>-10.136944444444442</v>
      </c>
      <c r="W67" s="88">
        <f t="shared" ref="W67:W130" si="18">T67-1+V67</f>
        <v>-9.6369444444444419</v>
      </c>
      <c r="X67" s="88">
        <f t="shared" ref="X67:X130" si="19">1000*((W67+1000)/(S67+1000)-1)</f>
        <v>17.322090966158665</v>
      </c>
      <c r="Y67" s="88">
        <v>15</v>
      </c>
      <c r="AB67" s="89"/>
      <c r="AC67" s="84">
        <f t="shared" ref="AC67:AC130" si="20">Y67+273</f>
        <v>288</v>
      </c>
      <c r="AD67" s="84"/>
      <c r="AE67" s="23"/>
      <c r="AF67" s="23"/>
      <c r="AG67" s="23"/>
      <c r="AH67" s="23"/>
      <c r="AI67" s="23"/>
      <c r="AJ67" s="23"/>
      <c r="AK67" s="83" t="s">
        <v>345</v>
      </c>
      <c r="AL67" s="84" t="s">
        <v>343</v>
      </c>
      <c r="AM67" s="86">
        <v>170</v>
      </c>
      <c r="AN67" s="85">
        <f t="shared" si="14"/>
        <v>18.522737518226194</v>
      </c>
      <c r="AO67" s="85">
        <v>34</v>
      </c>
      <c r="AP67" s="87">
        <f t="shared" ref="AP67:AP130" si="21">EXP($AT$4+$AT$5*(100/AC67)+$AT$6*LN(AC67/100)+AO67*($AW$4+$AW$5*(AC67/100)+$AW$6*(AC67/100)^2))</f>
        <v>3.8802250054332382E-2</v>
      </c>
      <c r="AQ67" s="88">
        <f t="shared" ref="AQ67:AQ130" si="22">AN67/AP67</f>
        <v>477.36245945247902</v>
      </c>
    </row>
    <row r="68" spans="1:43" ht="13.2" customHeight="1" x14ac:dyDescent="0.25">
      <c r="A68" s="76">
        <v>19649</v>
      </c>
      <c r="B68" s="3">
        <v>19.2</v>
      </c>
      <c r="C68" s="8">
        <f t="shared" si="15"/>
        <v>0.19999999999999929</v>
      </c>
      <c r="D68" s="8">
        <f t="shared" si="16"/>
        <v>0</v>
      </c>
      <c r="E68" s="3">
        <v>19</v>
      </c>
      <c r="F68" s="3">
        <v>19.2</v>
      </c>
      <c r="G68" s="3">
        <f t="shared" ref="G68:G131" si="23">IF(C68&gt;D68, C68, D68)</f>
        <v>0.19999999999999929</v>
      </c>
      <c r="H68" s="25" t="s">
        <v>211</v>
      </c>
      <c r="I68" s="4" t="s">
        <v>138</v>
      </c>
      <c r="J68" s="4" t="s">
        <v>137</v>
      </c>
      <c r="K68" s="4"/>
      <c r="L68" s="4"/>
      <c r="M68" s="86" t="s">
        <v>4</v>
      </c>
      <c r="N68" s="4" t="str">
        <f t="shared" ref="N68:N131" si="24">IF(M68="MS", "marine sediment", "marine oil")</f>
        <v>marine sediment</v>
      </c>
      <c r="O68" s="86" t="s">
        <v>0</v>
      </c>
      <c r="P68" s="5">
        <v>-30.3</v>
      </c>
      <c r="Q68" s="4" t="s">
        <v>134</v>
      </c>
      <c r="S68" s="84">
        <f t="shared" ref="S68:S131" si="25">P68+3.5</f>
        <v>-26.8</v>
      </c>
      <c r="T68" s="5">
        <v>1.5</v>
      </c>
      <c r="U68" s="4" t="s">
        <v>295</v>
      </c>
      <c r="V68" s="88">
        <f t="shared" si="17"/>
        <v>-10.136944444444442</v>
      </c>
      <c r="W68" s="88">
        <f t="shared" si="18"/>
        <v>-9.6369444444444419</v>
      </c>
      <c r="X68" s="88">
        <f t="shared" si="19"/>
        <v>17.635692103941114</v>
      </c>
      <c r="Y68" s="88">
        <v>15</v>
      </c>
      <c r="AB68" s="89"/>
      <c r="AC68" s="84">
        <f t="shared" si="20"/>
        <v>288</v>
      </c>
      <c r="AD68" s="84"/>
      <c r="AE68" s="23"/>
      <c r="AF68" s="23"/>
      <c r="AG68" s="23"/>
      <c r="AH68" s="23"/>
      <c r="AI68" s="23"/>
      <c r="AJ68" s="23"/>
      <c r="AK68" s="83" t="s">
        <v>345</v>
      </c>
      <c r="AL68" s="84" t="s">
        <v>343</v>
      </c>
      <c r="AM68" s="86">
        <v>170</v>
      </c>
      <c r="AN68" s="85">
        <f t="shared" si="14"/>
        <v>19.178034201134057</v>
      </c>
      <c r="AO68" s="85">
        <v>34</v>
      </c>
      <c r="AP68" s="87">
        <f t="shared" si="21"/>
        <v>3.8802250054332382E-2</v>
      </c>
      <c r="AQ68" s="88">
        <f t="shared" si="22"/>
        <v>494.25056985819754</v>
      </c>
    </row>
    <row r="69" spans="1:43" ht="13.2" customHeight="1" x14ac:dyDescent="0.25">
      <c r="A69" s="76">
        <v>19650</v>
      </c>
      <c r="B69" s="3">
        <v>19.2</v>
      </c>
      <c r="C69" s="8">
        <f t="shared" si="15"/>
        <v>0.19999999999999929</v>
      </c>
      <c r="D69" s="8">
        <f t="shared" si="16"/>
        <v>0.10000000000000142</v>
      </c>
      <c r="E69" s="3">
        <v>19</v>
      </c>
      <c r="F69" s="3">
        <v>19.3</v>
      </c>
      <c r="G69" s="3">
        <f t="shared" si="23"/>
        <v>0.19999999999999929</v>
      </c>
      <c r="H69" s="25" t="s">
        <v>211</v>
      </c>
      <c r="I69" s="4" t="s">
        <v>136</v>
      </c>
      <c r="J69" s="4" t="s">
        <v>135</v>
      </c>
      <c r="K69" s="4"/>
      <c r="L69" s="4"/>
      <c r="M69" s="86" t="s">
        <v>4</v>
      </c>
      <c r="N69" s="4" t="str">
        <f t="shared" si="24"/>
        <v>marine sediment</v>
      </c>
      <c r="O69" s="86" t="s">
        <v>0</v>
      </c>
      <c r="P69" s="5">
        <v>-29.7</v>
      </c>
      <c r="Q69" s="4" t="s">
        <v>134</v>
      </c>
      <c r="S69" s="84">
        <f t="shared" si="25"/>
        <v>-26.2</v>
      </c>
      <c r="T69" s="5">
        <v>1.75</v>
      </c>
      <c r="U69" s="4" t="s">
        <v>295</v>
      </c>
      <c r="V69" s="88">
        <f t="shared" si="17"/>
        <v>-9.3808488964346317</v>
      </c>
      <c r="W69" s="88">
        <f t="shared" si="18"/>
        <v>-8.6308488964346317</v>
      </c>
      <c r="X69" s="88">
        <f t="shared" si="19"/>
        <v>18.041847508282416</v>
      </c>
      <c r="Y69" s="88">
        <v>21.5</v>
      </c>
      <c r="AB69" s="89"/>
      <c r="AC69" s="84">
        <f t="shared" si="20"/>
        <v>294.5</v>
      </c>
      <c r="AD69" s="84"/>
      <c r="AE69" s="23"/>
      <c r="AF69" s="23"/>
      <c r="AG69" s="23"/>
      <c r="AH69" s="23"/>
      <c r="AI69" s="23"/>
      <c r="AJ69" s="23"/>
      <c r="AK69" s="83" t="s">
        <v>346</v>
      </c>
      <c r="AL69" s="84" t="s">
        <v>344</v>
      </c>
      <c r="AM69" s="86">
        <v>170</v>
      </c>
      <c r="AN69" s="85">
        <f t="shared" si="14"/>
        <v>20.098951888898654</v>
      </c>
      <c r="AO69" s="85">
        <v>34</v>
      </c>
      <c r="AP69" s="87">
        <f t="shared" si="21"/>
        <v>3.2147419213494843E-2</v>
      </c>
      <c r="AQ69" s="88">
        <f t="shared" si="22"/>
        <v>625.21198841558999</v>
      </c>
    </row>
    <row r="70" spans="1:43" ht="13.2" customHeight="1" x14ac:dyDescent="0.25">
      <c r="A70" s="76">
        <v>19651</v>
      </c>
      <c r="B70" s="3">
        <v>19.399999999999999</v>
      </c>
      <c r="C70" s="8">
        <f t="shared" si="15"/>
        <v>0.19999999999999929</v>
      </c>
      <c r="D70" s="8">
        <f t="shared" si="16"/>
        <v>0.10000000000000142</v>
      </c>
      <c r="E70" s="3">
        <v>19.2</v>
      </c>
      <c r="F70" s="3">
        <v>19.5</v>
      </c>
      <c r="G70" s="3">
        <f t="shared" si="23"/>
        <v>0.19999999999999929</v>
      </c>
      <c r="H70" s="25" t="s">
        <v>211</v>
      </c>
      <c r="I70" s="4" t="s">
        <v>136</v>
      </c>
      <c r="J70" s="4" t="s">
        <v>135</v>
      </c>
      <c r="K70" s="4"/>
      <c r="L70" s="4"/>
      <c r="M70" s="86" t="s">
        <v>4</v>
      </c>
      <c r="N70" s="4" t="str">
        <f t="shared" si="24"/>
        <v>marine sediment</v>
      </c>
      <c r="O70" s="86" t="s">
        <v>0</v>
      </c>
      <c r="P70" s="5">
        <v>-29.8</v>
      </c>
      <c r="Q70" s="4" t="s">
        <v>134</v>
      </c>
      <c r="S70" s="84">
        <f t="shared" si="25"/>
        <v>-26.3</v>
      </c>
      <c r="T70" s="5">
        <v>1.75</v>
      </c>
      <c r="U70" s="4" t="s">
        <v>295</v>
      </c>
      <c r="V70" s="88">
        <f t="shared" si="17"/>
        <v>-9.3808488964346317</v>
      </c>
      <c r="W70" s="88">
        <f t="shared" si="18"/>
        <v>-8.6308488964346317</v>
      </c>
      <c r="X70" s="88">
        <f t="shared" si="19"/>
        <v>18.146401462016293</v>
      </c>
      <c r="Y70" s="88">
        <v>21.5</v>
      </c>
      <c r="AB70" s="89"/>
      <c r="AC70" s="84">
        <f t="shared" si="20"/>
        <v>294.5</v>
      </c>
      <c r="AD70" s="84"/>
      <c r="AE70" s="23"/>
      <c r="AF70" s="23"/>
      <c r="AG70" s="23"/>
      <c r="AH70" s="23"/>
      <c r="AI70" s="23"/>
      <c r="AJ70" s="23"/>
      <c r="AK70" s="83" t="s">
        <v>346</v>
      </c>
      <c r="AL70" s="84" t="s">
        <v>344</v>
      </c>
      <c r="AM70" s="86">
        <v>170</v>
      </c>
      <c r="AN70" s="85">
        <f t="shared" si="14"/>
        <v>20.350511127271936</v>
      </c>
      <c r="AO70" s="85">
        <v>34</v>
      </c>
      <c r="AP70" s="87">
        <f t="shared" si="21"/>
        <v>3.2147419213494843E-2</v>
      </c>
      <c r="AQ70" s="88">
        <f t="shared" si="22"/>
        <v>633.03716519580519</v>
      </c>
    </row>
    <row r="71" spans="1:43" ht="13.2" customHeight="1" x14ac:dyDescent="0.25">
      <c r="A71" s="76">
        <v>19652</v>
      </c>
      <c r="B71" s="3">
        <v>19.600000000000001</v>
      </c>
      <c r="C71" s="8">
        <f t="shared" si="15"/>
        <v>0.10000000000000142</v>
      </c>
      <c r="D71" s="8">
        <f t="shared" si="16"/>
        <v>9.9999999999997868E-2</v>
      </c>
      <c r="E71" s="3">
        <v>19.5</v>
      </c>
      <c r="F71" s="3">
        <v>19.7</v>
      </c>
      <c r="G71" s="3">
        <f t="shared" si="23"/>
        <v>0.10000000000000142</v>
      </c>
      <c r="H71" s="25" t="s">
        <v>211</v>
      </c>
      <c r="I71" s="4" t="s">
        <v>136</v>
      </c>
      <c r="J71" s="4" t="s">
        <v>135</v>
      </c>
      <c r="K71" s="4"/>
      <c r="L71" s="4"/>
      <c r="M71" s="86" t="s">
        <v>4</v>
      </c>
      <c r="N71" s="4" t="str">
        <f t="shared" si="24"/>
        <v>marine sediment</v>
      </c>
      <c r="O71" s="86" t="s">
        <v>0</v>
      </c>
      <c r="P71" s="5">
        <v>-29.1</v>
      </c>
      <c r="Q71" s="4" t="s">
        <v>134</v>
      </c>
      <c r="S71" s="84">
        <f t="shared" si="25"/>
        <v>-25.6</v>
      </c>
      <c r="T71" s="5">
        <v>1.6</v>
      </c>
      <c r="U71" s="4" t="s">
        <v>295</v>
      </c>
      <c r="V71" s="88">
        <f t="shared" si="17"/>
        <v>-9.3808488964346317</v>
      </c>
      <c r="W71" s="88">
        <f t="shared" si="18"/>
        <v>-8.7808488964346321</v>
      </c>
      <c r="X71" s="88">
        <f t="shared" si="19"/>
        <v>17.261033562772312</v>
      </c>
      <c r="Y71" s="88">
        <v>21.5</v>
      </c>
      <c r="AB71" s="89"/>
      <c r="AC71" s="84">
        <f t="shared" si="20"/>
        <v>294.5</v>
      </c>
      <c r="AD71" s="84"/>
      <c r="AE71" s="23"/>
      <c r="AF71" s="23"/>
      <c r="AG71" s="23"/>
      <c r="AH71" s="23"/>
      <c r="AI71" s="23"/>
      <c r="AJ71" s="23"/>
      <c r="AK71" s="83" t="s">
        <v>346</v>
      </c>
      <c r="AL71" s="84" t="s">
        <v>344</v>
      </c>
      <c r="AM71" s="86">
        <v>170</v>
      </c>
      <c r="AN71" s="85">
        <f t="shared" si="14"/>
        <v>18.400326611751545</v>
      </c>
      <c r="AO71" s="85">
        <v>34</v>
      </c>
      <c r="AP71" s="87">
        <f t="shared" si="21"/>
        <v>3.2147419213494843E-2</v>
      </c>
      <c r="AQ71" s="88">
        <f t="shared" si="22"/>
        <v>572.37336812491174</v>
      </c>
    </row>
    <row r="72" spans="1:43" ht="13.2" customHeight="1" x14ac:dyDescent="0.25">
      <c r="A72" s="76">
        <v>19653</v>
      </c>
      <c r="B72" s="3">
        <v>20.25</v>
      </c>
      <c r="C72" s="8">
        <f t="shared" si="15"/>
        <v>5.0000000000000711E-2</v>
      </c>
      <c r="D72" s="8">
        <f t="shared" si="16"/>
        <v>5.0000000000000711E-2</v>
      </c>
      <c r="E72" s="3">
        <v>20.2</v>
      </c>
      <c r="F72" s="3">
        <v>20.3</v>
      </c>
      <c r="G72" s="3">
        <f t="shared" si="23"/>
        <v>5.0000000000000711E-2</v>
      </c>
      <c r="H72" s="25" t="s">
        <v>211</v>
      </c>
      <c r="I72" s="4" t="s">
        <v>136</v>
      </c>
      <c r="J72" s="4" t="s">
        <v>135</v>
      </c>
      <c r="K72" s="4"/>
      <c r="L72" s="4"/>
      <c r="M72" s="86" t="s">
        <v>4</v>
      </c>
      <c r="N72" s="4" t="str">
        <f t="shared" si="24"/>
        <v>marine sediment</v>
      </c>
      <c r="O72" s="86" t="s">
        <v>0</v>
      </c>
      <c r="P72" s="5">
        <v>-29.8</v>
      </c>
      <c r="Q72" s="4" t="s">
        <v>134</v>
      </c>
      <c r="S72" s="84">
        <f t="shared" si="25"/>
        <v>-26.3</v>
      </c>
      <c r="T72" s="5">
        <v>1.7</v>
      </c>
      <c r="U72" s="4" t="s">
        <v>295</v>
      </c>
      <c r="V72" s="88">
        <f t="shared" si="17"/>
        <v>-9.3808488964346317</v>
      </c>
      <c r="W72" s="88">
        <f t="shared" si="18"/>
        <v>-8.6808488964346324</v>
      </c>
      <c r="X72" s="88">
        <f t="shared" si="19"/>
        <v>18.095050943376158</v>
      </c>
      <c r="Y72" s="88">
        <v>21.5</v>
      </c>
      <c r="AB72" s="89"/>
      <c r="AC72" s="84">
        <f t="shared" si="20"/>
        <v>294.5</v>
      </c>
      <c r="AD72" s="84"/>
      <c r="AE72" s="23"/>
      <c r="AF72" s="23"/>
      <c r="AG72" s="23"/>
      <c r="AH72" s="23"/>
      <c r="AI72" s="23"/>
      <c r="AJ72" s="23"/>
      <c r="AK72" s="83" t="s">
        <v>346</v>
      </c>
      <c r="AL72" s="84" t="s">
        <v>344</v>
      </c>
      <c r="AM72" s="86">
        <v>170</v>
      </c>
      <c r="AN72" s="85">
        <f t="shared" si="14"/>
        <v>20.226178511578841</v>
      </c>
      <c r="AO72" s="85">
        <v>34</v>
      </c>
      <c r="AP72" s="87">
        <f t="shared" si="21"/>
        <v>3.2147419213494843E-2</v>
      </c>
      <c r="AQ72" s="88">
        <f t="shared" si="22"/>
        <v>629.16958830363262</v>
      </c>
    </row>
    <row r="73" spans="1:43" x14ac:dyDescent="0.25">
      <c r="A73" s="76">
        <v>19654</v>
      </c>
      <c r="B73" s="3">
        <v>20.45</v>
      </c>
      <c r="C73" s="8">
        <f t="shared" si="15"/>
        <v>5.0000000000000711E-2</v>
      </c>
      <c r="D73" s="8">
        <f t="shared" si="16"/>
        <v>5.0000000000000711E-2</v>
      </c>
      <c r="E73" s="3">
        <v>20.399999999999999</v>
      </c>
      <c r="F73" s="3">
        <v>20.5</v>
      </c>
      <c r="G73" s="3">
        <f t="shared" si="23"/>
        <v>5.0000000000000711E-2</v>
      </c>
      <c r="H73" s="25" t="s">
        <v>211</v>
      </c>
      <c r="I73" s="4" t="s">
        <v>136</v>
      </c>
      <c r="J73" s="4" t="s">
        <v>135</v>
      </c>
      <c r="K73" s="4"/>
      <c r="L73" s="4"/>
      <c r="M73" s="86" t="s">
        <v>4</v>
      </c>
      <c r="N73" s="4" t="str">
        <f t="shared" si="24"/>
        <v>marine sediment</v>
      </c>
      <c r="O73" s="86" t="s">
        <v>0</v>
      </c>
      <c r="P73" s="5">
        <v>-29.5</v>
      </c>
      <c r="Q73" s="4" t="s">
        <v>134</v>
      </c>
      <c r="S73" s="84">
        <f t="shared" si="25"/>
        <v>-26</v>
      </c>
      <c r="T73" s="5">
        <v>1.7</v>
      </c>
      <c r="U73" s="4" t="s">
        <v>295</v>
      </c>
      <c r="V73" s="88">
        <f t="shared" si="17"/>
        <v>-9.3808488964346317</v>
      </c>
      <c r="W73" s="88">
        <f t="shared" si="18"/>
        <v>-8.6808488964346324</v>
      </c>
      <c r="X73" s="88">
        <f t="shared" si="19"/>
        <v>17.781469305508502</v>
      </c>
      <c r="Y73" s="88">
        <v>21.5</v>
      </c>
      <c r="AB73" s="89"/>
      <c r="AC73" s="84">
        <f t="shared" si="20"/>
        <v>294.5</v>
      </c>
      <c r="AD73" s="84"/>
      <c r="AE73" s="23"/>
      <c r="AF73" s="23"/>
      <c r="AG73" s="23"/>
      <c r="AH73" s="23"/>
      <c r="AI73" s="23"/>
      <c r="AJ73" s="23"/>
      <c r="AK73" s="83" t="s">
        <v>346</v>
      </c>
      <c r="AL73" s="84" t="s">
        <v>344</v>
      </c>
      <c r="AM73" s="86">
        <v>170</v>
      </c>
      <c r="AN73" s="85">
        <f t="shared" si="14"/>
        <v>19.49869834230309</v>
      </c>
      <c r="AO73" s="85">
        <v>34</v>
      </c>
      <c r="AP73" s="87">
        <f t="shared" si="21"/>
        <v>3.2147419213494843E-2</v>
      </c>
      <c r="AQ73" s="88">
        <f t="shared" si="22"/>
        <v>606.54008375633236</v>
      </c>
    </row>
    <row r="74" spans="1:43" x14ac:dyDescent="0.25">
      <c r="A74" s="76">
        <v>19655</v>
      </c>
      <c r="B74" s="3">
        <v>20.8</v>
      </c>
      <c r="C74" s="8">
        <f t="shared" si="15"/>
        <v>5.0000000000000711E-2</v>
      </c>
      <c r="D74" s="8">
        <f t="shared" si="16"/>
        <v>9.9999999999997868E-2</v>
      </c>
      <c r="E74" s="3">
        <v>20.75</v>
      </c>
      <c r="F74" s="3">
        <v>20.9</v>
      </c>
      <c r="G74" s="3">
        <f t="shared" si="23"/>
        <v>9.9999999999997868E-2</v>
      </c>
      <c r="H74" s="25" t="s">
        <v>211</v>
      </c>
      <c r="I74" s="4" t="s">
        <v>136</v>
      </c>
      <c r="J74" s="4" t="s">
        <v>135</v>
      </c>
      <c r="K74" s="4"/>
      <c r="L74" s="4"/>
      <c r="M74" s="86" t="s">
        <v>4</v>
      </c>
      <c r="N74" s="4" t="str">
        <f t="shared" si="24"/>
        <v>marine sediment</v>
      </c>
      <c r="O74" s="86" t="s">
        <v>0</v>
      </c>
      <c r="P74" s="5">
        <v>-29.4</v>
      </c>
      <c r="Q74" s="4" t="s">
        <v>134</v>
      </c>
      <c r="S74" s="84">
        <f t="shared" si="25"/>
        <v>-25.9</v>
      </c>
      <c r="T74" s="5">
        <v>2</v>
      </c>
      <c r="U74" s="4" t="s">
        <v>295</v>
      </c>
      <c r="V74" s="88">
        <f t="shared" si="17"/>
        <v>-9.3808488964346317</v>
      </c>
      <c r="W74" s="88">
        <f t="shared" si="18"/>
        <v>-8.3808488964346317</v>
      </c>
      <c r="X74" s="88">
        <f t="shared" si="19"/>
        <v>17.984961609244898</v>
      </c>
      <c r="Y74" s="88">
        <v>21.5</v>
      </c>
      <c r="AB74" s="89"/>
      <c r="AC74" s="84">
        <f t="shared" si="20"/>
        <v>294.5</v>
      </c>
      <c r="AD74" s="84"/>
      <c r="AE74" s="23"/>
      <c r="AF74" s="23"/>
      <c r="AG74" s="23"/>
      <c r="AH74" s="23"/>
      <c r="AI74" s="23"/>
      <c r="AJ74" s="23"/>
      <c r="AK74" s="83" t="s">
        <v>346</v>
      </c>
      <c r="AL74" s="84" t="s">
        <v>344</v>
      </c>
      <c r="AM74" s="86">
        <v>170</v>
      </c>
      <c r="AN74" s="85">
        <f t="shared" si="14"/>
        <v>19.964678043562483</v>
      </c>
      <c r="AO74" s="85">
        <v>34</v>
      </c>
      <c r="AP74" s="87">
        <f t="shared" si="21"/>
        <v>3.2147419213494843E-2</v>
      </c>
      <c r="AQ74" s="88">
        <f t="shared" si="22"/>
        <v>621.03517271401086</v>
      </c>
    </row>
    <row r="75" spans="1:43" x14ac:dyDescent="0.25">
      <c r="A75" s="76">
        <v>19656</v>
      </c>
      <c r="B75" s="3">
        <v>21.5</v>
      </c>
      <c r="C75" s="8">
        <f t="shared" si="15"/>
        <v>1.1000000000000014</v>
      </c>
      <c r="D75" s="8">
        <f t="shared" si="16"/>
        <v>0.89999999999999858</v>
      </c>
      <c r="E75" s="3">
        <v>20.399999999999999</v>
      </c>
      <c r="F75" s="3">
        <v>20.6</v>
      </c>
      <c r="G75" s="3">
        <f t="shared" si="23"/>
        <v>1.1000000000000014</v>
      </c>
      <c r="H75" s="25" t="s">
        <v>211</v>
      </c>
      <c r="I75" s="4" t="s">
        <v>136</v>
      </c>
      <c r="J75" s="4" t="s">
        <v>135</v>
      </c>
      <c r="K75" s="4"/>
      <c r="L75" s="4"/>
      <c r="M75" s="86" t="s">
        <v>4</v>
      </c>
      <c r="N75" s="4" t="str">
        <f t="shared" si="24"/>
        <v>marine sediment</v>
      </c>
      <c r="O75" s="86" t="s">
        <v>0</v>
      </c>
      <c r="P75" s="5">
        <v>-30</v>
      </c>
      <c r="Q75" s="4" t="s">
        <v>134</v>
      </c>
      <c r="S75" s="84">
        <f t="shared" si="25"/>
        <v>-26.5</v>
      </c>
      <c r="T75" s="5">
        <v>1.85</v>
      </c>
      <c r="U75" s="4" t="s">
        <v>295</v>
      </c>
      <c r="V75" s="88">
        <f t="shared" si="17"/>
        <v>-9.3808488964346317</v>
      </c>
      <c r="W75" s="88">
        <f t="shared" si="18"/>
        <v>-8.5308488964346321</v>
      </c>
      <c r="X75" s="88">
        <f t="shared" si="19"/>
        <v>18.458295946138126</v>
      </c>
      <c r="Y75" s="88">
        <v>21.5</v>
      </c>
      <c r="AB75" s="89"/>
      <c r="AC75" s="84">
        <f t="shared" si="20"/>
        <v>294.5</v>
      </c>
      <c r="AD75" s="84"/>
      <c r="AE75" s="23"/>
      <c r="AF75" s="23"/>
      <c r="AG75" s="23"/>
      <c r="AH75" s="23"/>
      <c r="AI75" s="23"/>
      <c r="AJ75" s="23"/>
      <c r="AK75" s="83" t="s">
        <v>346</v>
      </c>
      <c r="AL75" s="84" t="s">
        <v>344</v>
      </c>
      <c r="AM75" s="86">
        <v>170</v>
      </c>
      <c r="AN75" s="85">
        <f t="shared" si="14"/>
        <v>21.139798090227004</v>
      </c>
      <c r="AO75" s="85">
        <v>34</v>
      </c>
      <c r="AP75" s="87">
        <f t="shared" si="21"/>
        <v>3.2147419213494843E-2</v>
      </c>
      <c r="AQ75" s="88">
        <f t="shared" si="22"/>
        <v>657.58927489124665</v>
      </c>
    </row>
    <row r="76" spans="1:43" ht="13.2" customHeight="1" x14ac:dyDescent="0.25">
      <c r="A76" s="76">
        <v>19657</v>
      </c>
      <c r="B76" s="3">
        <v>24</v>
      </c>
      <c r="C76" s="8">
        <f t="shared" si="15"/>
        <v>0.96999999999999886</v>
      </c>
      <c r="D76" s="8">
        <f t="shared" si="16"/>
        <v>4.1000000000000014</v>
      </c>
      <c r="E76" s="3">
        <v>23.03</v>
      </c>
      <c r="F76" s="3">
        <v>28.1</v>
      </c>
      <c r="G76" s="3">
        <f t="shared" si="23"/>
        <v>4.1000000000000014</v>
      </c>
      <c r="H76" s="4" t="s">
        <v>237</v>
      </c>
      <c r="I76" s="4" t="s">
        <v>126</v>
      </c>
      <c r="J76" s="4" t="s">
        <v>119</v>
      </c>
      <c r="K76" s="4"/>
      <c r="L76" s="4" t="s">
        <v>598</v>
      </c>
      <c r="M76" s="86" t="s">
        <v>4</v>
      </c>
      <c r="N76" s="4" t="str">
        <f t="shared" si="24"/>
        <v>marine sediment</v>
      </c>
      <c r="O76" s="86" t="s">
        <v>0</v>
      </c>
      <c r="P76" s="5">
        <v>-28.9</v>
      </c>
      <c r="Q76" s="4" t="s">
        <v>118</v>
      </c>
      <c r="S76" s="84">
        <f t="shared" si="25"/>
        <v>-25.4</v>
      </c>
      <c r="T76" s="5">
        <v>2.25</v>
      </c>
      <c r="U76" s="4" t="s">
        <v>2</v>
      </c>
      <c r="V76" s="88">
        <f t="shared" si="17"/>
        <v>-9.4812533206184817</v>
      </c>
      <c r="W76" s="88">
        <f t="shared" si="18"/>
        <v>-8.2312533206184817</v>
      </c>
      <c r="X76" s="88">
        <f t="shared" si="19"/>
        <v>17.61619811141135</v>
      </c>
      <c r="Y76" s="88">
        <f t="shared" ref="Y76:Y91" si="26">Z76+AA76</f>
        <v>20.62</v>
      </c>
      <c r="Z76" s="88">
        <v>14</v>
      </c>
      <c r="AA76" s="88">
        <v>6.62</v>
      </c>
      <c r="AB76" s="84" t="s">
        <v>341</v>
      </c>
      <c r="AC76" s="84">
        <f t="shared" si="20"/>
        <v>293.62</v>
      </c>
      <c r="AD76" s="84"/>
      <c r="AE76" s="23"/>
      <c r="AF76" s="23"/>
      <c r="AG76" s="23"/>
      <c r="AH76" s="23"/>
      <c r="AI76" s="23"/>
      <c r="AJ76" s="23"/>
      <c r="AK76" s="83" t="s">
        <v>367</v>
      </c>
      <c r="AL76" s="84" t="s">
        <v>368</v>
      </c>
      <c r="AM76" s="86">
        <v>170</v>
      </c>
      <c r="AN76" s="85">
        <f t="shared" si="14"/>
        <v>19.135951266356699</v>
      </c>
      <c r="AO76" s="85">
        <v>34</v>
      </c>
      <c r="AP76" s="87">
        <f t="shared" si="21"/>
        <v>3.2936065529779235E-2</v>
      </c>
      <c r="AQ76" s="88">
        <f t="shared" si="22"/>
        <v>581.00295097648734</v>
      </c>
    </row>
    <row r="77" spans="1:43" ht="13.5" customHeight="1" x14ac:dyDescent="0.25">
      <c r="A77" s="76">
        <v>19658</v>
      </c>
      <c r="B77" s="3">
        <v>24</v>
      </c>
      <c r="C77" s="8">
        <f t="shared" si="15"/>
        <v>0.96999999999999886</v>
      </c>
      <c r="D77" s="8">
        <f t="shared" si="16"/>
        <v>4.1000000000000014</v>
      </c>
      <c r="E77" s="3">
        <v>23.03</v>
      </c>
      <c r="F77" s="3">
        <v>28.1</v>
      </c>
      <c r="G77" s="3">
        <f t="shared" si="23"/>
        <v>4.1000000000000014</v>
      </c>
      <c r="H77" s="4" t="s">
        <v>237</v>
      </c>
      <c r="I77" s="4" t="s">
        <v>127</v>
      </c>
      <c r="J77" s="4" t="s">
        <v>119</v>
      </c>
      <c r="K77" s="4"/>
      <c r="L77" s="4" t="s">
        <v>598</v>
      </c>
      <c r="M77" s="86" t="s">
        <v>4</v>
      </c>
      <c r="N77" s="4" t="str">
        <f t="shared" si="24"/>
        <v>marine sediment</v>
      </c>
      <c r="O77" s="86" t="s">
        <v>0</v>
      </c>
      <c r="P77" s="5">
        <v>-29.8</v>
      </c>
      <c r="Q77" s="4" t="s">
        <v>118</v>
      </c>
      <c r="S77" s="84">
        <f t="shared" si="25"/>
        <v>-26.3</v>
      </c>
      <c r="T77" s="5">
        <v>2.25</v>
      </c>
      <c r="U77" s="4" t="s">
        <v>2</v>
      </c>
      <c r="V77" s="88">
        <f t="shared" si="17"/>
        <v>-9.4812533206184817</v>
      </c>
      <c r="W77" s="88">
        <f t="shared" si="18"/>
        <v>-8.2312533206184817</v>
      </c>
      <c r="X77" s="88">
        <f t="shared" si="19"/>
        <v>18.556790263306368</v>
      </c>
      <c r="Y77" s="88">
        <f t="shared" si="26"/>
        <v>20.62</v>
      </c>
      <c r="Z77" s="88">
        <v>14</v>
      </c>
      <c r="AA77" s="88">
        <v>6.62</v>
      </c>
      <c r="AB77" s="84" t="s">
        <v>341</v>
      </c>
      <c r="AC77" s="84">
        <f t="shared" si="20"/>
        <v>293.62</v>
      </c>
      <c r="AD77" s="84"/>
      <c r="AE77" s="23"/>
      <c r="AF77" s="23"/>
      <c r="AG77" s="23"/>
      <c r="AH77" s="23"/>
      <c r="AI77" s="23"/>
      <c r="AJ77" s="23"/>
      <c r="AK77" s="83" t="s">
        <v>367</v>
      </c>
      <c r="AL77" s="84" t="s">
        <v>368</v>
      </c>
      <c r="AM77" s="86">
        <v>170</v>
      </c>
      <c r="AN77" s="85">
        <f t="shared" si="14"/>
        <v>21.401927638229864</v>
      </c>
      <c r="AO77" s="85">
        <v>34</v>
      </c>
      <c r="AP77" s="87">
        <f t="shared" si="21"/>
        <v>3.2936065529779235E-2</v>
      </c>
      <c r="AQ77" s="88">
        <f t="shared" si="22"/>
        <v>649.80219385582814</v>
      </c>
    </row>
    <row r="78" spans="1:43" ht="13.2" customHeight="1" x14ac:dyDescent="0.25">
      <c r="A78" s="76">
        <v>19659</v>
      </c>
      <c r="B78" s="3">
        <v>25</v>
      </c>
      <c r="C78" s="8">
        <f t="shared" si="15"/>
        <v>1.9699999999999989</v>
      </c>
      <c r="D78" s="8">
        <f t="shared" si="16"/>
        <v>3.1000000000000014</v>
      </c>
      <c r="E78" s="3">
        <v>23.03</v>
      </c>
      <c r="F78" s="3">
        <v>28.1</v>
      </c>
      <c r="G78" s="3">
        <f t="shared" si="23"/>
        <v>3.1000000000000014</v>
      </c>
      <c r="H78" s="4" t="s">
        <v>237</v>
      </c>
      <c r="I78" s="4" t="s">
        <v>130</v>
      </c>
      <c r="J78" s="4" t="s">
        <v>119</v>
      </c>
      <c r="K78" s="4"/>
      <c r="L78" s="4" t="s">
        <v>598</v>
      </c>
      <c r="M78" s="86" t="s">
        <v>4</v>
      </c>
      <c r="N78" s="4" t="str">
        <f t="shared" si="24"/>
        <v>marine sediment</v>
      </c>
      <c r="O78" s="86" t="s">
        <v>0</v>
      </c>
      <c r="P78" s="5">
        <v>-30.2</v>
      </c>
      <c r="Q78" s="4" t="s">
        <v>118</v>
      </c>
      <c r="S78" s="84">
        <f t="shared" si="25"/>
        <v>-26.7</v>
      </c>
      <c r="T78" s="5">
        <v>2.2000000000000002</v>
      </c>
      <c r="U78" s="4" t="s">
        <v>2</v>
      </c>
      <c r="V78" s="88">
        <f t="shared" si="17"/>
        <v>-9.5719031519994537</v>
      </c>
      <c r="W78" s="88">
        <f t="shared" si="18"/>
        <v>-8.3719031519994545</v>
      </c>
      <c r="X78" s="88">
        <f t="shared" si="19"/>
        <v>18.830881380869748</v>
      </c>
      <c r="Y78" s="88">
        <f t="shared" si="26"/>
        <v>19.829999999999998</v>
      </c>
      <c r="Z78" s="88">
        <v>14</v>
      </c>
      <c r="AA78" s="88">
        <v>5.83</v>
      </c>
      <c r="AB78" s="84" t="s">
        <v>341</v>
      </c>
      <c r="AC78" s="84">
        <f t="shared" si="20"/>
        <v>292.83</v>
      </c>
      <c r="AD78" s="84"/>
      <c r="AE78" s="23"/>
      <c r="AF78" s="23"/>
      <c r="AG78" s="23"/>
      <c r="AH78" s="23"/>
      <c r="AI78" s="23"/>
      <c r="AJ78" s="23"/>
      <c r="AK78" s="83" t="s">
        <v>367</v>
      </c>
      <c r="AL78" s="84" t="s">
        <v>368</v>
      </c>
      <c r="AM78" s="86">
        <v>170</v>
      </c>
      <c r="AN78" s="85">
        <f t="shared" si="14"/>
        <v>22.166823652452457</v>
      </c>
      <c r="AO78" s="85">
        <v>34</v>
      </c>
      <c r="AP78" s="87">
        <f t="shared" si="21"/>
        <v>3.3671419267398778E-2</v>
      </c>
      <c r="AQ78" s="88">
        <f t="shared" si="22"/>
        <v>658.32757082249691</v>
      </c>
    </row>
    <row r="79" spans="1:43" ht="13.2" customHeight="1" x14ac:dyDescent="0.25">
      <c r="A79" s="76">
        <v>19660</v>
      </c>
      <c r="B79" s="3">
        <v>25</v>
      </c>
      <c r="C79" s="8">
        <f t="shared" si="15"/>
        <v>1.9699999999999989</v>
      </c>
      <c r="D79" s="8">
        <f t="shared" si="16"/>
        <v>3.1000000000000014</v>
      </c>
      <c r="E79" s="3">
        <v>23.03</v>
      </c>
      <c r="F79" s="3">
        <v>28.1</v>
      </c>
      <c r="G79" s="3">
        <f t="shared" si="23"/>
        <v>3.1000000000000014</v>
      </c>
      <c r="H79" s="4" t="s">
        <v>237</v>
      </c>
      <c r="I79" s="4" t="s">
        <v>131</v>
      </c>
      <c r="J79" s="4" t="s">
        <v>119</v>
      </c>
      <c r="K79" s="4"/>
      <c r="L79" s="4" t="s">
        <v>598</v>
      </c>
      <c r="M79" s="86" t="s">
        <v>4</v>
      </c>
      <c r="N79" s="4" t="str">
        <f t="shared" si="24"/>
        <v>marine sediment</v>
      </c>
      <c r="O79" s="86" t="s">
        <v>0</v>
      </c>
      <c r="P79" s="5">
        <v>-30.1</v>
      </c>
      <c r="Q79" s="4" t="s">
        <v>118</v>
      </c>
      <c r="S79" s="84">
        <f t="shared" si="25"/>
        <v>-26.6</v>
      </c>
      <c r="T79" s="5">
        <v>2.2000000000000002</v>
      </c>
      <c r="U79" s="4" t="s">
        <v>2</v>
      </c>
      <c r="V79" s="88">
        <f t="shared" si="17"/>
        <v>-9.5719031519994537</v>
      </c>
      <c r="W79" s="88">
        <f t="shared" si="18"/>
        <v>-8.3719031519994545</v>
      </c>
      <c r="X79" s="88">
        <f t="shared" si="19"/>
        <v>18.726214144237254</v>
      </c>
      <c r="Y79" s="88">
        <f t="shared" si="26"/>
        <v>19.829999999999998</v>
      </c>
      <c r="Z79" s="88">
        <v>14</v>
      </c>
      <c r="AA79" s="88">
        <v>5.83</v>
      </c>
      <c r="AB79" s="84" t="s">
        <v>341</v>
      </c>
      <c r="AC79" s="84">
        <f t="shared" si="20"/>
        <v>292.83</v>
      </c>
      <c r="AD79" s="84"/>
      <c r="AE79" s="23"/>
      <c r="AF79" s="23"/>
      <c r="AG79" s="23"/>
      <c r="AH79" s="23"/>
      <c r="AI79" s="23"/>
      <c r="AJ79" s="23"/>
      <c r="AK79" s="83" t="s">
        <v>367</v>
      </c>
      <c r="AL79" s="84" t="s">
        <v>368</v>
      </c>
      <c r="AM79" s="86">
        <v>170</v>
      </c>
      <c r="AN79" s="85">
        <f t="shared" si="14"/>
        <v>21.86836673330513</v>
      </c>
      <c r="AO79" s="85">
        <v>34</v>
      </c>
      <c r="AP79" s="87">
        <f t="shared" si="21"/>
        <v>3.3671419267398778E-2</v>
      </c>
      <c r="AQ79" s="88">
        <f t="shared" si="22"/>
        <v>649.46376508929768</v>
      </c>
    </row>
    <row r="80" spans="1:43" ht="13.5" customHeight="1" x14ac:dyDescent="0.25">
      <c r="A80" s="76">
        <v>19661</v>
      </c>
      <c r="B80" s="3">
        <v>27</v>
      </c>
      <c r="C80" s="8">
        <f t="shared" si="15"/>
        <v>3.9699999999999989</v>
      </c>
      <c r="D80" s="8">
        <f t="shared" si="16"/>
        <v>1.1000000000000014</v>
      </c>
      <c r="E80" s="3">
        <v>23.03</v>
      </c>
      <c r="F80" s="3">
        <v>28.1</v>
      </c>
      <c r="G80" s="3">
        <f t="shared" si="23"/>
        <v>3.9699999999999989</v>
      </c>
      <c r="H80" s="4" t="s">
        <v>237</v>
      </c>
      <c r="I80" s="4" t="s">
        <v>128</v>
      </c>
      <c r="J80" s="4" t="s">
        <v>119</v>
      </c>
      <c r="K80" s="4"/>
      <c r="L80" s="4" t="s">
        <v>598</v>
      </c>
      <c r="M80" s="86" t="s">
        <v>4</v>
      </c>
      <c r="N80" s="4" t="str">
        <f t="shared" si="24"/>
        <v>marine sediment</v>
      </c>
      <c r="O80" s="86" t="s">
        <v>0</v>
      </c>
      <c r="P80" s="5">
        <v>-31.8</v>
      </c>
      <c r="Q80" s="4" t="s">
        <v>118</v>
      </c>
      <c r="S80" s="84">
        <f t="shared" si="25"/>
        <v>-28.3</v>
      </c>
      <c r="T80" s="5">
        <v>2.1</v>
      </c>
      <c r="U80" s="4" t="s">
        <v>2</v>
      </c>
      <c r="V80" s="88">
        <f t="shared" si="17"/>
        <v>-9.7581677082617908</v>
      </c>
      <c r="W80" s="88">
        <f t="shared" si="18"/>
        <v>-8.6581677082617912</v>
      </c>
      <c r="X80" s="88">
        <f t="shared" si="19"/>
        <v>20.213885244147576</v>
      </c>
      <c r="Y80" s="88">
        <f t="shared" si="26"/>
        <v>18.22</v>
      </c>
      <c r="Z80" s="88">
        <v>14</v>
      </c>
      <c r="AA80" s="88">
        <v>4.22</v>
      </c>
      <c r="AB80" s="84" t="s">
        <v>341</v>
      </c>
      <c r="AC80" s="84">
        <f t="shared" si="20"/>
        <v>291.22000000000003</v>
      </c>
      <c r="AD80" s="84"/>
      <c r="AE80" s="23"/>
      <c r="AF80" s="23"/>
      <c r="AG80" s="23"/>
      <c r="AH80" s="23"/>
      <c r="AI80" s="23"/>
      <c r="AJ80" s="23"/>
      <c r="AK80" s="83" t="s">
        <v>367</v>
      </c>
      <c r="AL80" s="84" t="s">
        <v>368</v>
      </c>
      <c r="AM80" s="86">
        <v>170</v>
      </c>
      <c r="AN80" s="85">
        <f t="shared" si="14"/>
        <v>27.043731557991148</v>
      </c>
      <c r="AO80" s="85">
        <v>34</v>
      </c>
      <c r="AP80" s="87">
        <f t="shared" si="21"/>
        <v>3.5255093317660996E-2</v>
      </c>
      <c r="AQ80" s="88">
        <f t="shared" si="22"/>
        <v>767.08722096740621</v>
      </c>
    </row>
    <row r="81" spans="1:43" ht="13.5" customHeight="1" x14ac:dyDescent="0.25">
      <c r="A81" s="76">
        <v>19662</v>
      </c>
      <c r="B81" s="3">
        <v>27</v>
      </c>
      <c r="C81" s="8">
        <f t="shared" si="15"/>
        <v>3.9699999999999989</v>
      </c>
      <c r="D81" s="8">
        <f t="shared" si="16"/>
        <v>1.1000000000000014</v>
      </c>
      <c r="E81" s="3">
        <v>23.03</v>
      </c>
      <c r="F81" s="3">
        <v>28.1</v>
      </c>
      <c r="G81" s="3">
        <f t="shared" si="23"/>
        <v>3.9699999999999989</v>
      </c>
      <c r="H81" s="4" t="s">
        <v>237</v>
      </c>
      <c r="I81" s="4" t="s">
        <v>129</v>
      </c>
      <c r="J81" s="4" t="s">
        <v>119</v>
      </c>
      <c r="K81" s="4"/>
      <c r="L81" s="4" t="s">
        <v>598</v>
      </c>
      <c r="M81" s="86" t="s">
        <v>4</v>
      </c>
      <c r="N81" s="4" t="str">
        <f t="shared" si="24"/>
        <v>marine sediment</v>
      </c>
      <c r="O81" s="86" t="s">
        <v>0</v>
      </c>
      <c r="P81" s="5">
        <v>-31.2</v>
      </c>
      <c r="Q81" s="4" t="s">
        <v>118</v>
      </c>
      <c r="S81" s="84">
        <f t="shared" si="25"/>
        <v>-27.7</v>
      </c>
      <c r="T81" s="5">
        <v>2.1</v>
      </c>
      <c r="U81" s="4" t="s">
        <v>2</v>
      </c>
      <c r="V81" s="88">
        <f t="shared" si="17"/>
        <v>-9.7581677082617908</v>
      </c>
      <c r="W81" s="88">
        <f t="shared" si="18"/>
        <v>-8.6581677082617912</v>
      </c>
      <c r="X81" s="88">
        <f t="shared" si="19"/>
        <v>19.584317897499037</v>
      </c>
      <c r="Y81" s="88">
        <f t="shared" si="26"/>
        <v>18.22</v>
      </c>
      <c r="Z81" s="88">
        <v>14</v>
      </c>
      <c r="AA81" s="88">
        <v>4.22</v>
      </c>
      <c r="AB81" s="84" t="s">
        <v>341</v>
      </c>
      <c r="AC81" s="84">
        <f t="shared" si="20"/>
        <v>291.22000000000003</v>
      </c>
      <c r="AD81" s="84"/>
      <c r="AE81" s="23"/>
      <c r="AF81" s="23"/>
      <c r="AG81" s="23"/>
      <c r="AH81" s="23"/>
      <c r="AI81" s="23"/>
      <c r="AJ81" s="23"/>
      <c r="AK81" s="83" t="s">
        <v>367</v>
      </c>
      <c r="AL81" s="84" t="s">
        <v>368</v>
      </c>
      <c r="AM81" s="86">
        <v>170</v>
      </c>
      <c r="AN81" s="85">
        <f t="shared" si="14"/>
        <v>24.5818123910759</v>
      </c>
      <c r="AO81" s="85">
        <v>34</v>
      </c>
      <c r="AP81" s="87">
        <f t="shared" si="21"/>
        <v>3.5255093317660996E-2</v>
      </c>
      <c r="AQ81" s="88">
        <f t="shared" si="22"/>
        <v>697.25563252903578</v>
      </c>
    </row>
    <row r="82" spans="1:43" ht="13.5" customHeight="1" x14ac:dyDescent="0.25">
      <c r="A82" s="76">
        <v>19663</v>
      </c>
      <c r="B82" s="24">
        <v>28</v>
      </c>
      <c r="C82" s="8">
        <f t="shared" si="15"/>
        <v>2</v>
      </c>
      <c r="D82" s="8">
        <f t="shared" si="16"/>
        <v>2</v>
      </c>
      <c r="E82" s="24">
        <v>26</v>
      </c>
      <c r="F82" s="24">
        <v>30</v>
      </c>
      <c r="G82" s="3">
        <f t="shared" si="23"/>
        <v>2</v>
      </c>
      <c r="H82" s="25" t="s">
        <v>543</v>
      </c>
      <c r="I82" s="26">
        <v>17035</v>
      </c>
      <c r="J82" s="25" t="s">
        <v>212</v>
      </c>
      <c r="K82" s="25"/>
      <c r="L82" s="25" t="s">
        <v>212</v>
      </c>
      <c r="M82" s="95" t="s">
        <v>1</v>
      </c>
      <c r="N82" s="4" t="str">
        <f t="shared" si="24"/>
        <v>marine oil</v>
      </c>
      <c r="O82" s="95" t="s">
        <v>0</v>
      </c>
      <c r="P82" s="27">
        <v>-30.234000000000002</v>
      </c>
      <c r="Q82" s="25" t="s">
        <v>293</v>
      </c>
      <c r="R82" s="25"/>
      <c r="S82" s="84">
        <f t="shared" si="25"/>
        <v>-26.734000000000002</v>
      </c>
      <c r="T82" s="5">
        <v>2.2000000000000002</v>
      </c>
      <c r="U82" s="4" t="s">
        <v>2</v>
      </c>
      <c r="V82" s="88">
        <f t="shared" si="17"/>
        <v>-9.3252015322553312</v>
      </c>
      <c r="W82" s="88">
        <f t="shared" si="18"/>
        <v>-8.1252015322553319</v>
      </c>
      <c r="X82" s="88">
        <f t="shared" si="19"/>
        <v>19.119951244310094</v>
      </c>
      <c r="Y82" s="88">
        <f t="shared" si="26"/>
        <v>21.99</v>
      </c>
      <c r="Z82" s="88">
        <v>18.29</v>
      </c>
      <c r="AA82" s="88">
        <v>3.7</v>
      </c>
      <c r="AB82" s="84" t="s">
        <v>341</v>
      </c>
      <c r="AC82" s="84">
        <f t="shared" si="20"/>
        <v>294.99</v>
      </c>
      <c r="AD82" s="84"/>
      <c r="AE82" s="23"/>
      <c r="AF82" s="23"/>
      <c r="AG82" s="23"/>
      <c r="AH82" s="23"/>
      <c r="AI82" s="23"/>
      <c r="AJ82" s="23"/>
      <c r="AK82" s="83" t="s">
        <v>259</v>
      </c>
      <c r="AL82" s="84" t="s">
        <v>169</v>
      </c>
      <c r="AM82" s="86">
        <v>170</v>
      </c>
      <c r="AN82" s="85">
        <f t="shared" si="14"/>
        <v>23.035078171933833</v>
      </c>
      <c r="AO82" s="85">
        <v>34</v>
      </c>
      <c r="AP82" s="87">
        <f t="shared" si="21"/>
        <v>3.1721682892435717E-2</v>
      </c>
      <c r="AQ82" s="88">
        <f t="shared" si="22"/>
        <v>726.1619205400583</v>
      </c>
    </row>
    <row r="83" spans="1:43" ht="13.5" customHeight="1" x14ac:dyDescent="0.25">
      <c r="A83" s="76">
        <v>19664</v>
      </c>
      <c r="B83" s="24">
        <v>30</v>
      </c>
      <c r="C83" s="8">
        <f t="shared" si="15"/>
        <v>1.8999999999999986</v>
      </c>
      <c r="D83" s="8">
        <f t="shared" si="16"/>
        <v>3.8999999999999986</v>
      </c>
      <c r="E83" s="3">
        <v>28.1</v>
      </c>
      <c r="F83" s="24">
        <v>33.9</v>
      </c>
      <c r="G83" s="3">
        <f t="shared" si="23"/>
        <v>3.8999999999999986</v>
      </c>
      <c r="H83" s="4" t="s">
        <v>236</v>
      </c>
      <c r="I83" s="4" t="s">
        <v>120</v>
      </c>
      <c r="J83" s="4" t="s">
        <v>119</v>
      </c>
      <c r="K83" s="4"/>
      <c r="L83" s="4" t="s">
        <v>598</v>
      </c>
      <c r="M83" s="86" t="s">
        <v>4</v>
      </c>
      <c r="N83" s="4" t="str">
        <f t="shared" si="24"/>
        <v>marine sediment</v>
      </c>
      <c r="O83" s="86" t="s">
        <v>0</v>
      </c>
      <c r="P83" s="5">
        <v>-32.299999999999997</v>
      </c>
      <c r="Q83" s="4" t="s">
        <v>118</v>
      </c>
      <c r="S83" s="84">
        <f t="shared" si="25"/>
        <v>-28.799999999999997</v>
      </c>
      <c r="T83" s="5">
        <v>2.2000000000000002</v>
      </c>
      <c r="U83" s="4" t="s">
        <v>2</v>
      </c>
      <c r="V83" s="88">
        <f t="shared" si="17"/>
        <v>-9.8047644591156065</v>
      </c>
      <c r="W83" s="88">
        <f t="shared" si="18"/>
        <v>-8.6047644591156072</v>
      </c>
      <c r="X83" s="88">
        <f t="shared" si="19"/>
        <v>20.794105787566242</v>
      </c>
      <c r="Y83" s="88">
        <f t="shared" si="26"/>
        <v>17.82</v>
      </c>
      <c r="Z83" s="88">
        <v>14</v>
      </c>
      <c r="AA83" s="88">
        <v>3.82</v>
      </c>
      <c r="AB83" s="84" t="s">
        <v>341</v>
      </c>
      <c r="AC83" s="84">
        <f t="shared" si="20"/>
        <v>290.82</v>
      </c>
      <c r="AD83" s="84"/>
      <c r="AE83" s="23"/>
      <c r="AF83" s="23"/>
      <c r="AG83" s="23"/>
      <c r="AH83" s="23"/>
      <c r="AI83" s="23"/>
      <c r="AJ83" s="23"/>
      <c r="AK83" s="83" t="s">
        <v>367</v>
      </c>
      <c r="AL83" s="84" t="s">
        <v>368</v>
      </c>
      <c r="AM83" s="86">
        <v>170</v>
      </c>
      <c r="AN83" s="85">
        <f t="shared" si="14"/>
        <v>29.793752507635293</v>
      </c>
      <c r="AO83" s="85">
        <v>34</v>
      </c>
      <c r="AP83" s="87">
        <f t="shared" si="21"/>
        <v>3.5667169820823214E-2</v>
      </c>
      <c r="AQ83" s="88">
        <f t="shared" si="22"/>
        <v>835.32707129011112</v>
      </c>
    </row>
    <row r="84" spans="1:43" ht="13.5" customHeight="1" x14ac:dyDescent="0.25">
      <c r="A84" s="76">
        <v>19665</v>
      </c>
      <c r="B84" s="24">
        <v>30</v>
      </c>
      <c r="C84" s="8">
        <f t="shared" si="15"/>
        <v>1.8999999999999986</v>
      </c>
      <c r="D84" s="8">
        <f t="shared" si="16"/>
        <v>3.8999999999999986</v>
      </c>
      <c r="E84" s="3">
        <v>28.1</v>
      </c>
      <c r="F84" s="24">
        <v>33.9</v>
      </c>
      <c r="G84" s="3">
        <f t="shared" si="23"/>
        <v>3.8999999999999986</v>
      </c>
      <c r="H84" s="4" t="s">
        <v>236</v>
      </c>
      <c r="I84" s="4" t="s">
        <v>121</v>
      </c>
      <c r="J84" s="4" t="s">
        <v>119</v>
      </c>
      <c r="K84" s="4"/>
      <c r="L84" s="4" t="s">
        <v>598</v>
      </c>
      <c r="M84" s="86" t="s">
        <v>4</v>
      </c>
      <c r="N84" s="4" t="str">
        <f t="shared" si="24"/>
        <v>marine sediment</v>
      </c>
      <c r="O84" s="86" t="s">
        <v>0</v>
      </c>
      <c r="P84" s="5">
        <v>-33</v>
      </c>
      <c r="Q84" s="4" t="s">
        <v>118</v>
      </c>
      <c r="S84" s="84">
        <f t="shared" si="25"/>
        <v>-29.5</v>
      </c>
      <c r="T84" s="5">
        <v>2.2000000000000002</v>
      </c>
      <c r="U84" s="4" t="s">
        <v>2</v>
      </c>
      <c r="V84" s="88">
        <f t="shared" si="17"/>
        <v>-9.8047644591156065</v>
      </c>
      <c r="W84" s="88">
        <f t="shared" si="18"/>
        <v>-8.6047644591156072</v>
      </c>
      <c r="X84" s="88">
        <f t="shared" si="19"/>
        <v>21.530381804105492</v>
      </c>
      <c r="Y84" s="88">
        <f t="shared" si="26"/>
        <v>17.82</v>
      </c>
      <c r="Z84" s="88">
        <v>14</v>
      </c>
      <c r="AA84" s="88">
        <v>3.82</v>
      </c>
      <c r="AB84" s="84" t="s">
        <v>341</v>
      </c>
      <c r="AC84" s="84">
        <f t="shared" si="20"/>
        <v>290.82</v>
      </c>
      <c r="AD84" s="84"/>
      <c r="AE84" s="23"/>
      <c r="AF84" s="23"/>
      <c r="AG84" s="23"/>
      <c r="AH84" s="23"/>
      <c r="AI84" s="23"/>
      <c r="AJ84" s="23"/>
      <c r="AK84" s="83" t="s">
        <v>367</v>
      </c>
      <c r="AL84" s="84" t="s">
        <v>368</v>
      </c>
      <c r="AM84" s="86">
        <v>170</v>
      </c>
      <c r="AN84" s="85">
        <f t="shared" si="14"/>
        <v>34.20785929599986</v>
      </c>
      <c r="AO84" s="85">
        <v>34</v>
      </c>
      <c r="AP84" s="87">
        <f t="shared" si="21"/>
        <v>3.5667169820823214E-2</v>
      </c>
      <c r="AQ84" s="88">
        <f t="shared" si="22"/>
        <v>959.08532882888346</v>
      </c>
    </row>
    <row r="85" spans="1:43" ht="13.5" customHeight="1" x14ac:dyDescent="0.25">
      <c r="A85" s="76">
        <v>19666</v>
      </c>
      <c r="B85" s="24">
        <v>30</v>
      </c>
      <c r="C85" s="8">
        <f t="shared" si="15"/>
        <v>1.8999999999999986</v>
      </c>
      <c r="D85" s="8">
        <f t="shared" si="16"/>
        <v>3.8999999999999986</v>
      </c>
      <c r="E85" s="3">
        <v>28.1</v>
      </c>
      <c r="F85" s="24">
        <v>33.9</v>
      </c>
      <c r="G85" s="3">
        <f t="shared" si="23"/>
        <v>3.8999999999999986</v>
      </c>
      <c r="H85" s="4" t="s">
        <v>236</v>
      </c>
      <c r="I85" s="4" t="s">
        <v>122</v>
      </c>
      <c r="J85" s="4" t="s">
        <v>119</v>
      </c>
      <c r="K85" s="4"/>
      <c r="L85" s="4" t="s">
        <v>598</v>
      </c>
      <c r="M85" s="86" t="s">
        <v>4</v>
      </c>
      <c r="N85" s="4" t="str">
        <f t="shared" si="24"/>
        <v>marine sediment</v>
      </c>
      <c r="O85" s="86" t="s">
        <v>0</v>
      </c>
      <c r="P85" s="5">
        <v>-32.9</v>
      </c>
      <c r="Q85" s="4" t="s">
        <v>118</v>
      </c>
      <c r="S85" s="84">
        <f t="shared" si="25"/>
        <v>-29.4</v>
      </c>
      <c r="T85" s="5">
        <v>2.2000000000000002</v>
      </c>
      <c r="U85" s="4" t="s">
        <v>2</v>
      </c>
      <c r="V85" s="88">
        <f t="shared" si="17"/>
        <v>-9.8047644591156065</v>
      </c>
      <c r="W85" s="88">
        <f t="shared" si="18"/>
        <v>-8.6047644591156072</v>
      </c>
      <c r="X85" s="88">
        <f t="shared" si="19"/>
        <v>21.425134495038467</v>
      </c>
      <c r="Y85" s="88">
        <f t="shared" si="26"/>
        <v>17.82</v>
      </c>
      <c r="Z85" s="88">
        <v>14</v>
      </c>
      <c r="AA85" s="88">
        <v>3.82</v>
      </c>
      <c r="AB85" s="84" t="s">
        <v>341</v>
      </c>
      <c r="AC85" s="84">
        <f t="shared" si="20"/>
        <v>290.82</v>
      </c>
      <c r="AD85" s="84"/>
      <c r="AE85" s="23"/>
      <c r="AF85" s="23"/>
      <c r="AG85" s="23"/>
      <c r="AH85" s="23"/>
      <c r="AI85" s="23"/>
      <c r="AJ85" s="23"/>
      <c r="AK85" s="83" t="s">
        <v>367</v>
      </c>
      <c r="AL85" s="84" t="s">
        <v>368</v>
      </c>
      <c r="AM85" s="86">
        <v>170</v>
      </c>
      <c r="AN85" s="85">
        <f t="shared" si="14"/>
        <v>33.49842470382643</v>
      </c>
      <c r="AO85" s="85">
        <v>34</v>
      </c>
      <c r="AP85" s="87">
        <f t="shared" si="21"/>
        <v>3.5667169820823214E-2</v>
      </c>
      <c r="AQ85" s="88">
        <f t="shared" si="22"/>
        <v>939.19491992519613</v>
      </c>
    </row>
    <row r="86" spans="1:43" ht="13.2" customHeight="1" x14ac:dyDescent="0.25">
      <c r="A86" s="76">
        <v>19667</v>
      </c>
      <c r="B86" s="24">
        <v>31</v>
      </c>
      <c r="C86" s="8">
        <f t="shared" si="15"/>
        <v>2.8999999999999986</v>
      </c>
      <c r="D86" s="8">
        <f t="shared" si="16"/>
        <v>2.8999999999999986</v>
      </c>
      <c r="E86" s="24">
        <v>28.1</v>
      </c>
      <c r="F86" s="24">
        <v>33.9</v>
      </c>
      <c r="G86" s="3">
        <f t="shared" si="23"/>
        <v>2.8999999999999986</v>
      </c>
      <c r="H86" s="25" t="s">
        <v>542</v>
      </c>
      <c r="I86" s="28">
        <v>16985</v>
      </c>
      <c r="J86" s="29" t="s">
        <v>212</v>
      </c>
      <c r="K86" s="29"/>
      <c r="L86" s="4" t="s">
        <v>212</v>
      </c>
      <c r="M86" s="96" t="s">
        <v>1</v>
      </c>
      <c r="N86" s="4" t="str">
        <f t="shared" si="24"/>
        <v>marine oil</v>
      </c>
      <c r="O86" s="96" t="s">
        <v>0</v>
      </c>
      <c r="P86" s="30">
        <f>AVERAGE(-28.89,-28.89,-29.04)</f>
        <v>-28.939999999999998</v>
      </c>
      <c r="Q86" s="25" t="s">
        <v>293</v>
      </c>
      <c r="R86" s="25"/>
      <c r="S86" s="84">
        <f t="shared" si="25"/>
        <v>-25.439999999999998</v>
      </c>
      <c r="T86" s="5">
        <v>2.2000000000000002</v>
      </c>
      <c r="U86" s="4" t="s">
        <v>2</v>
      </c>
      <c r="V86" s="88">
        <f t="shared" si="17"/>
        <v>-9.3070709808571941</v>
      </c>
      <c r="W86" s="88">
        <f t="shared" si="18"/>
        <v>-8.1070709808571948</v>
      </c>
      <c r="X86" s="88">
        <f t="shared" si="19"/>
        <v>17.785389323533572</v>
      </c>
      <c r="Y86" s="88">
        <f t="shared" si="26"/>
        <v>22.15</v>
      </c>
      <c r="Z86" s="88">
        <v>18.45</v>
      </c>
      <c r="AA86" s="88">
        <v>3.7</v>
      </c>
      <c r="AB86" s="84" t="s">
        <v>369</v>
      </c>
      <c r="AC86" s="84">
        <f t="shared" si="20"/>
        <v>295.14999999999998</v>
      </c>
      <c r="AD86" s="84"/>
      <c r="AE86" s="23"/>
      <c r="AF86" s="23"/>
      <c r="AG86" s="23"/>
      <c r="AH86" s="23"/>
      <c r="AI86" s="23"/>
      <c r="AJ86" s="23"/>
      <c r="AK86" s="83" t="s">
        <v>259</v>
      </c>
      <c r="AL86" s="84" t="s">
        <v>169</v>
      </c>
      <c r="AM86" s="86">
        <v>170</v>
      </c>
      <c r="AN86" s="85">
        <f t="shared" si="14"/>
        <v>19.507469273306771</v>
      </c>
      <c r="AO86" s="85">
        <v>34</v>
      </c>
      <c r="AP86" s="87">
        <f t="shared" si="21"/>
        <v>3.1584686533911041E-2</v>
      </c>
      <c r="AQ86" s="88">
        <f t="shared" si="22"/>
        <v>617.62427980288771</v>
      </c>
    </row>
    <row r="87" spans="1:43" ht="13.5" customHeight="1" x14ac:dyDescent="0.25">
      <c r="A87" s="76">
        <v>19668</v>
      </c>
      <c r="B87" s="24">
        <v>31</v>
      </c>
      <c r="C87" s="8">
        <f t="shared" si="15"/>
        <v>2.8999999999999986</v>
      </c>
      <c r="D87" s="8">
        <f t="shared" si="16"/>
        <v>2.8999999999999986</v>
      </c>
      <c r="E87" s="3">
        <v>28.1</v>
      </c>
      <c r="F87" s="24">
        <v>33.9</v>
      </c>
      <c r="G87" s="3">
        <f t="shared" si="23"/>
        <v>2.8999999999999986</v>
      </c>
      <c r="H87" s="4" t="s">
        <v>236</v>
      </c>
      <c r="I87" s="4" t="s">
        <v>123</v>
      </c>
      <c r="J87" s="4" t="s">
        <v>119</v>
      </c>
      <c r="K87" s="4"/>
      <c r="L87" s="4" t="s">
        <v>598</v>
      </c>
      <c r="M87" s="86" t="s">
        <v>4</v>
      </c>
      <c r="N87" s="4" t="str">
        <f t="shared" si="24"/>
        <v>marine sediment</v>
      </c>
      <c r="O87" s="86" t="s">
        <v>0</v>
      </c>
      <c r="P87" s="5">
        <v>-32</v>
      </c>
      <c r="Q87" s="4" t="s">
        <v>118</v>
      </c>
      <c r="S87" s="84">
        <f t="shared" si="25"/>
        <v>-28.5</v>
      </c>
      <c r="T87" s="5">
        <v>2.25</v>
      </c>
      <c r="U87" s="4" t="s">
        <v>2</v>
      </c>
      <c r="V87" s="88">
        <f t="shared" si="17"/>
        <v>-9.7663128971320639</v>
      </c>
      <c r="W87" s="88">
        <f t="shared" si="18"/>
        <v>-8.5163128971320639</v>
      </c>
      <c r="X87" s="88">
        <f t="shared" si="19"/>
        <v>20.569930111032477</v>
      </c>
      <c r="Y87" s="88">
        <f t="shared" si="26"/>
        <v>18.149999999999999</v>
      </c>
      <c r="Z87" s="88">
        <v>14</v>
      </c>
      <c r="AA87" s="88">
        <v>4.1500000000000004</v>
      </c>
      <c r="AB87" s="84" t="s">
        <v>341</v>
      </c>
      <c r="AC87" s="84">
        <f t="shared" si="20"/>
        <v>291.14999999999998</v>
      </c>
      <c r="AD87" s="84"/>
      <c r="AE87" s="23"/>
      <c r="AF87" s="23"/>
      <c r="AG87" s="23"/>
      <c r="AH87" s="23"/>
      <c r="AI87" s="23"/>
      <c r="AJ87" s="23"/>
      <c r="AK87" s="83" t="s">
        <v>367</v>
      </c>
      <c r="AL87" s="84" t="s">
        <v>368</v>
      </c>
      <c r="AM87" s="86">
        <v>170</v>
      </c>
      <c r="AN87" s="85">
        <f t="shared" si="14"/>
        <v>28.667453028888076</v>
      </c>
      <c r="AO87" s="85">
        <v>34</v>
      </c>
      <c r="AP87" s="87">
        <f t="shared" si="21"/>
        <v>3.5326655279122439E-2</v>
      </c>
      <c r="AQ87" s="88">
        <f t="shared" si="22"/>
        <v>811.49638431323956</v>
      </c>
    </row>
    <row r="88" spans="1:43" ht="13.5" customHeight="1" x14ac:dyDescent="0.25">
      <c r="A88" s="76">
        <v>19669</v>
      </c>
      <c r="B88" s="24">
        <v>31</v>
      </c>
      <c r="C88" s="8">
        <f t="shared" si="15"/>
        <v>2.8999999999999986</v>
      </c>
      <c r="D88" s="8">
        <f t="shared" si="16"/>
        <v>2.8999999999999986</v>
      </c>
      <c r="E88" s="3">
        <v>28.1</v>
      </c>
      <c r="F88" s="24">
        <v>33.9</v>
      </c>
      <c r="G88" s="3">
        <f t="shared" si="23"/>
        <v>2.8999999999999986</v>
      </c>
      <c r="H88" s="4" t="s">
        <v>236</v>
      </c>
      <c r="I88" s="4" t="s">
        <v>124</v>
      </c>
      <c r="J88" s="4" t="s">
        <v>119</v>
      </c>
      <c r="K88" s="4"/>
      <c r="L88" s="4" t="s">
        <v>598</v>
      </c>
      <c r="M88" s="86" t="s">
        <v>4</v>
      </c>
      <c r="N88" s="4" t="str">
        <f t="shared" si="24"/>
        <v>marine sediment</v>
      </c>
      <c r="O88" s="86" t="s">
        <v>0</v>
      </c>
      <c r="P88" s="5">
        <v>-32.200000000000003</v>
      </c>
      <c r="Q88" s="4" t="s">
        <v>118</v>
      </c>
      <c r="S88" s="84">
        <f t="shared" si="25"/>
        <v>-28.700000000000003</v>
      </c>
      <c r="T88" s="5">
        <v>2.25</v>
      </c>
      <c r="U88" s="4" t="s">
        <v>2</v>
      </c>
      <c r="V88" s="88">
        <f t="shared" si="17"/>
        <v>-9.7663128971320639</v>
      </c>
      <c r="W88" s="88">
        <f t="shared" si="18"/>
        <v>-8.5163128971320639</v>
      </c>
      <c r="X88" s="88">
        <f t="shared" si="19"/>
        <v>20.780075262913698</v>
      </c>
      <c r="Y88" s="88">
        <f t="shared" si="26"/>
        <v>18.149999999999999</v>
      </c>
      <c r="Z88" s="88">
        <v>14</v>
      </c>
      <c r="AA88" s="88">
        <v>4.1500000000000004</v>
      </c>
      <c r="AB88" s="84" t="s">
        <v>341</v>
      </c>
      <c r="AC88" s="84">
        <f t="shared" si="20"/>
        <v>291.14999999999998</v>
      </c>
      <c r="AD88" s="84"/>
      <c r="AE88" s="23"/>
      <c r="AF88" s="23"/>
      <c r="AG88" s="23"/>
      <c r="AH88" s="23"/>
      <c r="AI88" s="23"/>
      <c r="AJ88" s="23"/>
      <c r="AK88" s="83" t="s">
        <v>367</v>
      </c>
      <c r="AL88" s="84" t="s">
        <v>368</v>
      </c>
      <c r="AM88" s="86">
        <v>170</v>
      </c>
      <c r="AN88" s="85">
        <f t="shared" si="14"/>
        <v>29.720670780468531</v>
      </c>
      <c r="AO88" s="85">
        <v>34</v>
      </c>
      <c r="AP88" s="87">
        <f t="shared" si="21"/>
        <v>3.5326655279122439E-2</v>
      </c>
      <c r="AQ88" s="88">
        <f t="shared" si="22"/>
        <v>841.3100687183661</v>
      </c>
    </row>
    <row r="89" spans="1:43" ht="13.5" customHeight="1" x14ac:dyDescent="0.25">
      <c r="A89" s="76">
        <v>19670</v>
      </c>
      <c r="B89" s="24">
        <v>31</v>
      </c>
      <c r="C89" s="8">
        <f t="shared" si="15"/>
        <v>2.8999999999999986</v>
      </c>
      <c r="D89" s="8">
        <f t="shared" si="16"/>
        <v>2.8999999999999986</v>
      </c>
      <c r="E89" s="3">
        <v>28.1</v>
      </c>
      <c r="F89" s="24">
        <v>33.9</v>
      </c>
      <c r="G89" s="3">
        <f t="shared" si="23"/>
        <v>2.8999999999999986</v>
      </c>
      <c r="H89" s="4" t="s">
        <v>236</v>
      </c>
      <c r="I89" s="4" t="s">
        <v>125</v>
      </c>
      <c r="J89" s="4" t="s">
        <v>119</v>
      </c>
      <c r="K89" s="4"/>
      <c r="L89" s="4" t="s">
        <v>598</v>
      </c>
      <c r="M89" s="86" t="s">
        <v>4</v>
      </c>
      <c r="N89" s="4" t="str">
        <f t="shared" si="24"/>
        <v>marine sediment</v>
      </c>
      <c r="O89" s="86" t="s">
        <v>0</v>
      </c>
      <c r="P89" s="5">
        <v>-31.8</v>
      </c>
      <c r="Q89" s="4" t="s">
        <v>118</v>
      </c>
      <c r="S89" s="84">
        <f t="shared" si="25"/>
        <v>-28.3</v>
      </c>
      <c r="T89" s="5">
        <v>2.25</v>
      </c>
      <c r="U89" s="4" t="s">
        <v>2</v>
      </c>
      <c r="V89" s="88">
        <f t="shared" si="17"/>
        <v>-9.7663128971320639</v>
      </c>
      <c r="W89" s="88">
        <f t="shared" si="18"/>
        <v>-8.5163128971320639</v>
      </c>
      <c r="X89" s="88">
        <f t="shared" si="19"/>
        <v>20.359871465337022</v>
      </c>
      <c r="Y89" s="88">
        <f t="shared" si="26"/>
        <v>18.149999999999999</v>
      </c>
      <c r="Z89" s="88">
        <v>14</v>
      </c>
      <c r="AA89" s="88">
        <v>4.1500000000000004</v>
      </c>
      <c r="AB89" s="84" t="s">
        <v>341</v>
      </c>
      <c r="AC89" s="84">
        <f t="shared" si="20"/>
        <v>291.14999999999998</v>
      </c>
      <c r="AD89" s="84"/>
      <c r="AE89" s="23"/>
      <c r="AF89" s="23"/>
      <c r="AG89" s="23"/>
      <c r="AH89" s="23"/>
      <c r="AI89" s="23"/>
      <c r="AJ89" s="23"/>
      <c r="AK89" s="83" t="s">
        <v>367</v>
      </c>
      <c r="AL89" s="84" t="s">
        <v>368</v>
      </c>
      <c r="AM89" s="86">
        <v>170</v>
      </c>
      <c r="AN89" s="85">
        <f t="shared" si="14"/>
        <v>27.686716823645622</v>
      </c>
      <c r="AO89" s="85">
        <v>34</v>
      </c>
      <c r="AP89" s="87">
        <f t="shared" si="21"/>
        <v>3.5326655279122439E-2</v>
      </c>
      <c r="AQ89" s="88">
        <f t="shared" si="22"/>
        <v>783.7344522114463</v>
      </c>
    </row>
    <row r="90" spans="1:43" ht="13.5" customHeight="1" x14ac:dyDescent="0.25">
      <c r="A90" s="76">
        <v>19671</v>
      </c>
      <c r="B90" s="24">
        <v>32</v>
      </c>
      <c r="C90" s="8">
        <f t="shared" si="15"/>
        <v>3.8999999999999986</v>
      </c>
      <c r="D90" s="8">
        <f t="shared" si="16"/>
        <v>1.8999999999999986</v>
      </c>
      <c r="E90" s="3">
        <v>28.1</v>
      </c>
      <c r="F90" s="24">
        <v>33.9</v>
      </c>
      <c r="G90" s="3">
        <f t="shared" si="23"/>
        <v>3.8999999999999986</v>
      </c>
      <c r="H90" s="4" t="s">
        <v>236</v>
      </c>
      <c r="I90" s="4" t="s">
        <v>132</v>
      </c>
      <c r="J90" s="4" t="s">
        <v>119</v>
      </c>
      <c r="K90" s="4"/>
      <c r="L90" s="4" t="s">
        <v>598</v>
      </c>
      <c r="M90" s="86" t="s">
        <v>4</v>
      </c>
      <c r="N90" s="4" t="str">
        <f t="shared" si="24"/>
        <v>marine sediment</v>
      </c>
      <c r="O90" s="86" t="s">
        <v>0</v>
      </c>
      <c r="P90" s="5">
        <v>-31.7</v>
      </c>
      <c r="Q90" s="4" t="s">
        <v>118</v>
      </c>
      <c r="S90" s="84">
        <f t="shared" si="25"/>
        <v>-28.2</v>
      </c>
      <c r="T90" s="5">
        <v>2.2999999999999998</v>
      </c>
      <c r="U90" s="4" t="s">
        <v>2</v>
      </c>
      <c r="V90" s="88">
        <f t="shared" si="17"/>
        <v>-9.7907719804770714</v>
      </c>
      <c r="W90" s="88">
        <f t="shared" si="18"/>
        <v>-8.4907719804770707</v>
      </c>
      <c r="X90" s="88">
        <f t="shared" si="19"/>
        <v>20.281156636677178</v>
      </c>
      <c r="Y90" s="88">
        <f t="shared" si="26"/>
        <v>17.940000000000001</v>
      </c>
      <c r="Z90" s="88">
        <v>14</v>
      </c>
      <c r="AA90" s="88">
        <v>3.94</v>
      </c>
      <c r="AB90" s="84" t="s">
        <v>341</v>
      </c>
      <c r="AC90" s="84">
        <f t="shared" si="20"/>
        <v>290.94</v>
      </c>
      <c r="AD90" s="84"/>
      <c r="AE90" s="23"/>
      <c r="AF90" s="23"/>
      <c r="AG90" s="23"/>
      <c r="AH90" s="23"/>
      <c r="AI90" s="23"/>
      <c r="AJ90" s="23"/>
      <c r="AK90" s="83" t="s">
        <v>367</v>
      </c>
      <c r="AL90" s="84" t="s">
        <v>368</v>
      </c>
      <c r="AM90" s="86">
        <v>170</v>
      </c>
      <c r="AN90" s="85">
        <f t="shared" si="14"/>
        <v>27.336273012215962</v>
      </c>
      <c r="AO90" s="85">
        <v>34</v>
      </c>
      <c r="AP90" s="87">
        <f t="shared" si="21"/>
        <v>3.5542741697041511E-2</v>
      </c>
      <c r="AQ90" s="88">
        <f t="shared" si="22"/>
        <v>769.10985779387318</v>
      </c>
    </row>
    <row r="91" spans="1:43" ht="13.2" customHeight="1" x14ac:dyDescent="0.25">
      <c r="A91" s="76">
        <v>19672</v>
      </c>
      <c r="B91" s="24">
        <v>32</v>
      </c>
      <c r="C91" s="8">
        <f t="shared" si="15"/>
        <v>3.8999999999999986</v>
      </c>
      <c r="D91" s="8">
        <f t="shared" si="16"/>
        <v>1.8999999999999986</v>
      </c>
      <c r="E91" s="3">
        <v>28.1</v>
      </c>
      <c r="F91" s="24">
        <v>33.9</v>
      </c>
      <c r="G91" s="3">
        <f t="shared" si="23"/>
        <v>3.8999999999999986</v>
      </c>
      <c r="H91" s="4" t="s">
        <v>236</v>
      </c>
      <c r="I91" s="4" t="s">
        <v>133</v>
      </c>
      <c r="J91" s="4" t="s">
        <v>119</v>
      </c>
      <c r="K91" s="4"/>
      <c r="L91" s="4" t="s">
        <v>598</v>
      </c>
      <c r="M91" s="86" t="s">
        <v>4</v>
      </c>
      <c r="N91" s="4" t="str">
        <f t="shared" si="24"/>
        <v>marine sediment</v>
      </c>
      <c r="O91" s="86" t="s">
        <v>0</v>
      </c>
      <c r="P91" s="5">
        <v>-32.1</v>
      </c>
      <c r="Q91" s="4" t="s">
        <v>118</v>
      </c>
      <c r="S91" s="84">
        <f t="shared" si="25"/>
        <v>-28.6</v>
      </c>
      <c r="T91" s="5">
        <v>2.2999999999999998</v>
      </c>
      <c r="U91" s="4" t="s">
        <v>2</v>
      </c>
      <c r="V91" s="88">
        <f t="shared" si="17"/>
        <v>-9.7907719804770714</v>
      </c>
      <c r="W91" s="88">
        <f t="shared" si="18"/>
        <v>-8.4907719804770707</v>
      </c>
      <c r="X91" s="88">
        <f t="shared" si="19"/>
        <v>20.701284763766648</v>
      </c>
      <c r="Y91" s="88">
        <f t="shared" si="26"/>
        <v>17.940000000000001</v>
      </c>
      <c r="Z91" s="88">
        <v>14</v>
      </c>
      <c r="AA91" s="88">
        <v>3.94</v>
      </c>
      <c r="AB91" s="84" t="s">
        <v>341</v>
      </c>
      <c r="AC91" s="84">
        <f t="shared" si="20"/>
        <v>290.94</v>
      </c>
      <c r="AD91" s="84"/>
      <c r="AE91" s="23"/>
      <c r="AF91" s="23"/>
      <c r="AG91" s="23"/>
      <c r="AH91" s="23"/>
      <c r="AI91" s="23"/>
      <c r="AJ91" s="23"/>
      <c r="AK91" s="83" t="s">
        <v>367</v>
      </c>
      <c r="AL91" s="84" t="s">
        <v>368</v>
      </c>
      <c r="AM91" s="86">
        <v>170</v>
      </c>
      <c r="AN91" s="85">
        <f t="shared" si="14"/>
        <v>29.316838829703627</v>
      </c>
      <c r="AO91" s="85">
        <v>34</v>
      </c>
      <c r="AP91" s="87">
        <f t="shared" si="21"/>
        <v>3.5542741697041511E-2</v>
      </c>
      <c r="AQ91" s="88">
        <f t="shared" si="22"/>
        <v>824.83335358858619</v>
      </c>
    </row>
    <row r="92" spans="1:43" x14ac:dyDescent="0.25">
      <c r="A92" s="76">
        <v>19673</v>
      </c>
      <c r="B92" s="3">
        <v>51</v>
      </c>
      <c r="C92" s="8">
        <f t="shared" si="15"/>
        <v>1</v>
      </c>
      <c r="D92" s="8">
        <f t="shared" si="16"/>
        <v>2.5</v>
      </c>
      <c r="E92" s="3">
        <v>50</v>
      </c>
      <c r="F92" s="3">
        <v>53.5</v>
      </c>
      <c r="G92" s="3">
        <f t="shared" si="23"/>
        <v>2.5</v>
      </c>
      <c r="H92" s="4" t="s">
        <v>117</v>
      </c>
      <c r="I92" s="4" t="s">
        <v>239</v>
      </c>
      <c r="J92" s="4" t="s">
        <v>116</v>
      </c>
      <c r="K92" s="4"/>
      <c r="L92" s="4"/>
      <c r="M92" s="86" t="s">
        <v>4</v>
      </c>
      <c r="N92" s="4" t="str">
        <f t="shared" si="24"/>
        <v>marine sediment</v>
      </c>
      <c r="O92" s="86" t="s">
        <v>27</v>
      </c>
      <c r="P92" s="5">
        <v>-34.200000000000003</v>
      </c>
      <c r="Q92" s="4" t="s">
        <v>115</v>
      </c>
      <c r="S92" s="84">
        <f t="shared" si="25"/>
        <v>-30.700000000000003</v>
      </c>
      <c r="T92" s="5">
        <v>1.5</v>
      </c>
      <c r="U92" s="4" t="s">
        <v>115</v>
      </c>
      <c r="V92" s="88">
        <f t="shared" si="17"/>
        <v>-9.8421342512908758</v>
      </c>
      <c r="W92" s="88">
        <f t="shared" si="18"/>
        <v>-9.3421342512908758</v>
      </c>
      <c r="X92" s="88">
        <f t="shared" si="19"/>
        <v>22.034319352841393</v>
      </c>
      <c r="Y92" s="88">
        <v>17.5</v>
      </c>
      <c r="AB92" s="84"/>
      <c r="AC92" s="84">
        <f t="shared" si="20"/>
        <v>290.5</v>
      </c>
      <c r="AD92" s="84"/>
      <c r="AE92" s="5"/>
      <c r="AF92" s="5"/>
      <c r="AG92" s="5"/>
      <c r="AH92" s="5"/>
      <c r="AI92" s="5"/>
      <c r="AJ92" s="5"/>
      <c r="AK92" s="83" t="s">
        <v>353</v>
      </c>
      <c r="AL92" s="83" t="s">
        <v>115</v>
      </c>
      <c r="AM92" s="86">
        <v>170</v>
      </c>
      <c r="AN92" s="85">
        <f t="shared" si="14"/>
        <v>38.068105050943679</v>
      </c>
      <c r="AO92" s="85">
        <v>34</v>
      </c>
      <c r="AP92" s="87">
        <f t="shared" si="21"/>
        <v>3.6002397185502286E-2</v>
      </c>
      <c r="AQ92" s="88">
        <f t="shared" si="22"/>
        <v>1057.3769533955708</v>
      </c>
    </row>
    <row r="93" spans="1:43" x14ac:dyDescent="0.25">
      <c r="A93" s="76">
        <v>19674</v>
      </c>
      <c r="B93" s="3">
        <v>51</v>
      </c>
      <c r="C93" s="8">
        <f t="shared" si="15"/>
        <v>1</v>
      </c>
      <c r="D93" s="8">
        <f t="shared" si="16"/>
        <v>2.5</v>
      </c>
      <c r="E93" s="3">
        <v>50</v>
      </c>
      <c r="F93" s="3">
        <v>53.5</v>
      </c>
      <c r="G93" s="3">
        <f t="shared" si="23"/>
        <v>2.5</v>
      </c>
      <c r="H93" s="4" t="s">
        <v>117</v>
      </c>
      <c r="I93" s="4" t="s">
        <v>240</v>
      </c>
      <c r="J93" s="4" t="s">
        <v>116</v>
      </c>
      <c r="K93" s="4"/>
      <c r="L93" s="4"/>
      <c r="M93" s="86" t="s">
        <v>4</v>
      </c>
      <c r="N93" s="4" t="str">
        <f t="shared" si="24"/>
        <v>marine sediment</v>
      </c>
      <c r="O93" s="86" t="s">
        <v>27</v>
      </c>
      <c r="P93" s="5">
        <v>-33.299999999999997</v>
      </c>
      <c r="Q93" s="4" t="s">
        <v>115</v>
      </c>
      <c r="S93" s="84">
        <f t="shared" si="25"/>
        <v>-29.799999999999997</v>
      </c>
      <c r="T93" s="5">
        <v>1.5</v>
      </c>
      <c r="U93" s="4" t="s">
        <v>115</v>
      </c>
      <c r="V93" s="88">
        <f t="shared" si="17"/>
        <v>-9.8421342512908758</v>
      </c>
      <c r="W93" s="88">
        <f t="shared" si="18"/>
        <v>-9.3421342512908758</v>
      </c>
      <c r="X93" s="88">
        <f t="shared" si="19"/>
        <v>21.086235568654963</v>
      </c>
      <c r="Y93" s="88">
        <v>17.5</v>
      </c>
      <c r="AB93" s="84"/>
      <c r="AC93" s="84">
        <f t="shared" si="20"/>
        <v>290.5</v>
      </c>
      <c r="AD93" s="84"/>
      <c r="AE93" s="5"/>
      <c r="AF93" s="5"/>
      <c r="AG93" s="5"/>
      <c r="AH93" s="5"/>
      <c r="AI93" s="5"/>
      <c r="AJ93" s="5"/>
      <c r="AK93" s="83" t="s">
        <v>353</v>
      </c>
      <c r="AL93" s="83" t="s">
        <v>115</v>
      </c>
      <c r="AM93" s="86">
        <v>170</v>
      </c>
      <c r="AN93" s="85">
        <f t="shared" si="14"/>
        <v>31.401440191176533</v>
      </c>
      <c r="AO93" s="85">
        <v>34</v>
      </c>
      <c r="AP93" s="87">
        <f t="shared" si="21"/>
        <v>3.6002397185502286E-2</v>
      </c>
      <c r="AQ93" s="88">
        <f t="shared" si="22"/>
        <v>872.20414877877909</v>
      </c>
    </row>
    <row r="94" spans="1:43" x14ac:dyDescent="0.25">
      <c r="A94" s="76">
        <v>19675</v>
      </c>
      <c r="B94" s="3">
        <v>52</v>
      </c>
      <c r="C94" s="8">
        <f t="shared" si="15"/>
        <v>2</v>
      </c>
      <c r="D94" s="8">
        <f t="shared" si="16"/>
        <v>1.5</v>
      </c>
      <c r="E94" s="3">
        <v>50</v>
      </c>
      <c r="F94" s="3">
        <v>53.5</v>
      </c>
      <c r="G94" s="3">
        <f t="shared" si="23"/>
        <v>2</v>
      </c>
      <c r="H94" s="4" t="s">
        <v>117</v>
      </c>
      <c r="I94" s="4" t="s">
        <v>241</v>
      </c>
      <c r="J94" s="4" t="s">
        <v>116</v>
      </c>
      <c r="K94" s="4"/>
      <c r="L94" s="4"/>
      <c r="M94" s="86" t="s">
        <v>4</v>
      </c>
      <c r="N94" s="4" t="str">
        <f t="shared" si="24"/>
        <v>marine sediment</v>
      </c>
      <c r="O94" s="86" t="s">
        <v>27</v>
      </c>
      <c r="P94" s="5">
        <v>-32.9</v>
      </c>
      <c r="Q94" s="4" t="s">
        <v>115</v>
      </c>
      <c r="S94" s="84">
        <f t="shared" si="25"/>
        <v>-29.4</v>
      </c>
      <c r="T94" s="5">
        <v>1.5</v>
      </c>
      <c r="U94" s="4" t="s">
        <v>115</v>
      </c>
      <c r="V94" s="88">
        <f t="shared" si="17"/>
        <v>-9.8421342512908758</v>
      </c>
      <c r="W94" s="88">
        <f t="shared" si="18"/>
        <v>-9.3421342512908758</v>
      </c>
      <c r="X94" s="88">
        <f t="shared" si="19"/>
        <v>20.665429372253463</v>
      </c>
      <c r="Y94" s="88">
        <v>17.5</v>
      </c>
      <c r="AB94" s="84"/>
      <c r="AC94" s="84">
        <f t="shared" si="20"/>
        <v>290.5</v>
      </c>
      <c r="AD94" s="84"/>
      <c r="AE94" s="5"/>
      <c r="AF94" s="5"/>
      <c r="AG94" s="5"/>
      <c r="AH94" s="5"/>
      <c r="AI94" s="5"/>
      <c r="AJ94" s="5"/>
      <c r="AK94" s="83" t="s">
        <v>353</v>
      </c>
      <c r="AL94" s="83" t="s">
        <v>115</v>
      </c>
      <c r="AM94" s="86">
        <v>170</v>
      </c>
      <c r="AN94" s="85">
        <f t="shared" si="14"/>
        <v>29.136677031821009</v>
      </c>
      <c r="AO94" s="85">
        <v>34</v>
      </c>
      <c r="AP94" s="87">
        <f t="shared" si="21"/>
        <v>3.6002397185502286E-2</v>
      </c>
      <c r="AQ94" s="88">
        <f t="shared" si="22"/>
        <v>809.29824982748607</v>
      </c>
    </row>
    <row r="95" spans="1:43" x14ac:dyDescent="0.25">
      <c r="A95" s="76">
        <v>19676</v>
      </c>
      <c r="B95" s="3">
        <v>52</v>
      </c>
      <c r="C95" s="8">
        <f t="shared" si="15"/>
        <v>2</v>
      </c>
      <c r="D95" s="8">
        <f t="shared" si="16"/>
        <v>1.5</v>
      </c>
      <c r="E95" s="3">
        <v>50</v>
      </c>
      <c r="F95" s="3">
        <v>53.5</v>
      </c>
      <c r="G95" s="3">
        <f t="shared" si="23"/>
        <v>2</v>
      </c>
      <c r="H95" s="4" t="s">
        <v>117</v>
      </c>
      <c r="I95" s="4" t="s">
        <v>242</v>
      </c>
      <c r="J95" s="4" t="s">
        <v>116</v>
      </c>
      <c r="K95" s="4"/>
      <c r="L95" s="4"/>
      <c r="M95" s="86" t="s">
        <v>4</v>
      </c>
      <c r="N95" s="4" t="str">
        <f t="shared" si="24"/>
        <v>marine sediment</v>
      </c>
      <c r="O95" s="86" t="s">
        <v>27</v>
      </c>
      <c r="P95" s="5">
        <v>-32.6</v>
      </c>
      <c r="Q95" s="4" t="s">
        <v>115</v>
      </c>
      <c r="S95" s="84">
        <f t="shared" si="25"/>
        <v>-29.1</v>
      </c>
      <c r="T95" s="5">
        <v>1.5</v>
      </c>
      <c r="U95" s="4" t="s">
        <v>115</v>
      </c>
      <c r="V95" s="88">
        <f t="shared" si="17"/>
        <v>-9.8421342512908758</v>
      </c>
      <c r="W95" s="88">
        <f t="shared" si="18"/>
        <v>-9.3421342512908758</v>
      </c>
      <c r="X95" s="88">
        <f t="shared" si="19"/>
        <v>20.350052269759054</v>
      </c>
      <c r="Y95" s="88">
        <v>17.5</v>
      </c>
      <c r="AB95" s="84"/>
      <c r="AC95" s="84">
        <f t="shared" si="20"/>
        <v>290.5</v>
      </c>
      <c r="AD95" s="84"/>
      <c r="AE95" s="5"/>
      <c r="AF95" s="5"/>
      <c r="AG95" s="5"/>
      <c r="AH95" s="5"/>
      <c r="AI95" s="5"/>
      <c r="AJ95" s="5"/>
      <c r="AK95" s="83" t="s">
        <v>353</v>
      </c>
      <c r="AL95" s="83" t="s">
        <v>115</v>
      </c>
      <c r="AM95" s="86">
        <v>170</v>
      </c>
      <c r="AN95" s="85">
        <f t="shared" si="14"/>
        <v>27.64251136055422</v>
      </c>
      <c r="AO95" s="85">
        <v>34</v>
      </c>
      <c r="AP95" s="87">
        <f t="shared" si="21"/>
        <v>3.6002397185502286E-2</v>
      </c>
      <c r="AQ95" s="88">
        <f t="shared" si="22"/>
        <v>767.79641139244791</v>
      </c>
    </row>
    <row r="96" spans="1:43" x14ac:dyDescent="0.25">
      <c r="A96" s="76">
        <v>19677</v>
      </c>
      <c r="B96" s="3">
        <v>52</v>
      </c>
      <c r="C96" s="8">
        <f t="shared" si="15"/>
        <v>2</v>
      </c>
      <c r="D96" s="8">
        <f t="shared" si="16"/>
        <v>1.5</v>
      </c>
      <c r="E96" s="3">
        <v>50</v>
      </c>
      <c r="F96" s="3">
        <v>53.5</v>
      </c>
      <c r="G96" s="3">
        <f t="shared" si="23"/>
        <v>2</v>
      </c>
      <c r="H96" s="4" t="s">
        <v>117</v>
      </c>
      <c r="I96" s="4" t="s">
        <v>243</v>
      </c>
      <c r="J96" s="4" t="s">
        <v>116</v>
      </c>
      <c r="K96" s="4"/>
      <c r="L96" s="4"/>
      <c r="M96" s="86" t="s">
        <v>4</v>
      </c>
      <c r="N96" s="4" t="str">
        <f t="shared" si="24"/>
        <v>marine sediment</v>
      </c>
      <c r="O96" s="86" t="s">
        <v>27</v>
      </c>
      <c r="P96" s="5">
        <v>-33.5</v>
      </c>
      <c r="Q96" s="4" t="s">
        <v>115</v>
      </c>
      <c r="S96" s="84">
        <f t="shared" si="25"/>
        <v>-30</v>
      </c>
      <c r="T96" s="5">
        <v>1.5</v>
      </c>
      <c r="U96" s="4" t="s">
        <v>115</v>
      </c>
      <c r="V96" s="88">
        <f t="shared" si="17"/>
        <v>-9.8421342512908758</v>
      </c>
      <c r="W96" s="88">
        <f t="shared" si="18"/>
        <v>-9.3421342512908758</v>
      </c>
      <c r="X96" s="88">
        <f t="shared" si="19"/>
        <v>21.296768813102275</v>
      </c>
      <c r="Y96" s="88">
        <v>17.5</v>
      </c>
      <c r="AB96" s="84"/>
      <c r="AC96" s="84">
        <f t="shared" si="20"/>
        <v>290.5</v>
      </c>
      <c r="AD96" s="84"/>
      <c r="AE96" s="5"/>
      <c r="AF96" s="5"/>
      <c r="AG96" s="5"/>
      <c r="AH96" s="5"/>
      <c r="AI96" s="5"/>
      <c r="AJ96" s="5"/>
      <c r="AK96" s="83" t="s">
        <v>353</v>
      </c>
      <c r="AL96" s="83" t="s">
        <v>115</v>
      </c>
      <c r="AM96" s="86">
        <v>170</v>
      </c>
      <c r="AN96" s="85">
        <f t="shared" si="14"/>
        <v>32.672005892814759</v>
      </c>
      <c r="AO96" s="85">
        <v>34</v>
      </c>
      <c r="AP96" s="87">
        <f t="shared" si="21"/>
        <v>3.6002397185502286E-2</v>
      </c>
      <c r="AQ96" s="88">
        <f t="shared" si="22"/>
        <v>907.49529050724902</v>
      </c>
    </row>
    <row r="97" spans="1:317" x14ac:dyDescent="0.25">
      <c r="A97" s="76">
        <v>19678</v>
      </c>
      <c r="B97" s="3">
        <v>52</v>
      </c>
      <c r="C97" s="8">
        <f t="shared" si="15"/>
        <v>2</v>
      </c>
      <c r="D97" s="8">
        <f t="shared" si="16"/>
        <v>1.5</v>
      </c>
      <c r="E97" s="3">
        <v>50</v>
      </c>
      <c r="F97" s="3">
        <v>53.5</v>
      </c>
      <c r="G97" s="3">
        <f t="shared" si="23"/>
        <v>2</v>
      </c>
      <c r="H97" s="4" t="s">
        <v>117</v>
      </c>
      <c r="I97" s="4" t="s">
        <v>244</v>
      </c>
      <c r="J97" s="4" t="s">
        <v>116</v>
      </c>
      <c r="K97" s="4"/>
      <c r="L97" s="4"/>
      <c r="M97" s="86" t="s">
        <v>4</v>
      </c>
      <c r="N97" s="4" t="str">
        <f t="shared" si="24"/>
        <v>marine sediment</v>
      </c>
      <c r="O97" s="86" t="s">
        <v>27</v>
      </c>
      <c r="P97" s="5">
        <v>-33.799999999999997</v>
      </c>
      <c r="Q97" s="4" t="s">
        <v>115</v>
      </c>
      <c r="S97" s="84">
        <f t="shared" si="25"/>
        <v>-30.299999999999997</v>
      </c>
      <c r="T97" s="5">
        <v>1.5</v>
      </c>
      <c r="U97" s="4" t="s">
        <v>115</v>
      </c>
      <c r="V97" s="88">
        <f t="shared" si="17"/>
        <v>-9.8421342512908758</v>
      </c>
      <c r="W97" s="88">
        <f t="shared" si="18"/>
        <v>-9.3421342512908758</v>
      </c>
      <c r="X97" s="88">
        <f t="shared" si="19"/>
        <v>21.612731513570349</v>
      </c>
      <c r="Y97" s="88">
        <v>17.5</v>
      </c>
      <c r="AB97" s="84"/>
      <c r="AC97" s="84">
        <f t="shared" si="20"/>
        <v>290.5</v>
      </c>
      <c r="AD97" s="84"/>
      <c r="AE97" s="5"/>
      <c r="AF97" s="5"/>
      <c r="AG97" s="5"/>
      <c r="AH97" s="5"/>
      <c r="AI97" s="5"/>
      <c r="AJ97" s="5"/>
      <c r="AK97" s="83" t="s">
        <v>353</v>
      </c>
      <c r="AL97" s="83" t="s">
        <v>115</v>
      </c>
      <c r="AM97" s="86">
        <v>170</v>
      </c>
      <c r="AN97" s="85">
        <f t="shared" si="14"/>
        <v>34.784256373889527</v>
      </c>
      <c r="AO97" s="85">
        <v>34</v>
      </c>
      <c r="AP97" s="87">
        <f t="shared" si="21"/>
        <v>3.6002397185502286E-2</v>
      </c>
      <c r="AQ97" s="88">
        <f t="shared" si="22"/>
        <v>966.16500825385901</v>
      </c>
    </row>
    <row r="98" spans="1:317" x14ac:dyDescent="0.25">
      <c r="A98" s="76">
        <v>19679</v>
      </c>
      <c r="B98" s="3">
        <v>53</v>
      </c>
      <c r="C98" s="8">
        <f t="shared" si="15"/>
        <v>3</v>
      </c>
      <c r="D98" s="8">
        <f t="shared" si="16"/>
        <v>0.5</v>
      </c>
      <c r="E98" s="3">
        <v>50</v>
      </c>
      <c r="F98" s="3">
        <v>53.5</v>
      </c>
      <c r="G98" s="3">
        <f t="shared" si="23"/>
        <v>3</v>
      </c>
      <c r="H98" s="4" t="s">
        <v>117</v>
      </c>
      <c r="I98" s="4" t="s">
        <v>245</v>
      </c>
      <c r="J98" s="4" t="s">
        <v>116</v>
      </c>
      <c r="K98" s="4"/>
      <c r="L98" s="4"/>
      <c r="M98" s="86" t="s">
        <v>4</v>
      </c>
      <c r="N98" s="4" t="str">
        <f t="shared" si="24"/>
        <v>marine sediment</v>
      </c>
      <c r="O98" s="86" t="s">
        <v>27</v>
      </c>
      <c r="P98" s="5">
        <v>-33.799999999999997</v>
      </c>
      <c r="Q98" s="4" t="s">
        <v>115</v>
      </c>
      <c r="S98" s="84">
        <f t="shared" si="25"/>
        <v>-30.299999999999997</v>
      </c>
      <c r="T98" s="5">
        <v>1.5</v>
      </c>
      <c r="U98" s="4" t="s">
        <v>115</v>
      </c>
      <c r="V98" s="88">
        <f t="shared" si="17"/>
        <v>-9.8421342512908758</v>
      </c>
      <c r="W98" s="88">
        <f t="shared" si="18"/>
        <v>-9.3421342512908758</v>
      </c>
      <c r="X98" s="88">
        <f t="shared" si="19"/>
        <v>21.612731513570349</v>
      </c>
      <c r="Y98" s="88">
        <v>17.5</v>
      </c>
      <c r="AB98" s="84"/>
      <c r="AC98" s="84">
        <f t="shared" si="20"/>
        <v>290.5</v>
      </c>
      <c r="AD98" s="84"/>
      <c r="AE98" s="5"/>
      <c r="AF98" s="5"/>
      <c r="AG98" s="5"/>
      <c r="AH98" s="5"/>
      <c r="AI98" s="5"/>
      <c r="AJ98" s="5"/>
      <c r="AK98" s="83" t="s">
        <v>353</v>
      </c>
      <c r="AL98" s="83" t="s">
        <v>115</v>
      </c>
      <c r="AM98" s="86">
        <v>170</v>
      </c>
      <c r="AN98" s="85">
        <f t="shared" si="14"/>
        <v>34.784256373889527</v>
      </c>
      <c r="AO98" s="85">
        <v>34</v>
      </c>
      <c r="AP98" s="87">
        <f t="shared" si="21"/>
        <v>3.6002397185502286E-2</v>
      </c>
      <c r="AQ98" s="88">
        <f t="shared" si="22"/>
        <v>966.16500825385901</v>
      </c>
    </row>
    <row r="99" spans="1:317" x14ac:dyDescent="0.25">
      <c r="A99" s="76">
        <v>19680</v>
      </c>
      <c r="B99" s="3">
        <v>53</v>
      </c>
      <c r="C99" s="8">
        <f t="shared" si="15"/>
        <v>3</v>
      </c>
      <c r="D99" s="8">
        <f t="shared" si="16"/>
        <v>0.5</v>
      </c>
      <c r="E99" s="3">
        <v>50</v>
      </c>
      <c r="F99" s="3">
        <v>53.5</v>
      </c>
      <c r="G99" s="3">
        <f t="shared" si="23"/>
        <v>3</v>
      </c>
      <c r="H99" s="4" t="s">
        <v>117</v>
      </c>
      <c r="I99" s="4" t="s">
        <v>246</v>
      </c>
      <c r="J99" s="4" t="s">
        <v>116</v>
      </c>
      <c r="K99" s="4"/>
      <c r="L99" s="4"/>
      <c r="M99" s="86" t="s">
        <v>4</v>
      </c>
      <c r="N99" s="4" t="str">
        <f t="shared" si="24"/>
        <v>marine sediment</v>
      </c>
      <c r="O99" s="86" t="s">
        <v>27</v>
      </c>
      <c r="P99" s="5">
        <v>-33.299999999999997</v>
      </c>
      <c r="Q99" s="4" t="s">
        <v>115</v>
      </c>
      <c r="S99" s="84">
        <f t="shared" si="25"/>
        <v>-29.799999999999997</v>
      </c>
      <c r="T99" s="5">
        <v>1.5</v>
      </c>
      <c r="U99" s="4" t="s">
        <v>115</v>
      </c>
      <c r="V99" s="88">
        <f t="shared" si="17"/>
        <v>-9.8421342512908758</v>
      </c>
      <c r="W99" s="88">
        <f t="shared" si="18"/>
        <v>-9.3421342512908758</v>
      </c>
      <c r="X99" s="88">
        <f t="shared" si="19"/>
        <v>21.086235568654963</v>
      </c>
      <c r="Y99" s="88">
        <v>17.5</v>
      </c>
      <c r="AB99" s="84"/>
      <c r="AC99" s="84">
        <f t="shared" si="20"/>
        <v>290.5</v>
      </c>
      <c r="AD99" s="84"/>
      <c r="AE99" s="5"/>
      <c r="AF99" s="5"/>
      <c r="AG99" s="5"/>
      <c r="AH99" s="5"/>
      <c r="AI99" s="5"/>
      <c r="AJ99" s="5"/>
      <c r="AK99" s="83" t="s">
        <v>353</v>
      </c>
      <c r="AL99" s="83" t="s">
        <v>115</v>
      </c>
      <c r="AM99" s="86">
        <v>170</v>
      </c>
      <c r="AN99" s="85">
        <f t="shared" si="14"/>
        <v>31.401440191176533</v>
      </c>
      <c r="AO99" s="85">
        <v>34</v>
      </c>
      <c r="AP99" s="87">
        <f t="shared" si="21"/>
        <v>3.6002397185502286E-2</v>
      </c>
      <c r="AQ99" s="88">
        <f t="shared" si="22"/>
        <v>872.20414877877909</v>
      </c>
    </row>
    <row r="100" spans="1:317" x14ac:dyDescent="0.25">
      <c r="A100" s="76">
        <v>19681</v>
      </c>
      <c r="B100" s="3">
        <v>53</v>
      </c>
      <c r="C100" s="8">
        <f t="shared" si="15"/>
        <v>3</v>
      </c>
      <c r="D100" s="8">
        <f t="shared" si="16"/>
        <v>0.5</v>
      </c>
      <c r="E100" s="3">
        <v>50</v>
      </c>
      <c r="F100" s="3">
        <v>53.5</v>
      </c>
      <c r="G100" s="3">
        <f t="shared" si="23"/>
        <v>3</v>
      </c>
      <c r="H100" s="4" t="s">
        <v>117</v>
      </c>
      <c r="I100" s="4" t="s">
        <v>247</v>
      </c>
      <c r="J100" s="4" t="s">
        <v>116</v>
      </c>
      <c r="K100" s="4"/>
      <c r="L100" s="4"/>
      <c r="M100" s="86" t="s">
        <v>4</v>
      </c>
      <c r="N100" s="4" t="str">
        <f t="shared" si="24"/>
        <v>marine sediment</v>
      </c>
      <c r="O100" s="86" t="s">
        <v>27</v>
      </c>
      <c r="P100" s="5">
        <v>-33.4</v>
      </c>
      <c r="Q100" s="4" t="s">
        <v>115</v>
      </c>
      <c r="S100" s="84">
        <f t="shared" si="25"/>
        <v>-29.9</v>
      </c>
      <c r="T100" s="5">
        <v>1.5</v>
      </c>
      <c r="U100" s="4" t="s">
        <v>115</v>
      </c>
      <c r="V100" s="88">
        <f t="shared" si="17"/>
        <v>-9.8421342512908758</v>
      </c>
      <c r="W100" s="88">
        <f t="shared" si="18"/>
        <v>-9.3421342512908758</v>
      </c>
      <c r="X100" s="88">
        <f t="shared" si="19"/>
        <v>21.191491339768163</v>
      </c>
      <c r="Y100" s="88">
        <v>17.5</v>
      </c>
      <c r="AB100" s="84"/>
      <c r="AC100" s="84">
        <f t="shared" si="20"/>
        <v>290.5</v>
      </c>
      <c r="AD100" s="84"/>
      <c r="AE100" s="5"/>
      <c r="AF100" s="5"/>
      <c r="AG100" s="5"/>
      <c r="AH100" s="5"/>
      <c r="AI100" s="5"/>
      <c r="AJ100" s="5"/>
      <c r="AK100" s="83" t="s">
        <v>353</v>
      </c>
      <c r="AL100" s="83" t="s">
        <v>115</v>
      </c>
      <c r="AM100" s="86">
        <v>170</v>
      </c>
      <c r="AN100" s="85">
        <f t="shared" si="14"/>
        <v>32.02406002905073</v>
      </c>
      <c r="AO100" s="85">
        <v>34</v>
      </c>
      <c r="AP100" s="87">
        <f t="shared" si="21"/>
        <v>3.6002397185502286E-2</v>
      </c>
      <c r="AQ100" s="88">
        <f t="shared" si="22"/>
        <v>889.49799270439746</v>
      </c>
    </row>
    <row r="101" spans="1:317" x14ac:dyDescent="0.25">
      <c r="A101" s="76">
        <v>19682</v>
      </c>
      <c r="B101" s="3">
        <v>54</v>
      </c>
      <c r="C101" s="8">
        <f t="shared" si="15"/>
        <v>0</v>
      </c>
      <c r="D101" s="8">
        <f t="shared" si="16"/>
        <v>2</v>
      </c>
      <c r="E101" s="3">
        <v>54</v>
      </c>
      <c r="F101" s="3">
        <v>56</v>
      </c>
      <c r="G101" s="3">
        <f t="shared" si="23"/>
        <v>2</v>
      </c>
      <c r="H101" s="4" t="s">
        <v>117</v>
      </c>
      <c r="I101" s="4" t="s">
        <v>248</v>
      </c>
      <c r="J101" s="4" t="s">
        <v>116</v>
      </c>
      <c r="K101" s="4"/>
      <c r="L101" s="4"/>
      <c r="M101" s="86" t="s">
        <v>4</v>
      </c>
      <c r="N101" s="4" t="str">
        <f t="shared" si="24"/>
        <v>marine sediment</v>
      </c>
      <c r="O101" s="86" t="s">
        <v>27</v>
      </c>
      <c r="P101" s="5">
        <v>-34.700000000000003</v>
      </c>
      <c r="Q101" s="4" t="s">
        <v>115</v>
      </c>
      <c r="S101" s="84">
        <f t="shared" si="25"/>
        <v>-31.200000000000003</v>
      </c>
      <c r="T101" s="5">
        <v>2</v>
      </c>
      <c r="U101" s="4" t="s">
        <v>115</v>
      </c>
      <c r="V101" s="88">
        <f t="shared" si="17"/>
        <v>-9.7256260720411625</v>
      </c>
      <c r="W101" s="88">
        <f t="shared" si="18"/>
        <v>-8.7256260720411625</v>
      </c>
      <c r="X101" s="88">
        <f t="shared" si="19"/>
        <v>23.198156407884916</v>
      </c>
      <c r="Y101" s="88">
        <v>18.5</v>
      </c>
      <c r="AB101" s="84"/>
      <c r="AC101" s="84">
        <f t="shared" si="20"/>
        <v>291.5</v>
      </c>
      <c r="AD101" s="84"/>
      <c r="AE101" s="5"/>
      <c r="AF101" s="5"/>
      <c r="AG101" s="5"/>
      <c r="AH101" s="5"/>
      <c r="AI101" s="5"/>
      <c r="AJ101" s="5"/>
      <c r="AK101" s="83" t="s">
        <v>353</v>
      </c>
      <c r="AL101" s="83" t="s">
        <v>115</v>
      </c>
      <c r="AM101" s="86">
        <v>170</v>
      </c>
      <c r="AN101" s="85">
        <f t="shared" si="14"/>
        <v>51.486387909459381</v>
      </c>
      <c r="AO101" s="85">
        <v>34</v>
      </c>
      <c r="AP101" s="87">
        <f t="shared" si="21"/>
        <v>3.497115586278253E-2</v>
      </c>
      <c r="AQ101" s="88">
        <f t="shared" si="22"/>
        <v>1472.2529650286142</v>
      </c>
    </row>
    <row r="102" spans="1:317" x14ac:dyDescent="0.25">
      <c r="A102" s="76">
        <v>19683</v>
      </c>
      <c r="B102" s="3">
        <v>54</v>
      </c>
      <c r="C102" s="8">
        <f t="shared" si="15"/>
        <v>0</v>
      </c>
      <c r="D102" s="8">
        <f t="shared" si="16"/>
        <v>2</v>
      </c>
      <c r="E102" s="3">
        <v>54</v>
      </c>
      <c r="F102" s="3">
        <v>56</v>
      </c>
      <c r="G102" s="3">
        <f t="shared" si="23"/>
        <v>2</v>
      </c>
      <c r="H102" s="4" t="s">
        <v>117</v>
      </c>
      <c r="I102" s="4" t="s">
        <v>249</v>
      </c>
      <c r="J102" s="4" t="s">
        <v>116</v>
      </c>
      <c r="K102" s="4"/>
      <c r="L102" s="4"/>
      <c r="M102" s="86" t="s">
        <v>4</v>
      </c>
      <c r="N102" s="4" t="str">
        <f t="shared" si="24"/>
        <v>marine sediment</v>
      </c>
      <c r="O102" s="86" t="s">
        <v>27</v>
      </c>
      <c r="P102" s="5">
        <v>-33</v>
      </c>
      <c r="Q102" s="4" t="s">
        <v>115</v>
      </c>
      <c r="S102" s="84">
        <f t="shared" si="25"/>
        <v>-29.5</v>
      </c>
      <c r="T102" s="5">
        <v>2</v>
      </c>
      <c r="U102" s="4" t="s">
        <v>115</v>
      </c>
      <c r="V102" s="88">
        <f t="shared" si="17"/>
        <v>-9.7256260720411625</v>
      </c>
      <c r="W102" s="88">
        <f t="shared" si="18"/>
        <v>-8.7256260720411625</v>
      </c>
      <c r="X102" s="88">
        <f t="shared" si="19"/>
        <v>21.405846396660433</v>
      </c>
      <c r="Y102" s="88">
        <v>18.5</v>
      </c>
      <c r="AB102" s="84"/>
      <c r="AC102" s="84">
        <f t="shared" si="20"/>
        <v>291.5</v>
      </c>
      <c r="AD102" s="84"/>
      <c r="AE102" s="5"/>
      <c r="AF102" s="5"/>
      <c r="AG102" s="5"/>
      <c r="AH102" s="5"/>
      <c r="AI102" s="5"/>
      <c r="AJ102" s="5"/>
      <c r="AK102" s="83" t="s">
        <v>353</v>
      </c>
      <c r="AL102" s="83" t="s">
        <v>115</v>
      </c>
      <c r="AM102" s="86">
        <v>170</v>
      </c>
      <c r="AN102" s="85">
        <f t="shared" si="14"/>
        <v>33.371588930603373</v>
      </c>
      <c r="AO102" s="85">
        <v>34</v>
      </c>
      <c r="AP102" s="87">
        <f t="shared" si="21"/>
        <v>3.497115586278253E-2</v>
      </c>
      <c r="AQ102" s="88">
        <f t="shared" si="22"/>
        <v>954.26039280899295</v>
      </c>
    </row>
    <row r="103" spans="1:317" x14ac:dyDescent="0.25">
      <c r="A103" s="76">
        <v>19684</v>
      </c>
      <c r="B103" s="3">
        <v>54</v>
      </c>
      <c r="C103" s="8">
        <f t="shared" si="15"/>
        <v>0</v>
      </c>
      <c r="D103" s="8">
        <f t="shared" si="16"/>
        <v>2</v>
      </c>
      <c r="E103" s="3">
        <v>54</v>
      </c>
      <c r="F103" s="3">
        <v>56</v>
      </c>
      <c r="G103" s="3">
        <f t="shared" si="23"/>
        <v>2</v>
      </c>
      <c r="H103" s="4" t="s">
        <v>117</v>
      </c>
      <c r="I103" s="4" t="s">
        <v>250</v>
      </c>
      <c r="J103" s="4" t="s">
        <v>116</v>
      </c>
      <c r="K103" s="4"/>
      <c r="L103" s="4"/>
      <c r="M103" s="86" t="s">
        <v>4</v>
      </c>
      <c r="N103" s="4" t="str">
        <f t="shared" si="24"/>
        <v>marine sediment</v>
      </c>
      <c r="O103" s="86" t="s">
        <v>27</v>
      </c>
      <c r="P103" s="5">
        <v>-32.6</v>
      </c>
      <c r="Q103" s="4" t="s">
        <v>115</v>
      </c>
      <c r="S103" s="84">
        <f t="shared" si="25"/>
        <v>-29.1</v>
      </c>
      <c r="T103" s="5">
        <v>2</v>
      </c>
      <c r="U103" s="4" t="s">
        <v>115</v>
      </c>
      <c r="V103" s="88">
        <f t="shared" si="17"/>
        <v>-9.7256260720411625</v>
      </c>
      <c r="W103" s="88">
        <f t="shared" si="18"/>
        <v>-8.7256260720411625</v>
      </c>
      <c r="X103" s="88">
        <f t="shared" si="19"/>
        <v>20.985038549756752</v>
      </c>
      <c r="Y103" s="88">
        <v>18.5</v>
      </c>
      <c r="AB103" s="84"/>
      <c r="AC103" s="84">
        <f t="shared" si="20"/>
        <v>291.5</v>
      </c>
      <c r="AD103" s="84"/>
      <c r="AE103" s="5"/>
      <c r="AF103" s="5"/>
      <c r="AG103" s="5"/>
      <c r="AH103" s="5"/>
      <c r="AI103" s="5"/>
      <c r="AJ103" s="5"/>
      <c r="AK103" s="83" t="s">
        <v>353</v>
      </c>
      <c r="AL103" s="83" t="s">
        <v>115</v>
      </c>
      <c r="AM103" s="86">
        <v>170</v>
      </c>
      <c r="AN103" s="85">
        <f t="shared" si="14"/>
        <v>30.825238133351196</v>
      </c>
      <c r="AO103" s="85">
        <v>34</v>
      </c>
      <c r="AP103" s="87">
        <f t="shared" si="21"/>
        <v>3.497115586278253E-2</v>
      </c>
      <c r="AQ103" s="88">
        <f t="shared" si="22"/>
        <v>881.44750646221678</v>
      </c>
    </row>
    <row r="104" spans="1:317" x14ac:dyDescent="0.25">
      <c r="A104" s="76">
        <v>19685</v>
      </c>
      <c r="B104" s="3">
        <v>54</v>
      </c>
      <c r="C104" s="8">
        <f t="shared" si="15"/>
        <v>0</v>
      </c>
      <c r="D104" s="8">
        <f t="shared" si="16"/>
        <v>2</v>
      </c>
      <c r="E104" s="3">
        <v>54</v>
      </c>
      <c r="F104" s="3">
        <v>56</v>
      </c>
      <c r="G104" s="3">
        <f t="shared" si="23"/>
        <v>2</v>
      </c>
      <c r="H104" s="4" t="s">
        <v>117</v>
      </c>
      <c r="I104" s="4" t="s">
        <v>251</v>
      </c>
      <c r="J104" s="4" t="s">
        <v>116</v>
      </c>
      <c r="K104" s="4"/>
      <c r="L104" s="4"/>
      <c r="M104" s="86" t="s">
        <v>4</v>
      </c>
      <c r="N104" s="4" t="str">
        <f t="shared" si="24"/>
        <v>marine sediment</v>
      </c>
      <c r="O104" s="86" t="s">
        <v>27</v>
      </c>
      <c r="P104" s="5">
        <v>-34.6</v>
      </c>
      <c r="Q104" s="4" t="s">
        <v>115</v>
      </c>
      <c r="S104" s="84">
        <f t="shared" si="25"/>
        <v>-31.1</v>
      </c>
      <c r="T104" s="5">
        <v>2</v>
      </c>
      <c r="U104" s="4" t="s">
        <v>115</v>
      </c>
      <c r="V104" s="88">
        <f t="shared" si="17"/>
        <v>-9.7256260720411625</v>
      </c>
      <c r="W104" s="88">
        <f t="shared" si="18"/>
        <v>-8.7256260720411625</v>
      </c>
      <c r="X104" s="88">
        <f t="shared" si="19"/>
        <v>23.092552304633031</v>
      </c>
      <c r="Y104" s="88">
        <v>18.5</v>
      </c>
      <c r="AB104" s="84"/>
      <c r="AC104" s="84">
        <f t="shared" si="20"/>
        <v>291.5</v>
      </c>
      <c r="AD104" s="84"/>
      <c r="AE104" s="5"/>
      <c r="AF104" s="5"/>
      <c r="AG104" s="5"/>
      <c r="AH104" s="5"/>
      <c r="AI104" s="5"/>
      <c r="AJ104" s="5"/>
      <c r="AK104" s="83" t="s">
        <v>353</v>
      </c>
      <c r="AL104" s="83" t="s">
        <v>115</v>
      </c>
      <c r="AM104" s="86">
        <v>170</v>
      </c>
      <c r="AN104" s="85">
        <f t="shared" si="14"/>
        <v>49.890714457963725</v>
      </c>
      <c r="AO104" s="85">
        <v>34</v>
      </c>
      <c r="AP104" s="87">
        <f t="shared" si="21"/>
        <v>3.497115586278253E-2</v>
      </c>
      <c r="AQ104" s="88">
        <f t="shared" si="22"/>
        <v>1426.6246918952738</v>
      </c>
    </row>
    <row r="105" spans="1:317" x14ac:dyDescent="0.25">
      <c r="A105" s="76">
        <v>19686</v>
      </c>
      <c r="B105" s="3">
        <v>54</v>
      </c>
      <c r="C105" s="8">
        <f t="shared" si="15"/>
        <v>0</v>
      </c>
      <c r="D105" s="8">
        <f t="shared" si="16"/>
        <v>2</v>
      </c>
      <c r="E105" s="3">
        <v>54</v>
      </c>
      <c r="F105" s="3">
        <v>56</v>
      </c>
      <c r="G105" s="3">
        <f t="shared" si="23"/>
        <v>2</v>
      </c>
      <c r="H105" s="4" t="s">
        <v>117</v>
      </c>
      <c r="I105" s="4" t="s">
        <v>252</v>
      </c>
      <c r="J105" s="4" t="s">
        <v>116</v>
      </c>
      <c r="K105" s="4"/>
      <c r="L105" s="4"/>
      <c r="M105" s="86" t="s">
        <v>4</v>
      </c>
      <c r="N105" s="4" t="str">
        <f t="shared" si="24"/>
        <v>marine sediment</v>
      </c>
      <c r="O105" s="86" t="s">
        <v>27</v>
      </c>
      <c r="P105" s="5">
        <v>-34.5</v>
      </c>
      <c r="Q105" s="4" t="s">
        <v>115</v>
      </c>
      <c r="S105" s="84">
        <f t="shared" si="25"/>
        <v>-31</v>
      </c>
      <c r="T105" s="5">
        <v>2</v>
      </c>
      <c r="U105" s="4" t="s">
        <v>115</v>
      </c>
      <c r="V105" s="88">
        <f t="shared" si="17"/>
        <v>-9.7256260720411625</v>
      </c>
      <c r="W105" s="88">
        <f t="shared" si="18"/>
        <v>-8.7256260720411625</v>
      </c>
      <c r="X105" s="88">
        <f t="shared" si="19"/>
        <v>22.986969997893514</v>
      </c>
      <c r="Y105" s="88">
        <v>18.5</v>
      </c>
      <c r="AB105" s="84"/>
      <c r="AC105" s="84">
        <f t="shared" si="20"/>
        <v>291.5</v>
      </c>
      <c r="AD105" s="84"/>
      <c r="AE105" s="5"/>
      <c r="AF105" s="5"/>
      <c r="AG105" s="5"/>
      <c r="AH105" s="5"/>
      <c r="AI105" s="5"/>
      <c r="AJ105" s="5"/>
      <c r="AK105" s="83" t="s">
        <v>353</v>
      </c>
      <c r="AL105" s="83" t="s">
        <v>115</v>
      </c>
      <c r="AM105" s="86">
        <v>170</v>
      </c>
      <c r="AN105" s="85">
        <f t="shared" si="14"/>
        <v>48.39127473948826</v>
      </c>
      <c r="AO105" s="85">
        <v>34</v>
      </c>
      <c r="AP105" s="87">
        <f t="shared" si="21"/>
        <v>3.497115586278253E-2</v>
      </c>
      <c r="AQ105" s="88">
        <f t="shared" si="22"/>
        <v>1383.7482218020671</v>
      </c>
    </row>
    <row r="106" spans="1:317" x14ac:dyDescent="0.25">
      <c r="A106" s="76">
        <v>19687</v>
      </c>
      <c r="B106" s="3">
        <v>55</v>
      </c>
      <c r="C106" s="8">
        <f t="shared" si="15"/>
        <v>1</v>
      </c>
      <c r="D106" s="8">
        <f t="shared" si="16"/>
        <v>1</v>
      </c>
      <c r="E106" s="3">
        <v>54</v>
      </c>
      <c r="F106" s="3">
        <v>56</v>
      </c>
      <c r="G106" s="3">
        <f t="shared" si="23"/>
        <v>1</v>
      </c>
      <c r="H106" s="4" t="s">
        <v>117</v>
      </c>
      <c r="I106" s="4" t="s">
        <v>253</v>
      </c>
      <c r="J106" s="4" t="s">
        <v>116</v>
      </c>
      <c r="K106" s="4"/>
      <c r="L106" s="4"/>
      <c r="M106" s="86" t="s">
        <v>4</v>
      </c>
      <c r="N106" s="4" t="str">
        <f t="shared" si="24"/>
        <v>marine sediment</v>
      </c>
      <c r="O106" s="86" t="s">
        <v>27</v>
      </c>
      <c r="P106" s="5">
        <v>-34.4</v>
      </c>
      <c r="Q106" s="4" t="s">
        <v>115</v>
      </c>
      <c r="S106" s="84">
        <f t="shared" si="25"/>
        <v>-30.9</v>
      </c>
      <c r="T106" s="5">
        <v>2</v>
      </c>
      <c r="U106" s="4" t="s">
        <v>115</v>
      </c>
      <c r="V106" s="88">
        <f t="shared" si="17"/>
        <v>-9.7256260720411625</v>
      </c>
      <c r="W106" s="88">
        <f t="shared" si="18"/>
        <v>-8.7256260720411625</v>
      </c>
      <c r="X106" s="88">
        <f t="shared" si="19"/>
        <v>22.881409480919324</v>
      </c>
      <c r="Y106" s="88">
        <v>18.5</v>
      </c>
      <c r="AB106" s="84"/>
      <c r="AC106" s="84">
        <f t="shared" si="20"/>
        <v>291.5</v>
      </c>
      <c r="AD106" s="84"/>
      <c r="AE106" s="5"/>
      <c r="AF106" s="5"/>
      <c r="AG106" s="5"/>
      <c r="AH106" s="5"/>
      <c r="AI106" s="5"/>
      <c r="AJ106" s="5"/>
      <c r="AK106" s="83" t="s">
        <v>353</v>
      </c>
      <c r="AL106" s="83" t="s">
        <v>115</v>
      </c>
      <c r="AM106" s="86">
        <v>170</v>
      </c>
      <c r="AN106" s="85">
        <f t="shared" si="14"/>
        <v>46.979617921286511</v>
      </c>
      <c r="AO106" s="85">
        <v>34</v>
      </c>
      <c r="AP106" s="87">
        <f t="shared" si="21"/>
        <v>3.497115586278253E-2</v>
      </c>
      <c r="AQ106" s="88">
        <f t="shared" si="22"/>
        <v>1343.3819032353972</v>
      </c>
    </row>
    <row r="107" spans="1:317" x14ac:dyDescent="0.25">
      <c r="A107" s="76">
        <v>19688</v>
      </c>
      <c r="B107" s="3">
        <v>55</v>
      </c>
      <c r="C107" s="8">
        <f t="shared" si="15"/>
        <v>1</v>
      </c>
      <c r="D107" s="8">
        <f t="shared" si="16"/>
        <v>1</v>
      </c>
      <c r="E107" s="3">
        <v>54</v>
      </c>
      <c r="F107" s="3">
        <v>56</v>
      </c>
      <c r="G107" s="3">
        <f t="shared" si="23"/>
        <v>1</v>
      </c>
      <c r="H107" s="4" t="s">
        <v>117</v>
      </c>
      <c r="I107" s="4" t="s">
        <v>254</v>
      </c>
      <c r="J107" s="4" t="s">
        <v>116</v>
      </c>
      <c r="K107" s="4"/>
      <c r="L107" s="4"/>
      <c r="M107" s="86" t="s">
        <v>4</v>
      </c>
      <c r="N107" s="4" t="str">
        <f t="shared" si="24"/>
        <v>marine sediment</v>
      </c>
      <c r="O107" s="86" t="s">
        <v>27</v>
      </c>
      <c r="P107" s="5">
        <v>-34.5</v>
      </c>
      <c r="Q107" s="4" t="s">
        <v>115</v>
      </c>
      <c r="S107" s="84">
        <f t="shared" si="25"/>
        <v>-31</v>
      </c>
      <c r="T107" s="5">
        <v>2</v>
      </c>
      <c r="U107" s="4" t="s">
        <v>115</v>
      </c>
      <c r="V107" s="88">
        <f t="shared" si="17"/>
        <v>-9.7256260720411625</v>
      </c>
      <c r="W107" s="88">
        <f t="shared" si="18"/>
        <v>-8.7256260720411625</v>
      </c>
      <c r="X107" s="88">
        <f t="shared" si="19"/>
        <v>22.986969997893514</v>
      </c>
      <c r="Y107" s="88">
        <v>18.5</v>
      </c>
      <c r="AB107" s="84"/>
      <c r="AC107" s="84">
        <f t="shared" si="20"/>
        <v>291.5</v>
      </c>
      <c r="AD107" s="84"/>
      <c r="AE107" s="5"/>
      <c r="AF107" s="5"/>
      <c r="AG107" s="5"/>
      <c r="AH107" s="5"/>
      <c r="AI107" s="5"/>
      <c r="AJ107" s="5"/>
      <c r="AK107" s="83" t="s">
        <v>353</v>
      </c>
      <c r="AL107" s="83" t="s">
        <v>115</v>
      </c>
      <c r="AM107" s="86">
        <v>170</v>
      </c>
      <c r="AN107" s="85">
        <f t="shared" si="14"/>
        <v>48.39127473948826</v>
      </c>
      <c r="AO107" s="85">
        <v>34</v>
      </c>
      <c r="AP107" s="87">
        <f t="shared" si="21"/>
        <v>3.497115586278253E-2</v>
      </c>
      <c r="AQ107" s="88">
        <f t="shared" si="22"/>
        <v>1383.7482218020671</v>
      </c>
    </row>
    <row r="108" spans="1:317" x14ac:dyDescent="0.25">
      <c r="A108" s="76">
        <v>19689</v>
      </c>
      <c r="B108" s="3">
        <v>55</v>
      </c>
      <c r="C108" s="8">
        <f t="shared" si="15"/>
        <v>1</v>
      </c>
      <c r="D108" s="8">
        <f t="shared" si="16"/>
        <v>1</v>
      </c>
      <c r="E108" s="3">
        <v>54</v>
      </c>
      <c r="F108" s="3">
        <v>56</v>
      </c>
      <c r="G108" s="3">
        <f t="shared" si="23"/>
        <v>1</v>
      </c>
      <c r="H108" s="4" t="s">
        <v>117</v>
      </c>
      <c r="I108" s="4" t="s">
        <v>255</v>
      </c>
      <c r="J108" s="4" t="s">
        <v>116</v>
      </c>
      <c r="K108" s="4"/>
      <c r="L108" s="4"/>
      <c r="M108" s="86" t="s">
        <v>4</v>
      </c>
      <c r="N108" s="4" t="str">
        <f t="shared" si="24"/>
        <v>marine sediment</v>
      </c>
      <c r="O108" s="86" t="s">
        <v>27</v>
      </c>
      <c r="P108" s="5">
        <v>-32.700000000000003</v>
      </c>
      <c r="Q108" s="4" t="s">
        <v>115</v>
      </c>
      <c r="S108" s="84">
        <f t="shared" si="25"/>
        <v>-29.200000000000003</v>
      </c>
      <c r="T108" s="5">
        <v>2</v>
      </c>
      <c r="U108" s="4" t="s">
        <v>115</v>
      </c>
      <c r="V108" s="88">
        <f t="shared" si="17"/>
        <v>-9.7256260720411625</v>
      </c>
      <c r="W108" s="88">
        <f t="shared" si="18"/>
        <v>-8.7256260720411625</v>
      </c>
      <c r="X108" s="88">
        <f t="shared" si="19"/>
        <v>21.09020800160577</v>
      </c>
      <c r="Y108" s="88">
        <v>18.5</v>
      </c>
      <c r="AB108" s="84"/>
      <c r="AC108" s="84">
        <f t="shared" si="20"/>
        <v>291.5</v>
      </c>
      <c r="AD108" s="84"/>
      <c r="AE108" s="5"/>
      <c r="AF108" s="5"/>
      <c r="AG108" s="5"/>
      <c r="AH108" s="5"/>
      <c r="AI108" s="5"/>
      <c r="AJ108" s="5"/>
      <c r="AK108" s="83" t="s">
        <v>353</v>
      </c>
      <c r="AL108" s="83" t="s">
        <v>115</v>
      </c>
      <c r="AM108" s="86">
        <v>170</v>
      </c>
      <c r="AN108" s="85">
        <f t="shared" si="14"/>
        <v>31.424498400393311</v>
      </c>
      <c r="AO108" s="85">
        <v>34</v>
      </c>
      <c r="AP108" s="87">
        <f t="shared" si="21"/>
        <v>3.497115586278253E-2</v>
      </c>
      <c r="AQ108" s="88">
        <f t="shared" si="22"/>
        <v>898.58335033862318</v>
      </c>
    </row>
    <row r="109" spans="1:317" x14ac:dyDescent="0.25">
      <c r="A109" s="76">
        <v>19690</v>
      </c>
      <c r="B109" s="3">
        <v>55</v>
      </c>
      <c r="C109" s="8">
        <f t="shared" si="15"/>
        <v>1</v>
      </c>
      <c r="D109" s="8">
        <f t="shared" si="16"/>
        <v>1</v>
      </c>
      <c r="E109" s="3">
        <v>54</v>
      </c>
      <c r="F109" s="3">
        <v>56</v>
      </c>
      <c r="G109" s="3">
        <f t="shared" si="23"/>
        <v>1</v>
      </c>
      <c r="H109" s="4" t="s">
        <v>117</v>
      </c>
      <c r="I109" s="4" t="s">
        <v>256</v>
      </c>
      <c r="J109" s="4" t="s">
        <v>116</v>
      </c>
      <c r="K109" s="4"/>
      <c r="L109" s="4"/>
      <c r="M109" s="86" t="s">
        <v>4</v>
      </c>
      <c r="N109" s="4" t="str">
        <f t="shared" si="24"/>
        <v>marine sediment</v>
      </c>
      <c r="O109" s="86" t="s">
        <v>27</v>
      </c>
      <c r="P109" s="5">
        <v>-33.6</v>
      </c>
      <c r="Q109" s="4" t="s">
        <v>115</v>
      </c>
      <c r="S109" s="84">
        <f t="shared" si="25"/>
        <v>-30.1</v>
      </c>
      <c r="T109" s="5">
        <v>2</v>
      </c>
      <c r="U109" s="4" t="s">
        <v>115</v>
      </c>
      <c r="V109" s="88">
        <f t="shared" si="17"/>
        <v>-9.7256260720411625</v>
      </c>
      <c r="W109" s="88">
        <f t="shared" si="18"/>
        <v>-8.7256260720411625</v>
      </c>
      <c r="X109" s="88">
        <f t="shared" si="19"/>
        <v>22.037708967892478</v>
      </c>
      <c r="Y109" s="88">
        <v>18.5</v>
      </c>
      <c r="AB109" s="84"/>
      <c r="AC109" s="84">
        <f t="shared" si="20"/>
        <v>291.5</v>
      </c>
      <c r="AD109" s="84"/>
      <c r="AE109" s="5"/>
      <c r="AF109" s="5"/>
      <c r="AG109" s="5"/>
      <c r="AH109" s="5"/>
      <c r="AI109" s="5"/>
      <c r="AJ109" s="5"/>
      <c r="AK109" s="83" t="s">
        <v>353</v>
      </c>
      <c r="AL109" s="83" t="s">
        <v>115</v>
      </c>
      <c r="AM109" s="86">
        <v>170</v>
      </c>
      <c r="AN109" s="85">
        <f t="shared" si="14"/>
        <v>38.097022085022921</v>
      </c>
      <c r="AO109" s="85">
        <v>34</v>
      </c>
      <c r="AP109" s="87">
        <f t="shared" si="21"/>
        <v>3.497115586278253E-2</v>
      </c>
      <c r="AQ109" s="88">
        <f t="shared" si="22"/>
        <v>1089.3841265786425</v>
      </c>
    </row>
    <row r="110" spans="1:317" x14ac:dyDescent="0.25">
      <c r="A110" s="76">
        <v>19691</v>
      </c>
      <c r="B110" s="3">
        <v>56</v>
      </c>
      <c r="C110" s="8">
        <f t="shared" si="15"/>
        <v>2</v>
      </c>
      <c r="D110" s="8">
        <f t="shared" si="16"/>
        <v>0</v>
      </c>
      <c r="E110" s="3">
        <v>54</v>
      </c>
      <c r="F110" s="3">
        <v>56</v>
      </c>
      <c r="G110" s="3">
        <f t="shared" si="23"/>
        <v>2</v>
      </c>
      <c r="H110" s="4" t="s">
        <v>117</v>
      </c>
      <c r="I110" s="4" t="s">
        <v>257</v>
      </c>
      <c r="J110" s="4" t="s">
        <v>116</v>
      </c>
      <c r="K110" s="4"/>
      <c r="L110" s="4"/>
      <c r="M110" s="86" t="s">
        <v>4</v>
      </c>
      <c r="N110" s="4" t="str">
        <f t="shared" si="24"/>
        <v>marine sediment</v>
      </c>
      <c r="O110" s="86" t="s">
        <v>27</v>
      </c>
      <c r="P110" s="5">
        <v>-34.4</v>
      </c>
      <c r="Q110" s="4" t="s">
        <v>115</v>
      </c>
      <c r="S110" s="84">
        <f t="shared" si="25"/>
        <v>-30.9</v>
      </c>
      <c r="T110" s="5">
        <v>2</v>
      </c>
      <c r="U110" s="4" t="s">
        <v>115</v>
      </c>
      <c r="V110" s="88">
        <f t="shared" si="17"/>
        <v>-9.7256260720411625</v>
      </c>
      <c r="W110" s="88">
        <f t="shared" si="18"/>
        <v>-8.7256260720411625</v>
      </c>
      <c r="X110" s="88">
        <f t="shared" si="19"/>
        <v>22.881409480919324</v>
      </c>
      <c r="Y110" s="88">
        <v>18.5</v>
      </c>
      <c r="AB110" s="84"/>
      <c r="AC110" s="84">
        <f t="shared" si="20"/>
        <v>291.5</v>
      </c>
      <c r="AD110" s="84"/>
      <c r="AE110" s="5"/>
      <c r="AF110" s="5"/>
      <c r="AG110" s="5"/>
      <c r="AH110" s="5"/>
      <c r="AI110" s="5"/>
      <c r="AJ110" s="5"/>
      <c r="AK110" s="83" t="s">
        <v>353</v>
      </c>
      <c r="AL110" s="83" t="s">
        <v>115</v>
      </c>
      <c r="AM110" s="86">
        <v>170</v>
      </c>
      <c r="AN110" s="85">
        <f t="shared" si="14"/>
        <v>46.979617921286511</v>
      </c>
      <c r="AO110" s="85">
        <v>34</v>
      </c>
      <c r="AP110" s="87">
        <f t="shared" si="21"/>
        <v>3.497115586278253E-2</v>
      </c>
      <c r="AQ110" s="88">
        <f t="shared" si="22"/>
        <v>1343.3819032353972</v>
      </c>
    </row>
    <row r="111" spans="1:317" x14ac:dyDescent="0.25">
      <c r="A111" s="76">
        <v>19692</v>
      </c>
      <c r="B111" s="3">
        <v>56</v>
      </c>
      <c r="C111" s="8">
        <f t="shared" si="15"/>
        <v>2</v>
      </c>
      <c r="D111" s="8">
        <f t="shared" si="16"/>
        <v>0</v>
      </c>
      <c r="E111" s="3">
        <v>54</v>
      </c>
      <c r="F111" s="3">
        <v>56</v>
      </c>
      <c r="G111" s="3">
        <f t="shared" si="23"/>
        <v>2</v>
      </c>
      <c r="H111" s="4" t="s">
        <v>117</v>
      </c>
      <c r="I111" s="4" t="s">
        <v>258</v>
      </c>
      <c r="J111" s="4" t="s">
        <v>116</v>
      </c>
      <c r="K111" s="4"/>
      <c r="L111" s="4"/>
      <c r="M111" s="86" t="s">
        <v>4</v>
      </c>
      <c r="N111" s="4" t="str">
        <f t="shared" si="24"/>
        <v>marine sediment</v>
      </c>
      <c r="O111" s="86" t="s">
        <v>27</v>
      </c>
      <c r="P111" s="5">
        <v>-34.5</v>
      </c>
      <c r="Q111" s="4" t="s">
        <v>115</v>
      </c>
      <c r="S111" s="84">
        <f t="shared" si="25"/>
        <v>-31</v>
      </c>
      <c r="T111" s="5">
        <v>2</v>
      </c>
      <c r="U111" s="4" t="s">
        <v>115</v>
      </c>
      <c r="V111" s="88">
        <f t="shared" si="17"/>
        <v>-9.7256260720411625</v>
      </c>
      <c r="W111" s="88">
        <f t="shared" si="18"/>
        <v>-8.7256260720411625</v>
      </c>
      <c r="X111" s="88">
        <f t="shared" si="19"/>
        <v>22.986969997893514</v>
      </c>
      <c r="Y111" s="88">
        <v>18.5</v>
      </c>
      <c r="AB111" s="84"/>
      <c r="AC111" s="84">
        <f t="shared" si="20"/>
        <v>291.5</v>
      </c>
      <c r="AD111" s="84"/>
      <c r="AE111" s="5"/>
      <c r="AF111" s="5"/>
      <c r="AG111" s="5"/>
      <c r="AH111" s="5"/>
      <c r="AI111" s="5"/>
      <c r="AJ111" s="5"/>
      <c r="AK111" s="83" t="s">
        <v>353</v>
      </c>
      <c r="AL111" s="83" t="s">
        <v>115</v>
      </c>
      <c r="AM111" s="86">
        <v>170</v>
      </c>
      <c r="AN111" s="85">
        <f t="shared" si="14"/>
        <v>48.39127473948826</v>
      </c>
      <c r="AO111" s="85">
        <v>34</v>
      </c>
      <c r="AP111" s="87">
        <f t="shared" si="21"/>
        <v>3.497115586278253E-2</v>
      </c>
      <c r="AQ111" s="88">
        <f t="shared" si="22"/>
        <v>1383.7482218020671</v>
      </c>
    </row>
    <row r="112" spans="1:317" s="38" customFormat="1" ht="13.8" x14ac:dyDescent="0.25">
      <c r="A112" s="76">
        <v>19693</v>
      </c>
      <c r="B112" s="24">
        <v>78</v>
      </c>
      <c r="C112" s="8">
        <f t="shared" si="15"/>
        <v>5.9000000000000057</v>
      </c>
      <c r="D112" s="8">
        <f t="shared" si="16"/>
        <v>5.5999999999999943</v>
      </c>
      <c r="E112" s="8">
        <v>72.099999999999994</v>
      </c>
      <c r="F112" s="8">
        <v>83.6</v>
      </c>
      <c r="G112" s="3">
        <f t="shared" si="23"/>
        <v>5.9000000000000057</v>
      </c>
      <c r="H112" s="4" t="s">
        <v>393</v>
      </c>
      <c r="I112" s="31" t="s">
        <v>196</v>
      </c>
      <c r="J112" s="4" t="s">
        <v>205</v>
      </c>
      <c r="K112" s="4"/>
      <c r="L112" s="4" t="s">
        <v>599</v>
      </c>
      <c r="M112" s="86" t="s">
        <v>1</v>
      </c>
      <c r="N112" s="4" t="str">
        <f t="shared" si="24"/>
        <v>marine oil</v>
      </c>
      <c r="O112" s="86" t="s">
        <v>0</v>
      </c>
      <c r="P112" s="31">
        <v>-30.7</v>
      </c>
      <c r="Q112" s="4" t="s">
        <v>206</v>
      </c>
      <c r="R112" s="4"/>
      <c r="S112" s="84">
        <f t="shared" si="25"/>
        <v>-27.2</v>
      </c>
      <c r="T112" s="5">
        <v>1.8</v>
      </c>
      <c r="U112" s="4" t="s">
        <v>2</v>
      </c>
      <c r="V112" s="88">
        <f t="shared" si="17"/>
        <v>-8.5299544965665568</v>
      </c>
      <c r="W112" s="88">
        <f t="shared" si="18"/>
        <v>-7.729954496566557</v>
      </c>
      <c r="X112" s="88">
        <f t="shared" si="19"/>
        <v>20.014438223102005</v>
      </c>
      <c r="Y112" s="88">
        <f>Z112+AA112</f>
        <v>29.174999999999997</v>
      </c>
      <c r="Z112" s="88">
        <f>SUM(20.6+18.6+19.6+22.2+27+29.6+31.8+33+32.1+29.9+26.2+22.9)/12</f>
        <v>26.124999999999996</v>
      </c>
      <c r="AA112" s="88">
        <f>6.1/2</f>
        <v>3.05</v>
      </c>
      <c r="AB112" s="84" t="s">
        <v>176</v>
      </c>
      <c r="AC112" s="84">
        <f t="shared" si="20"/>
        <v>302.17500000000001</v>
      </c>
      <c r="AD112" s="84">
        <v>8.4</v>
      </c>
      <c r="AE112" s="23" t="s">
        <v>265</v>
      </c>
      <c r="AF112" s="23" t="s">
        <v>562</v>
      </c>
      <c r="AG112" s="23">
        <f>VLOOKUP(A112, 'fixing lats'!A:F, 4, FALSE)</f>
        <v>28.0154</v>
      </c>
      <c r="AH112" s="23" t="s">
        <v>563</v>
      </c>
      <c r="AI112" s="23">
        <f>VLOOKUP(A112, 'fixing lats'!A:F, 6, FALSE)</f>
        <v>50.0137</v>
      </c>
      <c r="AJ112" s="23" t="s">
        <v>612</v>
      </c>
      <c r="AK112" s="83" t="s">
        <v>380</v>
      </c>
      <c r="AL112" s="84" t="s">
        <v>169</v>
      </c>
      <c r="AM112" s="86">
        <v>170</v>
      </c>
      <c r="AN112" s="85">
        <f t="shared" si="14"/>
        <v>26.212070110187117</v>
      </c>
      <c r="AO112" s="85">
        <v>34</v>
      </c>
      <c r="AP112" s="87">
        <f t="shared" si="21"/>
        <v>2.643041627322391E-2</v>
      </c>
      <c r="AQ112" s="88">
        <f t="shared" si="22"/>
        <v>991.73882996091913</v>
      </c>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c r="LC112" s="14"/>
      <c r="LD112" s="14"/>
      <c r="LE112" s="14"/>
    </row>
    <row r="113" spans="1:317" s="39" customFormat="1" ht="13.2" customHeight="1" x14ac:dyDescent="0.25">
      <c r="A113" s="76">
        <v>19694</v>
      </c>
      <c r="B113" s="24">
        <v>81</v>
      </c>
      <c r="C113" s="8">
        <f t="shared" si="15"/>
        <v>9</v>
      </c>
      <c r="D113" s="8">
        <f t="shared" si="16"/>
        <v>8.7999999999999972</v>
      </c>
      <c r="E113" s="24">
        <v>72</v>
      </c>
      <c r="F113" s="24">
        <v>89.8</v>
      </c>
      <c r="G113" s="3">
        <f t="shared" si="23"/>
        <v>9</v>
      </c>
      <c r="H113" s="25" t="s">
        <v>544</v>
      </c>
      <c r="I113" s="28">
        <v>285978</v>
      </c>
      <c r="J113" s="29" t="s">
        <v>215</v>
      </c>
      <c r="K113" s="29"/>
      <c r="L113" s="29" t="s">
        <v>215</v>
      </c>
      <c r="M113" s="96" t="s">
        <v>1</v>
      </c>
      <c r="N113" s="4" t="str">
        <f t="shared" si="24"/>
        <v>marine oil</v>
      </c>
      <c r="O113" s="96" t="s">
        <v>0</v>
      </c>
      <c r="P113" s="30">
        <f>AVERAGE(-29.142,-28.92)</f>
        <v>-29.030999999999999</v>
      </c>
      <c r="Q113" s="25" t="s">
        <v>293</v>
      </c>
      <c r="R113" s="25"/>
      <c r="S113" s="84">
        <f t="shared" si="25"/>
        <v>-25.530999999999999</v>
      </c>
      <c r="T113" s="5">
        <v>0.83</v>
      </c>
      <c r="U113" s="4" t="s">
        <v>379</v>
      </c>
      <c r="V113" s="88">
        <f t="shared" si="17"/>
        <v>-8.9319262981574532</v>
      </c>
      <c r="W113" s="88">
        <f t="shared" si="18"/>
        <v>-9.1019262981574531</v>
      </c>
      <c r="X113" s="88">
        <f t="shared" si="19"/>
        <v>16.859513952565575</v>
      </c>
      <c r="Y113" s="88">
        <f>Z113+AA113</f>
        <v>25.5</v>
      </c>
      <c r="Z113" s="88">
        <v>24.8</v>
      </c>
      <c r="AA113" s="88">
        <v>0.7</v>
      </c>
      <c r="AB113" s="84" t="s">
        <v>176</v>
      </c>
      <c r="AC113" s="84">
        <f t="shared" si="20"/>
        <v>298.5</v>
      </c>
      <c r="AD113" s="84"/>
      <c r="AE113" s="5"/>
      <c r="AF113" s="5"/>
      <c r="AG113" s="5"/>
      <c r="AH113" s="5"/>
      <c r="AI113" s="5"/>
      <c r="AJ113" s="5"/>
      <c r="AK113" s="83" t="s">
        <v>259</v>
      </c>
      <c r="AL113" s="89" t="s">
        <v>169</v>
      </c>
      <c r="AM113" s="86">
        <v>170</v>
      </c>
      <c r="AN113" s="85">
        <f t="shared" si="14"/>
        <v>17.63396566973314</v>
      </c>
      <c r="AO113" s="85">
        <v>34</v>
      </c>
      <c r="AP113" s="87">
        <f t="shared" si="21"/>
        <v>2.8929361653709997E-2</v>
      </c>
      <c r="AQ113" s="88">
        <f t="shared" si="22"/>
        <v>609.55253284932758</v>
      </c>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row>
    <row r="114" spans="1:317" s="39" customFormat="1" ht="13.2" customHeight="1" x14ac:dyDescent="0.25">
      <c r="A114" s="76">
        <v>19695</v>
      </c>
      <c r="B114" s="24">
        <v>85</v>
      </c>
      <c r="C114" s="8">
        <f t="shared" si="15"/>
        <v>1.4000000000000057</v>
      </c>
      <c r="D114" s="8">
        <f t="shared" si="16"/>
        <v>1.2999999999999972</v>
      </c>
      <c r="E114" s="8">
        <v>83.6</v>
      </c>
      <c r="F114" s="8">
        <v>86.3</v>
      </c>
      <c r="G114" s="3">
        <f t="shared" si="23"/>
        <v>1.4000000000000057</v>
      </c>
      <c r="H114" s="4" t="s">
        <v>375</v>
      </c>
      <c r="I114" s="31" t="s">
        <v>373</v>
      </c>
      <c r="J114" s="4" t="s">
        <v>205</v>
      </c>
      <c r="K114" s="4"/>
      <c r="L114" s="4" t="s">
        <v>599</v>
      </c>
      <c r="M114" s="86" t="s">
        <v>1</v>
      </c>
      <c r="N114" s="4" t="str">
        <f t="shared" si="24"/>
        <v>marine oil</v>
      </c>
      <c r="O114" s="86" t="s">
        <v>0</v>
      </c>
      <c r="P114" s="31">
        <v>-28.6</v>
      </c>
      <c r="Q114" s="4" t="s">
        <v>206</v>
      </c>
      <c r="R114" s="4"/>
      <c r="S114" s="84">
        <f t="shared" si="25"/>
        <v>-25.1</v>
      </c>
      <c r="T114" s="5">
        <v>0.8</v>
      </c>
      <c r="U114" s="4" t="s">
        <v>2</v>
      </c>
      <c r="V114" s="88">
        <f t="shared" si="17"/>
        <v>-8.5245528993299651</v>
      </c>
      <c r="W114" s="88">
        <f t="shared" si="18"/>
        <v>-8.7245528993299644</v>
      </c>
      <c r="X114" s="88">
        <f t="shared" si="19"/>
        <v>16.797053134341986</v>
      </c>
      <c r="Y114" s="88">
        <f>Z114+AA114</f>
        <v>29.224999999999998</v>
      </c>
      <c r="Z114" s="88">
        <f>SUM(20.6+18.6+19.6+22.2+27+29.6+31.8+33+32.1+29.9+26.2+22.9)/12</f>
        <v>26.124999999999996</v>
      </c>
      <c r="AA114" s="88">
        <f>6.2/2</f>
        <v>3.1</v>
      </c>
      <c r="AB114" s="84" t="s">
        <v>176</v>
      </c>
      <c r="AC114" s="84">
        <f t="shared" si="20"/>
        <v>302.22500000000002</v>
      </c>
      <c r="AD114" s="84">
        <v>7.9</v>
      </c>
      <c r="AE114" s="23" t="s">
        <v>265</v>
      </c>
      <c r="AF114" s="23" t="s">
        <v>562</v>
      </c>
      <c r="AG114" s="23">
        <f>VLOOKUP(A114, 'fixing lats'!A:F, 4, FALSE)</f>
        <v>28.0154</v>
      </c>
      <c r="AH114" s="23" t="s">
        <v>563</v>
      </c>
      <c r="AI114" s="23">
        <f>VLOOKUP(A114, 'fixing lats'!A:F, 6, FALSE)</f>
        <v>50.0137</v>
      </c>
      <c r="AJ114" s="23" t="s">
        <v>612</v>
      </c>
      <c r="AK114" s="83" t="s">
        <v>380</v>
      </c>
      <c r="AL114" s="84" t="s">
        <v>169</v>
      </c>
      <c r="AM114" s="86">
        <v>170</v>
      </c>
      <c r="AN114" s="85">
        <f t="shared" si="14"/>
        <v>17.520450472802967</v>
      </c>
      <c r="AO114" s="85">
        <v>34</v>
      </c>
      <c r="AP114" s="87">
        <f t="shared" si="21"/>
        <v>2.6399061493721711E-2</v>
      </c>
      <c r="AQ114" s="88">
        <f t="shared" si="22"/>
        <v>663.67702037323272</v>
      </c>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row>
    <row r="115" spans="1:317" x14ac:dyDescent="0.25">
      <c r="A115" s="76">
        <v>19696</v>
      </c>
      <c r="B115" s="3">
        <v>86</v>
      </c>
      <c r="C115" s="8">
        <f t="shared" si="15"/>
        <v>2</v>
      </c>
      <c r="D115" s="8">
        <f t="shared" si="16"/>
        <v>1</v>
      </c>
      <c r="E115" s="8">
        <v>84</v>
      </c>
      <c r="F115" s="8">
        <v>87</v>
      </c>
      <c r="G115" s="3">
        <f t="shared" si="23"/>
        <v>2</v>
      </c>
      <c r="H115" s="4" t="s">
        <v>375</v>
      </c>
      <c r="I115" s="4" t="s">
        <v>275</v>
      </c>
      <c r="J115" s="4" t="s">
        <v>287</v>
      </c>
      <c r="K115" s="4"/>
      <c r="L115" s="4"/>
      <c r="M115" s="86" t="s">
        <v>4</v>
      </c>
      <c r="N115" s="4" t="str">
        <f t="shared" si="24"/>
        <v>marine sediment</v>
      </c>
      <c r="O115" s="86" t="s">
        <v>0</v>
      </c>
      <c r="P115" s="5">
        <v>-26.8</v>
      </c>
      <c r="Q115" s="4" t="s">
        <v>286</v>
      </c>
      <c r="S115" s="84">
        <f t="shared" si="25"/>
        <v>-23.3</v>
      </c>
      <c r="T115" s="5">
        <v>0.2</v>
      </c>
      <c r="U115" s="4" t="s">
        <v>286</v>
      </c>
      <c r="V115" s="88">
        <f t="shared" si="17"/>
        <v>-8.041251765728564</v>
      </c>
      <c r="W115" s="88">
        <f t="shared" si="18"/>
        <v>-8.8412517657285647</v>
      </c>
      <c r="X115" s="88">
        <f t="shared" si="19"/>
        <v>14.803673834618003</v>
      </c>
      <c r="Y115" s="88">
        <f>AVERAGE(34.1,33.7,33.5)</f>
        <v>33.766666666666673</v>
      </c>
      <c r="AB115" s="84"/>
      <c r="AC115" s="84">
        <f t="shared" si="20"/>
        <v>306.76666666666665</v>
      </c>
      <c r="AD115" s="84"/>
      <c r="AE115" s="23"/>
      <c r="AF115" s="23"/>
      <c r="AG115" s="23"/>
      <c r="AH115" s="23"/>
      <c r="AI115" s="23"/>
      <c r="AJ115" s="23"/>
      <c r="AK115" s="83"/>
      <c r="AL115" s="83" t="s">
        <v>286</v>
      </c>
      <c r="AM115" s="86">
        <v>170</v>
      </c>
      <c r="AN115" s="85">
        <f t="shared" si="14"/>
        <v>14.534478399136527</v>
      </c>
      <c r="AO115" s="85">
        <v>34</v>
      </c>
      <c r="AP115" s="87">
        <f t="shared" si="21"/>
        <v>2.3809466377487907E-2</v>
      </c>
      <c r="AQ115" s="88">
        <f t="shared" si="22"/>
        <v>610.44956525691077</v>
      </c>
    </row>
    <row r="116" spans="1:317" x14ac:dyDescent="0.25">
      <c r="A116" s="76">
        <v>19697</v>
      </c>
      <c r="B116" s="3">
        <v>88</v>
      </c>
      <c r="C116" s="8">
        <f t="shared" si="15"/>
        <v>1</v>
      </c>
      <c r="D116" s="8">
        <f t="shared" si="16"/>
        <v>1</v>
      </c>
      <c r="E116" s="8">
        <v>87</v>
      </c>
      <c r="F116" s="8">
        <v>89</v>
      </c>
      <c r="G116" s="3">
        <f t="shared" si="23"/>
        <v>1</v>
      </c>
      <c r="H116" s="4" t="s">
        <v>376</v>
      </c>
      <c r="I116" s="4" t="s">
        <v>276</v>
      </c>
      <c r="J116" s="4" t="s">
        <v>287</v>
      </c>
      <c r="K116" s="4"/>
      <c r="L116" s="4"/>
      <c r="M116" s="86" t="s">
        <v>4</v>
      </c>
      <c r="N116" s="4" t="str">
        <f t="shared" si="24"/>
        <v>marine sediment</v>
      </c>
      <c r="O116" s="86" t="s">
        <v>0</v>
      </c>
      <c r="P116" s="5">
        <v>-29.7</v>
      </c>
      <c r="Q116" s="4" t="s">
        <v>286</v>
      </c>
      <c r="S116" s="84">
        <f t="shared" si="25"/>
        <v>-26.2</v>
      </c>
      <c r="T116" s="5">
        <v>-0.6</v>
      </c>
      <c r="U116" s="4" t="s">
        <v>286</v>
      </c>
      <c r="V116" s="88">
        <f t="shared" si="17"/>
        <v>-7.9889173356476455</v>
      </c>
      <c r="W116" s="88">
        <f t="shared" si="18"/>
        <v>-9.5889173356476451</v>
      </c>
      <c r="X116" s="88">
        <f t="shared" si="19"/>
        <v>17.058002325274657</v>
      </c>
      <c r="Y116" s="88">
        <f>AVERAGE(33.8,34.2,34.8)</f>
        <v>34.266666666666666</v>
      </c>
      <c r="AB116" s="84"/>
      <c r="AC116" s="84">
        <f t="shared" si="20"/>
        <v>307.26666666666665</v>
      </c>
      <c r="AD116" s="84"/>
      <c r="AE116" s="23"/>
      <c r="AF116" s="23"/>
      <c r="AG116" s="23"/>
      <c r="AH116" s="23"/>
      <c r="AI116" s="23"/>
      <c r="AJ116" s="23"/>
      <c r="AK116" s="83"/>
      <c r="AL116" s="83" t="s">
        <v>286</v>
      </c>
      <c r="AM116" s="86">
        <v>170</v>
      </c>
      <c r="AN116" s="85">
        <f t="shared" si="14"/>
        <v>18.004664463650709</v>
      </c>
      <c r="AO116" s="85">
        <v>34</v>
      </c>
      <c r="AP116" s="87">
        <f t="shared" si="21"/>
        <v>2.3553155219003384E-2</v>
      </c>
      <c r="AQ116" s="88">
        <f t="shared" si="22"/>
        <v>764.4268590020589</v>
      </c>
    </row>
    <row r="117" spans="1:317" x14ac:dyDescent="0.25">
      <c r="A117" s="76">
        <v>19698</v>
      </c>
      <c r="B117" s="3">
        <v>89.5</v>
      </c>
      <c r="C117" s="8">
        <f t="shared" si="15"/>
        <v>1</v>
      </c>
      <c r="D117" s="8">
        <f t="shared" si="16"/>
        <v>1</v>
      </c>
      <c r="E117" s="8">
        <v>88.5</v>
      </c>
      <c r="F117" s="8">
        <v>90.5</v>
      </c>
      <c r="G117" s="3">
        <f t="shared" si="23"/>
        <v>1</v>
      </c>
      <c r="H117" s="4" t="s">
        <v>238</v>
      </c>
      <c r="I117" s="4" t="s">
        <v>277</v>
      </c>
      <c r="J117" s="4" t="s">
        <v>287</v>
      </c>
      <c r="K117" s="4"/>
      <c r="L117" s="4"/>
      <c r="M117" s="86" t="s">
        <v>4</v>
      </c>
      <c r="N117" s="4" t="str">
        <f t="shared" si="24"/>
        <v>marine sediment</v>
      </c>
      <c r="O117" s="86" t="s">
        <v>0</v>
      </c>
      <c r="P117" s="5">
        <v>-31.4</v>
      </c>
      <c r="Q117" s="4" t="s">
        <v>286</v>
      </c>
      <c r="S117" s="84">
        <f t="shared" si="25"/>
        <v>-27.9</v>
      </c>
      <c r="T117" s="5">
        <v>-1.3</v>
      </c>
      <c r="U117" s="4" t="s">
        <v>286</v>
      </c>
      <c r="V117" s="88">
        <f t="shared" si="17"/>
        <v>-7.9367529513700852</v>
      </c>
      <c r="W117" s="88">
        <f t="shared" si="18"/>
        <v>-10.236752951370086</v>
      </c>
      <c r="X117" s="88">
        <f t="shared" si="19"/>
        <v>18.17019550316834</v>
      </c>
      <c r="Y117" s="88">
        <f>AVERAGE(34.4,34.6,35.3)</f>
        <v>34.766666666666666</v>
      </c>
      <c r="AB117" s="84"/>
      <c r="AC117" s="84">
        <f t="shared" si="20"/>
        <v>307.76666666666665</v>
      </c>
      <c r="AD117" s="84"/>
      <c r="AE117" s="23"/>
      <c r="AF117" s="23"/>
      <c r="AG117" s="23"/>
      <c r="AH117" s="23"/>
      <c r="AI117" s="23"/>
      <c r="AJ117" s="23"/>
      <c r="AK117" s="83"/>
      <c r="AL117" s="83" t="s">
        <v>286</v>
      </c>
      <c r="AM117" s="86">
        <v>170</v>
      </c>
      <c r="AN117" s="85">
        <f t="shared" si="14"/>
        <v>20.408642251407166</v>
      </c>
      <c r="AO117" s="85">
        <v>34</v>
      </c>
      <c r="AP117" s="87">
        <f t="shared" si="21"/>
        <v>2.3302062872434619E-2</v>
      </c>
      <c r="AQ117" s="88">
        <f t="shared" si="22"/>
        <v>875.82985090773866</v>
      </c>
    </row>
    <row r="118" spans="1:317" x14ac:dyDescent="0.25">
      <c r="A118" s="76">
        <v>19699</v>
      </c>
      <c r="B118" s="3">
        <v>91</v>
      </c>
      <c r="C118" s="8">
        <f t="shared" si="15"/>
        <v>1</v>
      </c>
      <c r="D118" s="8">
        <f t="shared" si="16"/>
        <v>1</v>
      </c>
      <c r="E118" s="8">
        <v>90</v>
      </c>
      <c r="F118" s="8">
        <v>92</v>
      </c>
      <c r="G118" s="3">
        <f t="shared" si="23"/>
        <v>1</v>
      </c>
      <c r="H118" s="4" t="s">
        <v>238</v>
      </c>
      <c r="I118" s="4" t="s">
        <v>281</v>
      </c>
      <c r="J118" s="4" t="s">
        <v>287</v>
      </c>
      <c r="K118" s="4"/>
      <c r="L118" s="4"/>
      <c r="M118" s="86" t="s">
        <v>4</v>
      </c>
      <c r="N118" s="4" t="str">
        <f t="shared" si="24"/>
        <v>marine sediment</v>
      </c>
      <c r="O118" s="86" t="s">
        <v>0</v>
      </c>
      <c r="P118" s="5">
        <v>-27.4</v>
      </c>
      <c r="Q118" s="4" t="s">
        <v>286</v>
      </c>
      <c r="S118" s="84">
        <f t="shared" si="25"/>
        <v>-23.9</v>
      </c>
      <c r="T118" s="5">
        <v>0.1</v>
      </c>
      <c r="U118" s="4" t="s">
        <v>286</v>
      </c>
      <c r="V118" s="88">
        <f t="shared" si="17"/>
        <v>-7.7109404742700427</v>
      </c>
      <c r="W118" s="88">
        <f t="shared" si="18"/>
        <v>-8.6109404742700431</v>
      </c>
      <c r="X118" s="88">
        <f t="shared" si="19"/>
        <v>15.663415147761484</v>
      </c>
      <c r="Y118" s="88">
        <f>AVERAGE(37.2,36.7)</f>
        <v>36.950000000000003</v>
      </c>
      <c r="AB118" s="84"/>
      <c r="AC118" s="84">
        <f t="shared" si="20"/>
        <v>309.95</v>
      </c>
      <c r="AD118" s="84"/>
      <c r="AE118" s="23"/>
      <c r="AF118" s="23"/>
      <c r="AG118" s="23"/>
      <c r="AH118" s="23"/>
      <c r="AI118" s="23"/>
      <c r="AJ118" s="23"/>
      <c r="AK118" s="83"/>
      <c r="AL118" s="83" t="s">
        <v>286</v>
      </c>
      <c r="AM118" s="86">
        <v>170</v>
      </c>
      <c r="AN118" s="85">
        <f t="shared" si="14"/>
        <v>15.687599213038327</v>
      </c>
      <c r="AO118" s="85">
        <v>34</v>
      </c>
      <c r="AP118" s="87">
        <f t="shared" si="21"/>
        <v>2.2263826336340869E-2</v>
      </c>
      <c r="AQ118" s="88">
        <f t="shared" si="22"/>
        <v>704.62278029144181</v>
      </c>
    </row>
    <row r="119" spans="1:317" x14ac:dyDescent="0.25">
      <c r="A119" s="76">
        <v>19700</v>
      </c>
      <c r="B119" s="24">
        <v>94</v>
      </c>
      <c r="C119" s="8">
        <f t="shared" si="15"/>
        <v>2</v>
      </c>
      <c r="D119" s="8">
        <f t="shared" si="16"/>
        <v>2</v>
      </c>
      <c r="E119" s="8">
        <v>92</v>
      </c>
      <c r="F119" s="8">
        <v>96</v>
      </c>
      <c r="G119" s="3">
        <f t="shared" si="23"/>
        <v>2</v>
      </c>
      <c r="H119" s="4" t="s">
        <v>225</v>
      </c>
      <c r="I119" s="43">
        <v>55001</v>
      </c>
      <c r="J119" s="44" t="s">
        <v>215</v>
      </c>
      <c r="K119" s="44"/>
      <c r="L119" s="44" t="s">
        <v>215</v>
      </c>
      <c r="M119" s="96" t="s">
        <v>1</v>
      </c>
      <c r="N119" s="4" t="str">
        <f t="shared" si="24"/>
        <v>marine oil</v>
      </c>
      <c r="O119" s="96" t="s">
        <v>0</v>
      </c>
      <c r="P119" s="46">
        <f>AVERAGE(-27.43,-27.46,-27.38)</f>
        <v>-27.423333333333332</v>
      </c>
      <c r="Q119" s="47" t="s">
        <v>293</v>
      </c>
      <c r="R119" s="47"/>
      <c r="S119" s="84">
        <f t="shared" si="25"/>
        <v>-23.923333333333332</v>
      </c>
      <c r="T119" s="5">
        <v>0.83</v>
      </c>
      <c r="U119" s="4" t="s">
        <v>379</v>
      </c>
      <c r="V119" s="88">
        <f t="shared" si="17"/>
        <v>-8.9651777330650582</v>
      </c>
      <c r="W119" s="88">
        <f t="shared" si="18"/>
        <v>-9.1351777330650581</v>
      </c>
      <c r="X119" s="88">
        <f t="shared" si="19"/>
        <v>15.150608661479659</v>
      </c>
      <c r="Y119" s="88">
        <f>Z119+AA119</f>
        <v>25.2</v>
      </c>
      <c r="Z119" s="86">
        <v>24.8</v>
      </c>
      <c r="AA119" s="88">
        <v>0.4</v>
      </c>
      <c r="AB119" s="84" t="s">
        <v>176</v>
      </c>
      <c r="AC119" s="84">
        <f t="shared" si="20"/>
        <v>298.2</v>
      </c>
      <c r="AD119" s="89"/>
      <c r="AE119" s="47"/>
      <c r="AF119" s="47"/>
      <c r="AG119" s="47"/>
      <c r="AH119" s="1"/>
      <c r="AI119" s="1"/>
      <c r="AJ119" s="1"/>
      <c r="AK119" s="83" t="s">
        <v>259</v>
      </c>
      <c r="AL119" s="89" t="s">
        <v>169</v>
      </c>
      <c r="AM119" s="86">
        <v>170</v>
      </c>
      <c r="AN119" s="85">
        <f t="shared" si="14"/>
        <v>14.978776828587486</v>
      </c>
      <c r="AO119" s="85">
        <v>33</v>
      </c>
      <c r="AP119" s="87">
        <f t="shared" si="21"/>
        <v>2.9281677942160848E-2</v>
      </c>
      <c r="AQ119" s="88">
        <f t="shared" si="22"/>
        <v>511.54093212057654</v>
      </c>
    </row>
    <row r="120" spans="1:317" x14ac:dyDescent="0.25">
      <c r="A120" s="76">
        <v>19701</v>
      </c>
      <c r="B120" s="24">
        <v>94</v>
      </c>
      <c r="C120" s="8">
        <f t="shared" si="15"/>
        <v>2</v>
      </c>
      <c r="D120" s="8">
        <f t="shared" si="16"/>
        <v>2</v>
      </c>
      <c r="E120" s="8">
        <v>92</v>
      </c>
      <c r="F120" s="8">
        <v>96</v>
      </c>
      <c r="G120" s="3">
        <f t="shared" si="23"/>
        <v>2</v>
      </c>
      <c r="H120" s="4" t="s">
        <v>225</v>
      </c>
      <c r="I120" s="28">
        <v>36925</v>
      </c>
      <c r="J120" s="29" t="s">
        <v>214</v>
      </c>
      <c r="K120" s="29"/>
      <c r="L120" s="29" t="s">
        <v>214</v>
      </c>
      <c r="M120" s="96" t="s">
        <v>1</v>
      </c>
      <c r="N120" s="4" t="str">
        <f t="shared" si="24"/>
        <v>marine oil</v>
      </c>
      <c r="O120" s="96" t="s">
        <v>0</v>
      </c>
      <c r="P120" s="30">
        <f>AVERAGE(-29.92,-29.87,-30.2)</f>
        <v>-29.99666666666667</v>
      </c>
      <c r="Q120" s="25" t="s">
        <v>293</v>
      </c>
      <c r="R120" s="25"/>
      <c r="S120" s="84">
        <f t="shared" si="25"/>
        <v>-26.49666666666667</v>
      </c>
      <c r="T120" s="5">
        <v>0.83</v>
      </c>
      <c r="U120" s="4" t="s">
        <v>379</v>
      </c>
      <c r="V120" s="88">
        <f t="shared" si="17"/>
        <v>-8.7666666666666622</v>
      </c>
      <c r="W120" s="88">
        <f t="shared" si="18"/>
        <v>-8.9366666666666621</v>
      </c>
      <c r="X120" s="88">
        <f t="shared" si="19"/>
        <v>18.037945427339828</v>
      </c>
      <c r="Y120" s="88">
        <f>Z120+AA120</f>
        <v>27</v>
      </c>
      <c r="Z120" s="88">
        <v>26.6</v>
      </c>
      <c r="AA120" s="88">
        <v>0.4</v>
      </c>
      <c r="AB120" s="84" t="s">
        <v>176</v>
      </c>
      <c r="AC120" s="84">
        <f t="shared" si="20"/>
        <v>300</v>
      </c>
      <c r="AD120" s="84"/>
      <c r="AE120" s="5"/>
      <c r="AF120" s="5"/>
      <c r="AG120" s="5"/>
      <c r="AH120" s="5"/>
      <c r="AI120" s="5"/>
      <c r="AJ120" s="5"/>
      <c r="AK120" s="83" t="s">
        <v>259</v>
      </c>
      <c r="AL120" s="89" t="s">
        <v>169</v>
      </c>
      <c r="AM120" s="86">
        <v>170</v>
      </c>
      <c r="AN120" s="85">
        <f t="shared" si="14"/>
        <v>20.089683721639954</v>
      </c>
      <c r="AO120" s="85">
        <v>34</v>
      </c>
      <c r="AP120" s="87">
        <f t="shared" si="21"/>
        <v>2.7861313375427174E-2</v>
      </c>
      <c r="AQ120" s="88">
        <f t="shared" si="22"/>
        <v>721.06018301916947</v>
      </c>
    </row>
    <row r="121" spans="1:317" x14ac:dyDescent="0.25">
      <c r="A121" s="76">
        <v>19702</v>
      </c>
      <c r="B121" s="24">
        <v>94</v>
      </c>
      <c r="C121" s="8">
        <f t="shared" si="15"/>
        <v>2</v>
      </c>
      <c r="D121" s="8">
        <f t="shared" si="16"/>
        <v>2</v>
      </c>
      <c r="E121" s="8">
        <v>92</v>
      </c>
      <c r="F121" s="8">
        <v>96</v>
      </c>
      <c r="G121" s="3">
        <f t="shared" si="23"/>
        <v>2</v>
      </c>
      <c r="H121" s="4" t="s">
        <v>225</v>
      </c>
      <c r="I121" s="31" t="s">
        <v>197</v>
      </c>
      <c r="J121" s="4" t="s">
        <v>205</v>
      </c>
      <c r="K121" s="4"/>
      <c r="L121" s="4" t="s">
        <v>599</v>
      </c>
      <c r="M121" s="86" t="s">
        <v>1</v>
      </c>
      <c r="N121" s="4" t="str">
        <f t="shared" si="24"/>
        <v>marine oil</v>
      </c>
      <c r="O121" s="86" t="s">
        <v>0</v>
      </c>
      <c r="P121" s="31">
        <v>-28.7</v>
      </c>
      <c r="Q121" s="4" t="s">
        <v>206</v>
      </c>
      <c r="S121" s="84">
        <f t="shared" si="25"/>
        <v>-25.2</v>
      </c>
      <c r="T121" s="5">
        <v>3</v>
      </c>
      <c r="U121" s="4" t="s">
        <v>2</v>
      </c>
      <c r="V121" s="88">
        <f t="shared" si="17"/>
        <v>-8.4329984327311713</v>
      </c>
      <c r="W121" s="88">
        <f t="shared" si="18"/>
        <v>-6.4329984327311713</v>
      </c>
      <c r="X121" s="88">
        <f t="shared" si="19"/>
        <v>19.252155895844059</v>
      </c>
      <c r="Y121" s="88">
        <f>Z121+AA121</f>
        <v>30.074999999999996</v>
      </c>
      <c r="Z121" s="88">
        <f>SUM(20.6+18.6+19.6+22.2+27+29.6+31.8+33+32.1+29.9+26.2+22.9)/12</f>
        <v>26.124999999999996</v>
      </c>
      <c r="AA121" s="88">
        <f>7.9/2</f>
        <v>3.95</v>
      </c>
      <c r="AB121" s="84" t="s">
        <v>176</v>
      </c>
      <c r="AC121" s="84">
        <f t="shared" si="20"/>
        <v>303.07499999999999</v>
      </c>
      <c r="AD121" s="84">
        <v>5.4</v>
      </c>
      <c r="AE121" s="23" t="s">
        <v>265</v>
      </c>
      <c r="AF121" s="23" t="s">
        <v>562</v>
      </c>
      <c r="AG121" s="23">
        <f>VLOOKUP(A121, 'fixing lats'!A:F, 4, FALSE)</f>
        <v>28.0154</v>
      </c>
      <c r="AH121" s="23" t="s">
        <v>563</v>
      </c>
      <c r="AI121" s="23">
        <f>VLOOKUP(A121, 'fixing lats'!A:F, 6, FALSE)</f>
        <v>50.0137</v>
      </c>
      <c r="AJ121" s="23" t="s">
        <v>612</v>
      </c>
      <c r="AK121" s="83" t="s">
        <v>380</v>
      </c>
      <c r="AL121" s="84" t="s">
        <v>169</v>
      </c>
      <c r="AM121" s="86">
        <v>170</v>
      </c>
      <c r="AN121" s="85">
        <f t="shared" ref="AN121:AN184" si="27">AM121/($AV$8-X121)</f>
        <v>23.455250631359654</v>
      </c>
      <c r="AO121" s="85">
        <v>34</v>
      </c>
      <c r="AP121" s="87">
        <f t="shared" si="21"/>
        <v>2.5876086943070378E-2</v>
      </c>
      <c r="AQ121" s="88">
        <f t="shared" si="22"/>
        <v>906.44503873260385</v>
      </c>
    </row>
    <row r="122" spans="1:317" x14ac:dyDescent="0.25">
      <c r="A122" s="76">
        <v>19703</v>
      </c>
      <c r="B122" s="24">
        <v>94</v>
      </c>
      <c r="C122" s="8">
        <f t="shared" si="15"/>
        <v>2</v>
      </c>
      <c r="D122" s="8">
        <f t="shared" si="16"/>
        <v>2</v>
      </c>
      <c r="E122" s="8">
        <v>92</v>
      </c>
      <c r="F122" s="8">
        <v>96</v>
      </c>
      <c r="G122" s="3">
        <f t="shared" si="23"/>
        <v>2</v>
      </c>
      <c r="H122" s="4" t="s">
        <v>225</v>
      </c>
      <c r="I122" s="31" t="s">
        <v>198</v>
      </c>
      <c r="J122" s="4" t="s">
        <v>205</v>
      </c>
      <c r="K122" s="4"/>
      <c r="L122" s="4" t="s">
        <v>599</v>
      </c>
      <c r="M122" s="86" t="s">
        <v>1</v>
      </c>
      <c r="N122" s="4" t="str">
        <f t="shared" si="24"/>
        <v>marine oil</v>
      </c>
      <c r="O122" s="86" t="s">
        <v>0</v>
      </c>
      <c r="P122" s="31">
        <v>-29.7</v>
      </c>
      <c r="Q122" s="4" t="s">
        <v>206</v>
      </c>
      <c r="S122" s="84">
        <f t="shared" si="25"/>
        <v>-26.2</v>
      </c>
      <c r="T122" s="5">
        <v>3</v>
      </c>
      <c r="U122" s="4" t="s">
        <v>2</v>
      </c>
      <c r="V122" s="88">
        <f t="shared" si="17"/>
        <v>-8.4329984327311713</v>
      </c>
      <c r="W122" s="88">
        <f t="shared" si="18"/>
        <v>-6.4329984327311713</v>
      </c>
      <c r="X122" s="88">
        <f t="shared" si="19"/>
        <v>20.29883093784024</v>
      </c>
      <c r="Y122" s="88">
        <f>Z122+AA122</f>
        <v>30.074999999999996</v>
      </c>
      <c r="Z122" s="88">
        <f>SUM(20.6+18.6+19.6+22.2+27+29.6+31.8+33+32.1+29.9+26.2+22.9)/12</f>
        <v>26.124999999999996</v>
      </c>
      <c r="AA122" s="88">
        <f>7.9/2</f>
        <v>3.95</v>
      </c>
      <c r="AB122" s="84" t="s">
        <v>176</v>
      </c>
      <c r="AC122" s="84">
        <f t="shared" si="20"/>
        <v>303.07499999999999</v>
      </c>
      <c r="AD122" s="84">
        <v>5.4</v>
      </c>
      <c r="AE122" s="23" t="s">
        <v>265</v>
      </c>
      <c r="AF122" s="23" t="s">
        <v>562</v>
      </c>
      <c r="AG122" s="23">
        <f>VLOOKUP(A122, 'fixing lats'!A:F, 4, FALSE)</f>
        <v>28.0154</v>
      </c>
      <c r="AH122" s="23" t="s">
        <v>563</v>
      </c>
      <c r="AI122" s="23">
        <f>VLOOKUP(A122, 'fixing lats'!A:F, 6, FALSE)</f>
        <v>50.0137</v>
      </c>
      <c r="AJ122" s="23" t="s">
        <v>612</v>
      </c>
      <c r="AK122" s="83" t="s">
        <v>380</v>
      </c>
      <c r="AL122" s="84" t="s">
        <v>169</v>
      </c>
      <c r="AM122" s="86">
        <v>170</v>
      </c>
      <c r="AN122" s="85">
        <f t="shared" si="27"/>
        <v>27.414185663371018</v>
      </c>
      <c r="AO122" s="85">
        <v>34</v>
      </c>
      <c r="AP122" s="87">
        <f t="shared" si="21"/>
        <v>2.5876086943070378E-2</v>
      </c>
      <c r="AQ122" s="88">
        <f t="shared" si="22"/>
        <v>1059.4409318412243</v>
      </c>
    </row>
    <row r="123" spans="1:317" x14ac:dyDescent="0.25">
      <c r="A123" s="76">
        <v>19704</v>
      </c>
      <c r="B123" s="3">
        <v>94</v>
      </c>
      <c r="C123" s="8">
        <f t="shared" si="15"/>
        <v>9.9999999999994316E-2</v>
      </c>
      <c r="D123" s="8">
        <f t="shared" si="16"/>
        <v>3</v>
      </c>
      <c r="E123" s="3">
        <v>93.9</v>
      </c>
      <c r="F123" s="3">
        <v>97</v>
      </c>
      <c r="G123" s="3">
        <f t="shared" si="23"/>
        <v>3</v>
      </c>
      <c r="H123" s="4" t="s">
        <v>378</v>
      </c>
      <c r="I123" s="4" t="s">
        <v>99</v>
      </c>
      <c r="J123" s="4" t="s">
        <v>85</v>
      </c>
      <c r="K123" s="4"/>
      <c r="L123" s="4" t="s">
        <v>600</v>
      </c>
      <c r="M123" s="86" t="s">
        <v>4</v>
      </c>
      <c r="N123" s="4" t="str">
        <f t="shared" si="24"/>
        <v>marine sediment</v>
      </c>
      <c r="O123" s="86" t="s">
        <v>27</v>
      </c>
      <c r="P123" s="5">
        <v>-30.7</v>
      </c>
      <c r="Q123" s="4" t="s">
        <v>88</v>
      </c>
      <c r="S123" s="84">
        <f t="shared" si="25"/>
        <v>-27.2</v>
      </c>
      <c r="T123" s="5">
        <v>0.19</v>
      </c>
      <c r="U123" s="4" t="s">
        <v>388</v>
      </c>
      <c r="V123" s="88">
        <f t="shared" si="17"/>
        <v>-8.1745990180032742</v>
      </c>
      <c r="W123" s="88">
        <f t="shared" si="18"/>
        <v>-8.9845990180032747</v>
      </c>
      <c r="X123" s="88">
        <f t="shared" si="19"/>
        <v>18.724713180506612</v>
      </c>
      <c r="Y123" s="88">
        <v>32.5</v>
      </c>
      <c r="AB123" s="84"/>
      <c r="AC123" s="84">
        <f t="shared" si="20"/>
        <v>305.5</v>
      </c>
      <c r="AD123" s="84"/>
      <c r="AE123" s="5"/>
      <c r="AF123" s="5"/>
      <c r="AG123" s="5"/>
      <c r="AH123" s="5"/>
      <c r="AI123" s="5"/>
      <c r="AJ123" s="5"/>
      <c r="AK123" s="83" t="s">
        <v>363</v>
      </c>
      <c r="AL123" s="83" t="s">
        <v>364</v>
      </c>
      <c r="AM123" s="86">
        <v>170</v>
      </c>
      <c r="AN123" s="85">
        <f t="shared" si="27"/>
        <v>21.864145200893905</v>
      </c>
      <c r="AO123" s="85">
        <v>34</v>
      </c>
      <c r="AP123" s="87">
        <f t="shared" si="21"/>
        <v>2.448299956954382E-2</v>
      </c>
      <c r="AQ123" s="88">
        <f t="shared" si="22"/>
        <v>893.03376160216499</v>
      </c>
    </row>
    <row r="124" spans="1:317" x14ac:dyDescent="0.25">
      <c r="A124" s="76">
        <v>19705</v>
      </c>
      <c r="B124" s="3">
        <v>94</v>
      </c>
      <c r="C124" s="8">
        <f t="shared" si="15"/>
        <v>9.9999999999994316E-2</v>
      </c>
      <c r="D124" s="8">
        <f t="shared" si="16"/>
        <v>3</v>
      </c>
      <c r="E124" s="3">
        <v>93.9</v>
      </c>
      <c r="F124" s="3">
        <v>97</v>
      </c>
      <c r="G124" s="3">
        <f t="shared" si="23"/>
        <v>3</v>
      </c>
      <c r="H124" s="4" t="s">
        <v>378</v>
      </c>
      <c r="I124" s="4" t="s">
        <v>92</v>
      </c>
      <c r="J124" s="4" t="s">
        <v>85</v>
      </c>
      <c r="K124" s="4"/>
      <c r="L124" s="4" t="s">
        <v>600</v>
      </c>
      <c r="M124" s="86" t="s">
        <v>4</v>
      </c>
      <c r="N124" s="4" t="str">
        <f t="shared" si="24"/>
        <v>marine sediment</v>
      </c>
      <c r="O124" s="86" t="s">
        <v>27</v>
      </c>
      <c r="P124" s="5">
        <v>-31.6</v>
      </c>
      <c r="Q124" s="4" t="s">
        <v>88</v>
      </c>
      <c r="S124" s="84">
        <f t="shared" si="25"/>
        <v>-28.1</v>
      </c>
      <c r="T124" s="5">
        <v>0.19</v>
      </c>
      <c r="U124" s="4" t="s">
        <v>388</v>
      </c>
      <c r="V124" s="88">
        <f t="shared" si="17"/>
        <v>-8.1745990180032742</v>
      </c>
      <c r="W124" s="88">
        <f t="shared" si="18"/>
        <v>-8.9845990180032747</v>
      </c>
      <c r="X124" s="88">
        <f t="shared" si="19"/>
        <v>19.668073857389334</v>
      </c>
      <c r="Y124" s="88">
        <v>32.5</v>
      </c>
      <c r="AB124" s="84"/>
      <c r="AC124" s="84">
        <f t="shared" si="20"/>
        <v>305.5</v>
      </c>
      <c r="AD124" s="84"/>
      <c r="AE124" s="5"/>
      <c r="AF124" s="5"/>
      <c r="AG124" s="5"/>
      <c r="AH124" s="5"/>
      <c r="AI124" s="5"/>
      <c r="AJ124" s="5"/>
      <c r="AK124" s="83" t="s">
        <v>363</v>
      </c>
      <c r="AL124" s="83" t="s">
        <v>364</v>
      </c>
      <c r="AM124" s="86">
        <v>170</v>
      </c>
      <c r="AN124" s="85">
        <f t="shared" si="27"/>
        <v>24.883172981000399</v>
      </c>
      <c r="AO124" s="85">
        <v>34</v>
      </c>
      <c r="AP124" s="87">
        <f t="shared" si="21"/>
        <v>2.448299956954382E-2</v>
      </c>
      <c r="AQ124" s="88">
        <f t="shared" si="22"/>
        <v>1016.3449503121498</v>
      </c>
    </row>
    <row r="125" spans="1:317" x14ac:dyDescent="0.25">
      <c r="A125" s="76">
        <v>19706</v>
      </c>
      <c r="B125" s="24">
        <v>94</v>
      </c>
      <c r="C125" s="8">
        <f t="shared" si="15"/>
        <v>9.9999999999994316E-2</v>
      </c>
      <c r="D125" s="8">
        <f t="shared" si="16"/>
        <v>3</v>
      </c>
      <c r="E125" s="3">
        <v>93.9</v>
      </c>
      <c r="F125" s="3">
        <v>97</v>
      </c>
      <c r="G125" s="3">
        <f t="shared" si="23"/>
        <v>3</v>
      </c>
      <c r="H125" s="4" t="s">
        <v>378</v>
      </c>
      <c r="I125" s="4" t="s">
        <v>113</v>
      </c>
      <c r="J125" s="4" t="s">
        <v>90</v>
      </c>
      <c r="K125" s="4"/>
      <c r="L125" s="4"/>
      <c r="M125" s="86" t="s">
        <v>4</v>
      </c>
      <c r="N125" s="4" t="str">
        <f t="shared" si="24"/>
        <v>marine sediment</v>
      </c>
      <c r="O125" s="86" t="s">
        <v>27</v>
      </c>
      <c r="P125" s="5">
        <v>-29.3</v>
      </c>
      <c r="Q125" s="4" t="s">
        <v>89</v>
      </c>
      <c r="S125" s="84">
        <f t="shared" si="25"/>
        <v>-25.8</v>
      </c>
      <c r="T125" s="5">
        <v>1.5</v>
      </c>
      <c r="U125" s="4" t="s">
        <v>71</v>
      </c>
      <c r="V125" s="88">
        <f t="shared" si="17"/>
        <v>-8.2275409836065556</v>
      </c>
      <c r="W125" s="88">
        <f t="shared" si="18"/>
        <v>-7.7275409836065556</v>
      </c>
      <c r="X125" s="88">
        <f t="shared" si="19"/>
        <v>18.551076797776123</v>
      </c>
      <c r="Y125" s="88">
        <v>32</v>
      </c>
      <c r="AB125" s="84"/>
      <c r="AC125" s="84">
        <f t="shared" si="20"/>
        <v>305</v>
      </c>
      <c r="AD125" s="84"/>
      <c r="AE125" s="23"/>
      <c r="AF125" s="23"/>
      <c r="AG125" s="23"/>
      <c r="AH125" s="23"/>
      <c r="AI125" s="23"/>
      <c r="AJ125" s="23"/>
      <c r="AK125" s="83" t="s">
        <v>365</v>
      </c>
      <c r="AL125" s="84" t="s">
        <v>364</v>
      </c>
      <c r="AM125" s="86">
        <v>170</v>
      </c>
      <c r="AN125" s="85">
        <f t="shared" si="27"/>
        <v>21.386544526237081</v>
      </c>
      <c r="AO125" s="85">
        <v>34</v>
      </c>
      <c r="AP125" s="87">
        <f t="shared" si="21"/>
        <v>2.4758776095312345E-2</v>
      </c>
      <c r="AQ125" s="88">
        <f t="shared" si="22"/>
        <v>863.79651578521532</v>
      </c>
    </row>
    <row r="126" spans="1:317" s="39" customFormat="1" x14ac:dyDescent="0.25">
      <c r="A126" s="76">
        <v>19707</v>
      </c>
      <c r="B126" s="24">
        <v>94</v>
      </c>
      <c r="C126" s="8">
        <f t="shared" si="15"/>
        <v>9.9999999999994316E-2</v>
      </c>
      <c r="D126" s="8">
        <f t="shared" si="16"/>
        <v>3</v>
      </c>
      <c r="E126" s="3">
        <v>93.9</v>
      </c>
      <c r="F126" s="3">
        <v>97</v>
      </c>
      <c r="G126" s="3">
        <f t="shared" si="23"/>
        <v>3</v>
      </c>
      <c r="H126" s="4" t="s">
        <v>378</v>
      </c>
      <c r="I126" s="4" t="s">
        <v>109</v>
      </c>
      <c r="J126" s="4" t="s">
        <v>90</v>
      </c>
      <c r="K126" s="4"/>
      <c r="L126" s="4"/>
      <c r="M126" s="86" t="s">
        <v>4</v>
      </c>
      <c r="N126" s="4" t="str">
        <f t="shared" si="24"/>
        <v>marine sediment</v>
      </c>
      <c r="O126" s="86" t="s">
        <v>27</v>
      </c>
      <c r="P126" s="5">
        <v>-30.5</v>
      </c>
      <c r="Q126" s="4" t="s">
        <v>89</v>
      </c>
      <c r="R126" s="4"/>
      <c r="S126" s="84">
        <f t="shared" si="25"/>
        <v>-27</v>
      </c>
      <c r="T126" s="5">
        <v>1.5</v>
      </c>
      <c r="U126" s="4" t="s">
        <v>71</v>
      </c>
      <c r="V126" s="88">
        <f t="shared" si="17"/>
        <v>-8.2275409836065556</v>
      </c>
      <c r="W126" s="88">
        <f t="shared" si="18"/>
        <v>-7.7275409836065556</v>
      </c>
      <c r="X126" s="88">
        <f t="shared" si="19"/>
        <v>19.807254898657199</v>
      </c>
      <c r="Y126" s="88">
        <v>32</v>
      </c>
      <c r="Z126" s="88"/>
      <c r="AA126" s="88"/>
      <c r="AB126" s="84"/>
      <c r="AC126" s="84">
        <f t="shared" si="20"/>
        <v>305</v>
      </c>
      <c r="AD126" s="84"/>
      <c r="AE126" s="23"/>
      <c r="AF126" s="23"/>
      <c r="AG126" s="23"/>
      <c r="AH126" s="23"/>
      <c r="AI126" s="23"/>
      <c r="AJ126" s="23"/>
      <c r="AK126" s="83" t="s">
        <v>365</v>
      </c>
      <c r="AL126" s="84" t="s">
        <v>364</v>
      </c>
      <c r="AM126" s="86">
        <v>170</v>
      </c>
      <c r="AN126" s="85">
        <f t="shared" si="27"/>
        <v>25.40063866557416</v>
      </c>
      <c r="AO126" s="85">
        <v>34</v>
      </c>
      <c r="AP126" s="87">
        <f t="shared" si="21"/>
        <v>2.4758776095312345E-2</v>
      </c>
      <c r="AQ126" s="88">
        <f t="shared" si="22"/>
        <v>1025.9246486090781</v>
      </c>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row>
    <row r="127" spans="1:317" s="39" customFormat="1" x14ac:dyDescent="0.25">
      <c r="A127" s="76">
        <v>19708</v>
      </c>
      <c r="B127" s="24">
        <v>94</v>
      </c>
      <c r="C127" s="8">
        <f t="shared" si="15"/>
        <v>9.9999999999994316E-2</v>
      </c>
      <c r="D127" s="8">
        <f t="shared" si="16"/>
        <v>3</v>
      </c>
      <c r="E127" s="3">
        <v>93.9</v>
      </c>
      <c r="F127" s="3">
        <v>97</v>
      </c>
      <c r="G127" s="3">
        <f t="shared" si="23"/>
        <v>3</v>
      </c>
      <c r="H127" s="4" t="s">
        <v>378</v>
      </c>
      <c r="I127" s="4" t="s">
        <v>108</v>
      </c>
      <c r="J127" s="4" t="s">
        <v>90</v>
      </c>
      <c r="K127" s="4"/>
      <c r="L127" s="4"/>
      <c r="M127" s="86" t="s">
        <v>4</v>
      </c>
      <c r="N127" s="4" t="str">
        <f t="shared" si="24"/>
        <v>marine sediment</v>
      </c>
      <c r="O127" s="86" t="s">
        <v>27</v>
      </c>
      <c r="P127" s="5">
        <v>-30.8</v>
      </c>
      <c r="Q127" s="4" t="s">
        <v>89</v>
      </c>
      <c r="R127" s="4"/>
      <c r="S127" s="84">
        <f t="shared" si="25"/>
        <v>-27.3</v>
      </c>
      <c r="T127" s="5">
        <v>1.5</v>
      </c>
      <c r="U127" s="4" t="s">
        <v>71</v>
      </c>
      <c r="V127" s="88">
        <f t="shared" si="17"/>
        <v>-8.2275409836065556</v>
      </c>
      <c r="W127" s="88">
        <f t="shared" si="18"/>
        <v>-7.7275409836065556</v>
      </c>
      <c r="X127" s="88">
        <f t="shared" si="19"/>
        <v>20.121783711723353</v>
      </c>
      <c r="Y127" s="88">
        <v>32</v>
      </c>
      <c r="Z127" s="88"/>
      <c r="AA127" s="88"/>
      <c r="AB127" s="84"/>
      <c r="AC127" s="84">
        <f t="shared" si="20"/>
        <v>305</v>
      </c>
      <c r="AD127" s="84"/>
      <c r="AE127" s="23"/>
      <c r="AF127" s="23"/>
      <c r="AG127" s="23"/>
      <c r="AH127" s="23"/>
      <c r="AI127" s="23"/>
      <c r="AJ127" s="23"/>
      <c r="AK127" s="83" t="s">
        <v>365</v>
      </c>
      <c r="AL127" s="84" t="s">
        <v>364</v>
      </c>
      <c r="AM127" s="86">
        <v>170</v>
      </c>
      <c r="AN127" s="85">
        <f t="shared" si="27"/>
        <v>26.653219695993236</v>
      </c>
      <c r="AO127" s="85">
        <v>34</v>
      </c>
      <c r="AP127" s="87">
        <f t="shared" si="21"/>
        <v>2.4758776095312345E-2</v>
      </c>
      <c r="AQ127" s="88">
        <f t="shared" si="22"/>
        <v>1076.5160439832716</v>
      </c>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row>
    <row r="128" spans="1:317" s="39" customFormat="1" x14ac:dyDescent="0.25">
      <c r="A128" s="76">
        <v>19709</v>
      </c>
      <c r="B128" s="3">
        <v>94</v>
      </c>
      <c r="C128" s="8">
        <f t="shared" si="15"/>
        <v>9.9999999999994316E-2</v>
      </c>
      <c r="D128" s="8">
        <f t="shared" si="16"/>
        <v>3</v>
      </c>
      <c r="E128" s="3">
        <v>93.9</v>
      </c>
      <c r="F128" s="3">
        <v>97</v>
      </c>
      <c r="G128" s="3">
        <f t="shared" si="23"/>
        <v>3</v>
      </c>
      <c r="H128" s="4" t="s">
        <v>378</v>
      </c>
      <c r="I128" s="4" t="s">
        <v>358</v>
      </c>
      <c r="J128" s="4" t="s">
        <v>179</v>
      </c>
      <c r="K128" s="4"/>
      <c r="L128" s="4" t="s">
        <v>601</v>
      </c>
      <c r="M128" s="86" t="s">
        <v>4</v>
      </c>
      <c r="N128" s="4" t="str">
        <f t="shared" si="24"/>
        <v>marine sediment</v>
      </c>
      <c r="O128" s="86" t="s">
        <v>27</v>
      </c>
      <c r="P128" s="5">
        <v>-30.5</v>
      </c>
      <c r="Q128" s="4" t="s">
        <v>71</v>
      </c>
      <c r="R128" s="4"/>
      <c r="S128" s="84">
        <f t="shared" si="25"/>
        <v>-27</v>
      </c>
      <c r="T128" s="5">
        <v>1.5</v>
      </c>
      <c r="U128" s="4" t="s">
        <v>71</v>
      </c>
      <c r="V128" s="88">
        <f t="shared" si="17"/>
        <v>-8.0692332789559522</v>
      </c>
      <c r="W128" s="88">
        <f t="shared" si="18"/>
        <v>-7.5692332789559522</v>
      </c>
      <c r="X128" s="88">
        <f t="shared" si="19"/>
        <v>19.969955520086291</v>
      </c>
      <c r="Y128" s="88">
        <v>33.5</v>
      </c>
      <c r="Z128" s="88"/>
      <c r="AA128" s="88"/>
      <c r="AB128" s="84"/>
      <c r="AC128" s="84">
        <f t="shared" si="20"/>
        <v>306.5</v>
      </c>
      <c r="AD128" s="84"/>
      <c r="AE128" s="1"/>
      <c r="AF128" s="1"/>
      <c r="AG128" s="1"/>
      <c r="AH128" s="1"/>
      <c r="AI128" s="1"/>
      <c r="AJ128" s="1"/>
      <c r="AK128" s="83" t="s">
        <v>361</v>
      </c>
      <c r="AL128" s="84" t="s">
        <v>362</v>
      </c>
      <c r="AM128" s="86">
        <v>170</v>
      </c>
      <c r="AN128" s="85">
        <f t="shared" si="27"/>
        <v>26.033513327959209</v>
      </c>
      <c r="AO128" s="85">
        <v>34</v>
      </c>
      <c r="AP128" s="87">
        <f t="shared" si="21"/>
        <v>2.3948342576917272E-2</v>
      </c>
      <c r="AQ128" s="88">
        <f t="shared" si="22"/>
        <v>1087.0695224249773</v>
      </c>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row>
    <row r="129" spans="1:317" s="39" customFormat="1" x14ac:dyDescent="0.25">
      <c r="A129" s="76">
        <v>19710</v>
      </c>
      <c r="B129" s="3">
        <v>94</v>
      </c>
      <c r="C129" s="8">
        <f t="shared" si="15"/>
        <v>9.9999999999994316E-2</v>
      </c>
      <c r="D129" s="8">
        <f t="shared" si="16"/>
        <v>3</v>
      </c>
      <c r="E129" s="3">
        <v>93.9</v>
      </c>
      <c r="F129" s="3">
        <v>97</v>
      </c>
      <c r="G129" s="3">
        <f t="shared" si="23"/>
        <v>3</v>
      </c>
      <c r="H129" s="4" t="s">
        <v>378</v>
      </c>
      <c r="I129" s="4" t="s">
        <v>356</v>
      </c>
      <c r="J129" s="4" t="s">
        <v>179</v>
      </c>
      <c r="K129" s="4"/>
      <c r="L129" s="4" t="s">
        <v>601</v>
      </c>
      <c r="M129" s="86" t="s">
        <v>4</v>
      </c>
      <c r="N129" s="4" t="str">
        <f t="shared" si="24"/>
        <v>marine sediment</v>
      </c>
      <c r="O129" s="86" t="s">
        <v>27</v>
      </c>
      <c r="P129" s="5">
        <v>-31.1</v>
      </c>
      <c r="Q129" s="4" t="s">
        <v>71</v>
      </c>
      <c r="R129" s="4"/>
      <c r="S129" s="84">
        <f t="shared" si="25"/>
        <v>-27.6</v>
      </c>
      <c r="T129" s="5">
        <v>1.5</v>
      </c>
      <c r="U129" s="4" t="s">
        <v>71</v>
      </c>
      <c r="V129" s="88">
        <f t="shared" si="17"/>
        <v>-8.0692332789559522</v>
      </c>
      <c r="W129" s="88">
        <f t="shared" si="18"/>
        <v>-7.5692332789559522</v>
      </c>
      <c r="X129" s="88">
        <f t="shared" si="19"/>
        <v>20.599307611110838</v>
      </c>
      <c r="Y129" s="88">
        <v>33.5</v>
      </c>
      <c r="Z129" s="88"/>
      <c r="AA129" s="88"/>
      <c r="AB129" s="84"/>
      <c r="AC129" s="84">
        <f t="shared" si="20"/>
        <v>306.5</v>
      </c>
      <c r="AD129" s="84"/>
      <c r="AE129" s="1"/>
      <c r="AF129" s="1"/>
      <c r="AG129" s="1"/>
      <c r="AH129" s="1"/>
      <c r="AI129" s="1"/>
      <c r="AJ129" s="1"/>
      <c r="AK129" s="83" t="s">
        <v>361</v>
      </c>
      <c r="AL129" s="84" t="s">
        <v>362</v>
      </c>
      <c r="AM129" s="86">
        <v>170</v>
      </c>
      <c r="AN129" s="85">
        <f t="shared" si="27"/>
        <v>28.810178330954045</v>
      </c>
      <c r="AO129" s="85">
        <v>34</v>
      </c>
      <c r="AP129" s="87">
        <f t="shared" si="21"/>
        <v>2.3948342576917272E-2</v>
      </c>
      <c r="AQ129" s="88">
        <f t="shared" si="22"/>
        <v>1203.0134544142891</v>
      </c>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row>
    <row r="130" spans="1:317" s="39" customFormat="1" x14ac:dyDescent="0.25">
      <c r="A130" s="76">
        <v>19711</v>
      </c>
      <c r="B130" s="3">
        <v>94</v>
      </c>
      <c r="C130" s="8">
        <f t="shared" si="15"/>
        <v>9.9999999999994316E-2</v>
      </c>
      <c r="D130" s="8">
        <f t="shared" si="16"/>
        <v>6</v>
      </c>
      <c r="E130" s="3">
        <v>93.9</v>
      </c>
      <c r="F130" s="3">
        <v>100</v>
      </c>
      <c r="G130" s="3">
        <f t="shared" si="23"/>
        <v>6</v>
      </c>
      <c r="H130" s="4" t="s">
        <v>377</v>
      </c>
      <c r="I130" s="4" t="s">
        <v>391</v>
      </c>
      <c r="J130" s="4" t="s">
        <v>315</v>
      </c>
      <c r="K130" s="4"/>
      <c r="L130" s="4" t="s">
        <v>602</v>
      </c>
      <c r="M130" s="86" t="s">
        <v>4</v>
      </c>
      <c r="N130" s="4" t="str">
        <f t="shared" si="24"/>
        <v>marine sediment</v>
      </c>
      <c r="O130" s="86" t="s">
        <v>27</v>
      </c>
      <c r="P130" s="5">
        <v>-30.8</v>
      </c>
      <c r="Q130" s="4" t="s">
        <v>72</v>
      </c>
      <c r="R130" s="4"/>
      <c r="S130" s="84">
        <f t="shared" si="25"/>
        <v>-27.3</v>
      </c>
      <c r="T130" s="5">
        <v>0</v>
      </c>
      <c r="U130" s="4" t="s">
        <v>72</v>
      </c>
      <c r="V130" s="88">
        <f t="shared" si="17"/>
        <v>-8.8766555183946458</v>
      </c>
      <c r="W130" s="88">
        <f t="shared" si="18"/>
        <v>-9.8766555183946458</v>
      </c>
      <c r="X130" s="88">
        <f t="shared" si="19"/>
        <v>17.912351682538574</v>
      </c>
      <c r="Y130" s="88">
        <v>26</v>
      </c>
      <c r="Z130" s="88"/>
      <c r="AA130" s="88"/>
      <c r="AB130" s="84"/>
      <c r="AC130" s="84">
        <f t="shared" si="20"/>
        <v>299</v>
      </c>
      <c r="AD130" s="84"/>
      <c r="AE130" s="23"/>
      <c r="AF130" s="23"/>
      <c r="AG130" s="23"/>
      <c r="AH130" s="23"/>
      <c r="AI130" s="23"/>
      <c r="AJ130" s="23"/>
      <c r="AK130" s="83"/>
      <c r="AL130" s="83" t="s">
        <v>392</v>
      </c>
      <c r="AM130" s="86">
        <v>170</v>
      </c>
      <c r="AN130" s="85">
        <f t="shared" si="27"/>
        <v>19.795873528534678</v>
      </c>
      <c r="AO130" s="85">
        <v>35</v>
      </c>
      <c r="AP130" s="87">
        <f t="shared" si="21"/>
        <v>2.8439542570064136E-2</v>
      </c>
      <c r="AQ130" s="88">
        <f t="shared" si="22"/>
        <v>696.06863330397209</v>
      </c>
      <c r="AR130" s="11"/>
      <c r="AS130" s="11"/>
      <c r="AT130" s="12"/>
      <c r="AU130" s="12"/>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row>
    <row r="131" spans="1:317" s="39" customFormat="1" x14ac:dyDescent="0.25">
      <c r="A131" s="76">
        <v>19712</v>
      </c>
      <c r="B131" s="3">
        <v>94</v>
      </c>
      <c r="C131" s="8">
        <f t="shared" ref="C131:C194" si="28">ABS(B131-E131)</f>
        <v>9.9999999999994316E-2</v>
      </c>
      <c r="D131" s="8">
        <f t="shared" ref="D131:D194" si="29">ABS(F131-B131)</f>
        <v>6</v>
      </c>
      <c r="E131" s="3">
        <v>93.9</v>
      </c>
      <c r="F131" s="3">
        <v>100</v>
      </c>
      <c r="G131" s="3">
        <f t="shared" si="23"/>
        <v>6</v>
      </c>
      <c r="H131" s="4" t="s">
        <v>377</v>
      </c>
      <c r="I131" s="4" t="s">
        <v>391</v>
      </c>
      <c r="J131" s="4" t="s">
        <v>315</v>
      </c>
      <c r="K131" s="4"/>
      <c r="L131" s="4" t="s">
        <v>602</v>
      </c>
      <c r="M131" s="86" t="s">
        <v>4</v>
      </c>
      <c r="N131" s="4" t="str">
        <f t="shared" si="24"/>
        <v>marine sediment</v>
      </c>
      <c r="O131" s="86" t="s">
        <v>27</v>
      </c>
      <c r="P131" s="5">
        <v>-29.7</v>
      </c>
      <c r="Q131" s="4" t="s">
        <v>72</v>
      </c>
      <c r="R131" s="4"/>
      <c r="S131" s="84">
        <f t="shared" si="25"/>
        <v>-26.2</v>
      </c>
      <c r="T131" s="5">
        <v>0</v>
      </c>
      <c r="U131" s="4" t="s">
        <v>72</v>
      </c>
      <c r="V131" s="88">
        <f t="shared" ref="V131:V194" si="30">24.12-9866/AC131</f>
        <v>-8.8766555183946458</v>
      </c>
      <c r="W131" s="88">
        <f t="shared" ref="W131:W194" si="31">T131-1+V131</f>
        <v>-9.8766555183946458</v>
      </c>
      <c r="X131" s="88">
        <f t="shared" ref="X131:X194" si="32">1000*((W131+1000)/(S131+1000)-1)</f>
        <v>16.762522573018579</v>
      </c>
      <c r="Y131" s="88">
        <v>26</v>
      </c>
      <c r="Z131" s="88"/>
      <c r="AA131" s="88"/>
      <c r="AB131" s="84"/>
      <c r="AC131" s="84">
        <f t="shared" ref="AC131:AC194" si="33">Y131+273</f>
        <v>299</v>
      </c>
      <c r="AD131" s="84"/>
      <c r="AE131" s="23"/>
      <c r="AF131" s="23"/>
      <c r="AG131" s="23"/>
      <c r="AH131" s="23"/>
      <c r="AI131" s="23"/>
      <c r="AJ131" s="23"/>
      <c r="AK131" s="83"/>
      <c r="AL131" s="83" t="s">
        <v>392</v>
      </c>
      <c r="AM131" s="86">
        <v>170</v>
      </c>
      <c r="AN131" s="85">
        <f t="shared" si="27"/>
        <v>17.458320317020679</v>
      </c>
      <c r="AO131" s="85">
        <v>36</v>
      </c>
      <c r="AP131" s="87">
        <f t="shared" ref="AP131:AP194" si="34">EXP($AT$4+$AT$5*(100/AC131)+$AT$6*LN(AC131/100)+AO131*($AW$4+$AW$5*(AC131/100)+$AW$6*(AC131/100)^2))</f>
        <v>2.8314063892851939E-2</v>
      </c>
      <c r="AQ131" s="88">
        <f t="shared" ref="AQ131:AQ194" si="35">AN131/AP131</f>
        <v>616.59535639559465</v>
      </c>
      <c r="AR131" s="11"/>
      <c r="AS131" s="11"/>
      <c r="AT131" s="12"/>
      <c r="AU131" s="12"/>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row>
    <row r="132" spans="1:317" s="39" customFormat="1" x14ac:dyDescent="0.25">
      <c r="A132" s="76">
        <v>19713</v>
      </c>
      <c r="B132" s="3">
        <v>94</v>
      </c>
      <c r="C132" s="8">
        <f t="shared" si="28"/>
        <v>9.9999999999994316E-2</v>
      </c>
      <c r="D132" s="8">
        <f t="shared" si="29"/>
        <v>6</v>
      </c>
      <c r="E132" s="3">
        <v>93.9</v>
      </c>
      <c r="F132" s="3">
        <v>100</v>
      </c>
      <c r="G132" s="3">
        <f t="shared" ref="G132:G195" si="36">IF(C132&gt;D132, C132, D132)</f>
        <v>6</v>
      </c>
      <c r="H132" s="4" t="s">
        <v>377</v>
      </c>
      <c r="I132" s="4" t="s">
        <v>391</v>
      </c>
      <c r="J132" s="4" t="s">
        <v>315</v>
      </c>
      <c r="K132" s="4"/>
      <c r="L132" s="4" t="s">
        <v>602</v>
      </c>
      <c r="M132" s="86" t="s">
        <v>4</v>
      </c>
      <c r="N132" s="4" t="str">
        <f t="shared" ref="N132:N195" si="37">IF(M132="MS", "marine sediment", "marine oil")</f>
        <v>marine sediment</v>
      </c>
      <c r="O132" s="86" t="s">
        <v>27</v>
      </c>
      <c r="P132" s="5">
        <v>-30</v>
      </c>
      <c r="Q132" s="4" t="s">
        <v>72</v>
      </c>
      <c r="R132" s="4"/>
      <c r="S132" s="84">
        <f t="shared" ref="S132:S195" si="38">P132+3.5</f>
        <v>-26.5</v>
      </c>
      <c r="T132" s="5">
        <v>0</v>
      </c>
      <c r="U132" s="4" t="s">
        <v>72</v>
      </c>
      <c r="V132" s="88">
        <f t="shared" si="30"/>
        <v>-8.8766555183946458</v>
      </c>
      <c r="W132" s="88">
        <f t="shared" si="31"/>
        <v>-9.8766555183946458</v>
      </c>
      <c r="X132" s="88">
        <f t="shared" si="32"/>
        <v>17.075854629281295</v>
      </c>
      <c r="Y132" s="88">
        <v>26</v>
      </c>
      <c r="Z132" s="88"/>
      <c r="AA132" s="88"/>
      <c r="AB132" s="84"/>
      <c r="AC132" s="84">
        <f t="shared" si="33"/>
        <v>299</v>
      </c>
      <c r="AD132" s="84"/>
      <c r="AE132" s="23"/>
      <c r="AF132" s="23"/>
      <c r="AG132" s="23"/>
      <c r="AH132" s="23"/>
      <c r="AI132" s="23"/>
      <c r="AJ132" s="23"/>
      <c r="AK132" s="83"/>
      <c r="AL132" s="83" t="s">
        <v>392</v>
      </c>
      <c r="AM132" s="86">
        <v>170</v>
      </c>
      <c r="AN132" s="85">
        <f t="shared" si="27"/>
        <v>18.038770977387358</v>
      </c>
      <c r="AO132" s="85">
        <v>37</v>
      </c>
      <c r="AP132" s="87">
        <f t="shared" si="34"/>
        <v>2.8189138842632726E-2</v>
      </c>
      <c r="AQ132" s="88">
        <f t="shared" si="35"/>
        <v>639.91919292354748</v>
      </c>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c r="KW132" s="1"/>
      <c r="KX132" s="1"/>
      <c r="KY132" s="1"/>
      <c r="KZ132" s="1"/>
      <c r="LA132" s="1"/>
      <c r="LB132" s="1"/>
      <c r="LC132" s="1"/>
      <c r="LD132" s="1"/>
      <c r="LE132" s="1"/>
    </row>
    <row r="133" spans="1:317" s="39" customFormat="1" x14ac:dyDescent="0.25">
      <c r="A133" s="76">
        <v>19714</v>
      </c>
      <c r="B133" s="24">
        <v>94</v>
      </c>
      <c r="C133" s="8">
        <f t="shared" si="28"/>
        <v>2</v>
      </c>
      <c r="D133" s="8">
        <f t="shared" si="29"/>
        <v>2</v>
      </c>
      <c r="E133" s="8">
        <v>92</v>
      </c>
      <c r="F133" s="8">
        <v>96</v>
      </c>
      <c r="G133" s="3">
        <f t="shared" si="36"/>
        <v>2</v>
      </c>
      <c r="H133" s="4" t="s">
        <v>225</v>
      </c>
      <c r="I133" s="28" t="s">
        <v>218</v>
      </c>
      <c r="J133" s="29" t="s">
        <v>219</v>
      </c>
      <c r="K133" s="29"/>
      <c r="L133" s="29" t="s">
        <v>603</v>
      </c>
      <c r="M133" s="96" t="s">
        <v>1</v>
      </c>
      <c r="N133" s="4" t="str">
        <f t="shared" si="37"/>
        <v>marine oil</v>
      </c>
      <c r="O133" s="96" t="s">
        <v>0</v>
      </c>
      <c r="P133" s="30">
        <f>AVERAGE(-27.03,-27.126)</f>
        <v>-27.078000000000003</v>
      </c>
      <c r="Q133" s="25" t="s">
        <v>293</v>
      </c>
      <c r="R133" s="25"/>
      <c r="S133" s="84">
        <f t="shared" si="38"/>
        <v>-23.578000000000003</v>
      </c>
      <c r="T133" s="5">
        <v>1.3</v>
      </c>
      <c r="U133" s="4" t="s">
        <v>2</v>
      </c>
      <c r="V133" s="88">
        <f t="shared" si="30"/>
        <v>-8.3339473684210539</v>
      </c>
      <c r="W133" s="88">
        <f t="shared" si="31"/>
        <v>-8.0339473684210532</v>
      </c>
      <c r="X133" s="88">
        <f t="shared" si="32"/>
        <v>15.919400250689719</v>
      </c>
      <c r="Y133" s="88">
        <f>Z133+AA133</f>
        <v>31</v>
      </c>
      <c r="Z133" s="88">
        <v>28.5</v>
      </c>
      <c r="AA133" s="88">
        <v>2.5</v>
      </c>
      <c r="AB133" s="84" t="s">
        <v>176</v>
      </c>
      <c r="AC133" s="84">
        <f t="shared" si="33"/>
        <v>304</v>
      </c>
      <c r="AD133" s="84"/>
      <c r="AE133" s="5"/>
      <c r="AF133" s="5"/>
      <c r="AG133" s="5"/>
      <c r="AH133" s="5"/>
      <c r="AI133" s="5"/>
      <c r="AJ133" s="5"/>
      <c r="AK133" s="83" t="s">
        <v>259</v>
      </c>
      <c r="AL133" s="89" t="s">
        <v>169</v>
      </c>
      <c r="AM133" s="86">
        <v>170</v>
      </c>
      <c r="AN133" s="85">
        <f t="shared" si="27"/>
        <v>16.067142130679485</v>
      </c>
      <c r="AO133" s="85">
        <v>34</v>
      </c>
      <c r="AP133" s="87">
        <f t="shared" si="34"/>
        <v>2.5327916818999149E-2</v>
      </c>
      <c r="AQ133" s="88">
        <f t="shared" si="35"/>
        <v>634.36492805547641</v>
      </c>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c r="KV133" s="1"/>
      <c r="KW133" s="1"/>
      <c r="KX133" s="1"/>
      <c r="KY133" s="1"/>
      <c r="KZ133" s="1"/>
      <c r="LA133" s="1"/>
      <c r="LB133" s="1"/>
      <c r="LC133" s="1"/>
      <c r="LD133" s="1"/>
      <c r="LE133" s="1"/>
    </row>
    <row r="134" spans="1:317" s="40" customFormat="1" x14ac:dyDescent="0.25">
      <c r="A134" s="76">
        <v>19715</v>
      </c>
      <c r="B134" s="24">
        <v>94</v>
      </c>
      <c r="C134" s="8">
        <f t="shared" si="28"/>
        <v>2</v>
      </c>
      <c r="D134" s="8">
        <f t="shared" si="29"/>
        <v>2</v>
      </c>
      <c r="E134" s="8">
        <v>92</v>
      </c>
      <c r="F134" s="8">
        <v>96</v>
      </c>
      <c r="G134" s="3">
        <f t="shared" si="36"/>
        <v>2</v>
      </c>
      <c r="H134" s="4" t="s">
        <v>225</v>
      </c>
      <c r="I134" s="28">
        <v>326476</v>
      </c>
      <c r="J134" s="29" t="s">
        <v>219</v>
      </c>
      <c r="K134" s="29"/>
      <c r="L134" s="29" t="s">
        <v>603</v>
      </c>
      <c r="M134" s="96" t="s">
        <v>1</v>
      </c>
      <c r="N134" s="4" t="str">
        <f t="shared" si="37"/>
        <v>marine oil</v>
      </c>
      <c r="O134" s="96" t="s">
        <v>0</v>
      </c>
      <c r="P134" s="30">
        <f>AVERAGE(-29.25,-29.128)</f>
        <v>-29.189</v>
      </c>
      <c r="Q134" s="25" t="s">
        <v>293</v>
      </c>
      <c r="R134" s="25"/>
      <c r="S134" s="84">
        <f t="shared" si="38"/>
        <v>-25.689</v>
      </c>
      <c r="T134" s="5">
        <v>1.3</v>
      </c>
      <c r="U134" s="4" t="s">
        <v>2</v>
      </c>
      <c r="V134" s="88">
        <f t="shared" si="30"/>
        <v>-8.3339473684210539</v>
      </c>
      <c r="W134" s="88">
        <f t="shared" si="31"/>
        <v>-8.0339473684210532</v>
      </c>
      <c r="X134" s="88">
        <f t="shared" si="32"/>
        <v>18.120551478510329</v>
      </c>
      <c r="Y134" s="88">
        <f>Z134+AA134</f>
        <v>31</v>
      </c>
      <c r="Z134" s="88">
        <v>28.5</v>
      </c>
      <c r="AA134" s="88">
        <v>2.5</v>
      </c>
      <c r="AB134" s="84" t="s">
        <v>176</v>
      </c>
      <c r="AC134" s="84">
        <f t="shared" si="33"/>
        <v>304</v>
      </c>
      <c r="AD134" s="84"/>
      <c r="AE134" s="5"/>
      <c r="AF134" s="5"/>
      <c r="AG134" s="5"/>
      <c r="AH134" s="5"/>
      <c r="AI134" s="5"/>
      <c r="AJ134" s="5"/>
      <c r="AK134" s="83" t="s">
        <v>259</v>
      </c>
      <c r="AL134" s="89" t="s">
        <v>169</v>
      </c>
      <c r="AM134" s="86">
        <v>170</v>
      </c>
      <c r="AN134" s="85">
        <f t="shared" si="27"/>
        <v>20.287731294490722</v>
      </c>
      <c r="AO134" s="85">
        <v>34</v>
      </c>
      <c r="AP134" s="87">
        <f t="shared" si="34"/>
        <v>2.5327916818999149E-2</v>
      </c>
      <c r="AQ134" s="88">
        <f t="shared" si="35"/>
        <v>801.00276068785695</v>
      </c>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row>
    <row r="135" spans="1:317" s="39" customFormat="1" x14ac:dyDescent="0.25">
      <c r="A135" s="76">
        <v>19716</v>
      </c>
      <c r="B135" s="3">
        <v>95</v>
      </c>
      <c r="C135" s="8">
        <f t="shared" si="28"/>
        <v>1</v>
      </c>
      <c r="D135" s="8">
        <f t="shared" si="29"/>
        <v>1</v>
      </c>
      <c r="E135" s="3">
        <v>94</v>
      </c>
      <c r="F135" s="3">
        <v>96</v>
      </c>
      <c r="G135" s="3">
        <f t="shared" si="36"/>
        <v>1</v>
      </c>
      <c r="H135" s="4" t="s">
        <v>377</v>
      </c>
      <c r="I135" s="4" t="s">
        <v>282</v>
      </c>
      <c r="J135" s="4" t="s">
        <v>287</v>
      </c>
      <c r="K135" s="4"/>
      <c r="L135" s="4"/>
      <c r="M135" s="86" t="s">
        <v>4</v>
      </c>
      <c r="N135" s="4" t="str">
        <f t="shared" si="37"/>
        <v>marine sediment</v>
      </c>
      <c r="O135" s="86" t="s">
        <v>0</v>
      </c>
      <c r="P135" s="5">
        <v>-30</v>
      </c>
      <c r="Q135" s="4" t="s">
        <v>286</v>
      </c>
      <c r="R135" s="4"/>
      <c r="S135" s="84">
        <f t="shared" si="38"/>
        <v>-26.5</v>
      </c>
      <c r="T135" s="5">
        <v>0.5</v>
      </c>
      <c r="U135" s="4" t="s">
        <v>286</v>
      </c>
      <c r="V135" s="88">
        <f t="shared" si="30"/>
        <v>-8.3767061923583661</v>
      </c>
      <c r="W135" s="88">
        <f t="shared" si="31"/>
        <v>-8.8767061923583661</v>
      </c>
      <c r="X135" s="88">
        <f t="shared" si="32"/>
        <v>18.103023942107388</v>
      </c>
      <c r="Y135" s="88">
        <f>AVERAGE(30.3,30.9)</f>
        <v>30.6</v>
      </c>
      <c r="Z135" s="88"/>
      <c r="AA135" s="88"/>
      <c r="AB135" s="84"/>
      <c r="AC135" s="84">
        <f t="shared" si="33"/>
        <v>303.60000000000002</v>
      </c>
      <c r="AD135" s="84"/>
      <c r="AE135" s="23"/>
      <c r="AF135" s="23"/>
      <c r="AG135" s="23"/>
      <c r="AH135" s="23"/>
      <c r="AI135" s="23"/>
      <c r="AJ135" s="23"/>
      <c r="AK135" s="83"/>
      <c r="AL135" s="83" t="s">
        <v>286</v>
      </c>
      <c r="AM135" s="86">
        <v>170</v>
      </c>
      <c r="AN135" s="85">
        <f t="shared" si="27"/>
        <v>20.245383436601685</v>
      </c>
      <c r="AO135" s="85">
        <v>34</v>
      </c>
      <c r="AP135" s="87">
        <f t="shared" si="34"/>
        <v>2.5562343807813175E-2</v>
      </c>
      <c r="AQ135" s="88">
        <f t="shared" si="35"/>
        <v>792.00027934894013</v>
      </c>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row>
    <row r="136" spans="1:317" x14ac:dyDescent="0.25">
      <c r="A136" s="76">
        <v>19717</v>
      </c>
      <c r="B136" s="3">
        <v>95</v>
      </c>
      <c r="C136" s="8">
        <f t="shared" si="28"/>
        <v>1.5</v>
      </c>
      <c r="D136" s="8">
        <f t="shared" si="29"/>
        <v>2</v>
      </c>
      <c r="E136" s="3">
        <v>93.5</v>
      </c>
      <c r="F136" s="3">
        <v>97</v>
      </c>
      <c r="G136" s="3">
        <f t="shared" si="36"/>
        <v>2</v>
      </c>
      <c r="H136" s="4" t="s">
        <v>377</v>
      </c>
      <c r="I136" s="4" t="s">
        <v>384</v>
      </c>
      <c r="J136" s="4" t="s">
        <v>94</v>
      </c>
      <c r="K136" s="4"/>
      <c r="L136" s="4"/>
      <c r="M136" s="86" t="s">
        <v>4</v>
      </c>
      <c r="N136" s="4" t="str">
        <f t="shared" si="37"/>
        <v>marine sediment</v>
      </c>
      <c r="O136" s="86" t="s">
        <v>27</v>
      </c>
      <c r="P136" s="5">
        <v>-31.5</v>
      </c>
      <c r="Q136" s="4" t="s">
        <v>93</v>
      </c>
      <c r="S136" s="84">
        <f t="shared" si="38"/>
        <v>-28</v>
      </c>
      <c r="T136" s="5">
        <v>0.98</v>
      </c>
      <c r="U136" s="4" t="s">
        <v>388</v>
      </c>
      <c r="V136" s="88">
        <f t="shared" si="30"/>
        <v>-8.1218300653594788</v>
      </c>
      <c r="W136" s="88">
        <f t="shared" si="31"/>
        <v>-8.1418300653594784</v>
      </c>
      <c r="X136" s="88">
        <f t="shared" si="32"/>
        <v>20.430215982140343</v>
      </c>
      <c r="Y136" s="88">
        <v>33</v>
      </c>
      <c r="AB136" s="84"/>
      <c r="AC136" s="84">
        <f t="shared" si="33"/>
        <v>306</v>
      </c>
      <c r="AD136" s="84">
        <v>20</v>
      </c>
      <c r="AE136" s="23"/>
      <c r="AF136" s="23"/>
      <c r="AG136" s="23"/>
      <c r="AH136" s="23"/>
      <c r="AI136" s="23"/>
      <c r="AJ136" s="23"/>
      <c r="AK136" s="83"/>
      <c r="AL136" s="84" t="s">
        <v>390</v>
      </c>
      <c r="AM136" s="86">
        <v>170</v>
      </c>
      <c r="AN136" s="85">
        <f t="shared" si="27"/>
        <v>28.007586349002551</v>
      </c>
      <c r="AO136" s="85">
        <v>34</v>
      </c>
      <c r="AP136" s="87">
        <f t="shared" si="34"/>
        <v>2.421289985168593E-2</v>
      </c>
      <c r="AQ136" s="88">
        <f t="shared" si="35"/>
        <v>1156.7216863969477</v>
      </c>
    </row>
    <row r="137" spans="1:317" x14ac:dyDescent="0.25">
      <c r="A137" s="76">
        <v>19718</v>
      </c>
      <c r="B137" s="3">
        <v>95</v>
      </c>
      <c r="C137" s="8">
        <f t="shared" si="28"/>
        <v>1.5</v>
      </c>
      <c r="D137" s="8">
        <f t="shared" si="29"/>
        <v>2</v>
      </c>
      <c r="E137" s="3">
        <v>93.5</v>
      </c>
      <c r="F137" s="3">
        <v>97</v>
      </c>
      <c r="G137" s="3">
        <f t="shared" si="36"/>
        <v>2</v>
      </c>
      <c r="H137" s="4" t="s">
        <v>377</v>
      </c>
      <c r="I137" s="4" t="s">
        <v>107</v>
      </c>
      <c r="J137" s="4" t="s">
        <v>90</v>
      </c>
      <c r="K137" s="4"/>
      <c r="L137" s="4"/>
      <c r="M137" s="86" t="s">
        <v>4</v>
      </c>
      <c r="N137" s="4" t="str">
        <f t="shared" si="37"/>
        <v>marine sediment</v>
      </c>
      <c r="O137" s="86" t="s">
        <v>27</v>
      </c>
      <c r="P137" s="5">
        <v>-33</v>
      </c>
      <c r="Q137" s="4" t="s">
        <v>74</v>
      </c>
      <c r="S137" s="84">
        <f t="shared" si="38"/>
        <v>-29.5</v>
      </c>
      <c r="T137" s="5">
        <v>1.5</v>
      </c>
      <c r="U137" s="4" t="s">
        <v>71</v>
      </c>
      <c r="V137" s="88">
        <f t="shared" si="30"/>
        <v>-8.2349667136719908</v>
      </c>
      <c r="W137" s="88">
        <f t="shared" si="31"/>
        <v>-7.7349667136719908</v>
      </c>
      <c r="X137" s="88">
        <f t="shared" si="32"/>
        <v>22.426618533053055</v>
      </c>
      <c r="Y137" s="88">
        <f>Z137+AA137</f>
        <v>31.93</v>
      </c>
      <c r="Z137" s="88">
        <v>27.73</v>
      </c>
      <c r="AA137" s="88">
        <v>4.2</v>
      </c>
      <c r="AB137" s="84" t="s">
        <v>176</v>
      </c>
      <c r="AC137" s="84">
        <f t="shared" si="33"/>
        <v>304.93</v>
      </c>
      <c r="AD137" s="84">
        <v>1.3</v>
      </c>
      <c r="AE137" s="1" t="s">
        <v>269</v>
      </c>
      <c r="AF137" s="1" t="s">
        <v>564</v>
      </c>
      <c r="AG137" s="23">
        <f>VLOOKUP(A137, 'fixing lats'!A:F, 4, FALSE)</f>
        <v>5.0110999999999999</v>
      </c>
      <c r="AH137" s="1" t="s">
        <v>565</v>
      </c>
      <c r="AI137" s="23">
        <f>VLOOKUP(A137, 'fixing lats'!A:F, 6, FALSE)</f>
        <v>-53.012999999999998</v>
      </c>
      <c r="AJ137" s="23" t="s">
        <v>612</v>
      </c>
      <c r="AK137" s="83" t="s">
        <v>178</v>
      </c>
      <c r="AL137" s="84" t="s">
        <v>169</v>
      </c>
      <c r="AM137" s="86">
        <v>170</v>
      </c>
      <c r="AN137" s="85">
        <f t="shared" si="27"/>
        <v>41.734367718675102</v>
      </c>
      <c r="AO137" s="85">
        <v>34</v>
      </c>
      <c r="AP137" s="87">
        <f t="shared" si="34"/>
        <v>2.47978456414794E-2</v>
      </c>
      <c r="AQ137" s="88">
        <f t="shared" si="35"/>
        <v>1682.9836076108948</v>
      </c>
    </row>
    <row r="138" spans="1:317" x14ac:dyDescent="0.25">
      <c r="A138" s="76">
        <v>19719</v>
      </c>
      <c r="B138" s="3">
        <v>95</v>
      </c>
      <c r="C138" s="8">
        <f t="shared" si="28"/>
        <v>1.5</v>
      </c>
      <c r="D138" s="8">
        <f t="shared" si="29"/>
        <v>2</v>
      </c>
      <c r="E138" s="3">
        <v>93.5</v>
      </c>
      <c r="F138" s="3">
        <v>97</v>
      </c>
      <c r="G138" s="3">
        <f t="shared" si="36"/>
        <v>2</v>
      </c>
      <c r="H138" s="4" t="s">
        <v>377</v>
      </c>
      <c r="I138" s="4" t="s">
        <v>107</v>
      </c>
      <c r="J138" s="4" t="s">
        <v>90</v>
      </c>
      <c r="K138" s="4"/>
      <c r="L138" s="4"/>
      <c r="M138" s="86" t="s">
        <v>4</v>
      </c>
      <c r="N138" s="4" t="str">
        <f t="shared" si="37"/>
        <v>marine sediment</v>
      </c>
      <c r="O138" s="86" t="s">
        <v>27</v>
      </c>
      <c r="P138" s="5">
        <v>-32.5</v>
      </c>
      <c r="Q138" s="4" t="s">
        <v>74</v>
      </c>
      <c r="S138" s="84">
        <f t="shared" si="38"/>
        <v>-29</v>
      </c>
      <c r="T138" s="5">
        <v>1.5</v>
      </c>
      <c r="U138" s="4" t="s">
        <v>71</v>
      </c>
      <c r="V138" s="88">
        <f t="shared" si="30"/>
        <v>-8.2349667136719908</v>
      </c>
      <c r="W138" s="88">
        <f t="shared" si="31"/>
        <v>-7.7349667136719908</v>
      </c>
      <c r="X138" s="88">
        <f t="shared" si="32"/>
        <v>21.90013726707307</v>
      </c>
      <c r="Y138" s="88">
        <f>Z138+AA138</f>
        <v>31.93</v>
      </c>
      <c r="Z138" s="88">
        <v>27.73</v>
      </c>
      <c r="AA138" s="88">
        <v>4.2</v>
      </c>
      <c r="AB138" s="84" t="s">
        <v>176</v>
      </c>
      <c r="AC138" s="84">
        <f t="shared" si="33"/>
        <v>304.93</v>
      </c>
      <c r="AD138" s="84">
        <v>1.3</v>
      </c>
      <c r="AE138" s="1" t="s">
        <v>269</v>
      </c>
      <c r="AF138" s="1" t="s">
        <v>564</v>
      </c>
      <c r="AG138" s="23">
        <f>VLOOKUP(A138, 'fixing lats'!A:F, 4, FALSE)</f>
        <v>5.0110999999999999</v>
      </c>
      <c r="AH138" s="1" t="s">
        <v>565</v>
      </c>
      <c r="AI138" s="23">
        <f>VLOOKUP(A138, 'fixing lats'!A:F, 6, FALSE)</f>
        <v>-53.012999999999998</v>
      </c>
      <c r="AJ138" s="23" t="s">
        <v>612</v>
      </c>
      <c r="AK138" s="83" t="s">
        <v>178</v>
      </c>
      <c r="AL138" s="84" t="s">
        <v>169</v>
      </c>
      <c r="AM138" s="86">
        <v>170</v>
      </c>
      <c r="AN138" s="85">
        <f t="shared" si="27"/>
        <v>36.957624579337747</v>
      </c>
      <c r="AO138" s="85">
        <v>34</v>
      </c>
      <c r="AP138" s="87">
        <f t="shared" si="34"/>
        <v>2.47978456414794E-2</v>
      </c>
      <c r="AQ138" s="88">
        <f t="shared" si="35"/>
        <v>1490.3562637521488</v>
      </c>
    </row>
    <row r="139" spans="1:317" x14ac:dyDescent="0.25">
      <c r="A139" s="76">
        <v>19720</v>
      </c>
      <c r="B139" s="3">
        <v>95</v>
      </c>
      <c r="C139" s="8">
        <f t="shared" si="28"/>
        <v>1.0999999999999943</v>
      </c>
      <c r="D139" s="8">
        <f t="shared" si="29"/>
        <v>2</v>
      </c>
      <c r="E139" s="3">
        <v>93.9</v>
      </c>
      <c r="F139" s="3">
        <v>97</v>
      </c>
      <c r="G139" s="3">
        <f t="shared" si="36"/>
        <v>2</v>
      </c>
      <c r="H139" s="4" t="s">
        <v>378</v>
      </c>
      <c r="I139" s="4" t="s">
        <v>97</v>
      </c>
      <c r="J139" s="4" t="s">
        <v>85</v>
      </c>
      <c r="K139" s="4"/>
      <c r="L139" s="4" t="s">
        <v>600</v>
      </c>
      <c r="M139" s="86" t="s">
        <v>4</v>
      </c>
      <c r="N139" s="4" t="str">
        <f t="shared" si="37"/>
        <v>marine sediment</v>
      </c>
      <c r="O139" s="86" t="s">
        <v>27</v>
      </c>
      <c r="P139" s="5">
        <v>-31.1</v>
      </c>
      <c r="Q139" s="4" t="s">
        <v>88</v>
      </c>
      <c r="S139" s="84">
        <f t="shared" si="38"/>
        <v>-27.6</v>
      </c>
      <c r="T139" s="5">
        <v>0.99</v>
      </c>
      <c r="U139" s="4" t="s">
        <v>388</v>
      </c>
      <c r="V139" s="88">
        <f t="shared" si="30"/>
        <v>-8.1745990180032742</v>
      </c>
      <c r="W139" s="88">
        <f t="shared" si="31"/>
        <v>-8.1845990180032739</v>
      </c>
      <c r="X139" s="88">
        <f t="shared" si="32"/>
        <v>19.966475711638012</v>
      </c>
      <c r="Y139" s="88">
        <v>32.5</v>
      </c>
      <c r="AB139" s="84"/>
      <c r="AC139" s="84">
        <f t="shared" si="33"/>
        <v>305.5</v>
      </c>
      <c r="AD139" s="84"/>
      <c r="AE139" s="5"/>
      <c r="AF139" s="5"/>
      <c r="AG139" s="5"/>
      <c r="AH139" s="5"/>
      <c r="AI139" s="5"/>
      <c r="AJ139" s="5"/>
      <c r="AK139" s="83" t="s">
        <v>363</v>
      </c>
      <c r="AL139" s="83" t="s">
        <v>364</v>
      </c>
      <c r="AM139" s="86">
        <v>170</v>
      </c>
      <c r="AN139" s="85">
        <f t="shared" si="27"/>
        <v>26.019647665933832</v>
      </c>
      <c r="AO139" s="85">
        <v>34</v>
      </c>
      <c r="AP139" s="87">
        <f t="shared" si="34"/>
        <v>2.448299956954382E-2</v>
      </c>
      <c r="AQ139" s="88">
        <f t="shared" si="35"/>
        <v>1062.7638820163834</v>
      </c>
    </row>
    <row r="140" spans="1:317" x14ac:dyDescent="0.25">
      <c r="A140" s="76">
        <v>19721</v>
      </c>
      <c r="B140" s="3">
        <v>95</v>
      </c>
      <c r="C140" s="8">
        <f t="shared" si="28"/>
        <v>1.0999999999999943</v>
      </c>
      <c r="D140" s="8">
        <f t="shared" si="29"/>
        <v>2</v>
      </c>
      <c r="E140" s="3">
        <v>93.9</v>
      </c>
      <c r="F140" s="3">
        <v>97</v>
      </c>
      <c r="G140" s="3">
        <f t="shared" si="36"/>
        <v>2</v>
      </c>
      <c r="H140" s="4" t="s">
        <v>378</v>
      </c>
      <c r="I140" s="4" t="s">
        <v>104</v>
      </c>
      <c r="J140" s="4" t="s">
        <v>85</v>
      </c>
      <c r="K140" s="4"/>
      <c r="L140" s="4" t="s">
        <v>600</v>
      </c>
      <c r="M140" s="86" t="s">
        <v>4</v>
      </c>
      <c r="N140" s="4" t="str">
        <f t="shared" si="37"/>
        <v>marine sediment</v>
      </c>
      <c r="O140" s="86" t="s">
        <v>27</v>
      </c>
      <c r="P140" s="5">
        <v>-30</v>
      </c>
      <c r="Q140" s="4" t="s">
        <v>88</v>
      </c>
      <c r="S140" s="84">
        <f t="shared" si="38"/>
        <v>-26.5</v>
      </c>
      <c r="T140" s="5">
        <v>0.99</v>
      </c>
      <c r="U140" s="4" t="s">
        <v>388</v>
      </c>
      <c r="V140" s="88">
        <f t="shared" si="30"/>
        <v>-8.1745990180032742</v>
      </c>
      <c r="W140" s="88">
        <f t="shared" si="31"/>
        <v>-8.1845990180032739</v>
      </c>
      <c r="X140" s="88">
        <f t="shared" si="32"/>
        <v>18.813971219308499</v>
      </c>
      <c r="Y140" s="88">
        <v>32.5</v>
      </c>
      <c r="AB140" s="84"/>
      <c r="AC140" s="84">
        <f t="shared" si="33"/>
        <v>305.5</v>
      </c>
      <c r="AD140" s="84"/>
      <c r="AE140" s="5"/>
      <c r="AF140" s="5"/>
      <c r="AG140" s="5"/>
      <c r="AH140" s="5"/>
      <c r="AI140" s="5"/>
      <c r="AJ140" s="5"/>
      <c r="AK140" s="83" t="s">
        <v>363</v>
      </c>
      <c r="AL140" s="83" t="s">
        <v>364</v>
      </c>
      <c r="AM140" s="86">
        <v>170</v>
      </c>
      <c r="AN140" s="85">
        <f t="shared" si="27"/>
        <v>22.118054049845146</v>
      </c>
      <c r="AO140" s="85">
        <v>34</v>
      </c>
      <c r="AP140" s="87">
        <f t="shared" si="34"/>
        <v>2.448299956954382E-2</v>
      </c>
      <c r="AQ140" s="88">
        <f t="shared" si="35"/>
        <v>903.40458435327503</v>
      </c>
    </row>
    <row r="141" spans="1:317" x14ac:dyDescent="0.25">
      <c r="A141" s="76">
        <v>19722</v>
      </c>
      <c r="B141" s="24">
        <v>95</v>
      </c>
      <c r="C141" s="8">
        <f t="shared" si="28"/>
        <v>1.0999999999999943</v>
      </c>
      <c r="D141" s="8">
        <f t="shared" si="29"/>
        <v>2</v>
      </c>
      <c r="E141" s="3">
        <v>93.9</v>
      </c>
      <c r="F141" s="3">
        <v>97</v>
      </c>
      <c r="G141" s="3">
        <f t="shared" si="36"/>
        <v>2</v>
      </c>
      <c r="H141" s="4" t="s">
        <v>378</v>
      </c>
      <c r="I141" s="4" t="s">
        <v>111</v>
      </c>
      <c r="J141" s="4" t="s">
        <v>90</v>
      </c>
      <c r="K141" s="4"/>
      <c r="L141" s="4"/>
      <c r="M141" s="86" t="s">
        <v>4</v>
      </c>
      <c r="N141" s="4" t="str">
        <f t="shared" si="37"/>
        <v>marine sediment</v>
      </c>
      <c r="O141" s="86" t="s">
        <v>27</v>
      </c>
      <c r="P141" s="5">
        <v>-30</v>
      </c>
      <c r="Q141" s="4" t="s">
        <v>89</v>
      </c>
      <c r="S141" s="84">
        <f t="shared" si="38"/>
        <v>-26.5</v>
      </c>
      <c r="T141" s="5">
        <v>0.99</v>
      </c>
      <c r="U141" s="4" t="s">
        <v>388</v>
      </c>
      <c r="V141" s="88">
        <f t="shared" si="30"/>
        <v>-8.2275409836065556</v>
      </c>
      <c r="W141" s="88">
        <f t="shared" si="31"/>
        <v>-8.2375409836065554</v>
      </c>
      <c r="X141" s="88">
        <f t="shared" si="32"/>
        <v>18.759588101071813</v>
      </c>
      <c r="Y141" s="88">
        <v>32</v>
      </c>
      <c r="AB141" s="84"/>
      <c r="AC141" s="84">
        <f t="shared" si="33"/>
        <v>305</v>
      </c>
      <c r="AD141" s="84"/>
      <c r="AE141" s="23"/>
      <c r="AF141" s="23"/>
      <c r="AG141" s="23"/>
      <c r="AH141" s="23"/>
      <c r="AI141" s="23"/>
      <c r="AJ141" s="23"/>
      <c r="AK141" s="83" t="s">
        <v>365</v>
      </c>
      <c r="AL141" s="84" t="s">
        <v>364</v>
      </c>
      <c r="AM141" s="86">
        <v>170</v>
      </c>
      <c r="AN141" s="85">
        <f t="shared" si="27"/>
        <v>21.962655504617249</v>
      </c>
      <c r="AO141" s="85">
        <v>34</v>
      </c>
      <c r="AP141" s="87">
        <f t="shared" si="34"/>
        <v>2.4758776095312345E-2</v>
      </c>
      <c r="AQ141" s="88">
        <f t="shared" si="35"/>
        <v>887.06547609901872</v>
      </c>
    </row>
    <row r="142" spans="1:317" x14ac:dyDescent="0.25">
      <c r="A142" s="76">
        <v>19723</v>
      </c>
      <c r="B142" s="24">
        <v>95</v>
      </c>
      <c r="C142" s="8">
        <f t="shared" si="28"/>
        <v>1.0999999999999943</v>
      </c>
      <c r="D142" s="8">
        <f t="shared" si="29"/>
        <v>2</v>
      </c>
      <c r="E142" s="3">
        <v>93.9</v>
      </c>
      <c r="F142" s="3">
        <v>97</v>
      </c>
      <c r="G142" s="3">
        <f t="shared" si="36"/>
        <v>2</v>
      </c>
      <c r="H142" s="4" t="s">
        <v>378</v>
      </c>
      <c r="I142" s="4" t="s">
        <v>110</v>
      </c>
      <c r="J142" s="4" t="s">
        <v>90</v>
      </c>
      <c r="K142" s="4"/>
      <c r="L142" s="4"/>
      <c r="M142" s="86" t="s">
        <v>4</v>
      </c>
      <c r="N142" s="4" t="str">
        <f t="shared" si="37"/>
        <v>marine sediment</v>
      </c>
      <c r="O142" s="86" t="s">
        <v>27</v>
      </c>
      <c r="P142" s="5">
        <v>-30.1</v>
      </c>
      <c r="Q142" s="4" t="s">
        <v>89</v>
      </c>
      <c r="S142" s="84">
        <f t="shared" si="38"/>
        <v>-26.6</v>
      </c>
      <c r="T142" s="5">
        <v>0.99</v>
      </c>
      <c r="U142" s="4" t="s">
        <v>388</v>
      </c>
      <c r="V142" s="88">
        <f t="shared" si="30"/>
        <v>-8.2275409836065556</v>
      </c>
      <c r="W142" s="88">
        <f t="shared" si="31"/>
        <v>-8.2375409836065554</v>
      </c>
      <c r="X142" s="88">
        <f t="shared" si="32"/>
        <v>18.864248013553908</v>
      </c>
      <c r="Y142" s="88">
        <v>32</v>
      </c>
      <c r="AB142" s="84"/>
      <c r="AC142" s="84">
        <f t="shared" si="33"/>
        <v>305</v>
      </c>
      <c r="AD142" s="84"/>
      <c r="AE142" s="23"/>
      <c r="AF142" s="23"/>
      <c r="AG142" s="23"/>
      <c r="AH142" s="23"/>
      <c r="AI142" s="23"/>
      <c r="AJ142" s="23"/>
      <c r="AK142" s="83" t="s">
        <v>365</v>
      </c>
      <c r="AL142" s="84" t="s">
        <v>364</v>
      </c>
      <c r="AM142" s="86">
        <v>170</v>
      </c>
      <c r="AN142" s="85">
        <f t="shared" si="27"/>
        <v>22.263688016813536</v>
      </c>
      <c r="AO142" s="85">
        <v>34</v>
      </c>
      <c r="AP142" s="87">
        <f t="shared" si="34"/>
        <v>2.4758776095312345E-2</v>
      </c>
      <c r="AQ142" s="88">
        <f t="shared" si="35"/>
        <v>899.22409456373691</v>
      </c>
    </row>
    <row r="143" spans="1:317" x14ac:dyDescent="0.25">
      <c r="A143" s="76">
        <v>19724</v>
      </c>
      <c r="B143" s="24">
        <v>95</v>
      </c>
      <c r="C143" s="8">
        <f t="shared" si="28"/>
        <v>1.0999999999999943</v>
      </c>
      <c r="D143" s="8">
        <f t="shared" si="29"/>
        <v>2</v>
      </c>
      <c r="E143" s="3">
        <v>93.9</v>
      </c>
      <c r="F143" s="3">
        <v>97</v>
      </c>
      <c r="G143" s="3">
        <f t="shared" si="36"/>
        <v>2</v>
      </c>
      <c r="H143" s="4" t="s">
        <v>378</v>
      </c>
      <c r="I143" s="4" t="s">
        <v>112</v>
      </c>
      <c r="J143" s="4" t="s">
        <v>90</v>
      </c>
      <c r="K143" s="4"/>
      <c r="L143" s="4"/>
      <c r="M143" s="86" t="s">
        <v>4</v>
      </c>
      <c r="N143" s="4" t="str">
        <f t="shared" si="37"/>
        <v>marine sediment</v>
      </c>
      <c r="O143" s="86" t="s">
        <v>27</v>
      </c>
      <c r="P143" s="5">
        <v>-29.5</v>
      </c>
      <c r="Q143" s="4" t="s">
        <v>89</v>
      </c>
      <c r="S143" s="84">
        <f t="shared" si="38"/>
        <v>-26</v>
      </c>
      <c r="T143" s="5">
        <v>0.99</v>
      </c>
      <c r="U143" s="4" t="s">
        <v>388</v>
      </c>
      <c r="V143" s="88">
        <f t="shared" si="30"/>
        <v>-8.2275409836065556</v>
      </c>
      <c r="W143" s="88">
        <f t="shared" si="31"/>
        <v>-8.2375409836065554</v>
      </c>
      <c r="X143" s="88">
        <f t="shared" si="32"/>
        <v>18.236610899788008</v>
      </c>
      <c r="Y143" s="88">
        <v>32</v>
      </c>
      <c r="AB143" s="84"/>
      <c r="AC143" s="84">
        <f t="shared" si="33"/>
        <v>305</v>
      </c>
      <c r="AD143" s="84"/>
      <c r="AE143" s="23"/>
      <c r="AF143" s="23"/>
      <c r="AG143" s="23"/>
      <c r="AH143" s="23"/>
      <c r="AI143" s="23"/>
      <c r="AJ143" s="23"/>
      <c r="AK143" s="83" t="s">
        <v>365</v>
      </c>
      <c r="AL143" s="84" t="s">
        <v>364</v>
      </c>
      <c r="AM143" s="86">
        <v>170</v>
      </c>
      <c r="AN143" s="85">
        <f t="shared" si="27"/>
        <v>20.572672778489732</v>
      </c>
      <c r="AO143" s="85">
        <v>34</v>
      </c>
      <c r="AP143" s="87">
        <f t="shared" si="34"/>
        <v>2.4758776095312345E-2</v>
      </c>
      <c r="AQ143" s="88">
        <f t="shared" si="35"/>
        <v>830.92446489650274</v>
      </c>
    </row>
    <row r="144" spans="1:317" s="2" customFormat="1" x14ac:dyDescent="0.25">
      <c r="A144" s="76">
        <v>19725</v>
      </c>
      <c r="B144" s="3">
        <v>95</v>
      </c>
      <c r="C144" s="8">
        <f t="shared" si="28"/>
        <v>1.0999999999999943</v>
      </c>
      <c r="D144" s="8">
        <f t="shared" si="29"/>
        <v>2</v>
      </c>
      <c r="E144" s="3">
        <v>93.9</v>
      </c>
      <c r="F144" s="3">
        <v>97</v>
      </c>
      <c r="G144" s="3">
        <f t="shared" si="36"/>
        <v>2</v>
      </c>
      <c r="H144" s="4" t="s">
        <v>378</v>
      </c>
      <c r="I144" s="4" t="s">
        <v>359</v>
      </c>
      <c r="J144" s="4" t="s">
        <v>179</v>
      </c>
      <c r="K144" s="4"/>
      <c r="L144" s="4" t="s">
        <v>601</v>
      </c>
      <c r="M144" s="86" t="s">
        <v>4</v>
      </c>
      <c r="N144" s="4" t="str">
        <f t="shared" si="37"/>
        <v>marine sediment</v>
      </c>
      <c r="O144" s="86" t="s">
        <v>27</v>
      </c>
      <c r="P144" s="5">
        <v>-30.1</v>
      </c>
      <c r="Q144" s="4" t="s">
        <v>71</v>
      </c>
      <c r="R144" s="4"/>
      <c r="S144" s="84">
        <f t="shared" si="38"/>
        <v>-26.6</v>
      </c>
      <c r="T144" s="5">
        <v>1.5</v>
      </c>
      <c r="U144" s="4" t="s">
        <v>71</v>
      </c>
      <c r="V144" s="88">
        <f t="shared" si="30"/>
        <v>-8.0692332789559522</v>
      </c>
      <c r="W144" s="88">
        <f t="shared" si="31"/>
        <v>-7.5692332789559522</v>
      </c>
      <c r="X144" s="88">
        <f t="shared" si="32"/>
        <v>19.550818492956701</v>
      </c>
      <c r="Y144" s="88">
        <v>33.5</v>
      </c>
      <c r="Z144" s="88"/>
      <c r="AA144" s="88"/>
      <c r="AB144" s="84"/>
      <c r="AC144" s="84">
        <f t="shared" si="33"/>
        <v>306.5</v>
      </c>
      <c r="AD144" s="84"/>
      <c r="AE144" s="1"/>
      <c r="AF144" s="1"/>
      <c r="AG144" s="1"/>
      <c r="AH144" s="1"/>
      <c r="AI144" s="1"/>
      <c r="AJ144" s="1"/>
      <c r="AK144" s="83" t="s">
        <v>361</v>
      </c>
      <c r="AL144" s="84" t="s">
        <v>362</v>
      </c>
      <c r="AM144" s="86">
        <v>170</v>
      </c>
      <c r="AN144" s="85">
        <f t="shared" si="27"/>
        <v>24.463312668937711</v>
      </c>
      <c r="AO144" s="85">
        <v>34</v>
      </c>
      <c r="AP144" s="87">
        <f t="shared" si="34"/>
        <v>2.3948342576917272E-2</v>
      </c>
      <c r="AQ144" s="88">
        <f t="shared" si="35"/>
        <v>1021.5033708644537</v>
      </c>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c r="KV144" s="1"/>
      <c r="KW144" s="1"/>
      <c r="KX144" s="1"/>
      <c r="KY144" s="1"/>
      <c r="KZ144" s="1"/>
      <c r="LA144" s="1"/>
      <c r="LB144" s="1"/>
      <c r="LC144" s="1"/>
      <c r="LD144" s="1"/>
      <c r="LE144" s="1"/>
    </row>
    <row r="145" spans="1:317" x14ac:dyDescent="0.25">
      <c r="A145" s="76">
        <v>19726</v>
      </c>
      <c r="B145" s="3">
        <v>95</v>
      </c>
      <c r="C145" s="8">
        <f t="shared" si="28"/>
        <v>1.0999999999999943</v>
      </c>
      <c r="D145" s="8">
        <f t="shared" si="29"/>
        <v>2</v>
      </c>
      <c r="E145" s="3">
        <v>93.9</v>
      </c>
      <c r="F145" s="3">
        <v>97</v>
      </c>
      <c r="G145" s="3">
        <f t="shared" si="36"/>
        <v>2</v>
      </c>
      <c r="H145" s="4" t="s">
        <v>378</v>
      </c>
      <c r="I145" s="4" t="s">
        <v>355</v>
      </c>
      <c r="J145" s="4" t="s">
        <v>179</v>
      </c>
      <c r="K145" s="4"/>
      <c r="L145" s="4" t="s">
        <v>601</v>
      </c>
      <c r="M145" s="86" t="s">
        <v>4</v>
      </c>
      <c r="N145" s="4" t="str">
        <f t="shared" si="37"/>
        <v>marine sediment</v>
      </c>
      <c r="O145" s="86" t="s">
        <v>27</v>
      </c>
      <c r="P145" s="5">
        <v>-30.4</v>
      </c>
      <c r="Q145" s="4" t="s">
        <v>71</v>
      </c>
      <c r="S145" s="84">
        <f t="shared" si="38"/>
        <v>-26.9</v>
      </c>
      <c r="T145" s="5">
        <v>1.5</v>
      </c>
      <c r="U145" s="4" t="s">
        <v>71</v>
      </c>
      <c r="V145" s="88">
        <f t="shared" si="30"/>
        <v>-8.0692332789559522</v>
      </c>
      <c r="W145" s="88">
        <f t="shared" si="31"/>
        <v>-7.5692332789559522</v>
      </c>
      <c r="X145" s="88">
        <f t="shared" si="32"/>
        <v>19.865138959042294</v>
      </c>
      <c r="Y145" s="88">
        <v>33.5</v>
      </c>
      <c r="AB145" s="84"/>
      <c r="AC145" s="84">
        <f t="shared" si="33"/>
        <v>306.5</v>
      </c>
      <c r="AD145" s="84"/>
      <c r="AE145" s="1"/>
      <c r="AF145" s="1"/>
      <c r="AG145" s="1"/>
      <c r="AH145" s="1"/>
      <c r="AI145" s="1"/>
      <c r="AJ145" s="1"/>
      <c r="AK145" s="83" t="s">
        <v>361</v>
      </c>
      <c r="AL145" s="84" t="s">
        <v>362</v>
      </c>
      <c r="AM145" s="86">
        <v>170</v>
      </c>
      <c r="AN145" s="85">
        <f t="shared" si="27"/>
        <v>25.622239704881814</v>
      </c>
      <c r="AO145" s="85">
        <v>34</v>
      </c>
      <c r="AP145" s="87">
        <f t="shared" si="34"/>
        <v>2.3948342576917272E-2</v>
      </c>
      <c r="AQ145" s="88">
        <f t="shared" si="35"/>
        <v>1069.8961576396496</v>
      </c>
    </row>
    <row r="146" spans="1:317" x14ac:dyDescent="0.25">
      <c r="A146" s="76">
        <v>19727</v>
      </c>
      <c r="B146" s="3">
        <v>95</v>
      </c>
      <c r="C146" s="8">
        <f t="shared" si="28"/>
        <v>1.0999999999999943</v>
      </c>
      <c r="D146" s="8">
        <f t="shared" si="29"/>
        <v>2</v>
      </c>
      <c r="E146" s="3">
        <v>93.9</v>
      </c>
      <c r="F146" s="3">
        <v>97</v>
      </c>
      <c r="G146" s="3">
        <f t="shared" si="36"/>
        <v>2</v>
      </c>
      <c r="H146" s="4" t="s">
        <v>377</v>
      </c>
      <c r="I146" s="4" t="s">
        <v>87</v>
      </c>
      <c r="J146" s="4" t="s">
        <v>81</v>
      </c>
      <c r="K146" s="4"/>
      <c r="L146" s="4" t="s">
        <v>604</v>
      </c>
      <c r="M146" s="86" t="s">
        <v>4</v>
      </c>
      <c r="N146" s="4" t="str">
        <f t="shared" si="37"/>
        <v>marine sediment</v>
      </c>
      <c r="O146" s="86" t="s">
        <v>0</v>
      </c>
      <c r="P146" s="5">
        <v>-31.6</v>
      </c>
      <c r="Q146" s="4" t="s">
        <v>80</v>
      </c>
      <c r="S146" s="84">
        <f t="shared" si="38"/>
        <v>-28.1</v>
      </c>
      <c r="T146" s="5">
        <v>0.01</v>
      </c>
      <c r="U146" s="4" t="s">
        <v>387</v>
      </c>
      <c r="V146" s="88">
        <f t="shared" si="30"/>
        <v>-8.5560874365202046</v>
      </c>
      <c r="W146" s="88">
        <f t="shared" si="31"/>
        <v>-9.5460874365202049</v>
      </c>
      <c r="X146" s="88">
        <f t="shared" si="32"/>
        <v>19.090351438913356</v>
      </c>
      <c r="Y146" s="88">
        <f>Z146+AA146</f>
        <v>28.933333333333334</v>
      </c>
      <c r="Z146" s="88">
        <f>SUM(27.3+28.1+28.8+27.5+25.5+22.8+21+20.4+21.4+23.2+25.1+25.7)/12</f>
        <v>24.733333333333334</v>
      </c>
      <c r="AA146" s="88">
        <v>4.2</v>
      </c>
      <c r="AB146" s="84" t="s">
        <v>176</v>
      </c>
      <c r="AC146" s="84">
        <f t="shared" si="33"/>
        <v>301.93333333333334</v>
      </c>
      <c r="AD146" s="84"/>
      <c r="AE146" s="23" t="s">
        <v>268</v>
      </c>
      <c r="AF146" s="23" t="s">
        <v>566</v>
      </c>
      <c r="AG146" s="23">
        <f>VLOOKUP(A146, 'fixing lats'!A:F, 4, FALSE)</f>
        <v>-12.0063</v>
      </c>
      <c r="AH146" s="23" t="s">
        <v>567</v>
      </c>
      <c r="AI146" s="23">
        <f>VLOOKUP(A146, 'fixing lats'!A:F, 6, FALSE)</f>
        <v>13.009399999999999</v>
      </c>
      <c r="AJ146" s="23" t="s">
        <v>612</v>
      </c>
      <c r="AK146" s="83" t="s">
        <v>181</v>
      </c>
      <c r="AL146" s="83" t="s">
        <v>169</v>
      </c>
      <c r="AM146" s="86">
        <v>170</v>
      </c>
      <c r="AN146" s="85">
        <f t="shared" si="27"/>
        <v>22.943058445820412</v>
      </c>
      <c r="AO146" s="85">
        <v>34</v>
      </c>
      <c r="AP146" s="87">
        <f t="shared" si="34"/>
        <v>2.6582908560244985E-2</v>
      </c>
      <c r="AQ146" s="88">
        <f t="shared" si="35"/>
        <v>863.0755507368367</v>
      </c>
    </row>
    <row r="147" spans="1:317" x14ac:dyDescent="0.25">
      <c r="A147" s="76">
        <v>19728</v>
      </c>
      <c r="B147" s="3">
        <v>95</v>
      </c>
      <c r="C147" s="8">
        <f t="shared" si="28"/>
        <v>1.0999999999999943</v>
      </c>
      <c r="D147" s="8">
        <f t="shared" si="29"/>
        <v>2</v>
      </c>
      <c r="E147" s="3">
        <v>93.9</v>
      </c>
      <c r="F147" s="3">
        <v>97</v>
      </c>
      <c r="G147" s="3">
        <f t="shared" si="36"/>
        <v>2</v>
      </c>
      <c r="H147" s="4" t="s">
        <v>377</v>
      </c>
      <c r="I147" s="4" t="s">
        <v>86</v>
      </c>
      <c r="J147" s="4" t="s">
        <v>81</v>
      </c>
      <c r="K147" s="4"/>
      <c r="L147" s="4" t="s">
        <v>604</v>
      </c>
      <c r="M147" s="86" t="s">
        <v>4</v>
      </c>
      <c r="N147" s="4" t="str">
        <f t="shared" si="37"/>
        <v>marine sediment</v>
      </c>
      <c r="O147" s="86" t="s">
        <v>0</v>
      </c>
      <c r="P147" s="5">
        <v>-32.5</v>
      </c>
      <c r="Q147" s="4" t="s">
        <v>80</v>
      </c>
      <c r="S147" s="84">
        <f t="shared" si="38"/>
        <v>-29</v>
      </c>
      <c r="T147" s="5">
        <v>0.01</v>
      </c>
      <c r="U147" s="4" t="s">
        <v>387</v>
      </c>
      <c r="V147" s="88">
        <f t="shared" si="30"/>
        <v>-8.5560874365202046</v>
      </c>
      <c r="W147" s="88">
        <f t="shared" si="31"/>
        <v>-9.5460874365202049</v>
      </c>
      <c r="X147" s="88">
        <f t="shared" si="32"/>
        <v>20.034925400082226</v>
      </c>
      <c r="Y147" s="88">
        <f>Z147+AA147</f>
        <v>28.933333333333334</v>
      </c>
      <c r="Z147" s="88">
        <f>SUM(27.3+28.1+28.8+27.5+25.5+22.8+21+20.4+21.4+23.2+25.1+25.7)/12</f>
        <v>24.733333333333334</v>
      </c>
      <c r="AA147" s="88">
        <v>4.2</v>
      </c>
      <c r="AB147" s="84" t="s">
        <v>176</v>
      </c>
      <c r="AC147" s="84">
        <f t="shared" si="33"/>
        <v>301.93333333333334</v>
      </c>
      <c r="AD147" s="84"/>
      <c r="AE147" s="23" t="s">
        <v>268</v>
      </c>
      <c r="AF147" s="23" t="s">
        <v>566</v>
      </c>
      <c r="AG147" s="23">
        <f>VLOOKUP(A147, 'fixing lats'!A:F, 4, FALSE)</f>
        <v>-12.0063</v>
      </c>
      <c r="AH147" s="23" t="s">
        <v>567</v>
      </c>
      <c r="AI147" s="23">
        <f>VLOOKUP(A147, 'fixing lats'!A:F, 6, FALSE)</f>
        <v>13.009399999999999</v>
      </c>
      <c r="AJ147" s="23" t="s">
        <v>612</v>
      </c>
      <c r="AK147" s="83" t="s">
        <v>181</v>
      </c>
      <c r="AL147" s="83" t="s">
        <v>169</v>
      </c>
      <c r="AM147" s="86">
        <v>170</v>
      </c>
      <c r="AN147" s="85">
        <f t="shared" si="27"/>
        <v>26.295133547594663</v>
      </c>
      <c r="AO147" s="85">
        <v>34</v>
      </c>
      <c r="AP147" s="87">
        <f t="shared" si="34"/>
        <v>2.6582908560244985E-2</v>
      </c>
      <c r="AQ147" s="88">
        <f t="shared" si="35"/>
        <v>989.17443469370039</v>
      </c>
    </row>
    <row r="148" spans="1:317" s="2" customFormat="1" x14ac:dyDescent="0.25">
      <c r="A148" s="76">
        <v>19729</v>
      </c>
      <c r="B148" s="3">
        <v>95.5</v>
      </c>
      <c r="C148" s="8">
        <f t="shared" si="28"/>
        <v>1.5999999999999943</v>
      </c>
      <c r="D148" s="8">
        <f t="shared" si="29"/>
        <v>1.5</v>
      </c>
      <c r="E148" s="3">
        <v>93.9</v>
      </c>
      <c r="F148" s="3">
        <v>97</v>
      </c>
      <c r="G148" s="3">
        <f t="shared" si="36"/>
        <v>1.5999999999999943</v>
      </c>
      <c r="H148" s="4" t="s">
        <v>378</v>
      </c>
      <c r="I148" s="4" t="s">
        <v>98</v>
      </c>
      <c r="J148" s="4" t="s">
        <v>85</v>
      </c>
      <c r="K148" s="4"/>
      <c r="L148" s="4" t="s">
        <v>600</v>
      </c>
      <c r="M148" s="86" t="s">
        <v>4</v>
      </c>
      <c r="N148" s="4" t="str">
        <f t="shared" si="37"/>
        <v>marine sediment</v>
      </c>
      <c r="O148" s="86" t="s">
        <v>27</v>
      </c>
      <c r="P148" s="5">
        <v>-30.9</v>
      </c>
      <c r="Q148" s="4" t="s">
        <v>88</v>
      </c>
      <c r="R148" s="4"/>
      <c r="S148" s="84">
        <f t="shared" si="38"/>
        <v>-27.4</v>
      </c>
      <c r="T148" s="5">
        <v>2.1</v>
      </c>
      <c r="U148" s="4" t="s">
        <v>388</v>
      </c>
      <c r="V148" s="88">
        <f t="shared" si="30"/>
        <v>-8.1745990180032742</v>
      </c>
      <c r="W148" s="88">
        <f t="shared" si="31"/>
        <v>-7.0745990180032745</v>
      </c>
      <c r="X148" s="88">
        <f t="shared" si="32"/>
        <v>20.898006356155463</v>
      </c>
      <c r="Y148" s="88">
        <v>32.5</v>
      </c>
      <c r="Z148" s="88"/>
      <c r="AA148" s="88"/>
      <c r="AB148" s="84"/>
      <c r="AC148" s="84">
        <f t="shared" si="33"/>
        <v>305.5</v>
      </c>
      <c r="AD148" s="84"/>
      <c r="AE148" s="5"/>
      <c r="AF148" s="5"/>
      <c r="AG148" s="5"/>
      <c r="AH148" s="5"/>
      <c r="AI148" s="5"/>
      <c r="AJ148" s="5"/>
      <c r="AK148" s="83" t="s">
        <v>363</v>
      </c>
      <c r="AL148" s="83" t="s">
        <v>364</v>
      </c>
      <c r="AM148" s="86">
        <v>170</v>
      </c>
      <c r="AN148" s="85">
        <f t="shared" si="27"/>
        <v>30.346339322750886</v>
      </c>
      <c r="AO148" s="85">
        <v>34</v>
      </c>
      <c r="AP148" s="87">
        <f t="shared" si="34"/>
        <v>2.448299956954382E-2</v>
      </c>
      <c r="AQ148" s="88">
        <f t="shared" si="35"/>
        <v>1239.4861682104058</v>
      </c>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c r="KW148" s="1"/>
      <c r="KX148" s="1"/>
      <c r="KY148" s="1"/>
      <c r="KZ148" s="1"/>
      <c r="LA148" s="1"/>
      <c r="LB148" s="1"/>
      <c r="LC148" s="1"/>
      <c r="LD148" s="1"/>
      <c r="LE148" s="1"/>
    </row>
    <row r="149" spans="1:317" x14ac:dyDescent="0.25">
      <c r="A149" s="76">
        <v>19730</v>
      </c>
      <c r="B149" s="3">
        <v>95.9</v>
      </c>
      <c r="C149" s="8">
        <f t="shared" si="28"/>
        <v>2</v>
      </c>
      <c r="D149" s="8">
        <f t="shared" si="29"/>
        <v>1.0999999999999943</v>
      </c>
      <c r="E149" s="3">
        <v>93.9</v>
      </c>
      <c r="F149" s="3">
        <v>97</v>
      </c>
      <c r="G149" s="3">
        <f t="shared" si="36"/>
        <v>2</v>
      </c>
      <c r="H149" s="4" t="s">
        <v>378</v>
      </c>
      <c r="I149" s="4" t="s">
        <v>102</v>
      </c>
      <c r="J149" s="4" t="s">
        <v>85</v>
      </c>
      <c r="K149" s="4"/>
      <c r="L149" s="4" t="s">
        <v>600</v>
      </c>
      <c r="M149" s="86" t="s">
        <v>4</v>
      </c>
      <c r="N149" s="4" t="str">
        <f t="shared" si="37"/>
        <v>marine sediment</v>
      </c>
      <c r="O149" s="86" t="s">
        <v>27</v>
      </c>
      <c r="P149" s="5">
        <v>-30.3</v>
      </c>
      <c r="Q149" s="4" t="s">
        <v>88</v>
      </c>
      <c r="S149" s="84">
        <f t="shared" si="38"/>
        <v>-26.8</v>
      </c>
      <c r="T149" s="5">
        <v>2.1</v>
      </c>
      <c r="U149" s="4" t="s">
        <v>388</v>
      </c>
      <c r="V149" s="88">
        <f t="shared" si="30"/>
        <v>-8.1745990180032742</v>
      </c>
      <c r="W149" s="88">
        <f t="shared" si="31"/>
        <v>-7.0745990180032745</v>
      </c>
      <c r="X149" s="88">
        <f t="shared" si="32"/>
        <v>20.268599447181181</v>
      </c>
      <c r="Y149" s="88">
        <v>32.5</v>
      </c>
      <c r="AB149" s="84"/>
      <c r="AC149" s="84">
        <f t="shared" si="33"/>
        <v>305.5</v>
      </c>
      <c r="AD149" s="84"/>
      <c r="AE149" s="5"/>
      <c r="AF149" s="5"/>
      <c r="AG149" s="5"/>
      <c r="AH149" s="5"/>
      <c r="AI149" s="5"/>
      <c r="AJ149" s="5"/>
      <c r="AK149" s="83" t="s">
        <v>363</v>
      </c>
      <c r="AL149" s="83" t="s">
        <v>364</v>
      </c>
      <c r="AM149" s="86">
        <v>170</v>
      </c>
      <c r="AN149" s="85">
        <f t="shared" si="27"/>
        <v>27.28118639767095</v>
      </c>
      <c r="AO149" s="85">
        <v>34</v>
      </c>
      <c r="AP149" s="87">
        <f t="shared" si="34"/>
        <v>2.448299956954382E-2</v>
      </c>
      <c r="AQ149" s="88">
        <f t="shared" si="35"/>
        <v>1114.2910132469224</v>
      </c>
    </row>
    <row r="150" spans="1:317" s="2" customFormat="1" x14ac:dyDescent="0.25">
      <c r="A150" s="76">
        <v>19731</v>
      </c>
      <c r="B150" s="3">
        <v>96</v>
      </c>
      <c r="C150" s="8">
        <f t="shared" si="28"/>
        <v>1</v>
      </c>
      <c r="D150" s="8">
        <f t="shared" si="29"/>
        <v>1</v>
      </c>
      <c r="E150" s="3">
        <v>95</v>
      </c>
      <c r="F150" s="3">
        <v>97</v>
      </c>
      <c r="G150" s="3">
        <f t="shared" si="36"/>
        <v>1</v>
      </c>
      <c r="H150" s="4" t="s">
        <v>377</v>
      </c>
      <c r="I150" s="4" t="s">
        <v>278</v>
      </c>
      <c r="J150" s="4" t="s">
        <v>287</v>
      </c>
      <c r="K150" s="4"/>
      <c r="L150" s="4"/>
      <c r="M150" s="86" t="s">
        <v>4</v>
      </c>
      <c r="N150" s="4" t="str">
        <f t="shared" si="37"/>
        <v>marine sediment</v>
      </c>
      <c r="O150" s="86" t="s">
        <v>0</v>
      </c>
      <c r="P150" s="5">
        <v>-29.1</v>
      </c>
      <c r="Q150" s="4" t="s">
        <v>286</v>
      </c>
      <c r="R150" s="4"/>
      <c r="S150" s="84">
        <f t="shared" si="38"/>
        <v>-25.6</v>
      </c>
      <c r="T150" s="5">
        <v>-0.2</v>
      </c>
      <c r="U150" s="4" t="s">
        <v>286</v>
      </c>
      <c r="V150" s="88">
        <f t="shared" si="30"/>
        <v>-8.1218300653594788</v>
      </c>
      <c r="W150" s="88">
        <f t="shared" si="31"/>
        <v>-9.3218300653594781</v>
      </c>
      <c r="X150" s="88">
        <f t="shared" si="32"/>
        <v>16.705839423892144</v>
      </c>
      <c r="Y150" s="88">
        <v>33</v>
      </c>
      <c r="Z150" s="88"/>
      <c r="AA150" s="88"/>
      <c r="AB150" s="84"/>
      <c r="AC150" s="84">
        <f t="shared" si="33"/>
        <v>306</v>
      </c>
      <c r="AD150" s="84"/>
      <c r="AE150" s="23"/>
      <c r="AF150" s="23"/>
      <c r="AG150" s="23"/>
      <c r="AH150" s="23"/>
      <c r="AI150" s="23"/>
      <c r="AJ150" s="23"/>
      <c r="AK150" s="83"/>
      <c r="AL150" s="83" t="s">
        <v>286</v>
      </c>
      <c r="AM150" s="86">
        <v>170</v>
      </c>
      <c r="AN150" s="85">
        <f t="shared" si="27"/>
        <v>17.357281277856792</v>
      </c>
      <c r="AO150" s="85">
        <v>34</v>
      </c>
      <c r="AP150" s="87">
        <f t="shared" si="34"/>
        <v>2.421289985168593E-2</v>
      </c>
      <c r="AQ150" s="88">
        <f t="shared" si="35"/>
        <v>716.86090407086101</v>
      </c>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row>
    <row r="151" spans="1:317" x14ac:dyDescent="0.25">
      <c r="A151" s="76">
        <v>19732</v>
      </c>
      <c r="B151" s="3">
        <v>96</v>
      </c>
      <c r="C151" s="8">
        <f t="shared" si="28"/>
        <v>1</v>
      </c>
      <c r="D151" s="8">
        <f t="shared" si="29"/>
        <v>1</v>
      </c>
      <c r="E151" s="3">
        <v>95</v>
      </c>
      <c r="F151" s="3">
        <v>97</v>
      </c>
      <c r="G151" s="3">
        <f t="shared" si="36"/>
        <v>1</v>
      </c>
      <c r="H151" s="4" t="s">
        <v>377</v>
      </c>
      <c r="I151" s="4" t="s">
        <v>279</v>
      </c>
      <c r="J151" s="4" t="s">
        <v>287</v>
      </c>
      <c r="K151" s="4"/>
      <c r="L151" s="4"/>
      <c r="M151" s="86" t="s">
        <v>4</v>
      </c>
      <c r="N151" s="4" t="str">
        <f t="shared" si="37"/>
        <v>marine sediment</v>
      </c>
      <c r="O151" s="86" t="s">
        <v>0</v>
      </c>
      <c r="P151" s="5">
        <v>-30.9</v>
      </c>
      <c r="Q151" s="4" t="s">
        <v>286</v>
      </c>
      <c r="S151" s="84">
        <f t="shared" si="38"/>
        <v>-27.4</v>
      </c>
      <c r="T151" s="5">
        <v>-2.5</v>
      </c>
      <c r="U151" s="4" t="s">
        <v>286</v>
      </c>
      <c r="V151" s="88">
        <f t="shared" si="30"/>
        <v>-8.1323700555737197</v>
      </c>
      <c r="W151" s="88">
        <f t="shared" si="31"/>
        <v>-11.63237005557372</v>
      </c>
      <c r="X151" s="88">
        <f t="shared" si="32"/>
        <v>16.211834201548704</v>
      </c>
      <c r="Y151" s="88">
        <v>32.9</v>
      </c>
      <c r="AB151" s="84"/>
      <c r="AC151" s="84">
        <f t="shared" si="33"/>
        <v>305.89999999999998</v>
      </c>
      <c r="AD151" s="84"/>
      <c r="AE151" s="23"/>
      <c r="AF151" s="23"/>
      <c r="AG151" s="23"/>
      <c r="AH151" s="23"/>
      <c r="AI151" s="23"/>
      <c r="AJ151" s="23"/>
      <c r="AK151" s="83"/>
      <c r="AL151" s="83" t="s">
        <v>286</v>
      </c>
      <c r="AM151" s="86">
        <v>170</v>
      </c>
      <c r="AN151" s="85">
        <f t="shared" si="27"/>
        <v>16.523839460828921</v>
      </c>
      <c r="AO151" s="85">
        <v>34</v>
      </c>
      <c r="AP151" s="87">
        <f t="shared" si="34"/>
        <v>2.426647215572866E-2</v>
      </c>
      <c r="AQ151" s="88">
        <f t="shared" si="35"/>
        <v>680.93290836789754</v>
      </c>
    </row>
    <row r="152" spans="1:317" x14ac:dyDescent="0.25">
      <c r="A152" s="76">
        <v>19733</v>
      </c>
      <c r="B152" s="3">
        <v>96</v>
      </c>
      <c r="C152" s="8">
        <f t="shared" si="28"/>
        <v>1</v>
      </c>
      <c r="D152" s="8">
        <f t="shared" si="29"/>
        <v>1</v>
      </c>
      <c r="E152" s="3">
        <v>95</v>
      </c>
      <c r="F152" s="3">
        <v>97</v>
      </c>
      <c r="G152" s="3">
        <f t="shared" si="36"/>
        <v>1</v>
      </c>
      <c r="H152" s="4" t="s">
        <v>377</v>
      </c>
      <c r="I152" s="4" t="s">
        <v>283</v>
      </c>
      <c r="J152" s="4" t="s">
        <v>287</v>
      </c>
      <c r="K152" s="4"/>
      <c r="L152" s="4"/>
      <c r="M152" s="86" t="s">
        <v>4</v>
      </c>
      <c r="N152" s="4" t="str">
        <f t="shared" si="37"/>
        <v>marine sediment</v>
      </c>
      <c r="O152" s="86" t="s">
        <v>0</v>
      </c>
      <c r="P152" s="5">
        <v>-30.3</v>
      </c>
      <c r="Q152" s="4" t="s">
        <v>286</v>
      </c>
      <c r="S152" s="84">
        <f t="shared" si="38"/>
        <v>-26.8</v>
      </c>
      <c r="T152" s="5">
        <v>0.2</v>
      </c>
      <c r="U152" s="4" t="s">
        <v>286</v>
      </c>
      <c r="V152" s="88">
        <f t="shared" si="30"/>
        <v>-8.2169387086201233</v>
      </c>
      <c r="W152" s="88">
        <f t="shared" si="31"/>
        <v>-9.016938708620124</v>
      </c>
      <c r="X152" s="88">
        <f t="shared" si="32"/>
        <v>18.272771569440849</v>
      </c>
      <c r="Y152" s="88">
        <v>32.1</v>
      </c>
      <c r="AB152" s="84"/>
      <c r="AC152" s="84">
        <f t="shared" si="33"/>
        <v>305.10000000000002</v>
      </c>
      <c r="AD152" s="84"/>
      <c r="AE152" s="23"/>
      <c r="AF152" s="23"/>
      <c r="AG152" s="23"/>
      <c r="AH152" s="23"/>
      <c r="AI152" s="23"/>
      <c r="AJ152" s="23"/>
      <c r="AK152" s="83"/>
      <c r="AL152" s="83" t="s">
        <v>286</v>
      </c>
      <c r="AM152" s="86">
        <v>170</v>
      </c>
      <c r="AN152" s="85">
        <f t="shared" si="27"/>
        <v>20.663094678221569</v>
      </c>
      <c r="AO152" s="85">
        <v>34</v>
      </c>
      <c r="AP152" s="87">
        <f t="shared" si="34"/>
        <v>2.4703160064941224E-2</v>
      </c>
      <c r="AQ152" s="88">
        <f t="shared" si="35"/>
        <v>836.45552325698907</v>
      </c>
    </row>
    <row r="153" spans="1:317" x14ac:dyDescent="0.25">
      <c r="A153" s="76">
        <v>19734</v>
      </c>
      <c r="B153" s="3">
        <v>96</v>
      </c>
      <c r="C153" s="8">
        <f t="shared" si="28"/>
        <v>2.5</v>
      </c>
      <c r="D153" s="8">
        <f t="shared" si="29"/>
        <v>1</v>
      </c>
      <c r="E153" s="3">
        <v>93.5</v>
      </c>
      <c r="F153" s="3">
        <v>97</v>
      </c>
      <c r="G153" s="3">
        <f t="shared" si="36"/>
        <v>2.5</v>
      </c>
      <c r="H153" s="4" t="s">
        <v>377</v>
      </c>
      <c r="I153" s="4" t="s">
        <v>385</v>
      </c>
      <c r="J153" s="4" t="s">
        <v>94</v>
      </c>
      <c r="K153" s="4"/>
      <c r="L153" s="4"/>
      <c r="M153" s="86" t="s">
        <v>4</v>
      </c>
      <c r="N153" s="4" t="str">
        <f t="shared" si="37"/>
        <v>marine sediment</v>
      </c>
      <c r="O153" s="86" t="s">
        <v>27</v>
      </c>
      <c r="P153" s="5">
        <v>-31.5</v>
      </c>
      <c r="Q153" s="4" t="s">
        <v>93</v>
      </c>
      <c r="S153" s="84">
        <f t="shared" si="38"/>
        <v>-28</v>
      </c>
      <c r="T153" s="5">
        <v>2.1</v>
      </c>
      <c r="U153" s="4" t="s">
        <v>388</v>
      </c>
      <c r="V153" s="88">
        <f t="shared" si="30"/>
        <v>-8.1218300653594788</v>
      </c>
      <c r="W153" s="88">
        <f t="shared" si="31"/>
        <v>-7.0218300653594792</v>
      </c>
      <c r="X153" s="88">
        <f t="shared" si="32"/>
        <v>21.582479356625939</v>
      </c>
      <c r="Y153" s="88">
        <v>33</v>
      </c>
      <c r="AB153" s="84"/>
      <c r="AC153" s="84">
        <f t="shared" si="33"/>
        <v>306</v>
      </c>
      <c r="AD153" s="84">
        <v>20</v>
      </c>
      <c r="AE153" s="23"/>
      <c r="AF153" s="23"/>
      <c r="AG153" s="23"/>
      <c r="AH153" s="23"/>
      <c r="AI153" s="23"/>
      <c r="AJ153" s="23"/>
      <c r="AK153" s="83"/>
      <c r="AL153" s="84" t="s">
        <v>390</v>
      </c>
      <c r="AM153" s="86">
        <v>170</v>
      </c>
      <c r="AN153" s="85">
        <f t="shared" si="27"/>
        <v>34.570266670676915</v>
      </c>
      <c r="AO153" s="85">
        <v>34</v>
      </c>
      <c r="AP153" s="87">
        <f t="shared" si="34"/>
        <v>2.421289985168593E-2</v>
      </c>
      <c r="AQ153" s="88">
        <f t="shared" si="35"/>
        <v>1427.7623449662849</v>
      </c>
    </row>
    <row r="154" spans="1:317" x14ac:dyDescent="0.25">
      <c r="A154" s="76">
        <v>19735</v>
      </c>
      <c r="B154" s="24">
        <f>AVERAGE(E154:F154)</f>
        <v>95.45</v>
      </c>
      <c r="C154" s="8">
        <f t="shared" si="28"/>
        <v>1.5499999999999972</v>
      </c>
      <c r="D154" s="8">
        <f t="shared" si="29"/>
        <v>1.5499999999999972</v>
      </c>
      <c r="E154" s="3">
        <v>93.9</v>
      </c>
      <c r="F154" s="3">
        <v>97</v>
      </c>
      <c r="G154" s="3">
        <f t="shared" si="36"/>
        <v>1.5499999999999972</v>
      </c>
      <c r="H154" s="4" t="s">
        <v>378</v>
      </c>
      <c r="I154" s="4" t="s">
        <v>18</v>
      </c>
      <c r="J154" s="4" t="s">
        <v>17</v>
      </c>
      <c r="K154" s="4"/>
      <c r="L154" s="4" t="s">
        <v>40</v>
      </c>
      <c r="M154" s="86" t="s">
        <v>4</v>
      </c>
      <c r="N154" s="4" t="str">
        <f t="shared" si="37"/>
        <v>marine sediment</v>
      </c>
      <c r="O154" s="86" t="s">
        <v>0</v>
      </c>
      <c r="P154" s="5">
        <v>-29.4</v>
      </c>
      <c r="Q154" s="4" t="s">
        <v>89</v>
      </c>
      <c r="S154" s="84">
        <f t="shared" si="38"/>
        <v>-25.9</v>
      </c>
      <c r="T154" s="5">
        <v>1.5</v>
      </c>
      <c r="U154" s="4" t="s">
        <v>71</v>
      </c>
      <c r="V154" s="88">
        <f t="shared" si="30"/>
        <v>-8.2275409836065556</v>
      </c>
      <c r="W154" s="88">
        <f t="shared" si="31"/>
        <v>-7.7275409836065556</v>
      </c>
      <c r="X154" s="88">
        <f t="shared" si="32"/>
        <v>18.655640094850099</v>
      </c>
      <c r="Y154" s="88">
        <v>32</v>
      </c>
      <c r="AB154" s="84"/>
      <c r="AC154" s="84">
        <f t="shared" si="33"/>
        <v>305</v>
      </c>
      <c r="AD154" s="84"/>
      <c r="AE154" s="23"/>
      <c r="AF154" s="23"/>
      <c r="AG154" s="23"/>
      <c r="AH154" s="23"/>
      <c r="AI154" s="23"/>
      <c r="AJ154" s="23"/>
      <c r="AK154" s="83" t="s">
        <v>365</v>
      </c>
      <c r="AL154" s="84" t="s">
        <v>364</v>
      </c>
      <c r="AM154" s="86">
        <v>170</v>
      </c>
      <c r="AN154" s="85">
        <f t="shared" si="27"/>
        <v>21.67162165626711</v>
      </c>
      <c r="AO154" s="85">
        <v>34</v>
      </c>
      <c r="AP154" s="87">
        <f t="shared" si="34"/>
        <v>2.4758776095312345E-2</v>
      </c>
      <c r="AQ154" s="88">
        <f t="shared" si="35"/>
        <v>875.31070085367685</v>
      </c>
    </row>
    <row r="155" spans="1:317" x14ac:dyDescent="0.25">
      <c r="A155" s="76">
        <v>19736</v>
      </c>
      <c r="B155" s="3">
        <v>96</v>
      </c>
      <c r="C155" s="8">
        <f t="shared" si="28"/>
        <v>2.5</v>
      </c>
      <c r="D155" s="8">
        <f t="shared" si="29"/>
        <v>1</v>
      </c>
      <c r="E155" s="3">
        <v>93.5</v>
      </c>
      <c r="F155" s="3">
        <v>97</v>
      </c>
      <c r="G155" s="3">
        <f t="shared" si="36"/>
        <v>2.5</v>
      </c>
      <c r="H155" s="4" t="s">
        <v>377</v>
      </c>
      <c r="I155" s="4" t="s">
        <v>107</v>
      </c>
      <c r="J155" s="4" t="s">
        <v>90</v>
      </c>
      <c r="K155" s="4"/>
      <c r="L155" s="4"/>
      <c r="M155" s="86" t="s">
        <v>4</v>
      </c>
      <c r="N155" s="4" t="str">
        <f t="shared" si="37"/>
        <v>marine sediment</v>
      </c>
      <c r="O155" s="86" t="s">
        <v>27</v>
      </c>
      <c r="P155" s="5">
        <v>-32</v>
      </c>
      <c r="Q155" s="4" t="s">
        <v>74</v>
      </c>
      <c r="S155" s="84">
        <f t="shared" si="38"/>
        <v>-28.5</v>
      </c>
      <c r="T155" s="5">
        <v>1.5</v>
      </c>
      <c r="U155" s="4" t="s">
        <v>71</v>
      </c>
      <c r="V155" s="88">
        <f t="shared" si="30"/>
        <v>-8.2349667136719908</v>
      </c>
      <c r="W155" s="88">
        <f t="shared" si="31"/>
        <v>-7.7349667136719908</v>
      </c>
      <c r="X155" s="88">
        <f t="shared" si="32"/>
        <v>21.374197927254812</v>
      </c>
      <c r="Y155" s="88">
        <f>Z155+AA155</f>
        <v>31.93</v>
      </c>
      <c r="Z155" s="88">
        <v>27.73</v>
      </c>
      <c r="AA155" s="88">
        <v>4.2</v>
      </c>
      <c r="AB155" s="84" t="s">
        <v>176</v>
      </c>
      <c r="AC155" s="84">
        <f t="shared" si="33"/>
        <v>304.93</v>
      </c>
      <c r="AD155" s="84">
        <v>1.3</v>
      </c>
      <c r="AE155" s="1" t="s">
        <v>269</v>
      </c>
      <c r="AF155" s="1" t="s">
        <v>564</v>
      </c>
      <c r="AG155" s="23">
        <f>VLOOKUP(A155, 'fixing lats'!A:F, 4, FALSE)</f>
        <v>5.0110999999999999</v>
      </c>
      <c r="AH155" s="1" t="s">
        <v>565</v>
      </c>
      <c r="AI155" s="23">
        <f>VLOOKUP(A155, 'fixing lats'!A:F, 6, FALSE)</f>
        <v>-53.012999999999998</v>
      </c>
      <c r="AJ155" s="23" t="s">
        <v>612</v>
      </c>
      <c r="AK155" s="83" t="s">
        <v>178</v>
      </c>
      <c r="AL155" s="84" t="s">
        <v>169</v>
      </c>
      <c r="AM155" s="86">
        <v>170</v>
      </c>
      <c r="AN155" s="85">
        <f t="shared" si="27"/>
        <v>33.165541233814039</v>
      </c>
      <c r="AO155" s="85">
        <v>34</v>
      </c>
      <c r="AP155" s="87">
        <f t="shared" si="34"/>
        <v>2.47978456414794E-2</v>
      </c>
      <c r="AQ155" s="88">
        <f t="shared" si="35"/>
        <v>1337.4363931977211</v>
      </c>
    </row>
    <row r="156" spans="1:317" x14ac:dyDescent="0.25">
      <c r="A156" s="76">
        <v>19737</v>
      </c>
      <c r="B156" s="3">
        <v>96</v>
      </c>
      <c r="C156" s="8">
        <f t="shared" si="28"/>
        <v>2.5</v>
      </c>
      <c r="D156" s="8">
        <f t="shared" si="29"/>
        <v>1</v>
      </c>
      <c r="E156" s="3">
        <v>93.5</v>
      </c>
      <c r="F156" s="3">
        <v>97</v>
      </c>
      <c r="G156" s="3">
        <f t="shared" si="36"/>
        <v>2.5</v>
      </c>
      <c r="H156" s="4" t="s">
        <v>377</v>
      </c>
      <c r="I156" s="4" t="s">
        <v>107</v>
      </c>
      <c r="J156" s="4" t="s">
        <v>90</v>
      </c>
      <c r="K156" s="4"/>
      <c r="L156" s="4"/>
      <c r="M156" s="86" t="s">
        <v>4</v>
      </c>
      <c r="N156" s="4" t="str">
        <f t="shared" si="37"/>
        <v>marine sediment</v>
      </c>
      <c r="O156" s="86" t="s">
        <v>27</v>
      </c>
      <c r="P156" s="5">
        <v>-32.299999999999997</v>
      </c>
      <c r="Q156" s="4" t="s">
        <v>74</v>
      </c>
      <c r="S156" s="84">
        <f t="shared" si="38"/>
        <v>-28.799999999999997</v>
      </c>
      <c r="T156" s="5">
        <v>1.5</v>
      </c>
      <c r="U156" s="4" t="s">
        <v>71</v>
      </c>
      <c r="V156" s="88">
        <f t="shared" si="30"/>
        <v>-8.2349667136719908</v>
      </c>
      <c r="W156" s="88">
        <f t="shared" si="31"/>
        <v>-7.7349667136719908</v>
      </c>
      <c r="X156" s="88">
        <f t="shared" si="32"/>
        <v>21.689696546878025</v>
      </c>
      <c r="Y156" s="88">
        <f>Z156+AA156</f>
        <v>31.93</v>
      </c>
      <c r="Z156" s="88">
        <v>27.73</v>
      </c>
      <c r="AA156" s="88">
        <v>4.2</v>
      </c>
      <c r="AB156" s="84" t="s">
        <v>176</v>
      </c>
      <c r="AC156" s="84">
        <f t="shared" si="33"/>
        <v>304.93</v>
      </c>
      <c r="AD156" s="84">
        <v>1.3</v>
      </c>
      <c r="AE156" s="1" t="s">
        <v>269</v>
      </c>
      <c r="AF156" s="1" t="s">
        <v>564</v>
      </c>
      <c r="AG156" s="23">
        <f>VLOOKUP(A156, 'fixing lats'!A:F, 4, FALSE)</f>
        <v>5.0110999999999999</v>
      </c>
      <c r="AH156" s="1" t="s">
        <v>565</v>
      </c>
      <c r="AI156" s="23">
        <f>VLOOKUP(A156, 'fixing lats'!A:F, 6, FALSE)</f>
        <v>-53.012999999999998</v>
      </c>
      <c r="AJ156" s="23" t="s">
        <v>612</v>
      </c>
      <c r="AK156" s="83" t="s">
        <v>178</v>
      </c>
      <c r="AL156" s="84" t="s">
        <v>169</v>
      </c>
      <c r="AM156" s="86">
        <v>170</v>
      </c>
      <c r="AN156" s="85">
        <f t="shared" si="27"/>
        <v>35.340805763442404</v>
      </c>
      <c r="AO156" s="85">
        <v>34</v>
      </c>
      <c r="AP156" s="87">
        <f t="shared" si="34"/>
        <v>2.47978456414794E-2</v>
      </c>
      <c r="AQ156" s="88">
        <f t="shared" si="35"/>
        <v>1425.1562927840705</v>
      </c>
    </row>
    <row r="157" spans="1:317" x14ac:dyDescent="0.25">
      <c r="A157" s="76">
        <v>19738</v>
      </c>
      <c r="B157" s="24">
        <v>96</v>
      </c>
      <c r="C157" s="8">
        <f t="shared" si="28"/>
        <v>2.0999999999999943</v>
      </c>
      <c r="D157" s="8">
        <f t="shared" si="29"/>
        <v>1</v>
      </c>
      <c r="E157" s="3">
        <v>93.9</v>
      </c>
      <c r="F157" s="3">
        <v>97</v>
      </c>
      <c r="G157" s="3">
        <f t="shared" si="36"/>
        <v>2.0999999999999943</v>
      </c>
      <c r="H157" s="4" t="s">
        <v>378</v>
      </c>
      <c r="I157" s="4" t="s">
        <v>114</v>
      </c>
      <c r="J157" s="4" t="s">
        <v>90</v>
      </c>
      <c r="K157" s="4"/>
      <c r="L157" s="4"/>
      <c r="M157" s="86" t="s">
        <v>4</v>
      </c>
      <c r="N157" s="4" t="str">
        <f t="shared" si="37"/>
        <v>marine sediment</v>
      </c>
      <c r="O157" s="86" t="s">
        <v>27</v>
      </c>
      <c r="P157" s="5">
        <v>-29.2</v>
      </c>
      <c r="Q157" s="4" t="s">
        <v>89</v>
      </c>
      <c r="S157" s="84">
        <f t="shared" si="38"/>
        <v>-25.7</v>
      </c>
      <c r="T157" s="5">
        <v>2.1</v>
      </c>
      <c r="U157" s="4" t="s">
        <v>388</v>
      </c>
      <c r="V157" s="88">
        <f t="shared" si="30"/>
        <v>-8.2275409836065556</v>
      </c>
      <c r="W157" s="88">
        <f t="shared" si="31"/>
        <v>-7.127540983606556</v>
      </c>
      <c r="X157" s="88">
        <f t="shared" si="32"/>
        <v>19.062361712402165</v>
      </c>
      <c r="Y157" s="88">
        <v>32</v>
      </c>
      <c r="AB157" s="84"/>
      <c r="AC157" s="84">
        <f t="shared" si="33"/>
        <v>305</v>
      </c>
      <c r="AD157" s="84"/>
      <c r="AE157" s="23"/>
      <c r="AF157" s="23"/>
      <c r="AG157" s="23"/>
      <c r="AH157" s="23"/>
      <c r="AI157" s="23"/>
      <c r="AJ157" s="23"/>
      <c r="AK157" s="83" t="s">
        <v>365</v>
      </c>
      <c r="AL157" s="84" t="s">
        <v>364</v>
      </c>
      <c r="AM157" s="86">
        <v>170</v>
      </c>
      <c r="AN157" s="85">
        <f t="shared" si="27"/>
        <v>22.856717875548316</v>
      </c>
      <c r="AO157" s="85">
        <v>34</v>
      </c>
      <c r="AP157" s="87">
        <f t="shared" si="34"/>
        <v>2.4758776095312345E-2</v>
      </c>
      <c r="AQ157" s="88">
        <f t="shared" si="35"/>
        <v>923.17640369452067</v>
      </c>
    </row>
    <row r="158" spans="1:317" x14ac:dyDescent="0.25">
      <c r="A158" s="76">
        <v>19739</v>
      </c>
      <c r="B158" s="24">
        <v>96</v>
      </c>
      <c r="C158" s="8">
        <f t="shared" si="28"/>
        <v>2.0999999999999943</v>
      </c>
      <c r="D158" s="8">
        <f t="shared" si="29"/>
        <v>1</v>
      </c>
      <c r="E158" s="3">
        <v>93.9</v>
      </c>
      <c r="F158" s="3">
        <v>97</v>
      </c>
      <c r="G158" s="3">
        <f t="shared" si="36"/>
        <v>2.0999999999999943</v>
      </c>
      <c r="H158" s="4" t="s">
        <v>378</v>
      </c>
      <c r="I158" s="4" t="s">
        <v>101</v>
      </c>
      <c r="J158" s="4" t="s">
        <v>90</v>
      </c>
      <c r="K158" s="4"/>
      <c r="L158" s="4"/>
      <c r="M158" s="86" t="s">
        <v>4</v>
      </c>
      <c r="N158" s="4" t="str">
        <f t="shared" si="37"/>
        <v>marine sediment</v>
      </c>
      <c r="O158" s="86" t="s">
        <v>27</v>
      </c>
      <c r="P158" s="5">
        <v>-30.5</v>
      </c>
      <c r="Q158" s="4" t="s">
        <v>89</v>
      </c>
      <c r="S158" s="84">
        <f t="shared" si="38"/>
        <v>-27</v>
      </c>
      <c r="T158" s="5">
        <v>2.1</v>
      </c>
      <c r="U158" s="4" t="s">
        <v>388</v>
      </c>
      <c r="V158" s="88">
        <f t="shared" si="30"/>
        <v>-8.2275409836065556</v>
      </c>
      <c r="W158" s="88">
        <f t="shared" si="31"/>
        <v>-7.127540983606556</v>
      </c>
      <c r="X158" s="88">
        <f t="shared" si="32"/>
        <v>20.423904436170037</v>
      </c>
      <c r="Y158" s="88">
        <v>32</v>
      </c>
      <c r="AB158" s="84"/>
      <c r="AC158" s="84">
        <f t="shared" si="33"/>
        <v>305</v>
      </c>
      <c r="AD158" s="84"/>
      <c r="AE158" s="23"/>
      <c r="AF158" s="23"/>
      <c r="AG158" s="23"/>
      <c r="AH158" s="23"/>
      <c r="AI158" s="23"/>
      <c r="AJ158" s="23"/>
      <c r="AK158" s="83" t="s">
        <v>365</v>
      </c>
      <c r="AL158" s="84" t="s">
        <v>364</v>
      </c>
      <c r="AM158" s="86">
        <v>170</v>
      </c>
      <c r="AN158" s="85">
        <f t="shared" si="27"/>
        <v>27.978493460830858</v>
      </c>
      <c r="AO158" s="85">
        <v>34</v>
      </c>
      <c r="AP158" s="87">
        <f t="shared" si="34"/>
        <v>2.4758776095312345E-2</v>
      </c>
      <c r="AQ158" s="88">
        <f t="shared" si="35"/>
        <v>1130.0434784467441</v>
      </c>
    </row>
    <row r="159" spans="1:317" x14ac:dyDescent="0.25">
      <c r="A159" s="76">
        <v>19740</v>
      </c>
      <c r="B159" s="24">
        <v>96</v>
      </c>
      <c r="C159" s="8">
        <f t="shared" si="28"/>
        <v>2.0999999999999943</v>
      </c>
      <c r="D159" s="8">
        <f t="shared" si="29"/>
        <v>1</v>
      </c>
      <c r="E159" s="3">
        <v>93.9</v>
      </c>
      <c r="F159" s="3">
        <v>97</v>
      </c>
      <c r="G159" s="3">
        <f t="shared" si="36"/>
        <v>2.0999999999999943</v>
      </c>
      <c r="H159" s="4" t="s">
        <v>378</v>
      </c>
      <c r="I159" s="4" t="s">
        <v>106</v>
      </c>
      <c r="J159" s="4" t="s">
        <v>90</v>
      </c>
      <c r="K159" s="4"/>
      <c r="L159" s="4"/>
      <c r="M159" s="86" t="s">
        <v>4</v>
      </c>
      <c r="N159" s="4" t="str">
        <f t="shared" si="37"/>
        <v>marine sediment</v>
      </c>
      <c r="O159" s="86" t="s">
        <v>27</v>
      </c>
      <c r="P159" s="5">
        <v>-29.9</v>
      </c>
      <c r="Q159" s="4" t="s">
        <v>89</v>
      </c>
      <c r="S159" s="84">
        <f t="shared" si="38"/>
        <v>-26.4</v>
      </c>
      <c r="T159" s="5">
        <v>2.1</v>
      </c>
      <c r="U159" s="4" t="s">
        <v>388</v>
      </c>
      <c r="V159" s="88">
        <f t="shared" si="30"/>
        <v>-8.2275409836065556</v>
      </c>
      <c r="W159" s="88">
        <f t="shared" si="31"/>
        <v>-7.127540983606556</v>
      </c>
      <c r="X159" s="88">
        <f t="shared" si="32"/>
        <v>19.795048291283422</v>
      </c>
      <c r="Y159" s="88">
        <v>32</v>
      </c>
      <c r="AB159" s="84"/>
      <c r="AC159" s="84">
        <f t="shared" si="33"/>
        <v>305</v>
      </c>
      <c r="AD159" s="84"/>
      <c r="AE159" s="23"/>
      <c r="AF159" s="23"/>
      <c r="AG159" s="23"/>
      <c r="AH159" s="23"/>
      <c r="AI159" s="23"/>
      <c r="AJ159" s="23"/>
      <c r="AK159" s="83" t="s">
        <v>365</v>
      </c>
      <c r="AL159" s="84" t="s">
        <v>364</v>
      </c>
      <c r="AM159" s="86">
        <v>170</v>
      </c>
      <c r="AN159" s="85">
        <f t="shared" si="27"/>
        <v>25.3543958831197</v>
      </c>
      <c r="AO159" s="85">
        <v>34</v>
      </c>
      <c r="AP159" s="87">
        <f t="shared" si="34"/>
        <v>2.4758776095312345E-2</v>
      </c>
      <c r="AQ159" s="88">
        <f t="shared" si="35"/>
        <v>1024.0569156372849</v>
      </c>
    </row>
    <row r="160" spans="1:317" x14ac:dyDescent="0.25">
      <c r="A160" s="76">
        <v>19741</v>
      </c>
      <c r="B160" s="3">
        <v>96</v>
      </c>
      <c r="C160" s="8">
        <f t="shared" si="28"/>
        <v>2.0999999999999943</v>
      </c>
      <c r="D160" s="8">
        <f t="shared" si="29"/>
        <v>1</v>
      </c>
      <c r="E160" s="3">
        <v>93.9</v>
      </c>
      <c r="F160" s="3">
        <v>97</v>
      </c>
      <c r="G160" s="3">
        <f t="shared" si="36"/>
        <v>2.0999999999999943</v>
      </c>
      <c r="H160" s="4" t="s">
        <v>378</v>
      </c>
      <c r="I160" s="4" t="s">
        <v>357</v>
      </c>
      <c r="J160" s="4" t="s">
        <v>179</v>
      </c>
      <c r="K160" s="4"/>
      <c r="L160" s="4" t="s">
        <v>601</v>
      </c>
      <c r="M160" s="86" t="s">
        <v>4</v>
      </c>
      <c r="N160" s="4" t="str">
        <f t="shared" si="37"/>
        <v>marine sediment</v>
      </c>
      <c r="O160" s="86" t="s">
        <v>27</v>
      </c>
      <c r="P160" s="5">
        <v>-31.2</v>
      </c>
      <c r="Q160" s="4" t="s">
        <v>71</v>
      </c>
      <c r="S160" s="84">
        <f t="shared" si="38"/>
        <v>-27.7</v>
      </c>
      <c r="T160" s="5">
        <v>1.5</v>
      </c>
      <c r="U160" s="4" t="s">
        <v>71</v>
      </c>
      <c r="V160" s="88">
        <f t="shared" si="30"/>
        <v>-8.0692332789559522</v>
      </c>
      <c r="W160" s="88">
        <f t="shared" si="31"/>
        <v>-7.5692332789559522</v>
      </c>
      <c r="X160" s="88">
        <f t="shared" si="32"/>
        <v>20.70427514249107</v>
      </c>
      <c r="Y160" s="88">
        <v>33.5</v>
      </c>
      <c r="AB160" s="84"/>
      <c r="AC160" s="84">
        <f t="shared" si="33"/>
        <v>306.5</v>
      </c>
      <c r="AD160" s="84"/>
      <c r="AE160" s="1"/>
      <c r="AF160" s="1"/>
      <c r="AG160" s="1"/>
      <c r="AH160" s="1"/>
      <c r="AI160" s="1"/>
      <c r="AJ160" s="1"/>
      <c r="AK160" s="83" t="s">
        <v>361</v>
      </c>
      <c r="AL160" s="84" t="s">
        <v>362</v>
      </c>
      <c r="AM160" s="86">
        <v>170</v>
      </c>
      <c r="AN160" s="85">
        <f t="shared" si="27"/>
        <v>29.331965229465361</v>
      </c>
      <c r="AO160" s="85">
        <v>34</v>
      </c>
      <c r="AP160" s="87">
        <f t="shared" si="34"/>
        <v>2.3948342576917272E-2</v>
      </c>
      <c r="AQ160" s="88">
        <f t="shared" si="35"/>
        <v>1224.8014715530719</v>
      </c>
    </row>
    <row r="161" spans="1:317" x14ac:dyDescent="0.25">
      <c r="A161" s="76">
        <v>19742</v>
      </c>
      <c r="B161" s="3">
        <v>96</v>
      </c>
      <c r="C161" s="8">
        <f t="shared" si="28"/>
        <v>2.0999999999999943</v>
      </c>
      <c r="D161" s="8">
        <f t="shared" si="29"/>
        <v>1</v>
      </c>
      <c r="E161" s="3">
        <v>93.9</v>
      </c>
      <c r="F161" s="3">
        <v>97</v>
      </c>
      <c r="G161" s="3">
        <f t="shared" si="36"/>
        <v>2.0999999999999943</v>
      </c>
      <c r="H161" s="4" t="s">
        <v>378</v>
      </c>
      <c r="I161" s="4" t="s">
        <v>360</v>
      </c>
      <c r="J161" s="4" t="s">
        <v>179</v>
      </c>
      <c r="K161" s="4"/>
      <c r="L161" s="4" t="s">
        <v>601</v>
      </c>
      <c r="M161" s="86" t="s">
        <v>4</v>
      </c>
      <c r="N161" s="4" t="str">
        <f t="shared" si="37"/>
        <v>marine sediment</v>
      </c>
      <c r="O161" s="86" t="s">
        <v>27</v>
      </c>
      <c r="P161" s="5">
        <v>-30.1</v>
      </c>
      <c r="Q161" s="4" t="s">
        <v>71</v>
      </c>
      <c r="S161" s="84">
        <f t="shared" si="38"/>
        <v>-26.6</v>
      </c>
      <c r="T161" s="5">
        <v>1.5</v>
      </c>
      <c r="U161" s="4" t="s">
        <v>71</v>
      </c>
      <c r="V161" s="88">
        <f t="shared" si="30"/>
        <v>-8.0692332789559522</v>
      </c>
      <c r="W161" s="88">
        <f t="shared" si="31"/>
        <v>-7.5692332789559522</v>
      </c>
      <c r="X161" s="88">
        <f t="shared" si="32"/>
        <v>19.550818492956701</v>
      </c>
      <c r="Y161" s="88">
        <v>33.5</v>
      </c>
      <c r="AB161" s="84"/>
      <c r="AC161" s="84">
        <f t="shared" si="33"/>
        <v>306.5</v>
      </c>
      <c r="AD161" s="84"/>
      <c r="AE161" s="1"/>
      <c r="AF161" s="1"/>
      <c r="AG161" s="1"/>
      <c r="AH161" s="1"/>
      <c r="AI161" s="1"/>
      <c r="AJ161" s="1"/>
      <c r="AK161" s="83" t="s">
        <v>361</v>
      </c>
      <c r="AL161" s="84" t="s">
        <v>362</v>
      </c>
      <c r="AM161" s="86">
        <v>170</v>
      </c>
      <c r="AN161" s="85">
        <f t="shared" si="27"/>
        <v>24.463312668937711</v>
      </c>
      <c r="AO161" s="85">
        <v>34</v>
      </c>
      <c r="AP161" s="87">
        <f t="shared" si="34"/>
        <v>2.3948342576917272E-2</v>
      </c>
      <c r="AQ161" s="88">
        <f t="shared" si="35"/>
        <v>1021.5033708644537</v>
      </c>
    </row>
    <row r="162" spans="1:317" x14ac:dyDescent="0.25">
      <c r="A162" s="76">
        <v>19743</v>
      </c>
      <c r="B162" s="3">
        <v>96</v>
      </c>
      <c r="C162" s="8">
        <f t="shared" si="28"/>
        <v>2.0999999999999943</v>
      </c>
      <c r="D162" s="8">
        <f t="shared" si="29"/>
        <v>1</v>
      </c>
      <c r="E162" s="3">
        <v>93.9</v>
      </c>
      <c r="F162" s="3">
        <v>97</v>
      </c>
      <c r="G162" s="3">
        <f t="shared" si="36"/>
        <v>2.0999999999999943</v>
      </c>
      <c r="H162" s="4" t="s">
        <v>377</v>
      </c>
      <c r="I162" s="4" t="s">
        <v>84</v>
      </c>
      <c r="J162" s="4" t="s">
        <v>81</v>
      </c>
      <c r="K162" s="4"/>
      <c r="L162" s="4" t="s">
        <v>604</v>
      </c>
      <c r="M162" s="86" t="s">
        <v>4</v>
      </c>
      <c r="N162" s="4" t="str">
        <f t="shared" si="37"/>
        <v>marine sediment</v>
      </c>
      <c r="O162" s="86" t="s">
        <v>0</v>
      </c>
      <c r="P162" s="5">
        <v>-32.25</v>
      </c>
      <c r="Q162" s="4" t="s">
        <v>80</v>
      </c>
      <c r="S162" s="84">
        <f t="shared" si="38"/>
        <v>-28.75</v>
      </c>
      <c r="T162" s="5">
        <v>0.01</v>
      </c>
      <c r="U162" s="4" t="s">
        <v>387</v>
      </c>
      <c r="V162" s="88">
        <f t="shared" si="30"/>
        <v>-8.5560874365202046</v>
      </c>
      <c r="W162" s="88">
        <f t="shared" si="31"/>
        <v>-9.5460874365202049</v>
      </c>
      <c r="X162" s="88">
        <f t="shared" si="32"/>
        <v>19.772368147726873</v>
      </c>
      <c r="Y162" s="88">
        <f>Z162+AA162</f>
        <v>28.933333333333334</v>
      </c>
      <c r="Z162" s="88">
        <f>SUM(27.3+28.1+28.8+27.5+25.5+22.8+21+20.4+21.4+23.2+25.1+25.7)/12</f>
        <v>24.733333333333334</v>
      </c>
      <c r="AA162" s="88">
        <v>4.2</v>
      </c>
      <c r="AB162" s="84" t="s">
        <v>176</v>
      </c>
      <c r="AC162" s="84">
        <f t="shared" si="33"/>
        <v>301.93333333333334</v>
      </c>
      <c r="AD162" s="88">
        <v>-26.5</v>
      </c>
      <c r="AE162" s="23" t="s">
        <v>268</v>
      </c>
      <c r="AF162" s="23" t="s">
        <v>566</v>
      </c>
      <c r="AG162" s="23">
        <f>VLOOKUP(A162, 'fixing lats'!A:F, 4, FALSE)</f>
        <v>-12.0063</v>
      </c>
      <c r="AH162" s="23" t="s">
        <v>567</v>
      </c>
      <c r="AI162" s="23">
        <f>VLOOKUP(A162, 'fixing lats'!A:F, 6, FALSE)</f>
        <v>13.009399999999999</v>
      </c>
      <c r="AJ162" s="23" t="s">
        <v>612</v>
      </c>
      <c r="AK162" s="83" t="s">
        <v>181</v>
      </c>
      <c r="AL162" s="83" t="s">
        <v>169</v>
      </c>
      <c r="AM162" s="86">
        <v>170</v>
      </c>
      <c r="AN162" s="85">
        <f t="shared" si="27"/>
        <v>25.268921328172933</v>
      </c>
      <c r="AO162" s="85">
        <v>34</v>
      </c>
      <c r="AP162" s="87">
        <f t="shared" si="34"/>
        <v>2.6582908560244985E-2</v>
      </c>
      <c r="AQ162" s="88">
        <f t="shared" si="35"/>
        <v>950.57022337889941</v>
      </c>
    </row>
    <row r="163" spans="1:317" x14ac:dyDescent="0.25">
      <c r="A163" s="76">
        <v>19744</v>
      </c>
      <c r="B163" s="3">
        <v>96</v>
      </c>
      <c r="C163" s="8">
        <f t="shared" si="28"/>
        <v>2.0999999999999943</v>
      </c>
      <c r="D163" s="8">
        <f t="shared" si="29"/>
        <v>1</v>
      </c>
      <c r="E163" s="3">
        <v>93.9</v>
      </c>
      <c r="F163" s="3">
        <v>97</v>
      </c>
      <c r="G163" s="3">
        <f t="shared" si="36"/>
        <v>2.0999999999999943</v>
      </c>
      <c r="H163" s="4" t="s">
        <v>377</v>
      </c>
      <c r="I163" s="4" t="s">
        <v>83</v>
      </c>
      <c r="J163" s="4" t="s">
        <v>81</v>
      </c>
      <c r="K163" s="4"/>
      <c r="L163" s="4" t="s">
        <v>604</v>
      </c>
      <c r="M163" s="86" t="s">
        <v>4</v>
      </c>
      <c r="N163" s="4" t="str">
        <f t="shared" si="37"/>
        <v>marine sediment</v>
      </c>
      <c r="O163" s="86" t="s">
        <v>0</v>
      </c>
      <c r="P163" s="5">
        <v>-31.5</v>
      </c>
      <c r="Q163" s="4" t="s">
        <v>80</v>
      </c>
      <c r="S163" s="84">
        <f t="shared" si="38"/>
        <v>-28</v>
      </c>
      <c r="T163" s="5">
        <v>0.01</v>
      </c>
      <c r="U163" s="4" t="s">
        <v>387</v>
      </c>
      <c r="V163" s="88">
        <f t="shared" si="30"/>
        <v>-8.5560874365202046</v>
      </c>
      <c r="W163" s="88">
        <f t="shared" si="31"/>
        <v>-9.5460874365202049</v>
      </c>
      <c r="X163" s="88">
        <f t="shared" si="32"/>
        <v>18.985506752551284</v>
      </c>
      <c r="Y163" s="88">
        <f>Z163+AA163</f>
        <v>28.933333333333334</v>
      </c>
      <c r="Z163" s="88">
        <f>SUM(27.3+28.1+28.8+27.5+25.5+22.8+21+20.4+21.4+23.2+25.1+25.7)/12</f>
        <v>24.733333333333334</v>
      </c>
      <c r="AA163" s="88">
        <v>4.2</v>
      </c>
      <c r="AB163" s="84" t="s">
        <v>176</v>
      </c>
      <c r="AC163" s="84">
        <f t="shared" si="33"/>
        <v>301.93333333333334</v>
      </c>
      <c r="AD163" s="88">
        <v>-26.5</v>
      </c>
      <c r="AE163" s="23" t="s">
        <v>268</v>
      </c>
      <c r="AF163" s="23" t="s">
        <v>566</v>
      </c>
      <c r="AG163" s="23">
        <f>VLOOKUP(A163, 'fixing lats'!A:F, 4, FALSE)</f>
        <v>-12.0063</v>
      </c>
      <c r="AH163" s="23" t="s">
        <v>567</v>
      </c>
      <c r="AI163" s="23">
        <f>VLOOKUP(A163, 'fixing lats'!A:F, 6, FALSE)</f>
        <v>13.009399999999999</v>
      </c>
      <c r="AJ163" s="23" t="s">
        <v>612</v>
      </c>
      <c r="AK163" s="83" t="s">
        <v>181</v>
      </c>
      <c r="AL163" s="83" t="s">
        <v>169</v>
      </c>
      <c r="AM163" s="86">
        <v>170</v>
      </c>
      <c r="AN163" s="85">
        <f t="shared" si="27"/>
        <v>22.622949332972997</v>
      </c>
      <c r="AO163" s="85">
        <v>34</v>
      </c>
      <c r="AP163" s="87">
        <f t="shared" si="34"/>
        <v>2.6582908560244985E-2</v>
      </c>
      <c r="AQ163" s="88">
        <f t="shared" si="35"/>
        <v>851.03363620660582</v>
      </c>
    </row>
    <row r="164" spans="1:317" x14ac:dyDescent="0.25">
      <c r="A164" s="76">
        <v>19745</v>
      </c>
      <c r="B164" s="3">
        <v>96.3</v>
      </c>
      <c r="C164" s="8">
        <f t="shared" si="28"/>
        <v>2.3999999999999915</v>
      </c>
      <c r="D164" s="8">
        <f t="shared" si="29"/>
        <v>0.70000000000000284</v>
      </c>
      <c r="E164" s="3">
        <v>93.9</v>
      </c>
      <c r="F164" s="3">
        <v>97</v>
      </c>
      <c r="G164" s="3">
        <f t="shared" si="36"/>
        <v>2.3999999999999915</v>
      </c>
      <c r="H164" s="4" t="s">
        <v>378</v>
      </c>
      <c r="I164" s="4" t="s">
        <v>100</v>
      </c>
      <c r="J164" s="4" t="s">
        <v>85</v>
      </c>
      <c r="K164" s="4"/>
      <c r="L164" s="4" t="s">
        <v>600</v>
      </c>
      <c r="M164" s="86" t="s">
        <v>4</v>
      </c>
      <c r="N164" s="4" t="str">
        <f t="shared" si="37"/>
        <v>marine sediment</v>
      </c>
      <c r="O164" s="86" t="s">
        <v>27</v>
      </c>
      <c r="P164" s="5">
        <v>-30.6</v>
      </c>
      <c r="Q164" s="4" t="s">
        <v>88</v>
      </c>
      <c r="S164" s="84">
        <f t="shared" si="38"/>
        <v>-27.1</v>
      </c>
      <c r="T164" s="5">
        <v>2.1</v>
      </c>
      <c r="U164" s="4" t="s">
        <v>388</v>
      </c>
      <c r="V164" s="88">
        <f t="shared" si="30"/>
        <v>-8.1745990180032742</v>
      </c>
      <c r="W164" s="88">
        <f t="shared" si="31"/>
        <v>-7.0745990180032745</v>
      </c>
      <c r="X164" s="88">
        <f t="shared" si="32"/>
        <v>20.583205860825071</v>
      </c>
      <c r="Y164" s="88">
        <v>32.5</v>
      </c>
      <c r="AB164" s="84"/>
      <c r="AC164" s="84">
        <f t="shared" si="33"/>
        <v>305.5</v>
      </c>
      <c r="AD164" s="84"/>
      <c r="AE164" s="5"/>
      <c r="AF164" s="5"/>
      <c r="AG164" s="5"/>
      <c r="AH164" s="5"/>
      <c r="AI164" s="5"/>
      <c r="AJ164" s="5"/>
      <c r="AK164" s="83" t="s">
        <v>363</v>
      </c>
      <c r="AL164" s="83" t="s">
        <v>364</v>
      </c>
      <c r="AM164" s="86">
        <v>170</v>
      </c>
      <c r="AN164" s="85">
        <f t="shared" si="27"/>
        <v>28.731775350173965</v>
      </c>
      <c r="AO164" s="85">
        <v>34</v>
      </c>
      <c r="AP164" s="87">
        <f t="shared" si="34"/>
        <v>2.448299956954382E-2</v>
      </c>
      <c r="AQ164" s="88">
        <f t="shared" si="35"/>
        <v>1173.5398380644301</v>
      </c>
    </row>
    <row r="165" spans="1:317" x14ac:dyDescent="0.25">
      <c r="A165" s="76">
        <v>19746</v>
      </c>
      <c r="B165" s="3">
        <v>96.7</v>
      </c>
      <c r="C165" s="8">
        <f t="shared" si="28"/>
        <v>2.7999999999999972</v>
      </c>
      <c r="D165" s="8">
        <f t="shared" si="29"/>
        <v>0.29999999999999716</v>
      </c>
      <c r="E165" s="3">
        <v>93.9</v>
      </c>
      <c r="F165" s="3">
        <v>97</v>
      </c>
      <c r="G165" s="3">
        <f t="shared" si="36"/>
        <v>2.7999999999999972</v>
      </c>
      <c r="H165" s="4" t="s">
        <v>378</v>
      </c>
      <c r="I165" s="4" t="s">
        <v>95</v>
      </c>
      <c r="J165" s="4" t="s">
        <v>85</v>
      </c>
      <c r="K165" s="4"/>
      <c r="L165" s="4" t="s">
        <v>600</v>
      </c>
      <c r="M165" s="86" t="s">
        <v>4</v>
      </c>
      <c r="N165" s="4" t="str">
        <f t="shared" si="37"/>
        <v>marine sediment</v>
      </c>
      <c r="O165" s="86" t="s">
        <v>27</v>
      </c>
      <c r="P165" s="5">
        <v>-31.3</v>
      </c>
      <c r="Q165" s="4" t="s">
        <v>88</v>
      </c>
      <c r="S165" s="84">
        <f t="shared" si="38"/>
        <v>-27.8</v>
      </c>
      <c r="T165" s="5">
        <v>1.19</v>
      </c>
      <c r="U165" s="4" t="s">
        <v>388</v>
      </c>
      <c r="V165" s="88">
        <f t="shared" si="30"/>
        <v>-8.1745990180032742</v>
      </c>
      <c r="W165" s="88">
        <f t="shared" si="31"/>
        <v>-7.9845990180032747</v>
      </c>
      <c r="X165" s="88">
        <f t="shared" si="32"/>
        <v>20.382021170537669</v>
      </c>
      <c r="Y165" s="88">
        <v>32.5</v>
      </c>
      <c r="AB165" s="84"/>
      <c r="AC165" s="84">
        <f t="shared" si="33"/>
        <v>305.5</v>
      </c>
      <c r="AD165" s="84"/>
      <c r="AE165" s="5"/>
      <c r="AF165" s="5"/>
      <c r="AG165" s="5"/>
      <c r="AH165" s="5"/>
      <c r="AI165" s="5"/>
      <c r="AJ165" s="5"/>
      <c r="AK165" s="83" t="s">
        <v>363</v>
      </c>
      <c r="AL165" s="83" t="s">
        <v>364</v>
      </c>
      <c r="AM165" s="86">
        <v>170</v>
      </c>
      <c r="AN165" s="85">
        <f t="shared" si="27"/>
        <v>27.786954603590903</v>
      </c>
      <c r="AO165" s="85">
        <v>34</v>
      </c>
      <c r="AP165" s="87">
        <f t="shared" si="34"/>
        <v>2.448299956954382E-2</v>
      </c>
      <c r="AQ165" s="88">
        <f t="shared" si="35"/>
        <v>1134.9489479286317</v>
      </c>
    </row>
    <row r="166" spans="1:317" s="37" customFormat="1" x14ac:dyDescent="0.25">
      <c r="A166" s="76">
        <v>19747</v>
      </c>
      <c r="B166" s="3">
        <v>97</v>
      </c>
      <c r="C166" s="8">
        <f t="shared" si="28"/>
        <v>1</v>
      </c>
      <c r="D166" s="8">
        <f t="shared" si="29"/>
        <v>1</v>
      </c>
      <c r="E166" s="3">
        <v>96</v>
      </c>
      <c r="F166" s="3">
        <v>98</v>
      </c>
      <c r="G166" s="3">
        <f t="shared" si="36"/>
        <v>1</v>
      </c>
      <c r="H166" s="4" t="s">
        <v>377</v>
      </c>
      <c r="I166" s="4" t="s">
        <v>284</v>
      </c>
      <c r="J166" s="4" t="s">
        <v>287</v>
      </c>
      <c r="K166" s="4"/>
      <c r="L166" s="4"/>
      <c r="M166" s="86" t="s">
        <v>4</v>
      </c>
      <c r="N166" s="4" t="str">
        <f t="shared" si="37"/>
        <v>marine sediment</v>
      </c>
      <c r="O166" s="86" t="s">
        <v>0</v>
      </c>
      <c r="P166" s="5">
        <v>-31.9</v>
      </c>
      <c r="Q166" s="4" t="s">
        <v>286</v>
      </c>
      <c r="R166" s="4"/>
      <c r="S166" s="84">
        <f t="shared" si="38"/>
        <v>-28.4</v>
      </c>
      <c r="T166" s="5">
        <v>0.3</v>
      </c>
      <c r="U166" s="4" t="s">
        <v>286</v>
      </c>
      <c r="V166" s="88">
        <f t="shared" si="30"/>
        <v>-7.9332813515269613</v>
      </c>
      <c r="W166" s="88">
        <f t="shared" si="31"/>
        <v>-8.6332813515269606</v>
      </c>
      <c r="X166" s="88">
        <f t="shared" si="32"/>
        <v>20.344502520042163</v>
      </c>
      <c r="Y166" s="88">
        <v>34.799999999999997</v>
      </c>
      <c r="Z166" s="88"/>
      <c r="AA166" s="88"/>
      <c r="AB166" s="84"/>
      <c r="AC166" s="84">
        <f t="shared" si="33"/>
        <v>307.8</v>
      </c>
      <c r="AD166" s="84"/>
      <c r="AE166" s="23"/>
      <c r="AF166" s="23"/>
      <c r="AG166" s="23"/>
      <c r="AH166" s="23"/>
      <c r="AI166" s="23"/>
      <c r="AJ166" s="23"/>
      <c r="AK166" s="83"/>
      <c r="AL166" s="83" t="s">
        <v>286</v>
      </c>
      <c r="AM166" s="86">
        <v>170</v>
      </c>
      <c r="AN166" s="85">
        <f t="shared" si="27"/>
        <v>27.61758908252602</v>
      </c>
      <c r="AO166" s="85">
        <v>34</v>
      </c>
      <c r="AP166" s="87">
        <f t="shared" si="34"/>
        <v>2.3285505946039099E-2</v>
      </c>
      <c r="AQ166" s="88">
        <f t="shared" si="35"/>
        <v>1186.0420446317944</v>
      </c>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row>
    <row r="167" spans="1:317" s="36" customFormat="1" x14ac:dyDescent="0.25">
      <c r="A167" s="76">
        <v>19748</v>
      </c>
      <c r="B167" s="3">
        <v>97</v>
      </c>
      <c r="C167" s="8">
        <f t="shared" si="28"/>
        <v>0.5</v>
      </c>
      <c r="D167" s="8">
        <f t="shared" si="29"/>
        <v>2.5</v>
      </c>
      <c r="E167" s="3">
        <v>97.5</v>
      </c>
      <c r="F167" s="3">
        <v>99.5</v>
      </c>
      <c r="G167" s="3">
        <f t="shared" si="36"/>
        <v>2.5</v>
      </c>
      <c r="H167" s="4" t="s">
        <v>377</v>
      </c>
      <c r="I167" s="4" t="s">
        <v>285</v>
      </c>
      <c r="J167" s="4" t="s">
        <v>287</v>
      </c>
      <c r="K167" s="4"/>
      <c r="L167" s="4"/>
      <c r="M167" s="86" t="s">
        <v>4</v>
      </c>
      <c r="N167" s="4" t="str">
        <f t="shared" si="37"/>
        <v>marine sediment</v>
      </c>
      <c r="O167" s="86" t="s">
        <v>0</v>
      </c>
      <c r="P167" s="5">
        <v>-29.8</v>
      </c>
      <c r="Q167" s="4" t="s">
        <v>286</v>
      </c>
      <c r="R167" s="4"/>
      <c r="S167" s="84">
        <f t="shared" si="38"/>
        <v>-26.3</v>
      </c>
      <c r="T167" s="5">
        <v>0.6</v>
      </c>
      <c r="U167" s="4" t="s">
        <v>286</v>
      </c>
      <c r="V167" s="88">
        <f t="shared" si="30"/>
        <v>-7.9332813515269613</v>
      </c>
      <c r="W167" s="88">
        <f t="shared" si="31"/>
        <v>-8.3332813515269617</v>
      </c>
      <c r="X167" s="88">
        <f t="shared" si="32"/>
        <v>18.452006417246647</v>
      </c>
      <c r="Y167" s="88">
        <v>34.799999999999997</v>
      </c>
      <c r="Z167" s="88"/>
      <c r="AA167" s="88"/>
      <c r="AB167" s="84"/>
      <c r="AC167" s="84">
        <f t="shared" si="33"/>
        <v>307.8</v>
      </c>
      <c r="AD167" s="84"/>
      <c r="AE167" s="23"/>
      <c r="AF167" s="23"/>
      <c r="AG167" s="23"/>
      <c r="AH167" s="23"/>
      <c r="AI167" s="23"/>
      <c r="AJ167" s="23"/>
      <c r="AK167" s="83"/>
      <c r="AL167" s="83" t="s">
        <v>286</v>
      </c>
      <c r="AM167" s="86">
        <v>170</v>
      </c>
      <c r="AN167" s="85">
        <f t="shared" si="27"/>
        <v>21.123277280477176</v>
      </c>
      <c r="AO167" s="85">
        <v>34</v>
      </c>
      <c r="AP167" s="87">
        <f t="shared" si="34"/>
        <v>2.3285505946039099E-2</v>
      </c>
      <c r="AQ167" s="88">
        <f t="shared" si="35"/>
        <v>907.14272343609002</v>
      </c>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JT167" s="1"/>
      <c r="JU167" s="1"/>
      <c r="JV167" s="1"/>
      <c r="JW167" s="1"/>
      <c r="JX167" s="1"/>
      <c r="JY167" s="1"/>
      <c r="JZ167" s="1"/>
      <c r="KA167" s="1"/>
      <c r="KB167" s="1"/>
      <c r="KC167" s="1"/>
      <c r="KD167" s="1"/>
      <c r="KE167" s="1"/>
      <c r="KF167" s="1"/>
      <c r="KG167" s="1"/>
      <c r="KH167" s="1"/>
      <c r="KI167" s="1"/>
      <c r="KJ167" s="1"/>
      <c r="KK167" s="1"/>
      <c r="KL167" s="1"/>
      <c r="KM167" s="1"/>
      <c r="KN167" s="1"/>
      <c r="KO167" s="1"/>
      <c r="KP167" s="1"/>
      <c r="KQ167" s="1"/>
      <c r="KR167" s="1"/>
      <c r="KS167" s="1"/>
      <c r="KT167" s="1"/>
      <c r="KU167" s="1"/>
      <c r="KV167" s="1"/>
      <c r="KW167" s="1"/>
      <c r="KX167" s="1"/>
      <c r="KY167" s="1"/>
      <c r="KZ167" s="1"/>
      <c r="LA167" s="1"/>
      <c r="LB167" s="1"/>
      <c r="LC167" s="1"/>
      <c r="LD167" s="1"/>
      <c r="LE167" s="1"/>
    </row>
    <row r="168" spans="1:317" s="36" customFormat="1" x14ac:dyDescent="0.25">
      <c r="A168" s="76">
        <v>19749</v>
      </c>
      <c r="B168" s="3">
        <v>97</v>
      </c>
      <c r="C168" s="8">
        <f t="shared" si="28"/>
        <v>3.5</v>
      </c>
      <c r="D168" s="8">
        <f t="shared" si="29"/>
        <v>0</v>
      </c>
      <c r="E168" s="3">
        <v>93.5</v>
      </c>
      <c r="F168" s="3">
        <v>97</v>
      </c>
      <c r="G168" s="3">
        <f t="shared" si="36"/>
        <v>3.5</v>
      </c>
      <c r="H168" s="4" t="s">
        <v>377</v>
      </c>
      <c r="I168" s="4" t="s">
        <v>386</v>
      </c>
      <c r="J168" s="4" t="s">
        <v>94</v>
      </c>
      <c r="K168" s="4"/>
      <c r="L168" s="4"/>
      <c r="M168" s="86" t="s">
        <v>4</v>
      </c>
      <c r="N168" s="4" t="str">
        <f t="shared" si="37"/>
        <v>marine sediment</v>
      </c>
      <c r="O168" s="86" t="s">
        <v>27</v>
      </c>
      <c r="P168" s="5">
        <v>-31</v>
      </c>
      <c r="Q168" s="4" t="s">
        <v>93</v>
      </c>
      <c r="R168" s="4"/>
      <c r="S168" s="84">
        <f t="shared" si="38"/>
        <v>-27.5</v>
      </c>
      <c r="T168" s="5">
        <v>1.1850000000000001</v>
      </c>
      <c r="U168" s="4" t="s">
        <v>388</v>
      </c>
      <c r="V168" s="88">
        <f t="shared" si="30"/>
        <v>-8.1218300653594788</v>
      </c>
      <c r="W168" s="88">
        <f t="shared" si="31"/>
        <v>-7.9368300653594783</v>
      </c>
      <c r="X168" s="88">
        <f t="shared" si="32"/>
        <v>20.116370112740924</v>
      </c>
      <c r="Y168" s="88">
        <v>33</v>
      </c>
      <c r="Z168" s="88"/>
      <c r="AA168" s="88"/>
      <c r="AB168" s="84"/>
      <c r="AC168" s="84">
        <f t="shared" si="33"/>
        <v>306</v>
      </c>
      <c r="AD168" s="84">
        <v>20</v>
      </c>
      <c r="AE168" s="23"/>
      <c r="AF168" s="23"/>
      <c r="AG168" s="23"/>
      <c r="AH168" s="23"/>
      <c r="AI168" s="23"/>
      <c r="AJ168" s="23"/>
      <c r="AK168" s="83"/>
      <c r="AL168" s="84" t="s">
        <v>390</v>
      </c>
      <c r="AM168" s="86">
        <v>170</v>
      </c>
      <c r="AN168" s="85">
        <f t="shared" si="27"/>
        <v>26.630616593123399</v>
      </c>
      <c r="AO168" s="85">
        <v>34</v>
      </c>
      <c r="AP168" s="87">
        <f t="shared" si="34"/>
        <v>2.421289985168593E-2</v>
      </c>
      <c r="AQ168" s="88">
        <f t="shared" si="35"/>
        <v>1099.852423966026</v>
      </c>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c r="KW168" s="1"/>
      <c r="KX168" s="1"/>
      <c r="KY168" s="1"/>
      <c r="KZ168" s="1"/>
      <c r="LA168" s="1"/>
      <c r="LB168" s="1"/>
      <c r="LC168" s="1"/>
      <c r="LD168" s="1"/>
      <c r="LE168" s="1"/>
    </row>
    <row r="169" spans="1:317" s="36" customFormat="1" x14ac:dyDescent="0.25">
      <c r="A169" s="76">
        <v>19750</v>
      </c>
      <c r="B169" s="3">
        <v>97</v>
      </c>
      <c r="C169" s="8">
        <f t="shared" si="28"/>
        <v>3.5</v>
      </c>
      <c r="D169" s="8">
        <f t="shared" si="29"/>
        <v>0</v>
      </c>
      <c r="E169" s="3">
        <v>93.5</v>
      </c>
      <c r="F169" s="3">
        <v>97</v>
      </c>
      <c r="G169" s="3">
        <f t="shared" si="36"/>
        <v>3.5</v>
      </c>
      <c r="H169" s="4" t="s">
        <v>377</v>
      </c>
      <c r="I169" s="4" t="s">
        <v>107</v>
      </c>
      <c r="J169" s="4" t="s">
        <v>90</v>
      </c>
      <c r="K169" s="4"/>
      <c r="L169" s="4"/>
      <c r="M169" s="86" t="s">
        <v>4</v>
      </c>
      <c r="N169" s="4" t="str">
        <f t="shared" si="37"/>
        <v>marine sediment</v>
      </c>
      <c r="O169" s="86" t="s">
        <v>27</v>
      </c>
      <c r="P169" s="5">
        <v>-32.4</v>
      </c>
      <c r="Q169" s="4" t="s">
        <v>74</v>
      </c>
      <c r="R169" s="4"/>
      <c r="S169" s="84">
        <f t="shared" si="38"/>
        <v>-28.9</v>
      </c>
      <c r="T169" s="5">
        <v>1.5</v>
      </c>
      <c r="U169" s="4" t="s">
        <v>71</v>
      </c>
      <c r="V169" s="88">
        <f t="shared" si="30"/>
        <v>-8.2349667136719908</v>
      </c>
      <c r="W169" s="88">
        <f t="shared" si="31"/>
        <v>-7.7349667136719908</v>
      </c>
      <c r="X169" s="88">
        <f t="shared" si="32"/>
        <v>21.794906071803233</v>
      </c>
      <c r="Y169" s="88">
        <f>Z169+AA169</f>
        <v>31.93</v>
      </c>
      <c r="Z169" s="88">
        <v>27.73</v>
      </c>
      <c r="AA169" s="88">
        <v>4.2</v>
      </c>
      <c r="AB169" s="84" t="s">
        <v>176</v>
      </c>
      <c r="AC169" s="84">
        <f t="shared" si="33"/>
        <v>304.93</v>
      </c>
      <c r="AD169" s="84">
        <v>1.3</v>
      </c>
      <c r="AE169" s="1" t="s">
        <v>269</v>
      </c>
      <c r="AF169" s="1" t="s">
        <v>564</v>
      </c>
      <c r="AG169" s="23">
        <f>VLOOKUP(A169, 'fixing lats'!A:F, 4, FALSE)</f>
        <v>5.0110999999999999</v>
      </c>
      <c r="AH169" s="1" t="s">
        <v>565</v>
      </c>
      <c r="AI169" s="23">
        <f>VLOOKUP(A169, 'fixing lats'!A:F, 6, FALSE)</f>
        <v>-53.012999999999998</v>
      </c>
      <c r="AJ169" s="23" t="s">
        <v>612</v>
      </c>
      <c r="AK169" s="83" t="s">
        <v>178</v>
      </c>
      <c r="AL169" s="84" t="s">
        <v>169</v>
      </c>
      <c r="AM169" s="86">
        <v>170</v>
      </c>
      <c r="AN169" s="85">
        <f t="shared" si="27"/>
        <v>36.131053406016214</v>
      </c>
      <c r="AO169" s="85">
        <v>34</v>
      </c>
      <c r="AP169" s="87">
        <f t="shared" si="34"/>
        <v>2.47978456414794E-2</v>
      </c>
      <c r="AQ169" s="88">
        <f t="shared" si="35"/>
        <v>1457.0238853967112</v>
      </c>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JT169" s="1"/>
      <c r="JU169" s="1"/>
      <c r="JV169" s="1"/>
      <c r="JW169" s="1"/>
      <c r="JX169" s="1"/>
      <c r="JY169" s="1"/>
      <c r="JZ169" s="1"/>
      <c r="KA169" s="1"/>
      <c r="KB169" s="1"/>
      <c r="KC169" s="1"/>
      <c r="KD169" s="1"/>
      <c r="KE169" s="1"/>
      <c r="KF169" s="1"/>
      <c r="KG169" s="1"/>
      <c r="KH169" s="1"/>
      <c r="KI169" s="1"/>
      <c r="KJ169" s="1"/>
      <c r="KK169" s="1"/>
      <c r="KL169" s="1"/>
      <c r="KM169" s="1"/>
      <c r="KN169" s="1"/>
      <c r="KO169" s="1"/>
      <c r="KP169" s="1"/>
      <c r="KQ169" s="1"/>
      <c r="KR169" s="1"/>
      <c r="KS169" s="1"/>
      <c r="KT169" s="1"/>
      <c r="KU169" s="1"/>
      <c r="KV169" s="1"/>
      <c r="KW169" s="1"/>
      <c r="KX169" s="1"/>
      <c r="KY169" s="1"/>
      <c r="KZ169" s="1"/>
      <c r="LA169" s="1"/>
      <c r="LB169" s="1"/>
      <c r="LC169" s="1"/>
      <c r="LD169" s="1"/>
      <c r="LE169" s="1"/>
    </row>
    <row r="170" spans="1:317" s="36" customFormat="1" x14ac:dyDescent="0.25">
      <c r="A170" s="76">
        <v>19751</v>
      </c>
      <c r="B170" s="24">
        <v>97</v>
      </c>
      <c r="C170" s="8">
        <f t="shared" si="28"/>
        <v>3.0999999999999943</v>
      </c>
      <c r="D170" s="8">
        <f t="shared" si="29"/>
        <v>0</v>
      </c>
      <c r="E170" s="3">
        <v>93.9</v>
      </c>
      <c r="F170" s="3">
        <v>97</v>
      </c>
      <c r="G170" s="3">
        <f t="shared" si="36"/>
        <v>3.0999999999999943</v>
      </c>
      <c r="H170" s="4" t="s">
        <v>378</v>
      </c>
      <c r="I170" s="4" t="s">
        <v>105</v>
      </c>
      <c r="J170" s="4" t="s">
        <v>90</v>
      </c>
      <c r="K170" s="4"/>
      <c r="L170" s="4"/>
      <c r="M170" s="86" t="s">
        <v>4</v>
      </c>
      <c r="N170" s="4" t="str">
        <f t="shared" si="37"/>
        <v>marine sediment</v>
      </c>
      <c r="O170" s="86" t="s">
        <v>27</v>
      </c>
      <c r="P170" s="5">
        <v>-30</v>
      </c>
      <c r="Q170" s="4" t="s">
        <v>89</v>
      </c>
      <c r="R170" s="4"/>
      <c r="S170" s="84">
        <f t="shared" si="38"/>
        <v>-26.5</v>
      </c>
      <c r="T170" s="5">
        <v>1.19</v>
      </c>
      <c r="U170" s="4" t="s">
        <v>388</v>
      </c>
      <c r="V170" s="88">
        <f t="shared" si="30"/>
        <v>-8.2275409836065556</v>
      </c>
      <c r="W170" s="88">
        <f t="shared" si="31"/>
        <v>-8.0375409836065561</v>
      </c>
      <c r="X170" s="88">
        <f t="shared" si="32"/>
        <v>18.965032374312685</v>
      </c>
      <c r="Y170" s="88">
        <v>32</v>
      </c>
      <c r="Z170" s="88"/>
      <c r="AA170" s="88"/>
      <c r="AB170" s="84"/>
      <c r="AC170" s="84">
        <f t="shared" si="33"/>
        <v>305</v>
      </c>
      <c r="AD170" s="84"/>
      <c r="AE170" s="23"/>
      <c r="AF170" s="23"/>
      <c r="AG170" s="23"/>
      <c r="AH170" s="23"/>
      <c r="AI170" s="23"/>
      <c r="AJ170" s="23"/>
      <c r="AK170" s="83" t="s">
        <v>365</v>
      </c>
      <c r="AL170" s="84" t="s">
        <v>364</v>
      </c>
      <c r="AM170" s="86">
        <v>170</v>
      </c>
      <c r="AN170" s="85">
        <f t="shared" si="27"/>
        <v>22.561477161554912</v>
      </c>
      <c r="AO170" s="85">
        <v>34</v>
      </c>
      <c r="AP170" s="87">
        <f t="shared" si="34"/>
        <v>2.4758776095312345E-2</v>
      </c>
      <c r="AQ170" s="88">
        <f t="shared" si="35"/>
        <v>911.25171432955221</v>
      </c>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row>
    <row r="171" spans="1:317" s="36" customFormat="1" x14ac:dyDescent="0.25">
      <c r="A171" s="76">
        <v>19752</v>
      </c>
      <c r="B171" s="24">
        <v>97</v>
      </c>
      <c r="C171" s="8">
        <f t="shared" si="28"/>
        <v>3.0999999999999943</v>
      </c>
      <c r="D171" s="8">
        <f t="shared" si="29"/>
        <v>0</v>
      </c>
      <c r="E171" s="3">
        <v>93.9</v>
      </c>
      <c r="F171" s="3">
        <v>97</v>
      </c>
      <c r="G171" s="3">
        <f t="shared" si="36"/>
        <v>3.0999999999999943</v>
      </c>
      <c r="H171" s="4" t="s">
        <v>378</v>
      </c>
      <c r="I171" s="4" t="s">
        <v>103</v>
      </c>
      <c r="J171" s="4" t="s">
        <v>90</v>
      </c>
      <c r="K171" s="4"/>
      <c r="L171" s="4"/>
      <c r="M171" s="86" t="s">
        <v>4</v>
      </c>
      <c r="N171" s="4" t="str">
        <f t="shared" si="37"/>
        <v>marine sediment</v>
      </c>
      <c r="O171" s="86" t="s">
        <v>27</v>
      </c>
      <c r="P171" s="5">
        <v>-30.1</v>
      </c>
      <c r="Q171" s="4" t="s">
        <v>89</v>
      </c>
      <c r="R171" s="4"/>
      <c r="S171" s="84">
        <f t="shared" si="38"/>
        <v>-26.6</v>
      </c>
      <c r="T171" s="5">
        <v>1.19</v>
      </c>
      <c r="U171" s="4" t="s">
        <v>388</v>
      </c>
      <c r="V171" s="88">
        <f t="shared" si="30"/>
        <v>-8.2275409836065556</v>
      </c>
      <c r="W171" s="88">
        <f t="shared" si="31"/>
        <v>-8.0375409836065561</v>
      </c>
      <c r="X171" s="88">
        <f t="shared" si="32"/>
        <v>19.069713392637631</v>
      </c>
      <c r="Y171" s="88">
        <v>32</v>
      </c>
      <c r="Z171" s="88"/>
      <c r="AA171" s="88"/>
      <c r="AB171" s="84"/>
      <c r="AC171" s="84">
        <f t="shared" si="33"/>
        <v>305</v>
      </c>
      <c r="AD171" s="84"/>
      <c r="AE171" s="23"/>
      <c r="AF171" s="23"/>
      <c r="AG171" s="23"/>
      <c r="AH171" s="23"/>
      <c r="AI171" s="23"/>
      <c r="AJ171" s="23"/>
      <c r="AK171" s="83" t="s">
        <v>365</v>
      </c>
      <c r="AL171" s="84" t="s">
        <v>364</v>
      </c>
      <c r="AM171" s="86">
        <v>170</v>
      </c>
      <c r="AN171" s="85">
        <f t="shared" si="27"/>
        <v>22.879332787991505</v>
      </c>
      <c r="AO171" s="85">
        <v>34</v>
      </c>
      <c r="AP171" s="87">
        <f t="shared" si="34"/>
        <v>2.4758776095312345E-2</v>
      </c>
      <c r="AQ171" s="88">
        <f t="shared" si="35"/>
        <v>924.08981364484009</v>
      </c>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row>
    <row r="172" spans="1:317" s="36" customFormat="1" x14ac:dyDescent="0.25">
      <c r="A172" s="76">
        <v>19753</v>
      </c>
      <c r="B172" s="24">
        <v>97</v>
      </c>
      <c r="C172" s="8">
        <f t="shared" si="28"/>
        <v>3.0999999999999943</v>
      </c>
      <c r="D172" s="8">
        <f t="shared" si="29"/>
        <v>0</v>
      </c>
      <c r="E172" s="3">
        <v>93.9</v>
      </c>
      <c r="F172" s="3">
        <v>97</v>
      </c>
      <c r="G172" s="3">
        <f t="shared" si="36"/>
        <v>3.0999999999999943</v>
      </c>
      <c r="H172" s="4" t="s">
        <v>378</v>
      </c>
      <c r="I172" s="4" t="s">
        <v>96</v>
      </c>
      <c r="J172" s="4" t="s">
        <v>90</v>
      </c>
      <c r="K172" s="4"/>
      <c r="L172" s="4"/>
      <c r="M172" s="86" t="s">
        <v>4</v>
      </c>
      <c r="N172" s="4" t="str">
        <f t="shared" si="37"/>
        <v>marine sediment</v>
      </c>
      <c r="O172" s="86" t="s">
        <v>27</v>
      </c>
      <c r="P172" s="5">
        <v>-31.3</v>
      </c>
      <c r="Q172" s="4" t="s">
        <v>89</v>
      </c>
      <c r="R172" s="4"/>
      <c r="S172" s="84">
        <f t="shared" si="38"/>
        <v>-27.8</v>
      </c>
      <c r="T172" s="5">
        <v>1.19</v>
      </c>
      <c r="U172" s="4" t="s">
        <v>388</v>
      </c>
      <c r="V172" s="88">
        <f t="shared" si="30"/>
        <v>-8.2275409836065556</v>
      </c>
      <c r="W172" s="88">
        <f t="shared" si="31"/>
        <v>-8.0375409836065561</v>
      </c>
      <c r="X172" s="88">
        <f t="shared" si="32"/>
        <v>20.327565332640908</v>
      </c>
      <c r="Y172" s="88">
        <v>32</v>
      </c>
      <c r="Z172" s="88"/>
      <c r="AA172" s="88"/>
      <c r="AB172" s="84"/>
      <c r="AC172" s="84">
        <f t="shared" si="33"/>
        <v>305</v>
      </c>
      <c r="AD172" s="84"/>
      <c r="AE172" s="23"/>
      <c r="AF172" s="23"/>
      <c r="AG172" s="23"/>
      <c r="AH172" s="23"/>
      <c r="AI172" s="23"/>
      <c r="AJ172" s="23"/>
      <c r="AK172" s="83" t="s">
        <v>365</v>
      </c>
      <c r="AL172" s="84" t="s">
        <v>364</v>
      </c>
      <c r="AM172" s="86">
        <v>170</v>
      </c>
      <c r="AN172" s="85">
        <f t="shared" si="27"/>
        <v>27.541806298734855</v>
      </c>
      <c r="AO172" s="85">
        <v>34</v>
      </c>
      <c r="AP172" s="87">
        <f t="shared" si="34"/>
        <v>2.4758776095312345E-2</v>
      </c>
      <c r="AQ172" s="88">
        <f t="shared" si="35"/>
        <v>1112.4058068423435</v>
      </c>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row>
    <row r="173" spans="1:317" x14ac:dyDescent="0.25">
      <c r="A173" s="76">
        <v>19754</v>
      </c>
      <c r="B173" s="24">
        <v>97</v>
      </c>
      <c r="C173" s="8">
        <f t="shared" si="28"/>
        <v>3.0999999999999943</v>
      </c>
      <c r="D173" s="8">
        <f t="shared" si="29"/>
        <v>0</v>
      </c>
      <c r="E173" s="3">
        <v>93.9</v>
      </c>
      <c r="F173" s="3">
        <v>97</v>
      </c>
      <c r="G173" s="3">
        <f t="shared" si="36"/>
        <v>3.0999999999999943</v>
      </c>
      <c r="H173" s="4" t="s">
        <v>378</v>
      </c>
      <c r="I173" s="4" t="s">
        <v>91</v>
      </c>
      <c r="J173" s="4" t="s">
        <v>90</v>
      </c>
      <c r="K173" s="4"/>
      <c r="L173" s="4"/>
      <c r="M173" s="86" t="s">
        <v>4</v>
      </c>
      <c r="N173" s="4" t="str">
        <f t="shared" si="37"/>
        <v>marine sediment</v>
      </c>
      <c r="O173" s="86" t="s">
        <v>27</v>
      </c>
      <c r="P173" s="5">
        <v>-31.7</v>
      </c>
      <c r="Q173" s="4" t="s">
        <v>89</v>
      </c>
      <c r="S173" s="84">
        <f t="shared" si="38"/>
        <v>-28.2</v>
      </c>
      <c r="T173" s="5">
        <v>1.19</v>
      </c>
      <c r="U173" s="4" t="s">
        <v>388</v>
      </c>
      <c r="V173" s="88">
        <f t="shared" si="30"/>
        <v>-8.2275409836065556</v>
      </c>
      <c r="W173" s="88">
        <f t="shared" si="31"/>
        <v>-8.0375409836065561</v>
      </c>
      <c r="X173" s="88">
        <f t="shared" si="32"/>
        <v>20.747539634074386</v>
      </c>
      <c r="Y173" s="88">
        <v>32</v>
      </c>
      <c r="AB173" s="84"/>
      <c r="AC173" s="84">
        <f t="shared" si="33"/>
        <v>305</v>
      </c>
      <c r="AD173" s="84"/>
      <c r="AE173" s="23"/>
      <c r="AF173" s="23"/>
      <c r="AG173" s="23"/>
      <c r="AH173" s="23"/>
      <c r="AI173" s="23"/>
      <c r="AJ173" s="23"/>
      <c r="AK173" s="83" t="s">
        <v>365</v>
      </c>
      <c r="AL173" s="84" t="s">
        <v>364</v>
      </c>
      <c r="AM173" s="86">
        <v>170</v>
      </c>
      <c r="AN173" s="85">
        <f t="shared" si="27"/>
        <v>29.55257214929906</v>
      </c>
      <c r="AO173" s="85">
        <v>34</v>
      </c>
      <c r="AP173" s="87">
        <f t="shared" si="34"/>
        <v>2.4758776095312345E-2</v>
      </c>
      <c r="AQ173" s="88">
        <f t="shared" si="35"/>
        <v>1193.6200737682805</v>
      </c>
    </row>
    <row r="174" spans="1:317" x14ac:dyDescent="0.25">
      <c r="A174" s="76">
        <v>19755</v>
      </c>
      <c r="B174" s="3">
        <v>97</v>
      </c>
      <c r="C174" s="8">
        <f t="shared" si="28"/>
        <v>3.0999999999999943</v>
      </c>
      <c r="D174" s="8">
        <f t="shared" si="29"/>
        <v>0</v>
      </c>
      <c r="E174" s="3">
        <v>93.9</v>
      </c>
      <c r="F174" s="3">
        <v>97</v>
      </c>
      <c r="G174" s="3">
        <f t="shared" si="36"/>
        <v>3.0999999999999943</v>
      </c>
      <c r="H174" s="4" t="s">
        <v>378</v>
      </c>
      <c r="I174" s="4" t="s">
        <v>354</v>
      </c>
      <c r="J174" s="4" t="s">
        <v>179</v>
      </c>
      <c r="K174" s="4"/>
      <c r="L174" s="4" t="s">
        <v>601</v>
      </c>
      <c r="M174" s="86" t="s">
        <v>4</v>
      </c>
      <c r="N174" s="4" t="str">
        <f t="shared" si="37"/>
        <v>marine sediment</v>
      </c>
      <c r="O174" s="86" t="s">
        <v>27</v>
      </c>
      <c r="P174" s="5">
        <v>-30.2</v>
      </c>
      <c r="Q174" s="4" t="s">
        <v>71</v>
      </c>
      <c r="S174" s="84">
        <f t="shared" si="38"/>
        <v>-26.7</v>
      </c>
      <c r="T174" s="5">
        <v>1.5</v>
      </c>
      <c r="U174" s="4" t="s">
        <v>71</v>
      </c>
      <c r="V174" s="88">
        <f t="shared" si="30"/>
        <v>-8.0692332789559522</v>
      </c>
      <c r="W174" s="88">
        <f t="shared" si="31"/>
        <v>-7.5692332789559522</v>
      </c>
      <c r="X174" s="88">
        <f t="shared" si="32"/>
        <v>19.655570452115523</v>
      </c>
      <c r="Y174" s="88">
        <v>33.5</v>
      </c>
      <c r="AB174" s="84"/>
      <c r="AC174" s="84">
        <f t="shared" si="33"/>
        <v>306.5</v>
      </c>
      <c r="AD174" s="84"/>
      <c r="AE174" s="1"/>
      <c r="AF174" s="1"/>
      <c r="AG174" s="1"/>
      <c r="AH174" s="1"/>
      <c r="AI174" s="1"/>
      <c r="AJ174" s="1"/>
      <c r="AK174" s="83" t="s">
        <v>361</v>
      </c>
      <c r="AL174" s="84" t="s">
        <v>362</v>
      </c>
      <c r="AM174" s="86">
        <v>170</v>
      </c>
      <c r="AN174" s="85">
        <f t="shared" si="27"/>
        <v>24.83771639559717</v>
      </c>
      <c r="AO174" s="85">
        <v>34</v>
      </c>
      <c r="AP174" s="87">
        <f t="shared" si="34"/>
        <v>2.3948342576917272E-2</v>
      </c>
      <c r="AQ174" s="88">
        <f t="shared" si="35"/>
        <v>1037.1371762293531</v>
      </c>
    </row>
    <row r="175" spans="1:317" s="9" customFormat="1" x14ac:dyDescent="0.25">
      <c r="A175" s="76">
        <v>19756</v>
      </c>
      <c r="B175" s="3">
        <v>97</v>
      </c>
      <c r="C175" s="8">
        <f t="shared" si="28"/>
        <v>3.0999999999999943</v>
      </c>
      <c r="D175" s="8">
        <f t="shared" si="29"/>
        <v>0</v>
      </c>
      <c r="E175" s="3">
        <v>93.9</v>
      </c>
      <c r="F175" s="3">
        <v>97</v>
      </c>
      <c r="G175" s="3">
        <f t="shared" si="36"/>
        <v>3.0999999999999943</v>
      </c>
      <c r="H175" s="4" t="s">
        <v>377</v>
      </c>
      <c r="I175" s="4" t="s">
        <v>82</v>
      </c>
      <c r="J175" s="4" t="s">
        <v>81</v>
      </c>
      <c r="K175" s="4"/>
      <c r="L175" s="4" t="s">
        <v>604</v>
      </c>
      <c r="M175" s="86" t="s">
        <v>4</v>
      </c>
      <c r="N175" s="4" t="str">
        <f t="shared" si="37"/>
        <v>marine sediment</v>
      </c>
      <c r="O175" s="86" t="s">
        <v>0</v>
      </c>
      <c r="P175" s="5">
        <v>-31.75</v>
      </c>
      <c r="Q175" s="4" t="s">
        <v>80</v>
      </c>
      <c r="R175" s="4"/>
      <c r="S175" s="84">
        <f t="shared" si="38"/>
        <v>-28.25</v>
      </c>
      <c r="T175" s="5">
        <v>0.17</v>
      </c>
      <c r="U175" s="4" t="s">
        <v>387</v>
      </c>
      <c r="V175" s="88">
        <f t="shared" si="30"/>
        <v>-8.5560874365202046</v>
      </c>
      <c r="W175" s="88">
        <f t="shared" si="31"/>
        <v>-9.3860874365202047</v>
      </c>
      <c r="X175" s="88">
        <f t="shared" si="32"/>
        <v>19.412310330310987</v>
      </c>
      <c r="Y175" s="88">
        <f>Z175+AA175</f>
        <v>28.933333333333334</v>
      </c>
      <c r="Z175" s="88">
        <f>SUM(27.3+28.1+28.8+27.5+25.5+22.8+21+20.4+21.4+23.2+25.1+25.7)/12</f>
        <v>24.733333333333334</v>
      </c>
      <c r="AA175" s="88">
        <v>4.2</v>
      </c>
      <c r="AB175" s="84" t="s">
        <v>176</v>
      </c>
      <c r="AC175" s="84">
        <f t="shared" si="33"/>
        <v>301.93333333333334</v>
      </c>
      <c r="AD175" s="88">
        <v>12.3</v>
      </c>
      <c r="AE175" s="1" t="s">
        <v>267</v>
      </c>
      <c r="AF175" s="1" t="s">
        <v>568</v>
      </c>
      <c r="AG175" s="23">
        <f>VLOOKUP(A175, 'fixing lats'!A:F, 4, FALSE)</f>
        <v>15.0023</v>
      </c>
      <c r="AH175" s="1" t="s">
        <v>569</v>
      </c>
      <c r="AI175" s="23">
        <f>VLOOKUP(A175, 'fixing lats'!A:F, 6, FALSE)</f>
        <v>-23.003399999999999</v>
      </c>
      <c r="AJ175" s="23" t="s">
        <v>612</v>
      </c>
      <c r="AK175" s="83" t="s">
        <v>180</v>
      </c>
      <c r="AL175" s="84" t="s">
        <v>169</v>
      </c>
      <c r="AM175" s="86">
        <v>170</v>
      </c>
      <c r="AN175" s="85">
        <f t="shared" si="27"/>
        <v>23.985248779587032</v>
      </c>
      <c r="AO175" s="85">
        <v>34</v>
      </c>
      <c r="AP175" s="87">
        <f t="shared" si="34"/>
        <v>2.6582908560244985E-2</v>
      </c>
      <c r="AQ175" s="88">
        <f t="shared" si="35"/>
        <v>902.28082924895659</v>
      </c>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c r="KV175" s="1"/>
      <c r="KW175" s="1"/>
      <c r="KX175" s="1"/>
      <c r="KY175" s="1"/>
      <c r="KZ175" s="1"/>
      <c r="LA175" s="1"/>
      <c r="LB175" s="1"/>
      <c r="LC175" s="1"/>
      <c r="LD175" s="1"/>
      <c r="LE175" s="1"/>
    </row>
    <row r="176" spans="1:317" x14ac:dyDescent="0.25">
      <c r="A176" s="76">
        <v>19757</v>
      </c>
      <c r="B176" s="3">
        <v>97</v>
      </c>
      <c r="C176" s="8">
        <f t="shared" si="28"/>
        <v>3.0999999999999943</v>
      </c>
      <c r="D176" s="8">
        <f t="shared" si="29"/>
        <v>0</v>
      </c>
      <c r="E176" s="3">
        <v>93.9</v>
      </c>
      <c r="F176" s="3">
        <v>97</v>
      </c>
      <c r="G176" s="3">
        <f t="shared" si="36"/>
        <v>3.0999999999999943</v>
      </c>
      <c r="H176" s="4" t="s">
        <v>377</v>
      </c>
      <c r="I176" s="4" t="s">
        <v>86</v>
      </c>
      <c r="J176" s="4" t="s">
        <v>81</v>
      </c>
      <c r="K176" s="4"/>
      <c r="L176" s="4" t="s">
        <v>604</v>
      </c>
      <c r="M176" s="86" t="s">
        <v>4</v>
      </c>
      <c r="N176" s="4" t="str">
        <f t="shared" si="37"/>
        <v>marine sediment</v>
      </c>
      <c r="O176" s="86" t="s">
        <v>27</v>
      </c>
      <c r="P176" s="5">
        <v>-31.75</v>
      </c>
      <c r="Q176" s="4" t="s">
        <v>80</v>
      </c>
      <c r="S176" s="84">
        <f t="shared" si="38"/>
        <v>-28.25</v>
      </c>
      <c r="T176" s="5">
        <v>0.17</v>
      </c>
      <c r="U176" s="4" t="s">
        <v>387</v>
      </c>
      <c r="V176" s="88">
        <f t="shared" si="30"/>
        <v>-8.5560874365202046</v>
      </c>
      <c r="W176" s="88">
        <f t="shared" si="31"/>
        <v>-9.3860874365202047</v>
      </c>
      <c r="X176" s="88">
        <f t="shared" si="32"/>
        <v>19.412310330310987</v>
      </c>
      <c r="Y176" s="88">
        <f>Z176+AA176</f>
        <v>28.933333333333334</v>
      </c>
      <c r="Z176" s="88">
        <f>SUM(27.3+28.1+28.8+27.5+25.5+22.8+21+20.4+21.4+23.2+25.1+25.7)/12</f>
        <v>24.733333333333334</v>
      </c>
      <c r="AA176" s="88">
        <v>4.2</v>
      </c>
      <c r="AB176" s="84" t="s">
        <v>176</v>
      </c>
      <c r="AC176" s="84">
        <f t="shared" si="33"/>
        <v>301.93333333333334</v>
      </c>
      <c r="AD176" s="88">
        <v>-26.5</v>
      </c>
      <c r="AE176" s="5" t="s">
        <v>268</v>
      </c>
      <c r="AF176" s="5" t="s">
        <v>566</v>
      </c>
      <c r="AG176" s="23">
        <f>VLOOKUP(A176, 'fixing lats'!A:F, 4, FALSE)</f>
        <v>-12.0063</v>
      </c>
      <c r="AH176" s="5" t="s">
        <v>567</v>
      </c>
      <c r="AI176" s="23">
        <f>VLOOKUP(A176, 'fixing lats'!A:F, 6, FALSE)</f>
        <v>13.009399999999999</v>
      </c>
      <c r="AJ176" s="23" t="s">
        <v>612</v>
      </c>
      <c r="AK176" s="83" t="s">
        <v>181</v>
      </c>
      <c r="AL176" s="83" t="s">
        <v>169</v>
      </c>
      <c r="AM176" s="86">
        <v>170</v>
      </c>
      <c r="AN176" s="85">
        <f t="shared" si="27"/>
        <v>23.985248779587032</v>
      </c>
      <c r="AO176" s="85">
        <v>34</v>
      </c>
      <c r="AP176" s="87">
        <f t="shared" si="34"/>
        <v>2.6582908560244985E-2</v>
      </c>
      <c r="AQ176" s="88">
        <f t="shared" si="35"/>
        <v>902.28082924895659</v>
      </c>
    </row>
    <row r="177" spans="1:317" x14ac:dyDescent="0.25">
      <c r="A177" s="76">
        <v>19758</v>
      </c>
      <c r="B177" s="24">
        <v>97</v>
      </c>
      <c r="C177" s="8">
        <f t="shared" si="28"/>
        <v>3.0999999999999943</v>
      </c>
      <c r="D177" s="8">
        <f t="shared" si="29"/>
        <v>3</v>
      </c>
      <c r="E177" s="3">
        <v>93.9</v>
      </c>
      <c r="F177" s="3">
        <v>100</v>
      </c>
      <c r="G177" s="3">
        <f t="shared" si="36"/>
        <v>3.0999999999999943</v>
      </c>
      <c r="H177" s="4" t="s">
        <v>377</v>
      </c>
      <c r="I177" s="28">
        <v>2098</v>
      </c>
      <c r="J177" s="29" t="s">
        <v>214</v>
      </c>
      <c r="K177" s="29"/>
      <c r="L177" s="29" t="s">
        <v>214</v>
      </c>
      <c r="M177" s="96" t="s">
        <v>1</v>
      </c>
      <c r="N177" s="4" t="str">
        <f t="shared" si="37"/>
        <v>marine oil</v>
      </c>
      <c r="O177" s="96" t="s">
        <v>0</v>
      </c>
      <c r="P177" s="30">
        <f>AVERAGE(-28.29,-28.34,-28.36)</f>
        <v>-28.33</v>
      </c>
      <c r="Q177" s="25" t="s">
        <v>293</v>
      </c>
      <c r="R177" s="25"/>
      <c r="S177" s="84">
        <f t="shared" si="38"/>
        <v>-24.83</v>
      </c>
      <c r="T177" s="5">
        <v>3</v>
      </c>
      <c r="U177" s="4" t="s">
        <v>72</v>
      </c>
      <c r="V177" s="88">
        <f t="shared" si="30"/>
        <v>-8.1957549950867978</v>
      </c>
      <c r="W177" s="88">
        <f t="shared" si="31"/>
        <v>-6.1957549950867978</v>
      </c>
      <c r="X177" s="88">
        <f t="shared" si="32"/>
        <v>19.10871438304418</v>
      </c>
      <c r="Y177" s="88">
        <f>Z177+AA177</f>
        <v>32.300000000000004</v>
      </c>
      <c r="Z177" s="88">
        <v>28.1</v>
      </c>
      <c r="AA177" s="88">
        <v>4.2</v>
      </c>
      <c r="AB177" s="84" t="s">
        <v>176</v>
      </c>
      <c r="AC177" s="84">
        <f t="shared" si="33"/>
        <v>305.3</v>
      </c>
      <c r="AD177" s="84"/>
      <c r="AE177" s="5"/>
      <c r="AF177" s="5"/>
      <c r="AG177" s="5"/>
      <c r="AH177" s="5"/>
      <c r="AI177" s="5"/>
      <c r="AJ177" s="5"/>
      <c r="AK177" s="83" t="s">
        <v>259</v>
      </c>
      <c r="AM177" s="86">
        <v>170</v>
      </c>
      <c r="AN177" s="85">
        <f t="shared" si="27"/>
        <v>23.000058286208716</v>
      </c>
      <c r="AO177" s="85">
        <v>34</v>
      </c>
      <c r="AP177" s="87">
        <f t="shared" si="34"/>
        <v>2.4592621307740554E-2</v>
      </c>
      <c r="AQ177" s="88">
        <f t="shared" si="35"/>
        <v>935.24224190649511</v>
      </c>
    </row>
    <row r="178" spans="1:317" x14ac:dyDescent="0.25">
      <c r="A178" s="76">
        <v>19759</v>
      </c>
      <c r="B178" s="3">
        <v>99</v>
      </c>
      <c r="C178" s="8">
        <f t="shared" si="28"/>
        <v>1</v>
      </c>
      <c r="D178" s="8">
        <f t="shared" si="29"/>
        <v>1</v>
      </c>
      <c r="E178" s="3">
        <v>98</v>
      </c>
      <c r="F178" s="3">
        <v>100</v>
      </c>
      <c r="G178" s="3">
        <f t="shared" si="36"/>
        <v>1</v>
      </c>
      <c r="H178" s="4" t="s">
        <v>374</v>
      </c>
      <c r="I178" s="4" t="s">
        <v>280</v>
      </c>
      <c r="J178" s="4" t="s">
        <v>287</v>
      </c>
      <c r="K178" s="4"/>
      <c r="L178" s="4"/>
      <c r="M178" s="86" t="s">
        <v>4</v>
      </c>
      <c r="N178" s="4" t="str">
        <f t="shared" si="37"/>
        <v>marine sediment</v>
      </c>
      <c r="O178" s="86" t="s">
        <v>0</v>
      </c>
      <c r="P178" s="5">
        <v>-30.1</v>
      </c>
      <c r="Q178" s="4" t="s">
        <v>286</v>
      </c>
      <c r="S178" s="84">
        <f t="shared" si="38"/>
        <v>-26.6</v>
      </c>
      <c r="T178" s="5">
        <v>-0.6</v>
      </c>
      <c r="U178" s="4" t="s">
        <v>286</v>
      </c>
      <c r="V178" s="88">
        <f t="shared" si="30"/>
        <v>-8.137642635278727</v>
      </c>
      <c r="W178" s="88">
        <f t="shared" si="31"/>
        <v>-9.7376426352787266</v>
      </c>
      <c r="X178" s="88">
        <f t="shared" si="32"/>
        <v>17.323153240930147</v>
      </c>
      <c r="Y178" s="88">
        <f>AVERAGE(32.9,32.8)</f>
        <v>32.849999999999994</v>
      </c>
      <c r="AB178" s="84"/>
      <c r="AC178" s="84">
        <f t="shared" si="33"/>
        <v>305.85000000000002</v>
      </c>
      <c r="AD178" s="84"/>
      <c r="AE178" s="23"/>
      <c r="AF178" s="23"/>
      <c r="AG178" s="23"/>
      <c r="AH178" s="23"/>
      <c r="AI178" s="23"/>
      <c r="AJ178" s="23"/>
      <c r="AK178" s="83"/>
      <c r="AL178" s="83" t="s">
        <v>286</v>
      </c>
      <c r="AM178" s="86">
        <v>170</v>
      </c>
      <c r="AN178" s="85">
        <f t="shared" si="27"/>
        <v>18.524881635620869</v>
      </c>
      <c r="AO178" s="85">
        <v>34</v>
      </c>
      <c r="AP178" s="87">
        <f t="shared" si="34"/>
        <v>2.429334177162221E-2</v>
      </c>
      <c r="AQ178" s="88">
        <f t="shared" si="35"/>
        <v>762.54974757158959</v>
      </c>
    </row>
    <row r="179" spans="1:317" x14ac:dyDescent="0.25">
      <c r="A179" s="76">
        <v>19760</v>
      </c>
      <c r="B179" s="3">
        <v>102</v>
      </c>
      <c r="C179" s="8">
        <f t="shared" si="28"/>
        <v>1.5</v>
      </c>
      <c r="D179" s="8">
        <f t="shared" si="29"/>
        <v>3</v>
      </c>
      <c r="E179" s="3">
        <v>100.5</v>
      </c>
      <c r="F179" s="3">
        <v>105</v>
      </c>
      <c r="G179" s="3">
        <f t="shared" si="36"/>
        <v>3</v>
      </c>
      <c r="H179" s="4" t="s">
        <v>394</v>
      </c>
      <c r="I179" s="31" t="s">
        <v>199</v>
      </c>
      <c r="J179" s="4" t="s">
        <v>205</v>
      </c>
      <c r="K179" s="4"/>
      <c r="L179" s="4" t="s">
        <v>599</v>
      </c>
      <c r="M179" s="86" t="s">
        <v>1</v>
      </c>
      <c r="N179" s="4" t="str">
        <f t="shared" si="37"/>
        <v>marine oil</v>
      </c>
      <c r="O179" s="86" t="s">
        <v>0</v>
      </c>
      <c r="P179" s="31">
        <v>-30.1</v>
      </c>
      <c r="Q179" s="4" t="s">
        <v>206</v>
      </c>
      <c r="S179" s="84">
        <f t="shared" si="38"/>
        <v>-26.6</v>
      </c>
      <c r="T179" s="5">
        <v>2.7</v>
      </c>
      <c r="U179" s="4" t="s">
        <v>2</v>
      </c>
      <c r="V179" s="88">
        <f t="shared" si="30"/>
        <v>-8.3072801972062429</v>
      </c>
      <c r="W179" s="88">
        <f t="shared" si="31"/>
        <v>-6.6072801972062427</v>
      </c>
      <c r="X179" s="88">
        <f t="shared" si="32"/>
        <v>20.539058765968619</v>
      </c>
      <c r="Y179" s="88">
        <f>Z179+AA179</f>
        <v>31.25</v>
      </c>
      <c r="Z179" s="88">
        <v>27</v>
      </c>
      <c r="AA179" s="88">
        <f>8.5/2</f>
        <v>4.25</v>
      </c>
      <c r="AB179" s="84" t="s">
        <v>176</v>
      </c>
      <c r="AC179" s="84">
        <f t="shared" si="33"/>
        <v>304.25</v>
      </c>
      <c r="AD179" s="84">
        <v>3.1</v>
      </c>
      <c r="AE179" s="23" t="s">
        <v>265</v>
      </c>
      <c r="AF179" s="23" t="s">
        <v>562</v>
      </c>
      <c r="AG179" s="23">
        <f>VLOOKUP(A179, 'fixing lats'!A:F, 4, FALSE)</f>
        <v>28.0154</v>
      </c>
      <c r="AH179" s="23" t="s">
        <v>563</v>
      </c>
      <c r="AI179" s="23">
        <f>VLOOKUP(A179, 'fixing lats'!A:F, 6, FALSE)</f>
        <v>50.0137</v>
      </c>
      <c r="AJ179" s="23" t="s">
        <v>612</v>
      </c>
      <c r="AK179" s="83" t="s">
        <v>381</v>
      </c>
      <c r="AL179" s="84" t="s">
        <v>169</v>
      </c>
      <c r="AM179" s="86">
        <v>170</v>
      </c>
      <c r="AN179" s="85">
        <f t="shared" si="27"/>
        <v>28.518986067076039</v>
      </c>
      <c r="AO179" s="85">
        <v>34</v>
      </c>
      <c r="AP179" s="87">
        <f t="shared" si="34"/>
        <v>2.5183388529685945E-2</v>
      </c>
      <c r="AQ179" s="88">
        <f t="shared" si="35"/>
        <v>1132.4522922504302</v>
      </c>
      <c r="AR179" s="11"/>
      <c r="AS179" s="11"/>
      <c r="AT179" s="12"/>
      <c r="AU179" s="12"/>
    </row>
    <row r="180" spans="1:317" x14ac:dyDescent="0.25">
      <c r="A180" s="76">
        <v>19761</v>
      </c>
      <c r="B180" s="3">
        <v>102</v>
      </c>
      <c r="C180" s="8">
        <f t="shared" si="28"/>
        <v>1.5</v>
      </c>
      <c r="D180" s="8">
        <f t="shared" si="29"/>
        <v>3</v>
      </c>
      <c r="E180" s="3">
        <v>100.5</v>
      </c>
      <c r="F180" s="3">
        <v>105</v>
      </c>
      <c r="G180" s="3">
        <f t="shared" si="36"/>
        <v>3</v>
      </c>
      <c r="H180" s="4" t="s">
        <v>394</v>
      </c>
      <c r="I180" s="31" t="s">
        <v>200</v>
      </c>
      <c r="J180" s="4" t="s">
        <v>205</v>
      </c>
      <c r="K180" s="4"/>
      <c r="L180" s="4" t="s">
        <v>599</v>
      </c>
      <c r="M180" s="86" t="s">
        <v>1</v>
      </c>
      <c r="N180" s="4" t="str">
        <f t="shared" si="37"/>
        <v>marine oil</v>
      </c>
      <c r="O180" s="86" t="s">
        <v>0</v>
      </c>
      <c r="P180" s="31">
        <v>-28.9</v>
      </c>
      <c r="Q180" s="4" t="s">
        <v>206</v>
      </c>
      <c r="S180" s="84">
        <f t="shared" si="38"/>
        <v>-25.4</v>
      </c>
      <c r="T180" s="5">
        <v>2.7</v>
      </c>
      <c r="U180" s="4" t="s">
        <v>2</v>
      </c>
      <c r="V180" s="88">
        <f t="shared" si="30"/>
        <v>-8.3072801972062429</v>
      </c>
      <c r="W180" s="88">
        <f t="shared" si="31"/>
        <v>-6.6072801972062427</v>
      </c>
      <c r="X180" s="88">
        <f t="shared" si="32"/>
        <v>19.282495180375172</v>
      </c>
      <c r="Y180" s="88">
        <f>Z180+AA180</f>
        <v>31.25</v>
      </c>
      <c r="Z180" s="88">
        <v>27</v>
      </c>
      <c r="AA180" s="88">
        <f>8.5/2</f>
        <v>4.25</v>
      </c>
      <c r="AB180" s="84" t="s">
        <v>176</v>
      </c>
      <c r="AC180" s="84">
        <f t="shared" si="33"/>
        <v>304.25</v>
      </c>
      <c r="AD180" s="84">
        <v>3.1</v>
      </c>
      <c r="AE180" s="23" t="s">
        <v>265</v>
      </c>
      <c r="AF180" s="23" t="s">
        <v>562</v>
      </c>
      <c r="AG180" s="23">
        <f>VLOOKUP(A180, 'fixing lats'!A:F, 4, FALSE)</f>
        <v>28.0154</v>
      </c>
      <c r="AH180" s="23" t="s">
        <v>563</v>
      </c>
      <c r="AI180" s="23">
        <f>VLOOKUP(A180, 'fixing lats'!A:F, 6, FALSE)</f>
        <v>50.0137</v>
      </c>
      <c r="AJ180" s="23" t="s">
        <v>612</v>
      </c>
      <c r="AK180" s="83" t="s">
        <v>381</v>
      </c>
      <c r="AL180" s="84" t="s">
        <v>169</v>
      </c>
      <c r="AM180" s="86">
        <v>170</v>
      </c>
      <c r="AN180" s="85">
        <f t="shared" si="27"/>
        <v>23.55384641209519</v>
      </c>
      <c r="AO180" s="85">
        <v>34</v>
      </c>
      <c r="AP180" s="87">
        <f t="shared" si="34"/>
        <v>2.5183388529685945E-2</v>
      </c>
      <c r="AQ180" s="88">
        <f t="shared" si="35"/>
        <v>935.29297633359124</v>
      </c>
      <c r="AR180" s="11"/>
      <c r="AS180" s="11"/>
      <c r="AT180" s="12"/>
      <c r="AU180" s="12"/>
    </row>
    <row r="181" spans="1:317" x14ac:dyDescent="0.25">
      <c r="A181" s="76">
        <v>19762</v>
      </c>
      <c r="B181" s="3">
        <v>111</v>
      </c>
      <c r="C181" s="8">
        <f t="shared" si="28"/>
        <v>1</v>
      </c>
      <c r="D181" s="8">
        <f t="shared" si="29"/>
        <v>2</v>
      </c>
      <c r="E181" s="3">
        <v>110</v>
      </c>
      <c r="F181" s="3">
        <v>113</v>
      </c>
      <c r="G181" s="3">
        <f t="shared" si="36"/>
        <v>2</v>
      </c>
      <c r="H181" s="4" t="s">
        <v>314</v>
      </c>
      <c r="I181" s="4" t="s">
        <v>76</v>
      </c>
      <c r="J181" s="4" t="s">
        <v>75</v>
      </c>
      <c r="K181" s="4"/>
      <c r="L181" s="4"/>
      <c r="M181" s="86" t="s">
        <v>4</v>
      </c>
      <c r="N181" s="4" t="str">
        <f t="shared" si="37"/>
        <v>marine sediment</v>
      </c>
      <c r="O181" s="86" t="s">
        <v>27</v>
      </c>
      <c r="P181" s="5">
        <v>-29.8</v>
      </c>
      <c r="Q181" s="4" t="s">
        <v>74</v>
      </c>
      <c r="S181" s="84">
        <f t="shared" si="38"/>
        <v>-26.3</v>
      </c>
      <c r="T181" s="5">
        <v>2.8</v>
      </c>
      <c r="U181" s="4" t="s">
        <v>2</v>
      </c>
      <c r="V181" s="88">
        <f t="shared" si="30"/>
        <v>-8.2275409836065556</v>
      </c>
      <c r="W181" s="88">
        <f t="shared" si="31"/>
        <v>-6.4275409836065558</v>
      </c>
      <c r="X181" s="88">
        <f t="shared" si="32"/>
        <v>20.409221542973643</v>
      </c>
      <c r="Y181" s="88">
        <v>32</v>
      </c>
      <c r="AB181" s="84"/>
      <c r="AC181" s="84">
        <f t="shared" si="33"/>
        <v>305</v>
      </c>
      <c r="AD181" s="84"/>
      <c r="AE181" s="23"/>
      <c r="AF181" s="23"/>
      <c r="AG181" s="23"/>
      <c r="AH181" s="23"/>
      <c r="AI181" s="23"/>
      <c r="AJ181" s="23"/>
      <c r="AK181" s="83"/>
      <c r="AL181" s="83" t="s">
        <v>389</v>
      </c>
      <c r="AM181" s="86">
        <v>170</v>
      </c>
      <c r="AN181" s="85">
        <f t="shared" si="27"/>
        <v>27.911046379282936</v>
      </c>
      <c r="AO181" s="85">
        <v>34</v>
      </c>
      <c r="AP181" s="87">
        <f t="shared" si="34"/>
        <v>2.4758776095312345E-2</v>
      </c>
      <c r="AQ181" s="88">
        <f t="shared" si="35"/>
        <v>1127.3193098009162</v>
      </c>
      <c r="AR181" s="11"/>
      <c r="AS181" s="11"/>
      <c r="AT181" s="12"/>
      <c r="AU181" s="12"/>
    </row>
    <row r="182" spans="1:317" x14ac:dyDescent="0.25">
      <c r="A182" s="76">
        <v>19763</v>
      </c>
      <c r="B182" s="3">
        <v>115</v>
      </c>
      <c r="C182" s="8">
        <f t="shared" si="28"/>
        <v>1.2000000000000028</v>
      </c>
      <c r="D182" s="8">
        <f t="shared" si="29"/>
        <v>0</v>
      </c>
      <c r="E182" s="3">
        <v>113.8</v>
      </c>
      <c r="F182" s="3">
        <v>115</v>
      </c>
      <c r="G182" s="3">
        <f t="shared" si="36"/>
        <v>1.2000000000000028</v>
      </c>
      <c r="H182" s="4" t="s">
        <v>314</v>
      </c>
      <c r="I182" s="4" t="s">
        <v>77</v>
      </c>
      <c r="J182" s="4" t="s">
        <v>75</v>
      </c>
      <c r="K182" s="4"/>
      <c r="L182" s="4"/>
      <c r="M182" s="86" t="s">
        <v>4</v>
      </c>
      <c r="N182" s="4" t="str">
        <f t="shared" si="37"/>
        <v>marine sediment</v>
      </c>
      <c r="O182" s="86" t="s">
        <v>27</v>
      </c>
      <c r="P182" s="5">
        <v>-28.2</v>
      </c>
      <c r="Q182" s="4" t="s">
        <v>74</v>
      </c>
      <c r="S182" s="84">
        <f t="shared" si="38"/>
        <v>-24.7</v>
      </c>
      <c r="T182" s="5">
        <v>3</v>
      </c>
      <c r="U182" s="4" t="s">
        <v>2</v>
      </c>
      <c r="V182" s="88">
        <f t="shared" si="30"/>
        <v>-8.2275409836065556</v>
      </c>
      <c r="W182" s="88">
        <f t="shared" si="31"/>
        <v>-6.2275409836065556</v>
      </c>
      <c r="X182" s="88">
        <f t="shared" si="32"/>
        <v>18.940284031983445</v>
      </c>
      <c r="Y182" s="88">
        <v>32</v>
      </c>
      <c r="AB182" s="84"/>
      <c r="AC182" s="84">
        <f t="shared" si="33"/>
        <v>305</v>
      </c>
      <c r="AD182" s="84"/>
      <c r="AE182" s="23"/>
      <c r="AF182" s="23"/>
      <c r="AG182" s="23"/>
      <c r="AH182" s="23"/>
      <c r="AI182" s="23"/>
      <c r="AJ182" s="23"/>
      <c r="AK182" s="83"/>
      <c r="AL182" s="83" t="s">
        <v>389</v>
      </c>
      <c r="AM182" s="86">
        <v>170</v>
      </c>
      <c r="AN182" s="85">
        <f t="shared" si="27"/>
        <v>22.487617354836011</v>
      </c>
      <c r="AO182" s="85">
        <v>34</v>
      </c>
      <c r="AP182" s="87">
        <f t="shared" si="34"/>
        <v>2.4758776095312345E-2</v>
      </c>
      <c r="AQ182" s="88">
        <f t="shared" si="35"/>
        <v>908.26853751844624</v>
      </c>
    </row>
    <row r="183" spans="1:317" s="9" customFormat="1" x14ac:dyDescent="0.25">
      <c r="A183" s="76">
        <v>19764</v>
      </c>
      <c r="B183" s="3">
        <v>115</v>
      </c>
      <c r="C183" s="8">
        <f t="shared" si="28"/>
        <v>2</v>
      </c>
      <c r="D183" s="8">
        <f t="shared" si="29"/>
        <v>0</v>
      </c>
      <c r="E183" s="3">
        <v>113</v>
      </c>
      <c r="F183" s="3">
        <v>115</v>
      </c>
      <c r="G183" s="3">
        <f t="shared" si="36"/>
        <v>2</v>
      </c>
      <c r="H183" s="4" t="s">
        <v>226</v>
      </c>
      <c r="I183" s="4" t="s">
        <v>297</v>
      </c>
      <c r="J183" s="4" t="s">
        <v>73</v>
      </c>
      <c r="K183" s="4"/>
      <c r="L183" s="4" t="s">
        <v>605</v>
      </c>
      <c r="M183" s="86" t="s">
        <v>4</v>
      </c>
      <c r="N183" s="4" t="str">
        <f t="shared" si="37"/>
        <v>marine sediment</v>
      </c>
      <c r="O183" s="86" t="s">
        <v>0</v>
      </c>
      <c r="P183" s="5">
        <v>-32</v>
      </c>
      <c r="Q183" s="4" t="s">
        <v>72</v>
      </c>
      <c r="R183" s="4"/>
      <c r="S183" s="84">
        <f t="shared" si="38"/>
        <v>-28.5</v>
      </c>
      <c r="T183" s="5">
        <v>2.23</v>
      </c>
      <c r="U183" s="4" t="s">
        <v>72</v>
      </c>
      <c r="V183" s="88">
        <f t="shared" si="30"/>
        <v>-9.2718105563609505</v>
      </c>
      <c r="W183" s="88">
        <f t="shared" si="31"/>
        <v>-8.0418105563609501</v>
      </c>
      <c r="X183" s="88">
        <f t="shared" si="32"/>
        <v>21.058352489592423</v>
      </c>
      <c r="Y183" s="88">
        <f>Z183+AA183</f>
        <v>22.461666666666666</v>
      </c>
      <c r="Z183" s="88">
        <f>SUM(15.4+15.1+15.3+16.2+19+22.8+25.3+25.6+25.2+21.9+19.4+16.9)/12</f>
        <v>19.841666666666665</v>
      </c>
      <c r="AA183" s="88">
        <f>5.24/2</f>
        <v>2.62</v>
      </c>
      <c r="AB183" s="84" t="s">
        <v>176</v>
      </c>
      <c r="AC183" s="84">
        <f t="shared" si="33"/>
        <v>295.46166666666664</v>
      </c>
      <c r="AD183" s="84" t="s">
        <v>274</v>
      </c>
      <c r="AE183" s="23" t="s">
        <v>266</v>
      </c>
      <c r="AF183" s="23" t="s">
        <v>570</v>
      </c>
      <c r="AG183" s="23">
        <f>VLOOKUP(A183, 'fixing lats'!A:F, 4, FALSE)</f>
        <v>39.010399999999997</v>
      </c>
      <c r="AH183" s="23" t="s">
        <v>571</v>
      </c>
      <c r="AI183" s="23">
        <f>VLOOKUP(A183, 'fixing lats'!A:F, 6, FALSE)</f>
        <v>19.0154</v>
      </c>
      <c r="AJ183" s="23" t="s">
        <v>612</v>
      </c>
      <c r="AK183" s="83" t="s">
        <v>182</v>
      </c>
      <c r="AL183" s="83" t="s">
        <v>169</v>
      </c>
      <c r="AM183" s="86">
        <v>170</v>
      </c>
      <c r="AN183" s="85">
        <f t="shared" si="27"/>
        <v>31.240538766037616</v>
      </c>
      <c r="AO183" s="85">
        <v>34</v>
      </c>
      <c r="AP183" s="87">
        <f t="shared" si="34"/>
        <v>3.1320635527317779E-2</v>
      </c>
      <c r="AQ183" s="88">
        <f t="shared" si="35"/>
        <v>997.44268403461024</v>
      </c>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c r="KV183" s="1"/>
      <c r="KW183" s="1"/>
      <c r="KX183" s="1"/>
      <c r="KY183" s="1"/>
      <c r="KZ183" s="1"/>
      <c r="LA183" s="1"/>
      <c r="LB183" s="1"/>
      <c r="LC183" s="1"/>
      <c r="LD183" s="1"/>
      <c r="LE183" s="1"/>
    </row>
    <row r="184" spans="1:317" x14ac:dyDescent="0.25">
      <c r="A184" s="76">
        <v>19765</v>
      </c>
      <c r="B184" s="3">
        <v>116</v>
      </c>
      <c r="C184" s="8">
        <f t="shared" si="28"/>
        <v>3</v>
      </c>
      <c r="D184" s="8">
        <f t="shared" si="29"/>
        <v>1</v>
      </c>
      <c r="E184" s="3">
        <v>113</v>
      </c>
      <c r="F184" s="3">
        <v>115</v>
      </c>
      <c r="G184" s="3">
        <f t="shared" si="36"/>
        <v>3</v>
      </c>
      <c r="H184" s="4" t="s">
        <v>226</v>
      </c>
      <c r="I184" s="4" t="s">
        <v>298</v>
      </c>
      <c r="J184" s="4" t="s">
        <v>73</v>
      </c>
      <c r="K184" s="4"/>
      <c r="L184" s="4" t="s">
        <v>605</v>
      </c>
      <c r="M184" s="86" t="s">
        <v>4</v>
      </c>
      <c r="N184" s="4" t="str">
        <f t="shared" si="37"/>
        <v>marine sediment</v>
      </c>
      <c r="O184" s="86" t="s">
        <v>0</v>
      </c>
      <c r="P184" s="5">
        <v>-32.799999999999997</v>
      </c>
      <c r="Q184" s="4" t="s">
        <v>72</v>
      </c>
      <c r="S184" s="84">
        <f t="shared" si="38"/>
        <v>-29.299999999999997</v>
      </c>
      <c r="T184" s="5">
        <v>2.61</v>
      </c>
      <c r="U184" s="4" t="s">
        <v>72</v>
      </c>
      <c r="V184" s="88">
        <f t="shared" si="30"/>
        <v>-9.2718105563609505</v>
      </c>
      <c r="W184" s="88">
        <f t="shared" si="31"/>
        <v>-7.6618105563609511</v>
      </c>
      <c r="X184" s="88">
        <f t="shared" si="32"/>
        <v>22.291325274172323</v>
      </c>
      <c r="Y184" s="88">
        <f>Z184+AA184</f>
        <v>22.461666666666666</v>
      </c>
      <c r="Z184" s="88">
        <f>SUM(15.4+15.1+15.3+16.2+19+22.8+25.3+25.6+25.2+21.9+19.4+16.9)/12</f>
        <v>19.841666666666665</v>
      </c>
      <c r="AA184" s="88">
        <f>5.24/2</f>
        <v>2.62</v>
      </c>
      <c r="AB184" s="84" t="s">
        <v>176</v>
      </c>
      <c r="AC184" s="84">
        <f t="shared" si="33"/>
        <v>295.46166666666664</v>
      </c>
      <c r="AD184" s="84" t="s">
        <v>274</v>
      </c>
      <c r="AE184" s="23" t="s">
        <v>266</v>
      </c>
      <c r="AF184" s="23" t="s">
        <v>570</v>
      </c>
      <c r="AG184" s="23">
        <f>VLOOKUP(A184, 'fixing lats'!A:F, 4, FALSE)</f>
        <v>39.010399999999997</v>
      </c>
      <c r="AH184" s="23" t="s">
        <v>571</v>
      </c>
      <c r="AI184" s="23">
        <f>VLOOKUP(A184, 'fixing lats'!A:F, 6, FALSE)</f>
        <v>19.0154</v>
      </c>
      <c r="AJ184" s="23" t="s">
        <v>612</v>
      </c>
      <c r="AK184" s="83" t="s">
        <v>182</v>
      </c>
      <c r="AL184" s="83" t="s">
        <v>169</v>
      </c>
      <c r="AM184" s="86">
        <v>170</v>
      </c>
      <c r="AN184" s="85">
        <f t="shared" si="27"/>
        <v>40.392762823115966</v>
      </c>
      <c r="AO184" s="85">
        <v>34</v>
      </c>
      <c r="AP184" s="87">
        <f t="shared" si="34"/>
        <v>3.1320635527317779E-2</v>
      </c>
      <c r="AQ184" s="88">
        <f t="shared" si="35"/>
        <v>1289.6533592967965</v>
      </c>
    </row>
    <row r="185" spans="1:317" x14ac:dyDescent="0.25">
      <c r="A185" s="76">
        <v>19766</v>
      </c>
      <c r="B185" s="3">
        <v>116</v>
      </c>
      <c r="C185" s="8">
        <f t="shared" si="28"/>
        <v>2</v>
      </c>
      <c r="D185" s="8">
        <f t="shared" si="29"/>
        <v>0</v>
      </c>
      <c r="E185" s="3">
        <v>114</v>
      </c>
      <c r="F185" s="3">
        <v>116</v>
      </c>
      <c r="G185" s="3">
        <f t="shared" si="36"/>
        <v>2</v>
      </c>
      <c r="H185" s="4" t="s">
        <v>226</v>
      </c>
      <c r="I185" s="4" t="s">
        <v>299</v>
      </c>
      <c r="J185" s="4" t="s">
        <v>73</v>
      </c>
      <c r="K185" s="4"/>
      <c r="L185" s="4" t="s">
        <v>605</v>
      </c>
      <c r="M185" s="86" t="s">
        <v>4</v>
      </c>
      <c r="N185" s="4" t="str">
        <f t="shared" si="37"/>
        <v>marine sediment</v>
      </c>
      <c r="O185" s="86" t="s">
        <v>0</v>
      </c>
      <c r="P185" s="5">
        <v>-33</v>
      </c>
      <c r="Q185" s="4" t="s">
        <v>72</v>
      </c>
      <c r="S185" s="84">
        <f t="shared" si="38"/>
        <v>-29.5</v>
      </c>
      <c r="T185" s="5">
        <v>2.2400000000000002</v>
      </c>
      <c r="U185" s="4" t="s">
        <v>72</v>
      </c>
      <c r="V185" s="88">
        <f t="shared" si="30"/>
        <v>-9.2034632173050532</v>
      </c>
      <c r="W185" s="88">
        <f t="shared" si="31"/>
        <v>-7.963463217305053</v>
      </c>
      <c r="X185" s="88">
        <f t="shared" si="32"/>
        <v>22.191176489124054</v>
      </c>
      <c r="Y185" s="88">
        <f>Z185+AA185</f>
        <v>23.067666666666664</v>
      </c>
      <c r="Z185" s="88">
        <f>SUM(15.4+15.1+15.3+16.2+19+22.8+25.3+25.6+25.2+21.9+19.4+16.9)/12</f>
        <v>19.841666666666665</v>
      </c>
      <c r="AA185" s="88">
        <f>6.452/2</f>
        <v>3.226</v>
      </c>
      <c r="AB185" s="84" t="s">
        <v>176</v>
      </c>
      <c r="AC185" s="84">
        <f t="shared" si="33"/>
        <v>296.06766666666664</v>
      </c>
      <c r="AD185" s="84" t="s">
        <v>274</v>
      </c>
      <c r="AE185" s="23" t="s">
        <v>266</v>
      </c>
      <c r="AF185" s="23" t="s">
        <v>570</v>
      </c>
      <c r="AG185" s="23">
        <f>VLOOKUP(A185, 'fixing lats'!A:F, 4, FALSE)</f>
        <v>39.010399999999997</v>
      </c>
      <c r="AH185" s="23" t="s">
        <v>571</v>
      </c>
      <c r="AI185" s="23">
        <f>VLOOKUP(A185, 'fixing lats'!A:F, 6, FALSE)</f>
        <v>19.0154</v>
      </c>
      <c r="AJ185" s="23" t="s">
        <v>612</v>
      </c>
      <c r="AK185" s="83" t="s">
        <v>182</v>
      </c>
      <c r="AL185" s="83" t="s">
        <v>169</v>
      </c>
      <c r="AM185" s="86">
        <v>170</v>
      </c>
      <c r="AN185" s="85">
        <f t="shared" ref="AN185:AN248" si="39">AM185/($AV$8-X185)</f>
        <v>39.453925084399771</v>
      </c>
      <c r="AO185" s="85">
        <v>34</v>
      </c>
      <c r="AP185" s="87">
        <f t="shared" si="34"/>
        <v>3.081763623206836E-2</v>
      </c>
      <c r="AQ185" s="88">
        <f t="shared" si="35"/>
        <v>1280.2385227503146</v>
      </c>
    </row>
    <row r="186" spans="1:317" x14ac:dyDescent="0.25">
      <c r="A186" s="76">
        <v>19767</v>
      </c>
      <c r="B186" s="3">
        <v>116</v>
      </c>
      <c r="C186" s="8">
        <f t="shared" si="28"/>
        <v>1</v>
      </c>
      <c r="D186" s="8">
        <f t="shared" si="29"/>
        <v>1</v>
      </c>
      <c r="E186" s="3">
        <v>115</v>
      </c>
      <c r="F186" s="3">
        <v>117</v>
      </c>
      <c r="G186" s="3">
        <f t="shared" si="36"/>
        <v>1</v>
      </c>
      <c r="H186" s="4" t="s">
        <v>226</v>
      </c>
      <c r="I186" s="4" t="s">
        <v>300</v>
      </c>
      <c r="J186" s="4" t="s">
        <v>73</v>
      </c>
      <c r="K186" s="4"/>
      <c r="L186" s="4" t="s">
        <v>605</v>
      </c>
      <c r="M186" s="86" t="s">
        <v>4</v>
      </c>
      <c r="N186" s="4" t="str">
        <f t="shared" si="37"/>
        <v>marine sediment</v>
      </c>
      <c r="O186" s="86" t="s">
        <v>0</v>
      </c>
      <c r="P186" s="5">
        <v>-32.5</v>
      </c>
      <c r="Q186" s="4" t="s">
        <v>72</v>
      </c>
      <c r="S186" s="84">
        <f t="shared" si="38"/>
        <v>-29</v>
      </c>
      <c r="T186" s="5">
        <v>2.57</v>
      </c>
      <c r="U186" s="4" t="s">
        <v>72</v>
      </c>
      <c r="V186" s="88">
        <f t="shared" si="30"/>
        <v>-9.2718105563609505</v>
      </c>
      <c r="W186" s="88">
        <f t="shared" si="31"/>
        <v>-7.7018105563609502</v>
      </c>
      <c r="X186" s="88">
        <f t="shared" si="32"/>
        <v>21.93428367007111</v>
      </c>
      <c r="Y186" s="88">
        <f>Z186+AA186</f>
        <v>22.461666666666666</v>
      </c>
      <c r="Z186" s="88">
        <f>SUM(15.4+15.1+15.3+16.2+19+22.8+25.3+25.6+25.2+21.9+19.4+16.9)/12</f>
        <v>19.841666666666665</v>
      </c>
      <c r="AA186" s="88">
        <f>5.24/2</f>
        <v>2.62</v>
      </c>
      <c r="AB186" s="84" t="s">
        <v>176</v>
      </c>
      <c r="AC186" s="84">
        <f t="shared" si="33"/>
        <v>295.46166666666664</v>
      </c>
      <c r="AD186" s="84" t="s">
        <v>274</v>
      </c>
      <c r="AE186" s="23" t="s">
        <v>266</v>
      </c>
      <c r="AF186" s="23" t="s">
        <v>570</v>
      </c>
      <c r="AG186" s="23">
        <f>VLOOKUP(A186, 'fixing lats'!A:F, 4, FALSE)</f>
        <v>39.010399999999997</v>
      </c>
      <c r="AH186" s="23" t="s">
        <v>571</v>
      </c>
      <c r="AI186" s="23">
        <f>VLOOKUP(A186, 'fixing lats'!A:F, 6, FALSE)</f>
        <v>19.0154</v>
      </c>
      <c r="AJ186" s="23" t="s">
        <v>612</v>
      </c>
      <c r="AK186" s="83" t="s">
        <v>182</v>
      </c>
      <c r="AL186" s="83" t="s">
        <v>169</v>
      </c>
      <c r="AM186" s="86">
        <v>170</v>
      </c>
      <c r="AN186" s="85">
        <f t="shared" si="39"/>
        <v>37.234025882341165</v>
      </c>
      <c r="AO186" s="85">
        <v>34</v>
      </c>
      <c r="AP186" s="87">
        <f t="shared" si="34"/>
        <v>3.1320635527317779E-2</v>
      </c>
      <c r="AQ186" s="88">
        <f t="shared" si="35"/>
        <v>1188.8017358353327</v>
      </c>
      <c r="AR186" s="11"/>
      <c r="AS186" s="11"/>
      <c r="AT186" s="12"/>
      <c r="AU186" s="12"/>
    </row>
    <row r="187" spans="1:317" x14ac:dyDescent="0.25">
      <c r="A187" s="76">
        <v>19768</v>
      </c>
      <c r="B187" s="3">
        <v>117</v>
      </c>
      <c r="C187" s="8">
        <f t="shared" si="28"/>
        <v>1</v>
      </c>
      <c r="D187" s="8">
        <f t="shared" si="29"/>
        <v>0</v>
      </c>
      <c r="E187" s="3">
        <v>116</v>
      </c>
      <c r="F187" s="3">
        <v>117</v>
      </c>
      <c r="G187" s="3">
        <f t="shared" si="36"/>
        <v>1</v>
      </c>
      <c r="H187" s="4" t="s">
        <v>314</v>
      </c>
      <c r="I187" s="4" t="s">
        <v>78</v>
      </c>
      <c r="J187" s="4" t="s">
        <v>75</v>
      </c>
      <c r="K187" s="4"/>
      <c r="L187" s="4"/>
      <c r="M187" s="86" t="s">
        <v>4</v>
      </c>
      <c r="N187" s="4" t="str">
        <f t="shared" si="37"/>
        <v>marine sediment</v>
      </c>
      <c r="O187" s="86" t="s">
        <v>27</v>
      </c>
      <c r="P187" s="5">
        <v>-27.5</v>
      </c>
      <c r="Q187" s="4" t="s">
        <v>74</v>
      </c>
      <c r="S187" s="84">
        <f t="shared" si="38"/>
        <v>-24</v>
      </c>
      <c r="T187" s="5">
        <v>3.1</v>
      </c>
      <c r="U187" s="4" t="s">
        <v>2</v>
      </c>
      <c r="V187" s="88">
        <f t="shared" si="30"/>
        <v>-8.2275409836065556</v>
      </c>
      <c r="W187" s="88">
        <f t="shared" si="31"/>
        <v>-6.127540983606556</v>
      </c>
      <c r="X187" s="88">
        <f t="shared" si="32"/>
        <v>18.311945713517908</v>
      </c>
      <c r="Y187" s="88">
        <v>32</v>
      </c>
      <c r="AB187" s="84"/>
      <c r="AC187" s="84">
        <f t="shared" si="33"/>
        <v>305</v>
      </c>
      <c r="AD187" s="84"/>
      <c r="AE187" s="23"/>
      <c r="AF187" s="23"/>
      <c r="AG187" s="23"/>
      <c r="AH187" s="23"/>
      <c r="AI187" s="23"/>
      <c r="AJ187" s="23"/>
      <c r="AK187" s="83"/>
      <c r="AL187" s="83" t="s">
        <v>389</v>
      </c>
      <c r="AM187" s="86">
        <v>170</v>
      </c>
      <c r="AN187" s="85">
        <f t="shared" si="39"/>
        <v>20.761953212823485</v>
      </c>
      <c r="AO187" s="85">
        <v>34</v>
      </c>
      <c r="AP187" s="87">
        <f t="shared" si="34"/>
        <v>2.4758776095312345E-2</v>
      </c>
      <c r="AQ187" s="88">
        <f t="shared" si="35"/>
        <v>838.56944838054449</v>
      </c>
      <c r="AR187" s="11"/>
      <c r="AS187" s="11"/>
      <c r="AT187" s="12"/>
      <c r="AU187" s="12"/>
    </row>
    <row r="188" spans="1:317" x14ac:dyDescent="0.25">
      <c r="A188" s="76">
        <v>19769</v>
      </c>
      <c r="B188" s="3">
        <v>117</v>
      </c>
      <c r="C188" s="8">
        <f t="shared" si="28"/>
        <v>1</v>
      </c>
      <c r="D188" s="8">
        <f t="shared" si="29"/>
        <v>1</v>
      </c>
      <c r="E188" s="3">
        <v>116</v>
      </c>
      <c r="F188" s="3">
        <v>118</v>
      </c>
      <c r="G188" s="3">
        <f t="shared" si="36"/>
        <v>1</v>
      </c>
      <c r="H188" s="4" t="s">
        <v>226</v>
      </c>
      <c r="I188" s="4" t="s">
        <v>301</v>
      </c>
      <c r="J188" s="4" t="s">
        <v>73</v>
      </c>
      <c r="K188" s="4"/>
      <c r="L188" s="4" t="s">
        <v>605</v>
      </c>
      <c r="M188" s="86" t="s">
        <v>4</v>
      </c>
      <c r="N188" s="4" t="str">
        <f t="shared" si="37"/>
        <v>marine sediment</v>
      </c>
      <c r="O188" s="86" t="s">
        <v>0</v>
      </c>
      <c r="P188" s="5">
        <v>-33</v>
      </c>
      <c r="Q188" s="4" t="s">
        <v>72</v>
      </c>
      <c r="S188" s="84">
        <f t="shared" si="38"/>
        <v>-29.5</v>
      </c>
      <c r="T188" s="5">
        <v>2.2000000000000002</v>
      </c>
      <c r="U188" s="4" t="s">
        <v>72</v>
      </c>
      <c r="V188" s="88">
        <f t="shared" si="30"/>
        <v>-9.2718105563609505</v>
      </c>
      <c r="W188" s="88">
        <f t="shared" si="31"/>
        <v>-8.0718105563609512</v>
      </c>
      <c r="X188" s="88">
        <f t="shared" si="32"/>
        <v>22.07953574821131</v>
      </c>
      <c r="Y188" s="88">
        <f>Z188+AA188</f>
        <v>22.461666666666666</v>
      </c>
      <c r="Z188" s="88">
        <f>SUM(15.4+15.1+15.3+16.2+19+22.8+25.3+25.6+25.2+21.9+19.4+16.9)/12</f>
        <v>19.841666666666665</v>
      </c>
      <c r="AA188" s="88">
        <f>5.24/2</f>
        <v>2.62</v>
      </c>
      <c r="AB188" s="84" t="s">
        <v>176</v>
      </c>
      <c r="AC188" s="84">
        <f t="shared" si="33"/>
        <v>295.46166666666664</v>
      </c>
      <c r="AD188" s="84" t="s">
        <v>274</v>
      </c>
      <c r="AE188" s="23" t="s">
        <v>266</v>
      </c>
      <c r="AF188" s="23" t="s">
        <v>570</v>
      </c>
      <c r="AG188" s="23">
        <f>VLOOKUP(A188, 'fixing lats'!A:F, 4, FALSE)</f>
        <v>39.010399999999997</v>
      </c>
      <c r="AH188" s="23" t="s">
        <v>571</v>
      </c>
      <c r="AI188" s="23">
        <f>VLOOKUP(A188, 'fixing lats'!A:F, 6, FALSE)</f>
        <v>19.0154</v>
      </c>
      <c r="AJ188" s="23" t="s">
        <v>612</v>
      </c>
      <c r="AK188" s="83" t="s">
        <v>182</v>
      </c>
      <c r="AL188" s="83" t="s">
        <v>169</v>
      </c>
      <c r="AM188" s="86">
        <v>170</v>
      </c>
      <c r="AN188" s="85">
        <f t="shared" si="39"/>
        <v>38.457499103450829</v>
      </c>
      <c r="AO188" s="85">
        <v>34</v>
      </c>
      <c r="AP188" s="87">
        <f t="shared" si="34"/>
        <v>3.1320635527317779E-2</v>
      </c>
      <c r="AQ188" s="88">
        <f t="shared" si="35"/>
        <v>1227.8645837153686</v>
      </c>
    </row>
    <row r="189" spans="1:317" x14ac:dyDescent="0.25">
      <c r="A189" s="76">
        <v>19770</v>
      </c>
      <c r="B189" s="3">
        <v>117</v>
      </c>
      <c r="C189" s="8">
        <f t="shared" si="28"/>
        <v>1</v>
      </c>
      <c r="D189" s="8">
        <f t="shared" si="29"/>
        <v>1</v>
      </c>
      <c r="E189" s="3">
        <v>116</v>
      </c>
      <c r="F189" s="3">
        <v>118</v>
      </c>
      <c r="G189" s="3">
        <f t="shared" si="36"/>
        <v>1</v>
      </c>
      <c r="H189" s="4" t="s">
        <v>306</v>
      </c>
      <c r="I189" s="4" t="s">
        <v>302</v>
      </c>
      <c r="J189" s="4" t="s">
        <v>73</v>
      </c>
      <c r="K189" s="4"/>
      <c r="L189" s="4" t="s">
        <v>605</v>
      </c>
      <c r="M189" s="86" t="s">
        <v>4</v>
      </c>
      <c r="N189" s="4" t="str">
        <f t="shared" si="37"/>
        <v>marine sediment</v>
      </c>
      <c r="O189" s="86" t="s">
        <v>0</v>
      </c>
      <c r="P189" s="5">
        <v>-33.4</v>
      </c>
      <c r="Q189" s="4" t="s">
        <v>72</v>
      </c>
      <c r="S189" s="84">
        <f t="shared" si="38"/>
        <v>-29.9</v>
      </c>
      <c r="T189" s="5">
        <v>2.15</v>
      </c>
      <c r="U189" s="4" t="s">
        <v>72</v>
      </c>
      <c r="V189" s="88">
        <f t="shared" si="30"/>
        <v>-9.2718105563609505</v>
      </c>
      <c r="W189" s="88">
        <f t="shared" si="31"/>
        <v>-8.1218105563609502</v>
      </c>
      <c r="X189" s="88">
        <f t="shared" si="32"/>
        <v>22.449427320522688</v>
      </c>
      <c r="Y189" s="88">
        <f>Z189+AA189</f>
        <v>22.461666666666666</v>
      </c>
      <c r="Z189" s="88">
        <f>SUM(15.4+15.1+15.3+16.2+19+22.8+25.3+25.6+25.2+21.9+19.4+16.9)/12</f>
        <v>19.841666666666665</v>
      </c>
      <c r="AA189" s="88">
        <f>5.24/2</f>
        <v>2.62</v>
      </c>
      <c r="AB189" s="84" t="s">
        <v>176</v>
      </c>
      <c r="AC189" s="84">
        <f t="shared" si="33"/>
        <v>295.46166666666664</v>
      </c>
      <c r="AD189" s="84" t="s">
        <v>274</v>
      </c>
      <c r="AE189" s="23" t="s">
        <v>266</v>
      </c>
      <c r="AF189" s="23" t="s">
        <v>570</v>
      </c>
      <c r="AG189" s="23">
        <f>VLOOKUP(A189, 'fixing lats'!A:F, 4, FALSE)</f>
        <v>39.010399999999997</v>
      </c>
      <c r="AH189" s="23" t="s">
        <v>571</v>
      </c>
      <c r="AI189" s="23">
        <f>VLOOKUP(A189, 'fixing lats'!A:F, 6, FALSE)</f>
        <v>19.0154</v>
      </c>
      <c r="AJ189" s="23" t="s">
        <v>612</v>
      </c>
      <c r="AK189" s="83" t="s">
        <v>182</v>
      </c>
      <c r="AL189" s="83" t="s">
        <v>169</v>
      </c>
      <c r="AM189" s="86">
        <v>170</v>
      </c>
      <c r="AN189" s="85">
        <f t="shared" si="39"/>
        <v>41.969374074269631</v>
      </c>
      <c r="AO189" s="85">
        <v>34</v>
      </c>
      <c r="AP189" s="87">
        <f t="shared" si="34"/>
        <v>3.1320635527317779E-2</v>
      </c>
      <c r="AQ189" s="88">
        <f t="shared" si="35"/>
        <v>1339.9911389941001</v>
      </c>
      <c r="AR189" s="11"/>
      <c r="AS189" s="11"/>
      <c r="AT189" s="12"/>
      <c r="AU189" s="12"/>
    </row>
    <row r="190" spans="1:317" x14ac:dyDescent="0.25">
      <c r="A190" s="76">
        <v>19771</v>
      </c>
      <c r="B190" s="3">
        <v>118</v>
      </c>
      <c r="C190" s="8">
        <f t="shared" si="28"/>
        <v>2</v>
      </c>
      <c r="D190" s="8">
        <f t="shared" si="29"/>
        <v>0</v>
      </c>
      <c r="E190" s="3">
        <v>116</v>
      </c>
      <c r="F190" s="3">
        <v>118</v>
      </c>
      <c r="G190" s="3">
        <f t="shared" si="36"/>
        <v>2</v>
      </c>
      <c r="H190" s="4" t="s">
        <v>314</v>
      </c>
      <c r="I190" s="4" t="s">
        <v>79</v>
      </c>
      <c r="J190" s="4" t="s">
        <v>75</v>
      </c>
      <c r="K190" s="4"/>
      <c r="L190" s="4"/>
      <c r="M190" s="86" t="s">
        <v>4</v>
      </c>
      <c r="N190" s="4" t="str">
        <f t="shared" si="37"/>
        <v>marine sediment</v>
      </c>
      <c r="O190" s="86" t="s">
        <v>27</v>
      </c>
      <c r="P190" s="5">
        <v>-29.9</v>
      </c>
      <c r="Q190" s="4" t="s">
        <v>74</v>
      </c>
      <c r="S190" s="84">
        <f t="shared" si="38"/>
        <v>-26.4</v>
      </c>
      <c r="T190" s="5">
        <v>3.2</v>
      </c>
      <c r="U190" s="4" t="s">
        <v>2</v>
      </c>
      <c r="V190" s="88">
        <f t="shared" si="30"/>
        <v>-8.2275409836065556</v>
      </c>
      <c r="W190" s="88">
        <f t="shared" si="31"/>
        <v>-6.0275409836065554</v>
      </c>
      <c r="X190" s="88">
        <f t="shared" si="32"/>
        <v>20.924875735819136</v>
      </c>
      <c r="Y190" s="88">
        <v>32</v>
      </c>
      <c r="AB190" s="84"/>
      <c r="AC190" s="84">
        <f t="shared" si="33"/>
        <v>305</v>
      </c>
      <c r="AD190" s="84"/>
      <c r="AE190" s="23"/>
      <c r="AF190" s="23"/>
      <c r="AG190" s="23"/>
      <c r="AH190" s="23"/>
      <c r="AI190" s="23"/>
      <c r="AJ190" s="23"/>
      <c r="AK190" s="83"/>
      <c r="AL190" s="83" t="s">
        <v>389</v>
      </c>
      <c r="AM190" s="86">
        <v>170</v>
      </c>
      <c r="AN190" s="85">
        <f t="shared" si="39"/>
        <v>30.492593876735331</v>
      </c>
      <c r="AO190" s="85">
        <v>34</v>
      </c>
      <c r="AP190" s="87">
        <f t="shared" si="34"/>
        <v>2.4758776095312345E-2</v>
      </c>
      <c r="AQ190" s="88">
        <f t="shared" si="35"/>
        <v>1231.5872868412339</v>
      </c>
      <c r="AR190" s="11"/>
      <c r="AS190" s="11"/>
      <c r="AT190" s="12"/>
      <c r="AU190" s="12"/>
    </row>
    <row r="191" spans="1:317" ht="13.2" customHeight="1" x14ac:dyDescent="0.25">
      <c r="A191" s="76">
        <v>19772</v>
      </c>
      <c r="B191" s="3">
        <v>120</v>
      </c>
      <c r="C191" s="8">
        <f t="shared" si="28"/>
        <v>1</v>
      </c>
      <c r="D191" s="8">
        <f t="shared" si="29"/>
        <v>1</v>
      </c>
      <c r="E191" s="3">
        <v>119</v>
      </c>
      <c r="F191" s="3">
        <v>121</v>
      </c>
      <c r="G191" s="3">
        <f t="shared" si="36"/>
        <v>1</v>
      </c>
      <c r="H191" s="4" t="s">
        <v>306</v>
      </c>
      <c r="I191" s="4" t="s">
        <v>303</v>
      </c>
      <c r="J191" s="4" t="s">
        <v>73</v>
      </c>
      <c r="K191" s="4"/>
      <c r="L191" s="4" t="s">
        <v>605</v>
      </c>
      <c r="M191" s="86" t="s">
        <v>4</v>
      </c>
      <c r="N191" s="4" t="str">
        <f t="shared" si="37"/>
        <v>marine sediment</v>
      </c>
      <c r="O191" s="86" t="s">
        <v>0</v>
      </c>
      <c r="P191" s="5">
        <v>-32.200000000000003</v>
      </c>
      <c r="Q191" s="4" t="s">
        <v>72</v>
      </c>
      <c r="S191" s="84">
        <f t="shared" si="38"/>
        <v>-28.700000000000003</v>
      </c>
      <c r="T191" s="5">
        <v>2.2799999999999998</v>
      </c>
      <c r="U191" s="4" t="s">
        <v>72</v>
      </c>
      <c r="V191" s="88">
        <f t="shared" si="30"/>
        <v>-9.2718105563609505</v>
      </c>
      <c r="W191" s="88">
        <f t="shared" si="31"/>
        <v>-7.9918105563609512</v>
      </c>
      <c r="X191" s="88">
        <f t="shared" si="32"/>
        <v>21.320075613753708</v>
      </c>
      <c r="Y191" s="88">
        <f t="shared" ref="Y191:Y198" si="40">Z191+AA191</f>
        <v>22.461666666666666</v>
      </c>
      <c r="Z191" s="88">
        <f>SUM(15.4+15.1+15.3+16.2+19+22.8+25.3+25.6+25.2+21.9+19.4+16.9)/12</f>
        <v>19.841666666666665</v>
      </c>
      <c r="AA191" s="88">
        <f>5.24/2</f>
        <v>2.62</v>
      </c>
      <c r="AB191" s="84" t="s">
        <v>176</v>
      </c>
      <c r="AC191" s="84">
        <f t="shared" si="33"/>
        <v>295.46166666666664</v>
      </c>
      <c r="AD191" s="84" t="s">
        <v>274</v>
      </c>
      <c r="AE191" s="23" t="s">
        <v>266</v>
      </c>
      <c r="AF191" s="23" t="s">
        <v>570</v>
      </c>
      <c r="AG191" s="23">
        <f>VLOOKUP(A191, 'fixing lats'!A:F, 4, FALSE)</f>
        <v>39.010399999999997</v>
      </c>
      <c r="AH191" s="23" t="s">
        <v>571</v>
      </c>
      <c r="AI191" s="23">
        <f>VLOOKUP(A191, 'fixing lats'!A:F, 6, FALSE)</f>
        <v>19.0154</v>
      </c>
      <c r="AJ191" s="23" t="s">
        <v>612</v>
      </c>
      <c r="AK191" s="83" t="s">
        <v>182</v>
      </c>
      <c r="AL191" s="83" t="s">
        <v>169</v>
      </c>
      <c r="AM191" s="86">
        <v>170</v>
      </c>
      <c r="AN191" s="85">
        <f t="shared" si="39"/>
        <v>32.819011885845889</v>
      </c>
      <c r="AO191" s="85">
        <v>34</v>
      </c>
      <c r="AP191" s="87">
        <f t="shared" si="34"/>
        <v>3.1320635527317779E-2</v>
      </c>
      <c r="AQ191" s="88">
        <f t="shared" si="35"/>
        <v>1047.8399091621634</v>
      </c>
      <c r="AR191" s="11"/>
      <c r="AS191" s="11"/>
      <c r="AT191" s="12"/>
      <c r="AU191" s="12"/>
    </row>
    <row r="192" spans="1:317" s="9" customFormat="1" x14ac:dyDescent="0.25">
      <c r="A192" s="76">
        <v>19773</v>
      </c>
      <c r="B192" s="3">
        <v>122</v>
      </c>
      <c r="C192" s="8">
        <f t="shared" si="28"/>
        <v>4</v>
      </c>
      <c r="D192" s="8">
        <f t="shared" si="29"/>
        <v>4</v>
      </c>
      <c r="E192" s="3">
        <v>118</v>
      </c>
      <c r="F192" s="3">
        <v>126</v>
      </c>
      <c r="G192" s="3">
        <f t="shared" si="36"/>
        <v>4</v>
      </c>
      <c r="H192" s="4" t="s">
        <v>395</v>
      </c>
      <c r="I192" s="31" t="s">
        <v>201</v>
      </c>
      <c r="J192" s="4" t="s">
        <v>205</v>
      </c>
      <c r="K192" s="4"/>
      <c r="L192" s="4" t="s">
        <v>599</v>
      </c>
      <c r="M192" s="86" t="s">
        <v>1</v>
      </c>
      <c r="N192" s="4" t="str">
        <f t="shared" si="37"/>
        <v>marine oil</v>
      </c>
      <c r="O192" s="86" t="s">
        <v>0</v>
      </c>
      <c r="P192" s="31">
        <v>-29.6</v>
      </c>
      <c r="Q192" s="4" t="s">
        <v>206</v>
      </c>
      <c r="R192" s="4"/>
      <c r="S192" s="84">
        <f t="shared" si="38"/>
        <v>-26.1</v>
      </c>
      <c r="T192" s="5">
        <v>2</v>
      </c>
      <c r="U192" s="4" t="s">
        <v>2</v>
      </c>
      <c r="V192" s="88">
        <f t="shared" si="30"/>
        <v>-8.4335354868512233</v>
      </c>
      <c r="W192" s="88">
        <f t="shared" si="31"/>
        <v>-7.4335354868512233</v>
      </c>
      <c r="X192" s="88">
        <f t="shared" si="32"/>
        <v>19.166715795408962</v>
      </c>
      <c r="Y192" s="88">
        <f t="shared" si="40"/>
        <v>30.07</v>
      </c>
      <c r="Z192" s="88">
        <v>27.52</v>
      </c>
      <c r="AA192" s="88">
        <f>5.1/2</f>
        <v>2.5499999999999998</v>
      </c>
      <c r="AB192" s="84" t="s">
        <v>176</v>
      </c>
      <c r="AC192" s="84">
        <f t="shared" si="33"/>
        <v>303.07</v>
      </c>
      <c r="AD192" s="84">
        <v>-5.7</v>
      </c>
      <c r="AE192" s="23" t="s">
        <v>265</v>
      </c>
      <c r="AF192" s="23" t="s">
        <v>562</v>
      </c>
      <c r="AG192" s="23">
        <f>VLOOKUP(A192, 'fixing lats'!A:F, 4, FALSE)</f>
        <v>28.0154</v>
      </c>
      <c r="AH192" s="23" t="s">
        <v>563</v>
      </c>
      <c r="AI192" s="23">
        <f>VLOOKUP(A192, 'fixing lats'!A:F, 6, FALSE)</f>
        <v>50.0137</v>
      </c>
      <c r="AJ192" s="23" t="s">
        <v>612</v>
      </c>
      <c r="AK192" s="83" t="s">
        <v>382</v>
      </c>
      <c r="AL192" s="84" t="s">
        <v>169</v>
      </c>
      <c r="AM192" s="86">
        <v>170</v>
      </c>
      <c r="AN192" s="85">
        <f t="shared" si="39"/>
        <v>23.18197348652745</v>
      </c>
      <c r="AO192" s="85">
        <v>34</v>
      </c>
      <c r="AP192" s="87">
        <f t="shared" si="34"/>
        <v>2.5879108534158396E-2</v>
      </c>
      <c r="AQ192" s="88">
        <f t="shared" si="35"/>
        <v>895.77944525906139</v>
      </c>
      <c r="AR192" s="11"/>
      <c r="AS192" s="11"/>
      <c r="AT192" s="12"/>
      <c r="AU192" s="12"/>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c r="KV192" s="1"/>
      <c r="KW192" s="1"/>
      <c r="KX192" s="1"/>
      <c r="KY192" s="1"/>
      <c r="KZ192" s="1"/>
      <c r="LA192" s="1"/>
      <c r="LB192" s="1"/>
      <c r="LC192" s="1"/>
      <c r="LD192" s="1"/>
      <c r="LE192" s="1"/>
    </row>
    <row r="193" spans="1:317" x14ac:dyDescent="0.25">
      <c r="A193" s="76">
        <v>19774</v>
      </c>
      <c r="B193" s="3">
        <v>122</v>
      </c>
      <c r="C193" s="8">
        <f t="shared" si="28"/>
        <v>4</v>
      </c>
      <c r="D193" s="8">
        <f t="shared" si="29"/>
        <v>4</v>
      </c>
      <c r="E193" s="3">
        <v>118</v>
      </c>
      <c r="F193" s="3">
        <v>126</v>
      </c>
      <c r="G193" s="3">
        <f t="shared" si="36"/>
        <v>4</v>
      </c>
      <c r="H193" s="4" t="s">
        <v>395</v>
      </c>
      <c r="I193" s="31" t="s">
        <v>202</v>
      </c>
      <c r="J193" s="4" t="s">
        <v>205</v>
      </c>
      <c r="K193" s="4"/>
      <c r="L193" s="4" t="s">
        <v>599</v>
      </c>
      <c r="M193" s="86" t="s">
        <v>1</v>
      </c>
      <c r="N193" s="4" t="str">
        <f t="shared" si="37"/>
        <v>marine oil</v>
      </c>
      <c r="O193" s="86" t="s">
        <v>0</v>
      </c>
      <c r="P193" s="31">
        <v>-29.1</v>
      </c>
      <c r="Q193" s="4" t="s">
        <v>206</v>
      </c>
      <c r="S193" s="84">
        <f t="shared" si="38"/>
        <v>-25.6</v>
      </c>
      <c r="T193" s="5">
        <v>2</v>
      </c>
      <c r="U193" s="4" t="s">
        <v>2</v>
      </c>
      <c r="V193" s="88">
        <f t="shared" si="30"/>
        <v>-8.4335354868512233</v>
      </c>
      <c r="W193" s="88">
        <f t="shared" si="31"/>
        <v>-7.4335354868512233</v>
      </c>
      <c r="X193" s="88">
        <f t="shared" si="32"/>
        <v>18.643744368995073</v>
      </c>
      <c r="Y193" s="88">
        <f t="shared" si="40"/>
        <v>30.07</v>
      </c>
      <c r="Z193" s="88">
        <v>27.52</v>
      </c>
      <c r="AA193" s="88">
        <f>5.1/2</f>
        <v>2.5499999999999998</v>
      </c>
      <c r="AB193" s="84" t="s">
        <v>176</v>
      </c>
      <c r="AC193" s="84">
        <f t="shared" si="33"/>
        <v>303.07</v>
      </c>
      <c r="AD193" s="84">
        <v>-5.7</v>
      </c>
      <c r="AE193" s="23" t="s">
        <v>265</v>
      </c>
      <c r="AF193" s="23" t="s">
        <v>562</v>
      </c>
      <c r="AG193" s="23">
        <f>VLOOKUP(A193, 'fixing lats'!A:F, 4, FALSE)</f>
        <v>28.0154</v>
      </c>
      <c r="AH193" s="23" t="s">
        <v>563</v>
      </c>
      <c r="AI193" s="23">
        <f>VLOOKUP(A193, 'fixing lats'!A:F, 6, FALSE)</f>
        <v>50.0137</v>
      </c>
      <c r="AJ193" s="23" t="s">
        <v>612</v>
      </c>
      <c r="AK193" s="83" t="s">
        <v>382</v>
      </c>
      <c r="AL193" s="84" t="s">
        <v>169</v>
      </c>
      <c r="AM193" s="86">
        <v>170</v>
      </c>
      <c r="AN193" s="85">
        <f t="shared" si="39"/>
        <v>21.638807083757605</v>
      </c>
      <c r="AO193" s="85">
        <v>34</v>
      </c>
      <c r="AP193" s="87">
        <f t="shared" si="34"/>
        <v>2.5879108534158396E-2</v>
      </c>
      <c r="AQ193" s="88">
        <f t="shared" si="35"/>
        <v>836.149632248579</v>
      </c>
      <c r="AR193" s="11"/>
      <c r="AS193" s="11"/>
      <c r="AT193" s="12"/>
      <c r="AU193" s="12"/>
    </row>
    <row r="194" spans="1:317" x14ac:dyDescent="0.25">
      <c r="A194" s="76">
        <v>19775</v>
      </c>
      <c r="B194" s="3">
        <v>122</v>
      </c>
      <c r="C194" s="8">
        <f t="shared" si="28"/>
        <v>1</v>
      </c>
      <c r="D194" s="8">
        <f t="shared" si="29"/>
        <v>1</v>
      </c>
      <c r="E194" s="3">
        <v>121</v>
      </c>
      <c r="F194" s="3">
        <v>123</v>
      </c>
      <c r="G194" s="3">
        <f t="shared" si="36"/>
        <v>1</v>
      </c>
      <c r="H194" s="4" t="s">
        <v>306</v>
      </c>
      <c r="I194" s="4" t="s">
        <v>304</v>
      </c>
      <c r="J194" s="4" t="s">
        <v>73</v>
      </c>
      <c r="K194" s="4"/>
      <c r="L194" s="4" t="s">
        <v>605</v>
      </c>
      <c r="M194" s="86" t="s">
        <v>4</v>
      </c>
      <c r="N194" s="4" t="str">
        <f t="shared" si="37"/>
        <v>marine sediment</v>
      </c>
      <c r="O194" s="86" t="s">
        <v>0</v>
      </c>
      <c r="P194" s="5">
        <v>-31.5</v>
      </c>
      <c r="Q194" s="4" t="s">
        <v>72</v>
      </c>
      <c r="S194" s="84">
        <f t="shared" si="38"/>
        <v>-28</v>
      </c>
      <c r="T194" s="5">
        <v>2.62</v>
      </c>
      <c r="U194" s="4" t="s">
        <v>72</v>
      </c>
      <c r="V194" s="88">
        <f t="shared" si="30"/>
        <v>-9.2718105563609505</v>
      </c>
      <c r="W194" s="88">
        <f t="shared" si="31"/>
        <v>-7.6518105563609504</v>
      </c>
      <c r="X194" s="88">
        <f t="shared" si="32"/>
        <v>20.934351279463968</v>
      </c>
      <c r="Y194" s="88">
        <f t="shared" si="40"/>
        <v>22.461666666666666</v>
      </c>
      <c r="Z194" s="88">
        <f>SUM(15.4+15.1+15.3+16.2+19+22.8+25.3+25.6+25.2+21.9+19.4+16.9)/12</f>
        <v>19.841666666666665</v>
      </c>
      <c r="AA194" s="88">
        <f>5.24/2</f>
        <v>2.62</v>
      </c>
      <c r="AB194" s="84" t="s">
        <v>176</v>
      </c>
      <c r="AC194" s="84">
        <f t="shared" si="33"/>
        <v>295.46166666666664</v>
      </c>
      <c r="AD194" s="84" t="s">
        <v>274</v>
      </c>
      <c r="AE194" s="23" t="s">
        <v>266</v>
      </c>
      <c r="AF194" s="23" t="s">
        <v>570</v>
      </c>
      <c r="AG194" s="23">
        <f>VLOOKUP(A194, 'fixing lats'!A:F, 4, FALSE)</f>
        <v>39.010399999999997</v>
      </c>
      <c r="AH194" s="23" t="s">
        <v>571</v>
      </c>
      <c r="AI194" s="23">
        <f>VLOOKUP(A194, 'fixing lats'!A:F, 6, FALSE)</f>
        <v>19.0154</v>
      </c>
      <c r="AJ194" s="23" t="s">
        <v>612</v>
      </c>
      <c r="AK194" s="83" t="s">
        <v>182</v>
      </c>
      <c r="AL194" s="83" t="s">
        <v>169</v>
      </c>
      <c r="AM194" s="86">
        <v>170</v>
      </c>
      <c r="AN194" s="85">
        <f t="shared" si="39"/>
        <v>30.54450766408182</v>
      </c>
      <c r="AO194" s="85">
        <v>34</v>
      </c>
      <c r="AP194" s="87">
        <f t="shared" si="34"/>
        <v>3.1320635527317779E-2</v>
      </c>
      <c r="AQ194" s="88">
        <f t="shared" si="35"/>
        <v>975.21991970568342</v>
      </c>
      <c r="AR194" s="11"/>
      <c r="AS194" s="11"/>
      <c r="AT194" s="12"/>
      <c r="AU194" s="12"/>
    </row>
    <row r="195" spans="1:317" ht="13.2" customHeight="1" x14ac:dyDescent="0.25">
      <c r="A195" s="76">
        <v>19776</v>
      </c>
      <c r="B195" s="3">
        <v>124</v>
      </c>
      <c r="C195" s="8">
        <f t="shared" ref="C195:C258" si="41">ABS(B195-E195)</f>
        <v>1</v>
      </c>
      <c r="D195" s="8">
        <f t="shared" ref="D195:D258" si="42">ABS(F195-B195)</f>
        <v>1</v>
      </c>
      <c r="E195" s="3">
        <v>123</v>
      </c>
      <c r="F195" s="3">
        <v>125</v>
      </c>
      <c r="G195" s="3">
        <f t="shared" si="36"/>
        <v>1</v>
      </c>
      <c r="H195" s="4" t="s">
        <v>306</v>
      </c>
      <c r="I195" s="4" t="s">
        <v>305</v>
      </c>
      <c r="J195" s="4" t="s">
        <v>73</v>
      </c>
      <c r="K195" s="4"/>
      <c r="L195" s="4" t="s">
        <v>605</v>
      </c>
      <c r="M195" s="86" t="s">
        <v>4</v>
      </c>
      <c r="N195" s="4" t="str">
        <f t="shared" si="37"/>
        <v>marine sediment</v>
      </c>
      <c r="O195" s="86" t="s">
        <v>0</v>
      </c>
      <c r="P195" s="5">
        <v>-31.3</v>
      </c>
      <c r="Q195" s="4" t="s">
        <v>72</v>
      </c>
      <c r="S195" s="84">
        <f t="shared" si="38"/>
        <v>-27.8</v>
      </c>
      <c r="T195" s="5">
        <v>2.74</v>
      </c>
      <c r="U195" s="4" t="s">
        <v>72</v>
      </c>
      <c r="V195" s="88">
        <f t="shared" ref="V195:V258" si="43">24.12-9866/AC195</f>
        <v>-9.2718105563609505</v>
      </c>
      <c r="W195" s="88">
        <f t="shared" ref="W195:W258" si="44">T195-1+V195</f>
        <v>-7.5318105563609503</v>
      </c>
      <c r="X195" s="88">
        <f t="shared" ref="X195:X258" si="45">1000*((W195+1000)/(S195+1000)-1)</f>
        <v>20.847757090762144</v>
      </c>
      <c r="Y195" s="88">
        <f t="shared" si="40"/>
        <v>22.461666666666666</v>
      </c>
      <c r="Z195" s="88">
        <f>SUM(15.4+15.1+15.3+16.2+19+22.8+25.3+25.6+25.2+21.9+19.4+16.9)/12</f>
        <v>19.841666666666665</v>
      </c>
      <c r="AA195" s="88">
        <f>5.24/2</f>
        <v>2.62</v>
      </c>
      <c r="AB195" s="84" t="s">
        <v>176</v>
      </c>
      <c r="AC195" s="84">
        <f t="shared" ref="AC195:AC258" si="46">Y195+273</f>
        <v>295.46166666666664</v>
      </c>
      <c r="AD195" s="84" t="s">
        <v>274</v>
      </c>
      <c r="AE195" s="23" t="s">
        <v>266</v>
      </c>
      <c r="AF195" s="23" t="s">
        <v>570</v>
      </c>
      <c r="AG195" s="23">
        <f>VLOOKUP(A195, 'fixing lats'!A:F, 4, FALSE)</f>
        <v>39.010399999999997</v>
      </c>
      <c r="AH195" s="23" t="s">
        <v>571</v>
      </c>
      <c r="AI195" s="23">
        <f>VLOOKUP(A195, 'fixing lats'!A:F, 6, FALSE)</f>
        <v>19.0154</v>
      </c>
      <c r="AJ195" s="23" t="s">
        <v>612</v>
      </c>
      <c r="AK195" s="83" t="s">
        <v>182</v>
      </c>
      <c r="AL195" s="83" t="s">
        <v>169</v>
      </c>
      <c r="AM195" s="86">
        <v>170</v>
      </c>
      <c r="AN195" s="85">
        <f t="shared" si="39"/>
        <v>30.076555931833205</v>
      </c>
      <c r="AO195" s="85">
        <v>34</v>
      </c>
      <c r="AP195" s="87">
        <f t="shared" ref="AP195:AP258" si="47">EXP($AT$4+$AT$5*(100/AC195)+$AT$6*LN(AC195/100)+AO195*($AW$4+$AW$5*(AC195/100)+$AW$6*(AC195/100)^2))</f>
        <v>3.1320635527317779E-2</v>
      </c>
      <c r="AQ195" s="88">
        <f t="shared" ref="AQ195:AQ258" si="48">AN195/AP195</f>
        <v>960.27923525371989</v>
      </c>
      <c r="AR195" s="11"/>
      <c r="AS195" s="11"/>
      <c r="AT195" s="12"/>
      <c r="AU195" s="12"/>
    </row>
    <row r="196" spans="1:317" s="39" customFormat="1" x14ac:dyDescent="0.25">
      <c r="A196" s="76">
        <v>19777</v>
      </c>
      <c r="B196" s="3">
        <v>140</v>
      </c>
      <c r="C196" s="8">
        <f t="shared" si="41"/>
        <v>7.0999999999999943</v>
      </c>
      <c r="D196" s="8">
        <f t="shared" si="42"/>
        <v>5</v>
      </c>
      <c r="E196" s="3">
        <v>132.9</v>
      </c>
      <c r="F196" s="3">
        <v>145</v>
      </c>
      <c r="G196" s="3">
        <f t="shared" ref="G196:G259" si="49">IF(C196&gt;D196, C196, D196)</f>
        <v>7.0999999999999943</v>
      </c>
      <c r="H196" s="4" t="s">
        <v>216</v>
      </c>
      <c r="I196" s="31" t="s">
        <v>203</v>
      </c>
      <c r="J196" s="4" t="s">
        <v>205</v>
      </c>
      <c r="K196" s="4"/>
      <c r="L196" s="4" t="s">
        <v>599</v>
      </c>
      <c r="M196" s="86" t="s">
        <v>1</v>
      </c>
      <c r="N196" s="4" t="str">
        <f t="shared" ref="N196:N259" si="50">IF(M196="MS", "marine sediment", "marine oil")</f>
        <v>marine oil</v>
      </c>
      <c r="O196" s="86" t="s">
        <v>0</v>
      </c>
      <c r="P196" s="31">
        <v>-29.9</v>
      </c>
      <c r="Q196" s="4" t="s">
        <v>206</v>
      </c>
      <c r="R196" s="4"/>
      <c r="S196" s="84">
        <f t="shared" ref="S196:S259" si="51">P196+3.5</f>
        <v>-26.4</v>
      </c>
      <c r="T196" s="5">
        <v>1</v>
      </c>
      <c r="U196" s="4" t="s">
        <v>2</v>
      </c>
      <c r="V196" s="88">
        <f t="shared" si="43"/>
        <v>-8.4120671348963008</v>
      </c>
      <c r="W196" s="88">
        <f t="shared" si="44"/>
        <v>-8.4120671348963008</v>
      </c>
      <c r="X196" s="88">
        <f t="shared" si="45"/>
        <v>18.47569111041869</v>
      </c>
      <c r="Y196" s="88">
        <f t="shared" si="40"/>
        <v>30.27</v>
      </c>
      <c r="Z196" s="88">
        <v>27.25</v>
      </c>
      <c r="AA196" s="88">
        <f>6.04/2</f>
        <v>3.02</v>
      </c>
      <c r="AB196" s="84" t="s">
        <v>176</v>
      </c>
      <c r="AC196" s="84">
        <f t="shared" si="46"/>
        <v>303.27</v>
      </c>
      <c r="AD196" s="84">
        <v>-11.5</v>
      </c>
      <c r="AE196" s="23" t="s">
        <v>265</v>
      </c>
      <c r="AF196" s="23" t="s">
        <v>562</v>
      </c>
      <c r="AG196" s="23">
        <f>VLOOKUP(A196, 'fixing lats'!A:F, 4, FALSE)</f>
        <v>28.0154</v>
      </c>
      <c r="AH196" s="23" t="s">
        <v>563</v>
      </c>
      <c r="AI196" s="23">
        <f>VLOOKUP(A196, 'fixing lats'!A:F, 6, FALSE)</f>
        <v>50.0137</v>
      </c>
      <c r="AJ196" s="23" t="s">
        <v>612</v>
      </c>
      <c r="AK196" s="83" t="s">
        <v>383</v>
      </c>
      <c r="AL196" s="84" t="s">
        <v>169</v>
      </c>
      <c r="AM196" s="86">
        <v>170</v>
      </c>
      <c r="AN196" s="85">
        <f t="shared" si="39"/>
        <v>21.185625122273954</v>
      </c>
      <c r="AO196" s="85">
        <v>34</v>
      </c>
      <c r="AP196" s="87">
        <f t="shared" si="47"/>
        <v>2.5758741475963787E-2</v>
      </c>
      <c r="AQ196" s="88">
        <f t="shared" si="48"/>
        <v>822.46351756132424</v>
      </c>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1"/>
      <c r="KP196" s="1"/>
      <c r="KQ196" s="1"/>
      <c r="KR196" s="1"/>
      <c r="KS196" s="1"/>
      <c r="KT196" s="1"/>
      <c r="KU196" s="1"/>
      <c r="KV196" s="1"/>
      <c r="KW196" s="1"/>
      <c r="KX196" s="1"/>
      <c r="KY196" s="1"/>
      <c r="KZ196" s="1"/>
      <c r="LA196" s="1"/>
      <c r="LB196" s="1"/>
      <c r="LC196" s="1"/>
      <c r="LD196" s="1"/>
      <c r="LE196" s="1"/>
    </row>
    <row r="197" spans="1:317" s="39" customFormat="1" x14ac:dyDescent="0.25">
      <c r="A197" s="76">
        <v>19778</v>
      </c>
      <c r="B197" s="3">
        <v>140</v>
      </c>
      <c r="C197" s="8">
        <f t="shared" si="41"/>
        <v>7.0999999999999943</v>
      </c>
      <c r="D197" s="8">
        <f t="shared" si="42"/>
        <v>5</v>
      </c>
      <c r="E197" s="3">
        <v>132.9</v>
      </c>
      <c r="F197" s="3">
        <v>145</v>
      </c>
      <c r="G197" s="3">
        <f t="shared" si="49"/>
        <v>7.0999999999999943</v>
      </c>
      <c r="H197" s="4" t="s">
        <v>216</v>
      </c>
      <c r="I197" s="31" t="s">
        <v>204</v>
      </c>
      <c r="J197" s="4" t="s">
        <v>205</v>
      </c>
      <c r="K197" s="4"/>
      <c r="L197" s="4" t="s">
        <v>599</v>
      </c>
      <c r="M197" s="86" t="s">
        <v>1</v>
      </c>
      <c r="N197" s="4" t="str">
        <f t="shared" si="50"/>
        <v>marine oil</v>
      </c>
      <c r="O197" s="86" t="s">
        <v>0</v>
      </c>
      <c r="P197" s="31">
        <v>-30.3</v>
      </c>
      <c r="Q197" s="4" t="s">
        <v>206</v>
      </c>
      <c r="R197" s="4"/>
      <c r="S197" s="84">
        <f t="shared" si="51"/>
        <v>-26.8</v>
      </c>
      <c r="T197" s="5">
        <v>1</v>
      </c>
      <c r="U197" s="4" t="s">
        <v>2</v>
      </c>
      <c r="V197" s="88">
        <f t="shared" si="43"/>
        <v>-8.4120671348963008</v>
      </c>
      <c r="W197" s="88">
        <f t="shared" si="44"/>
        <v>-8.4120671348963008</v>
      </c>
      <c r="X197" s="88">
        <f t="shared" si="45"/>
        <v>18.894300107997974</v>
      </c>
      <c r="Y197" s="88">
        <f t="shared" si="40"/>
        <v>30.27</v>
      </c>
      <c r="Z197" s="88">
        <v>27.25</v>
      </c>
      <c r="AA197" s="88">
        <f>6.04/2</f>
        <v>3.02</v>
      </c>
      <c r="AB197" s="84" t="s">
        <v>176</v>
      </c>
      <c r="AC197" s="84">
        <f t="shared" si="46"/>
        <v>303.27</v>
      </c>
      <c r="AD197" s="84">
        <v>-11.5</v>
      </c>
      <c r="AE197" s="23" t="s">
        <v>265</v>
      </c>
      <c r="AF197" s="23" t="s">
        <v>562</v>
      </c>
      <c r="AG197" s="23">
        <f>VLOOKUP(A197, 'fixing lats'!A:F, 4, FALSE)</f>
        <v>28.0154</v>
      </c>
      <c r="AH197" s="23" t="s">
        <v>563</v>
      </c>
      <c r="AI197" s="23">
        <f>VLOOKUP(A197, 'fixing lats'!A:F, 6, FALSE)</f>
        <v>50.0137</v>
      </c>
      <c r="AJ197" s="23" t="s">
        <v>612</v>
      </c>
      <c r="AK197" s="83" t="s">
        <v>383</v>
      </c>
      <c r="AL197" s="84" t="s">
        <v>169</v>
      </c>
      <c r="AM197" s="86">
        <v>170</v>
      </c>
      <c r="AN197" s="85">
        <f t="shared" si="39"/>
        <v>22.351657627034164</v>
      </c>
      <c r="AO197" s="85">
        <v>34</v>
      </c>
      <c r="AP197" s="87">
        <f t="shared" si="47"/>
        <v>2.5758741475963787E-2</v>
      </c>
      <c r="AQ197" s="88">
        <f t="shared" si="48"/>
        <v>867.73096612236009</v>
      </c>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c r="JL197" s="1"/>
      <c r="JM197" s="1"/>
      <c r="JN197" s="1"/>
      <c r="JO197" s="1"/>
      <c r="JP197" s="1"/>
      <c r="JQ197" s="1"/>
      <c r="JR197" s="1"/>
      <c r="JS197" s="1"/>
      <c r="JT197" s="1"/>
      <c r="JU197" s="1"/>
      <c r="JV197" s="1"/>
      <c r="JW197" s="1"/>
      <c r="JX197" s="1"/>
      <c r="JY197" s="1"/>
      <c r="JZ197" s="1"/>
      <c r="KA197" s="1"/>
      <c r="KB197" s="1"/>
      <c r="KC197" s="1"/>
      <c r="KD197" s="1"/>
      <c r="KE197" s="1"/>
      <c r="KF197" s="1"/>
      <c r="KG197" s="1"/>
      <c r="KH197" s="1"/>
      <c r="KI197" s="1"/>
      <c r="KJ197" s="1"/>
      <c r="KK197" s="1"/>
      <c r="KL197" s="1"/>
      <c r="KM197" s="1"/>
      <c r="KN197" s="1"/>
      <c r="KO197" s="1"/>
      <c r="KP197" s="1"/>
      <c r="KQ197" s="1"/>
      <c r="KR197" s="1"/>
      <c r="KS197" s="1"/>
      <c r="KT197" s="1"/>
      <c r="KU197" s="1"/>
      <c r="KV197" s="1"/>
      <c r="KW197" s="1"/>
      <c r="KX197" s="1"/>
      <c r="KY197" s="1"/>
      <c r="KZ197" s="1"/>
      <c r="LA197" s="1"/>
      <c r="LB197" s="1"/>
      <c r="LC197" s="1"/>
      <c r="LD197" s="1"/>
      <c r="LE197" s="1"/>
    </row>
    <row r="198" spans="1:317" s="39" customFormat="1" x14ac:dyDescent="0.25">
      <c r="A198" s="76">
        <v>19779</v>
      </c>
      <c r="B198" s="3">
        <v>144</v>
      </c>
      <c r="C198" s="8">
        <f t="shared" si="41"/>
        <v>6</v>
      </c>
      <c r="D198" s="8">
        <f t="shared" si="42"/>
        <v>6</v>
      </c>
      <c r="E198" s="3">
        <v>138</v>
      </c>
      <c r="F198" s="3">
        <v>150</v>
      </c>
      <c r="G198" s="3">
        <f t="shared" si="49"/>
        <v>6</v>
      </c>
      <c r="H198" s="4" t="s">
        <v>324</v>
      </c>
      <c r="I198" s="4" t="s">
        <v>328</v>
      </c>
      <c r="J198" s="4" t="s">
        <v>331</v>
      </c>
      <c r="K198" s="4"/>
      <c r="L198" s="4"/>
      <c r="M198" s="86" t="s">
        <v>1</v>
      </c>
      <c r="N198" s="4" t="str">
        <f t="shared" si="50"/>
        <v>marine oil</v>
      </c>
      <c r="O198" s="86" t="s">
        <v>0</v>
      </c>
      <c r="P198" s="5">
        <v>-31.8</v>
      </c>
      <c r="Q198" s="4" t="s">
        <v>317</v>
      </c>
      <c r="R198" s="4"/>
      <c r="S198" s="84">
        <f t="shared" si="51"/>
        <v>-28.3</v>
      </c>
      <c r="T198" s="5">
        <v>2</v>
      </c>
      <c r="U198" s="4" t="s">
        <v>339</v>
      </c>
      <c r="V198" s="88">
        <f t="shared" si="43"/>
        <v>-10.148843348384855</v>
      </c>
      <c r="W198" s="88">
        <f t="shared" si="44"/>
        <v>-9.1488433483848546</v>
      </c>
      <c r="X198" s="88">
        <f t="shared" si="45"/>
        <v>19.708919061042664</v>
      </c>
      <c r="Y198" s="88">
        <f t="shared" si="40"/>
        <v>14.9</v>
      </c>
      <c r="Z198" s="88">
        <v>9.4</v>
      </c>
      <c r="AA198" s="88">
        <v>5.5</v>
      </c>
      <c r="AB198" s="84" t="s">
        <v>176</v>
      </c>
      <c r="AC198" s="84">
        <f t="shared" si="46"/>
        <v>287.89999999999998</v>
      </c>
      <c r="AD198" s="84">
        <v>60.48</v>
      </c>
      <c r="AE198" s="1" t="s">
        <v>414</v>
      </c>
      <c r="AF198" s="1" t="s">
        <v>572</v>
      </c>
      <c r="AG198" s="23"/>
      <c r="AH198" s="1" t="s">
        <v>573</v>
      </c>
      <c r="AI198" s="23"/>
      <c r="AJ198" s="23"/>
      <c r="AK198" s="83"/>
      <c r="AL198" s="84"/>
      <c r="AM198" s="86">
        <v>170</v>
      </c>
      <c r="AN198" s="85">
        <f t="shared" si="39"/>
        <v>25.032833731194028</v>
      </c>
      <c r="AO198" s="85">
        <v>34</v>
      </c>
      <c r="AP198" s="87">
        <f t="shared" si="47"/>
        <v>3.8921288459641407E-2</v>
      </c>
      <c r="AQ198" s="88">
        <f t="shared" si="48"/>
        <v>643.16559707809483</v>
      </c>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row>
    <row r="199" spans="1:317" ht="13.2" customHeight="1" x14ac:dyDescent="0.25">
      <c r="A199" s="76">
        <v>19780</v>
      </c>
      <c r="B199" s="24">
        <v>145</v>
      </c>
      <c r="C199" s="8">
        <f t="shared" si="41"/>
        <v>6</v>
      </c>
      <c r="D199" s="8">
        <f t="shared" si="42"/>
        <v>7</v>
      </c>
      <c r="E199" s="24">
        <v>139</v>
      </c>
      <c r="F199" s="24">
        <v>152</v>
      </c>
      <c r="G199" s="3">
        <f t="shared" si="49"/>
        <v>7</v>
      </c>
      <c r="H199" s="25" t="s">
        <v>545</v>
      </c>
      <c r="I199" s="28">
        <v>307729</v>
      </c>
      <c r="J199" s="29" t="s">
        <v>217</v>
      </c>
      <c r="K199" s="29"/>
      <c r="L199" s="29" t="s">
        <v>217</v>
      </c>
      <c r="M199" s="96" t="s">
        <v>1</v>
      </c>
      <c r="N199" s="4" t="str">
        <f t="shared" si="50"/>
        <v>marine oil</v>
      </c>
      <c r="O199" s="96" t="s">
        <v>0</v>
      </c>
      <c r="P199" s="30">
        <f>AVERAGE(-32.7,-32.72,-32.51,-32.5,-32.45,-32.36,-33.14,-32.95)</f>
        <v>-32.666249999999998</v>
      </c>
      <c r="Q199" s="25" t="s">
        <v>293</v>
      </c>
      <c r="R199" s="25"/>
      <c r="S199" s="84">
        <f t="shared" si="51"/>
        <v>-29.166249999999998</v>
      </c>
      <c r="T199" s="5">
        <v>0.9</v>
      </c>
      <c r="U199" s="47" t="s">
        <v>396</v>
      </c>
      <c r="V199" s="88">
        <f t="shared" si="43"/>
        <v>-8.832571810287245</v>
      </c>
      <c r="W199" s="88">
        <f t="shared" si="44"/>
        <v>-8.9325718102872447</v>
      </c>
      <c r="X199" s="88">
        <f t="shared" si="45"/>
        <v>20.841547988739162</v>
      </c>
      <c r="Y199" s="88">
        <v>26.4</v>
      </c>
      <c r="AB199" s="84"/>
      <c r="AC199" s="84">
        <f t="shared" si="46"/>
        <v>299.39999999999998</v>
      </c>
      <c r="AD199" s="84"/>
      <c r="AE199" s="5"/>
      <c r="AF199" s="5"/>
      <c r="AG199" s="5"/>
      <c r="AH199" s="5"/>
      <c r="AI199" s="5"/>
      <c r="AJ199" s="5"/>
      <c r="AK199" s="83"/>
      <c r="AL199" s="89" t="s">
        <v>396</v>
      </c>
      <c r="AM199" s="86">
        <v>170</v>
      </c>
      <c r="AN199" s="85">
        <f t="shared" si="39"/>
        <v>30.043552487797797</v>
      </c>
      <c r="AO199" s="85">
        <v>34</v>
      </c>
      <c r="AP199" s="87">
        <f t="shared" si="47"/>
        <v>2.8280199861967413E-2</v>
      </c>
      <c r="AQ199" s="88">
        <f t="shared" si="48"/>
        <v>1062.3529053697328</v>
      </c>
    </row>
    <row r="200" spans="1:317" s="9" customFormat="1" ht="13.2" customHeight="1" x14ac:dyDescent="0.25">
      <c r="A200" s="76">
        <v>19781</v>
      </c>
      <c r="B200" s="24">
        <v>145</v>
      </c>
      <c r="C200" s="8">
        <f t="shared" si="41"/>
        <v>6</v>
      </c>
      <c r="D200" s="8">
        <f t="shared" si="42"/>
        <v>7</v>
      </c>
      <c r="E200" s="24">
        <v>139</v>
      </c>
      <c r="F200" s="24">
        <v>152</v>
      </c>
      <c r="G200" s="3">
        <f t="shared" si="49"/>
        <v>7</v>
      </c>
      <c r="H200" s="25" t="s">
        <v>398</v>
      </c>
      <c r="I200" s="28">
        <v>267702</v>
      </c>
      <c r="J200" s="29" t="s">
        <v>219</v>
      </c>
      <c r="K200" s="29"/>
      <c r="L200" s="29" t="s">
        <v>603</v>
      </c>
      <c r="M200" s="96" t="s">
        <v>1</v>
      </c>
      <c r="N200" s="4" t="str">
        <f t="shared" si="50"/>
        <v>marine oil</v>
      </c>
      <c r="O200" s="96" t="s">
        <v>0</v>
      </c>
      <c r="P200" s="30">
        <f>AVERAGE(-30.34,-30.1)</f>
        <v>-30.22</v>
      </c>
      <c r="Q200" s="25" t="s">
        <v>293</v>
      </c>
      <c r="R200" s="25"/>
      <c r="S200" s="84">
        <f t="shared" si="51"/>
        <v>-26.72</v>
      </c>
      <c r="T200" s="5">
        <v>0.86</v>
      </c>
      <c r="U200" s="4" t="s">
        <v>2</v>
      </c>
      <c r="V200" s="88">
        <f t="shared" si="43"/>
        <v>-8.6356440903054441</v>
      </c>
      <c r="W200" s="88">
        <f t="shared" si="44"/>
        <v>-8.7756440903054447</v>
      </c>
      <c r="X200" s="88">
        <f t="shared" si="45"/>
        <v>18.436992345157055</v>
      </c>
      <c r="Y200" s="88">
        <v>28.2</v>
      </c>
      <c r="Z200" s="88"/>
      <c r="AA200" s="88"/>
      <c r="AB200" s="84"/>
      <c r="AC200" s="84">
        <f t="shared" si="46"/>
        <v>301.2</v>
      </c>
      <c r="AD200" s="84"/>
      <c r="AE200" s="5"/>
      <c r="AF200" s="5"/>
      <c r="AG200" s="5"/>
      <c r="AH200" s="5"/>
      <c r="AI200" s="5"/>
      <c r="AJ200" s="5"/>
      <c r="AK200" s="83" t="s">
        <v>259</v>
      </c>
      <c r="AL200" s="84"/>
      <c r="AM200" s="86">
        <v>170</v>
      </c>
      <c r="AN200" s="85">
        <f t="shared" si="39"/>
        <v>21.083943768537988</v>
      </c>
      <c r="AO200" s="85">
        <v>34</v>
      </c>
      <c r="AP200" s="87">
        <f t="shared" si="47"/>
        <v>2.7055386006487811E-2</v>
      </c>
      <c r="AQ200" s="88">
        <f t="shared" si="48"/>
        <v>779.2882261403372</v>
      </c>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row>
    <row r="201" spans="1:317" ht="13.2" customHeight="1" x14ac:dyDescent="0.25">
      <c r="A201" s="76">
        <v>19782</v>
      </c>
      <c r="B201" s="24">
        <v>145</v>
      </c>
      <c r="C201" s="8">
        <f t="shared" si="41"/>
        <v>6</v>
      </c>
      <c r="D201" s="8">
        <f t="shared" si="42"/>
        <v>7</v>
      </c>
      <c r="E201" s="24">
        <v>139</v>
      </c>
      <c r="F201" s="24">
        <v>152</v>
      </c>
      <c r="G201" s="3">
        <f t="shared" si="49"/>
        <v>7</v>
      </c>
      <c r="H201" s="25" t="s">
        <v>398</v>
      </c>
      <c r="I201" s="28">
        <v>267707</v>
      </c>
      <c r="J201" s="29" t="s">
        <v>219</v>
      </c>
      <c r="K201" s="29"/>
      <c r="L201" s="29" t="s">
        <v>603</v>
      </c>
      <c r="M201" s="96" t="s">
        <v>1</v>
      </c>
      <c r="N201" s="4" t="str">
        <f t="shared" si="50"/>
        <v>marine oil</v>
      </c>
      <c r="O201" s="96" t="s">
        <v>0</v>
      </c>
      <c r="P201" s="30">
        <f>AVERAGE(-29.64,-29.82)</f>
        <v>-29.73</v>
      </c>
      <c r="Q201" s="25" t="s">
        <v>293</v>
      </c>
      <c r="R201" s="25"/>
      <c r="S201" s="84">
        <f t="shared" si="51"/>
        <v>-26.23</v>
      </c>
      <c r="T201" s="5">
        <v>0.86</v>
      </c>
      <c r="U201" s="4" t="s">
        <v>2</v>
      </c>
      <c r="V201" s="88">
        <f t="shared" si="43"/>
        <v>-8.6356440903054441</v>
      </c>
      <c r="W201" s="88">
        <f t="shared" si="44"/>
        <v>-8.7756440903054447</v>
      </c>
      <c r="X201" s="88">
        <f t="shared" si="45"/>
        <v>17.924515963414933</v>
      </c>
      <c r="Y201" s="88">
        <v>28.2</v>
      </c>
      <c r="AB201" s="84"/>
      <c r="AC201" s="84">
        <f t="shared" si="46"/>
        <v>301.2</v>
      </c>
      <c r="AD201" s="84"/>
      <c r="AE201" s="5"/>
      <c r="AF201" s="5"/>
      <c r="AG201" s="5"/>
      <c r="AH201" s="5"/>
      <c r="AI201" s="5"/>
      <c r="AJ201" s="5"/>
      <c r="AK201" s="83" t="s">
        <v>259</v>
      </c>
      <c r="AM201" s="86">
        <v>170</v>
      </c>
      <c r="AN201" s="85">
        <f t="shared" si="39"/>
        <v>19.823953875342699</v>
      </c>
      <c r="AO201" s="85">
        <v>34</v>
      </c>
      <c r="AP201" s="87">
        <f t="shared" si="47"/>
        <v>2.7055386006487811E-2</v>
      </c>
      <c r="AQ201" s="88">
        <f t="shared" si="48"/>
        <v>732.71746596367052</v>
      </c>
    </row>
    <row r="202" spans="1:317" x14ac:dyDescent="0.25">
      <c r="A202" s="76">
        <v>19783</v>
      </c>
      <c r="B202" s="3">
        <v>145</v>
      </c>
      <c r="C202" s="8">
        <f t="shared" si="41"/>
        <v>0</v>
      </c>
      <c r="D202" s="8">
        <f t="shared" si="42"/>
        <v>7.0999999999999943</v>
      </c>
      <c r="E202" s="3">
        <v>145</v>
      </c>
      <c r="F202" s="3">
        <v>152.1</v>
      </c>
      <c r="G202" s="3">
        <f t="shared" si="49"/>
        <v>7.0999999999999943</v>
      </c>
      <c r="H202" s="4" t="s">
        <v>227</v>
      </c>
      <c r="I202" s="4">
        <v>1</v>
      </c>
      <c r="J202" s="4" t="s">
        <v>60</v>
      </c>
      <c r="K202" s="4"/>
      <c r="L202" s="4" t="s">
        <v>606</v>
      </c>
      <c r="M202" s="86" t="s">
        <v>4</v>
      </c>
      <c r="N202" s="4" t="str">
        <f t="shared" si="50"/>
        <v>marine sediment</v>
      </c>
      <c r="O202" s="86" t="s">
        <v>27</v>
      </c>
      <c r="P202" s="5">
        <v>-31.2</v>
      </c>
      <c r="Q202" s="4" t="s">
        <v>67</v>
      </c>
      <c r="S202" s="84">
        <f t="shared" si="51"/>
        <v>-27.7</v>
      </c>
      <c r="T202" s="5">
        <v>0.86</v>
      </c>
      <c r="U202" s="4" t="s">
        <v>2</v>
      </c>
      <c r="V202" s="88">
        <f t="shared" si="43"/>
        <v>-9.6676712328767103</v>
      </c>
      <c r="W202" s="88">
        <f t="shared" si="44"/>
        <v>-9.8076712328767108</v>
      </c>
      <c r="X202" s="88">
        <f t="shared" si="45"/>
        <v>18.402065995190007</v>
      </c>
      <c r="Y202" s="88">
        <v>19</v>
      </c>
      <c r="AB202" s="84"/>
      <c r="AC202" s="84">
        <f t="shared" si="46"/>
        <v>292</v>
      </c>
      <c r="AD202" s="84"/>
      <c r="AE202" s="23"/>
      <c r="AF202" s="23"/>
      <c r="AG202" s="23"/>
      <c r="AH202" s="23"/>
      <c r="AI202" s="23"/>
      <c r="AJ202" s="23"/>
      <c r="AK202" s="83" t="s">
        <v>400</v>
      </c>
      <c r="AL202" s="83" t="s">
        <v>399</v>
      </c>
      <c r="AM202" s="86">
        <v>170</v>
      </c>
      <c r="AN202" s="85">
        <f t="shared" si="39"/>
        <v>20.993008821635712</v>
      </c>
      <c r="AO202" s="85">
        <v>34</v>
      </c>
      <c r="AP202" s="87">
        <f t="shared" si="47"/>
        <v>3.4473177581195849E-2</v>
      </c>
      <c r="AQ202" s="88">
        <f t="shared" si="48"/>
        <v>608.96645724607674</v>
      </c>
    </row>
    <row r="203" spans="1:317" x14ac:dyDescent="0.25">
      <c r="A203" s="76">
        <v>19784</v>
      </c>
      <c r="B203" s="3">
        <v>145</v>
      </c>
      <c r="C203" s="8">
        <f t="shared" si="41"/>
        <v>0</v>
      </c>
      <c r="D203" s="8">
        <f t="shared" si="42"/>
        <v>7.0999999999999943</v>
      </c>
      <c r="E203" s="3">
        <v>145</v>
      </c>
      <c r="F203" s="3">
        <v>152.1</v>
      </c>
      <c r="G203" s="3">
        <f t="shared" si="49"/>
        <v>7.0999999999999943</v>
      </c>
      <c r="H203" s="4" t="s">
        <v>227</v>
      </c>
      <c r="I203" s="4">
        <v>2</v>
      </c>
      <c r="J203" s="4" t="s">
        <v>60</v>
      </c>
      <c r="K203" s="4"/>
      <c r="L203" s="4" t="s">
        <v>606</v>
      </c>
      <c r="M203" s="86" t="s">
        <v>4</v>
      </c>
      <c r="N203" s="4" t="str">
        <f t="shared" si="50"/>
        <v>marine sediment</v>
      </c>
      <c r="O203" s="86" t="s">
        <v>27</v>
      </c>
      <c r="P203" s="5">
        <v>-30.9</v>
      </c>
      <c r="Q203" s="4" t="s">
        <v>67</v>
      </c>
      <c r="S203" s="84">
        <f t="shared" si="51"/>
        <v>-27.4</v>
      </c>
      <c r="T203" s="5">
        <v>0.86</v>
      </c>
      <c r="U203" s="4" t="s">
        <v>2</v>
      </c>
      <c r="V203" s="88">
        <f t="shared" si="43"/>
        <v>-9.6676712328767103</v>
      </c>
      <c r="W203" s="88">
        <f t="shared" si="44"/>
        <v>-9.8076712328767108</v>
      </c>
      <c r="X203" s="88">
        <f t="shared" si="45"/>
        <v>18.087938275882507</v>
      </c>
      <c r="Y203" s="88">
        <v>19</v>
      </c>
      <c r="AB203" s="84"/>
      <c r="AC203" s="84">
        <f t="shared" si="46"/>
        <v>292</v>
      </c>
      <c r="AD203" s="84"/>
      <c r="AE203" s="23"/>
      <c r="AF203" s="23"/>
      <c r="AG203" s="23"/>
      <c r="AH203" s="23"/>
      <c r="AI203" s="23"/>
      <c r="AJ203" s="23"/>
      <c r="AK203" s="83" t="s">
        <v>400</v>
      </c>
      <c r="AL203" s="83" t="s">
        <v>399</v>
      </c>
      <c r="AM203" s="86">
        <v>170</v>
      </c>
      <c r="AN203" s="85">
        <f t="shared" si="39"/>
        <v>20.209076630121217</v>
      </c>
      <c r="AO203" s="85">
        <v>34</v>
      </c>
      <c r="AP203" s="87">
        <f t="shared" si="47"/>
        <v>3.4473177581195849E-2</v>
      </c>
      <c r="AQ203" s="88">
        <f t="shared" si="48"/>
        <v>586.22610528205848</v>
      </c>
    </row>
    <row r="204" spans="1:317" ht="13.2" customHeight="1" x14ac:dyDescent="0.25">
      <c r="A204" s="76">
        <v>19785</v>
      </c>
      <c r="B204" s="3">
        <v>146</v>
      </c>
      <c r="C204" s="8">
        <f t="shared" si="41"/>
        <v>1</v>
      </c>
      <c r="D204" s="8">
        <f t="shared" si="42"/>
        <v>6.0999999999999943</v>
      </c>
      <c r="E204" s="3">
        <v>145</v>
      </c>
      <c r="F204" s="3">
        <v>152.1</v>
      </c>
      <c r="G204" s="3">
        <f t="shared" si="49"/>
        <v>6.0999999999999943</v>
      </c>
      <c r="H204" s="4" t="s">
        <v>227</v>
      </c>
      <c r="I204" s="4">
        <v>3</v>
      </c>
      <c r="J204" s="4" t="s">
        <v>60</v>
      </c>
      <c r="K204" s="4"/>
      <c r="L204" s="4" t="s">
        <v>606</v>
      </c>
      <c r="M204" s="86" t="s">
        <v>4</v>
      </c>
      <c r="N204" s="4" t="str">
        <f t="shared" si="50"/>
        <v>marine sediment</v>
      </c>
      <c r="O204" s="86" t="s">
        <v>27</v>
      </c>
      <c r="P204" s="5">
        <v>-30.1</v>
      </c>
      <c r="Q204" s="4" t="s">
        <v>67</v>
      </c>
      <c r="S204" s="84">
        <f t="shared" si="51"/>
        <v>-26.6</v>
      </c>
      <c r="T204" s="5">
        <v>1</v>
      </c>
      <c r="U204" s="4" t="s">
        <v>2</v>
      </c>
      <c r="V204" s="88">
        <f t="shared" si="43"/>
        <v>-9.6676712328767103</v>
      </c>
      <c r="W204" s="88">
        <f t="shared" si="44"/>
        <v>-9.6676712328767103</v>
      </c>
      <c r="X204" s="88">
        <f t="shared" si="45"/>
        <v>17.395036744527694</v>
      </c>
      <c r="Y204" s="88">
        <v>19</v>
      </c>
      <c r="AB204" s="84"/>
      <c r="AC204" s="84">
        <f t="shared" si="46"/>
        <v>292</v>
      </c>
      <c r="AD204" s="84"/>
      <c r="AE204" s="23"/>
      <c r="AF204" s="23"/>
      <c r="AG204" s="23"/>
      <c r="AH204" s="23"/>
      <c r="AI204" s="23"/>
      <c r="AJ204" s="23"/>
      <c r="AK204" s="83" t="s">
        <v>400</v>
      </c>
      <c r="AL204" s="83" t="s">
        <v>399</v>
      </c>
      <c r="AM204" s="86">
        <v>170</v>
      </c>
      <c r="AN204" s="85">
        <f t="shared" si="39"/>
        <v>18.671135207253673</v>
      </c>
      <c r="AO204" s="85">
        <v>34</v>
      </c>
      <c r="AP204" s="87">
        <f t="shared" si="47"/>
        <v>3.4473177581195849E-2</v>
      </c>
      <c r="AQ204" s="88">
        <f t="shared" si="48"/>
        <v>541.6134083745809</v>
      </c>
    </row>
    <row r="205" spans="1:317" x14ac:dyDescent="0.25">
      <c r="A205" s="76">
        <v>19786</v>
      </c>
      <c r="B205" s="3">
        <v>146</v>
      </c>
      <c r="C205" s="8">
        <f t="shared" si="41"/>
        <v>1</v>
      </c>
      <c r="D205" s="8">
        <f t="shared" si="42"/>
        <v>6.0999999999999943</v>
      </c>
      <c r="E205" s="3">
        <v>145</v>
      </c>
      <c r="F205" s="3">
        <v>152.1</v>
      </c>
      <c r="G205" s="3">
        <f t="shared" si="49"/>
        <v>6.0999999999999943</v>
      </c>
      <c r="H205" s="4" t="s">
        <v>227</v>
      </c>
      <c r="I205" s="4" t="s">
        <v>66</v>
      </c>
      <c r="J205" s="4" t="s">
        <v>60</v>
      </c>
      <c r="K205" s="4"/>
      <c r="L205" s="4" t="s">
        <v>606</v>
      </c>
      <c r="M205" s="86" t="s">
        <v>4</v>
      </c>
      <c r="N205" s="4" t="str">
        <f t="shared" si="50"/>
        <v>marine sediment</v>
      </c>
      <c r="O205" s="86" t="s">
        <v>27</v>
      </c>
      <c r="P205" s="5">
        <v>-32</v>
      </c>
      <c r="Q205" s="4" t="s">
        <v>59</v>
      </c>
      <c r="S205" s="84">
        <f t="shared" si="51"/>
        <v>-28.5</v>
      </c>
      <c r="T205" s="5">
        <v>1</v>
      </c>
      <c r="U205" s="4" t="s">
        <v>2</v>
      </c>
      <c r="V205" s="88">
        <f t="shared" si="43"/>
        <v>-9.6676712328767103</v>
      </c>
      <c r="W205" s="88">
        <f t="shared" si="44"/>
        <v>-9.6676712328767103</v>
      </c>
      <c r="X205" s="88">
        <f t="shared" si="45"/>
        <v>19.384795437080051</v>
      </c>
      <c r="Y205" s="88">
        <v>19</v>
      </c>
      <c r="AB205" s="84"/>
      <c r="AC205" s="84">
        <f t="shared" si="46"/>
        <v>292</v>
      </c>
      <c r="AD205" s="84"/>
      <c r="AE205" s="23"/>
      <c r="AF205" s="23"/>
      <c r="AG205" s="23"/>
      <c r="AH205" s="23"/>
      <c r="AI205" s="23"/>
      <c r="AJ205" s="23"/>
      <c r="AK205" s="83" t="s">
        <v>400</v>
      </c>
      <c r="AL205" s="83" t="s">
        <v>399</v>
      </c>
      <c r="AM205" s="86">
        <v>170</v>
      </c>
      <c r="AN205" s="85">
        <f t="shared" si="39"/>
        <v>23.892496483647847</v>
      </c>
      <c r="AO205" s="85">
        <v>34</v>
      </c>
      <c r="AP205" s="87">
        <f t="shared" si="47"/>
        <v>3.4473177581195849E-2</v>
      </c>
      <c r="AQ205" s="88">
        <f t="shared" si="48"/>
        <v>693.07496900664398</v>
      </c>
    </row>
    <row r="206" spans="1:317" x14ac:dyDescent="0.25">
      <c r="A206" s="76">
        <v>19787</v>
      </c>
      <c r="B206" s="3">
        <v>146</v>
      </c>
      <c r="C206" s="8">
        <f t="shared" si="41"/>
        <v>8</v>
      </c>
      <c r="D206" s="8">
        <f t="shared" si="42"/>
        <v>4</v>
      </c>
      <c r="E206" s="3">
        <v>138</v>
      </c>
      <c r="F206" s="3">
        <v>150</v>
      </c>
      <c r="G206" s="3">
        <f t="shared" si="49"/>
        <v>8</v>
      </c>
      <c r="H206" s="4" t="s">
        <v>324</v>
      </c>
      <c r="I206" s="4" t="s">
        <v>326</v>
      </c>
      <c r="J206" s="4" t="s">
        <v>332</v>
      </c>
      <c r="K206" s="4"/>
      <c r="L206" s="4"/>
      <c r="M206" s="86" t="s">
        <v>1</v>
      </c>
      <c r="N206" s="4" t="str">
        <f t="shared" si="50"/>
        <v>marine oil</v>
      </c>
      <c r="O206" s="86" t="s">
        <v>0</v>
      </c>
      <c r="P206" s="5">
        <v>-32.1</v>
      </c>
      <c r="Q206" s="4" t="s">
        <v>317</v>
      </c>
      <c r="S206" s="84">
        <f t="shared" si="51"/>
        <v>-28.6</v>
      </c>
      <c r="T206" s="5">
        <v>2</v>
      </c>
      <c r="U206" s="4" t="s">
        <v>339</v>
      </c>
      <c r="V206" s="88">
        <f t="shared" si="43"/>
        <v>-10.148843348384855</v>
      </c>
      <c r="W206" s="88">
        <f t="shared" si="44"/>
        <v>-9.1488433483848546</v>
      </c>
      <c r="X206" s="88">
        <f t="shared" si="45"/>
        <v>20.023838430734074</v>
      </c>
      <c r="Y206" s="88">
        <f>Z206+AA206</f>
        <v>14.9</v>
      </c>
      <c r="Z206" s="88">
        <v>9.4</v>
      </c>
      <c r="AA206" s="88">
        <v>5.5</v>
      </c>
      <c r="AB206" s="84" t="s">
        <v>176</v>
      </c>
      <c r="AC206" s="84">
        <f t="shared" si="46"/>
        <v>287.89999999999998</v>
      </c>
      <c r="AD206" s="84">
        <v>61.26</v>
      </c>
      <c r="AE206" s="1" t="s">
        <v>414</v>
      </c>
      <c r="AF206" s="1" t="s">
        <v>572</v>
      </c>
      <c r="AG206" s="23"/>
      <c r="AH206" s="1" t="s">
        <v>573</v>
      </c>
      <c r="AI206" s="23"/>
      <c r="AJ206" s="23"/>
      <c r="AK206" s="83"/>
      <c r="AM206" s="86">
        <v>170</v>
      </c>
      <c r="AN206" s="85">
        <f t="shared" si="39"/>
        <v>26.250117169215333</v>
      </c>
      <c r="AO206" s="85">
        <v>34</v>
      </c>
      <c r="AP206" s="87">
        <f t="shared" si="47"/>
        <v>3.8921288459641407E-2</v>
      </c>
      <c r="AQ206" s="88">
        <f t="shared" si="48"/>
        <v>674.44111456985365</v>
      </c>
    </row>
    <row r="207" spans="1:317" x14ac:dyDescent="0.25">
      <c r="A207" s="76">
        <v>19788</v>
      </c>
      <c r="B207" s="3">
        <v>147</v>
      </c>
      <c r="C207" s="8">
        <f t="shared" si="41"/>
        <v>2</v>
      </c>
      <c r="D207" s="8">
        <f t="shared" si="42"/>
        <v>5.0999999999999943</v>
      </c>
      <c r="E207" s="3">
        <v>145</v>
      </c>
      <c r="F207" s="3">
        <v>152.1</v>
      </c>
      <c r="G207" s="3">
        <f t="shared" si="49"/>
        <v>5.0999999999999943</v>
      </c>
      <c r="H207" s="4" t="s">
        <v>227</v>
      </c>
      <c r="I207" s="4" t="s">
        <v>65</v>
      </c>
      <c r="J207" s="4" t="s">
        <v>60</v>
      </c>
      <c r="K207" s="4"/>
      <c r="L207" s="4" t="s">
        <v>606</v>
      </c>
      <c r="M207" s="86" t="s">
        <v>4</v>
      </c>
      <c r="N207" s="4" t="str">
        <f t="shared" si="50"/>
        <v>marine sediment</v>
      </c>
      <c r="O207" s="86" t="s">
        <v>27</v>
      </c>
      <c r="P207" s="5">
        <v>-32.1</v>
      </c>
      <c r="Q207" s="4" t="s">
        <v>59</v>
      </c>
      <c r="S207" s="84">
        <f t="shared" si="51"/>
        <v>-28.6</v>
      </c>
      <c r="T207" s="5">
        <v>1.2</v>
      </c>
      <c r="U207" s="4" t="s">
        <v>2</v>
      </c>
      <c r="V207" s="88">
        <f t="shared" si="43"/>
        <v>-9.6676712328767103</v>
      </c>
      <c r="W207" s="88">
        <f t="shared" si="44"/>
        <v>-9.467671232876711</v>
      </c>
      <c r="X207" s="88">
        <f t="shared" si="45"/>
        <v>19.695623602144607</v>
      </c>
      <c r="Y207" s="88">
        <v>19</v>
      </c>
      <c r="AB207" s="84"/>
      <c r="AC207" s="84">
        <f t="shared" si="46"/>
        <v>292</v>
      </c>
      <c r="AD207" s="84"/>
      <c r="AE207" s="23"/>
      <c r="AF207" s="23"/>
      <c r="AG207" s="23"/>
      <c r="AH207" s="23"/>
      <c r="AI207" s="23"/>
      <c r="AJ207" s="23"/>
      <c r="AK207" s="83" t="s">
        <v>400</v>
      </c>
      <c r="AL207" s="83" t="s">
        <v>399</v>
      </c>
      <c r="AM207" s="86">
        <v>170</v>
      </c>
      <c r="AN207" s="85">
        <f t="shared" si="39"/>
        <v>24.983920650477344</v>
      </c>
      <c r="AO207" s="85">
        <v>34</v>
      </c>
      <c r="AP207" s="87">
        <f t="shared" si="47"/>
        <v>3.4473177581195849E-2</v>
      </c>
      <c r="AQ207" s="88">
        <f t="shared" si="48"/>
        <v>724.73506660741862</v>
      </c>
    </row>
    <row r="208" spans="1:317" x14ac:dyDescent="0.25">
      <c r="A208" s="76">
        <v>19789</v>
      </c>
      <c r="B208" s="3">
        <v>148</v>
      </c>
      <c r="C208" s="8">
        <f t="shared" si="41"/>
        <v>3</v>
      </c>
      <c r="D208" s="8">
        <f t="shared" si="42"/>
        <v>4.0999999999999943</v>
      </c>
      <c r="E208" s="3">
        <v>145</v>
      </c>
      <c r="F208" s="3">
        <v>152.1</v>
      </c>
      <c r="G208" s="3">
        <f t="shared" si="49"/>
        <v>4.0999999999999943</v>
      </c>
      <c r="H208" s="4" t="s">
        <v>227</v>
      </c>
      <c r="I208" s="4" t="s">
        <v>64</v>
      </c>
      <c r="J208" s="4" t="s">
        <v>60</v>
      </c>
      <c r="K208" s="4"/>
      <c r="L208" s="4" t="s">
        <v>606</v>
      </c>
      <c r="M208" s="86" t="s">
        <v>4</v>
      </c>
      <c r="N208" s="4" t="str">
        <f t="shared" si="50"/>
        <v>marine sediment</v>
      </c>
      <c r="O208" s="86" t="s">
        <v>27</v>
      </c>
      <c r="P208" s="5">
        <v>-32.5</v>
      </c>
      <c r="Q208" s="4" t="s">
        <v>59</v>
      </c>
      <c r="S208" s="84">
        <f t="shared" si="51"/>
        <v>-29</v>
      </c>
      <c r="T208" s="5">
        <v>1.3</v>
      </c>
      <c r="U208" s="4" t="s">
        <v>2</v>
      </c>
      <c r="V208" s="88">
        <f t="shared" si="43"/>
        <v>-9.6676712328767103</v>
      </c>
      <c r="W208" s="88">
        <f t="shared" si="44"/>
        <v>-9.3676712328767096</v>
      </c>
      <c r="X208" s="88">
        <f t="shared" si="45"/>
        <v>20.218670203010713</v>
      </c>
      <c r="Y208" s="88">
        <v>19</v>
      </c>
      <c r="AB208" s="84"/>
      <c r="AC208" s="84">
        <f t="shared" si="46"/>
        <v>292</v>
      </c>
      <c r="AD208" s="84"/>
      <c r="AE208" s="23"/>
      <c r="AF208" s="23"/>
      <c r="AG208" s="23"/>
      <c r="AH208" s="23"/>
      <c r="AI208" s="23"/>
      <c r="AJ208" s="23"/>
      <c r="AK208" s="83" t="s">
        <v>400</v>
      </c>
      <c r="AL208" s="83" t="s">
        <v>399</v>
      </c>
      <c r="AM208" s="86">
        <v>170</v>
      </c>
      <c r="AN208" s="85">
        <f t="shared" si="39"/>
        <v>27.064332791677799</v>
      </c>
      <c r="AO208" s="85">
        <v>34</v>
      </c>
      <c r="AP208" s="87">
        <f t="shared" si="47"/>
        <v>3.4473177581195849E-2</v>
      </c>
      <c r="AQ208" s="88">
        <f t="shared" si="48"/>
        <v>785.08378660285246</v>
      </c>
    </row>
    <row r="209" spans="1:317" x14ac:dyDescent="0.25">
      <c r="A209" s="76">
        <v>19790</v>
      </c>
      <c r="B209" s="3">
        <v>148</v>
      </c>
      <c r="C209" s="8">
        <f t="shared" si="41"/>
        <v>3</v>
      </c>
      <c r="D209" s="8">
        <f t="shared" si="42"/>
        <v>4.0999999999999943</v>
      </c>
      <c r="E209" s="3">
        <v>145</v>
      </c>
      <c r="F209" s="3">
        <v>152.1</v>
      </c>
      <c r="G209" s="3">
        <f t="shared" si="49"/>
        <v>4.0999999999999943</v>
      </c>
      <c r="H209" s="4" t="s">
        <v>227</v>
      </c>
      <c r="I209" s="4" t="s">
        <v>70</v>
      </c>
      <c r="J209" s="4" t="s">
        <v>69</v>
      </c>
      <c r="K209" s="4"/>
      <c r="L209" s="4" t="s">
        <v>69</v>
      </c>
      <c r="M209" s="86" t="s">
        <v>1</v>
      </c>
      <c r="N209" s="4" t="str">
        <f t="shared" si="50"/>
        <v>marine oil</v>
      </c>
      <c r="O209" s="86" t="s">
        <v>27</v>
      </c>
      <c r="P209" s="5">
        <v>-30.5</v>
      </c>
      <c r="Q209" s="4" t="s">
        <v>21</v>
      </c>
      <c r="S209" s="84">
        <f t="shared" si="51"/>
        <v>-27</v>
      </c>
      <c r="T209" s="5">
        <v>1.3</v>
      </c>
      <c r="U209" s="4" t="s">
        <v>2</v>
      </c>
      <c r="V209" s="88">
        <f t="shared" si="43"/>
        <v>-9.6676712328767103</v>
      </c>
      <c r="W209" s="88">
        <f t="shared" si="44"/>
        <v>-9.3676712328767096</v>
      </c>
      <c r="X209" s="88">
        <f t="shared" si="45"/>
        <v>18.121612299201839</v>
      </c>
      <c r="Y209" s="88">
        <v>19</v>
      </c>
      <c r="AB209" s="84"/>
      <c r="AC209" s="84">
        <f t="shared" si="46"/>
        <v>292</v>
      </c>
      <c r="AD209" s="84"/>
      <c r="AE209" s="23"/>
      <c r="AF209" s="23"/>
      <c r="AG209" s="23"/>
      <c r="AH209" s="23"/>
      <c r="AI209" s="23"/>
      <c r="AJ209" s="23"/>
      <c r="AK209" s="83" t="s">
        <v>400</v>
      </c>
      <c r="AL209" s="83" t="s">
        <v>399</v>
      </c>
      <c r="AM209" s="86">
        <v>170</v>
      </c>
      <c r="AN209" s="85">
        <f t="shared" si="39"/>
        <v>20.29030000411715</v>
      </c>
      <c r="AO209" s="85">
        <v>34</v>
      </c>
      <c r="AP209" s="87">
        <f t="shared" si="47"/>
        <v>3.4473177581195849E-2</v>
      </c>
      <c r="AQ209" s="88">
        <f t="shared" si="48"/>
        <v>588.58223777969738</v>
      </c>
    </row>
    <row r="210" spans="1:317" ht="13.2" customHeight="1" x14ac:dyDescent="0.25">
      <c r="A210" s="76">
        <v>19791</v>
      </c>
      <c r="B210" s="3">
        <v>148</v>
      </c>
      <c r="C210" s="8">
        <f t="shared" si="41"/>
        <v>10</v>
      </c>
      <c r="D210" s="8">
        <f t="shared" si="42"/>
        <v>2</v>
      </c>
      <c r="E210" s="3">
        <v>138</v>
      </c>
      <c r="F210" s="3">
        <v>150</v>
      </c>
      <c r="G210" s="3">
        <f t="shared" si="49"/>
        <v>10</v>
      </c>
      <c r="H210" s="4" t="s">
        <v>324</v>
      </c>
      <c r="I210" s="4" t="s">
        <v>325</v>
      </c>
      <c r="J210" s="4" t="s">
        <v>332</v>
      </c>
      <c r="K210" s="4"/>
      <c r="L210" s="4"/>
      <c r="M210" s="86" t="s">
        <v>1</v>
      </c>
      <c r="N210" s="4" t="str">
        <f t="shared" si="50"/>
        <v>marine oil</v>
      </c>
      <c r="O210" s="86" t="s">
        <v>0</v>
      </c>
      <c r="P210" s="5">
        <v>-31.6</v>
      </c>
      <c r="Q210" s="4" t="s">
        <v>317</v>
      </c>
      <c r="S210" s="84">
        <f t="shared" si="51"/>
        <v>-28.1</v>
      </c>
      <c r="T210" s="5">
        <v>2</v>
      </c>
      <c r="U210" s="4" t="s">
        <v>339</v>
      </c>
      <c r="V210" s="88">
        <f t="shared" si="43"/>
        <v>-10.172665971498088</v>
      </c>
      <c r="W210" s="88">
        <f t="shared" si="44"/>
        <v>-9.1726659714980876</v>
      </c>
      <c r="X210" s="88">
        <f t="shared" si="45"/>
        <v>19.474569429470012</v>
      </c>
      <c r="Y210" s="88">
        <f>Z210+AA210</f>
        <v>14.7</v>
      </c>
      <c r="Z210" s="88">
        <v>9.4</v>
      </c>
      <c r="AA210" s="88">
        <v>5.3</v>
      </c>
      <c r="AB210" s="84" t="s">
        <v>176</v>
      </c>
      <c r="AC210" s="84">
        <f t="shared" si="46"/>
        <v>287.7</v>
      </c>
      <c r="AD210" s="84">
        <v>62.04</v>
      </c>
      <c r="AE210" s="1" t="s">
        <v>414</v>
      </c>
      <c r="AF210" s="1" t="s">
        <v>572</v>
      </c>
      <c r="AG210" s="23"/>
      <c r="AH210" s="1" t="s">
        <v>573</v>
      </c>
      <c r="AI210" s="23"/>
      <c r="AJ210" s="23"/>
      <c r="AK210" s="83"/>
      <c r="AM210" s="86">
        <v>170</v>
      </c>
      <c r="AN210" s="85">
        <f t="shared" si="39"/>
        <v>24.197805144229822</v>
      </c>
      <c r="AO210" s="85">
        <v>34</v>
      </c>
      <c r="AP210" s="87">
        <f t="shared" si="47"/>
        <v>3.9161077773340804E-2</v>
      </c>
      <c r="AQ210" s="88">
        <f t="shared" si="48"/>
        <v>617.90447352556419</v>
      </c>
    </row>
    <row r="211" spans="1:317" ht="13.2" customHeight="1" x14ac:dyDescent="0.25">
      <c r="A211" s="76">
        <v>19792</v>
      </c>
      <c r="B211" s="3">
        <v>149</v>
      </c>
      <c r="C211" s="8">
        <f t="shared" si="41"/>
        <v>4</v>
      </c>
      <c r="D211" s="8">
        <f t="shared" si="42"/>
        <v>3.0999999999999943</v>
      </c>
      <c r="E211" s="3">
        <v>145</v>
      </c>
      <c r="F211" s="3">
        <v>152.1</v>
      </c>
      <c r="G211" s="3">
        <f t="shared" si="49"/>
        <v>4</v>
      </c>
      <c r="H211" s="4" t="s">
        <v>227</v>
      </c>
      <c r="I211" s="4" t="s">
        <v>63</v>
      </c>
      <c r="J211" s="4" t="s">
        <v>60</v>
      </c>
      <c r="K211" s="4"/>
      <c r="L211" s="4" t="s">
        <v>606</v>
      </c>
      <c r="M211" s="86" t="s">
        <v>4</v>
      </c>
      <c r="N211" s="4" t="str">
        <f t="shared" si="50"/>
        <v>marine sediment</v>
      </c>
      <c r="O211" s="86" t="s">
        <v>27</v>
      </c>
      <c r="P211" s="5">
        <v>-32</v>
      </c>
      <c r="Q211" s="4" t="s">
        <v>59</v>
      </c>
      <c r="S211" s="84">
        <f t="shared" si="51"/>
        <v>-28.5</v>
      </c>
      <c r="T211" s="5">
        <v>1.5</v>
      </c>
      <c r="U211" s="4" t="s">
        <v>2</v>
      </c>
      <c r="V211" s="88">
        <f t="shared" si="43"/>
        <v>-9.6676712328767103</v>
      </c>
      <c r="W211" s="88">
        <f t="shared" si="44"/>
        <v>-9.1676712328767103</v>
      </c>
      <c r="X211" s="88">
        <f t="shared" si="45"/>
        <v>19.899463476194867</v>
      </c>
      <c r="Y211" s="88">
        <v>19</v>
      </c>
      <c r="AB211" s="84"/>
      <c r="AC211" s="84">
        <f t="shared" si="46"/>
        <v>292</v>
      </c>
      <c r="AD211" s="84"/>
      <c r="AE211" s="23"/>
      <c r="AF211" s="23"/>
      <c r="AG211" s="23"/>
      <c r="AH211" s="23"/>
      <c r="AI211" s="23"/>
      <c r="AJ211" s="23"/>
      <c r="AK211" s="83" t="s">
        <v>400</v>
      </c>
      <c r="AL211" s="83" t="s">
        <v>399</v>
      </c>
      <c r="AM211" s="86">
        <v>170</v>
      </c>
      <c r="AN211" s="85">
        <f t="shared" si="39"/>
        <v>25.755482056176394</v>
      </c>
      <c r="AO211" s="85">
        <v>34</v>
      </c>
      <c r="AP211" s="87">
        <f t="shared" si="47"/>
        <v>3.4473177581195849E-2</v>
      </c>
      <c r="AQ211" s="88">
        <f t="shared" si="48"/>
        <v>747.11656607557074</v>
      </c>
    </row>
    <row r="212" spans="1:317" s="15" customFormat="1" x14ac:dyDescent="0.25">
      <c r="A212" s="76">
        <v>19793</v>
      </c>
      <c r="B212" s="3">
        <v>149</v>
      </c>
      <c r="C212" s="8">
        <f t="shared" si="41"/>
        <v>4</v>
      </c>
      <c r="D212" s="8">
        <f t="shared" si="42"/>
        <v>3.0999999999999943</v>
      </c>
      <c r="E212" s="3">
        <v>145</v>
      </c>
      <c r="F212" s="3">
        <v>152.1</v>
      </c>
      <c r="G212" s="3">
        <f t="shared" si="49"/>
        <v>4</v>
      </c>
      <c r="H212" s="4" t="s">
        <v>227</v>
      </c>
      <c r="I212" s="4" t="s">
        <v>68</v>
      </c>
      <c r="J212" s="4" t="s">
        <v>60</v>
      </c>
      <c r="K212" s="4"/>
      <c r="L212" s="4" t="s">
        <v>606</v>
      </c>
      <c r="M212" s="86" t="s">
        <v>4</v>
      </c>
      <c r="N212" s="4" t="str">
        <f t="shared" si="50"/>
        <v>marine sediment</v>
      </c>
      <c r="O212" s="86" t="s">
        <v>27</v>
      </c>
      <c r="P212" s="5">
        <v>-31.2</v>
      </c>
      <c r="Q212" s="4" t="s">
        <v>21</v>
      </c>
      <c r="R212" s="4"/>
      <c r="S212" s="84">
        <f t="shared" si="51"/>
        <v>-27.7</v>
      </c>
      <c r="T212" s="5">
        <v>1.5</v>
      </c>
      <c r="U212" s="4" t="s">
        <v>2</v>
      </c>
      <c r="V212" s="88">
        <f t="shared" si="43"/>
        <v>-9.6676712328767103</v>
      </c>
      <c r="W212" s="88">
        <f t="shared" si="44"/>
        <v>-9.1676712328767103</v>
      </c>
      <c r="X212" s="88">
        <f t="shared" si="45"/>
        <v>19.060299050831286</v>
      </c>
      <c r="Y212" s="88">
        <v>19</v>
      </c>
      <c r="Z212" s="88"/>
      <c r="AA212" s="88"/>
      <c r="AB212" s="84"/>
      <c r="AC212" s="84">
        <f t="shared" si="46"/>
        <v>292</v>
      </c>
      <c r="AD212" s="84"/>
      <c r="AE212" s="23"/>
      <c r="AF212" s="23"/>
      <c r="AG212" s="23"/>
      <c r="AH212" s="23"/>
      <c r="AI212" s="23"/>
      <c r="AJ212" s="23"/>
      <c r="AK212" s="83" t="s">
        <v>400</v>
      </c>
      <c r="AL212" s="83" t="s">
        <v>399</v>
      </c>
      <c r="AM212" s="86">
        <v>170</v>
      </c>
      <c r="AN212" s="85">
        <f t="shared" si="39"/>
        <v>22.85038083674522</v>
      </c>
      <c r="AO212" s="85">
        <v>34</v>
      </c>
      <c r="AP212" s="87">
        <f t="shared" si="47"/>
        <v>3.4473177581195849E-2</v>
      </c>
      <c r="AQ212" s="88">
        <f t="shared" si="48"/>
        <v>662.84521590517556</v>
      </c>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c r="JL212" s="1"/>
      <c r="JM212" s="1"/>
      <c r="JN212" s="1"/>
      <c r="JO212" s="1"/>
      <c r="JP212" s="1"/>
      <c r="JQ212" s="1"/>
      <c r="JR212" s="1"/>
      <c r="JS212" s="1"/>
      <c r="JT212" s="1"/>
      <c r="JU212" s="1"/>
      <c r="JV212" s="1"/>
      <c r="JW212" s="1"/>
      <c r="JX212" s="1"/>
      <c r="JY212" s="1"/>
      <c r="JZ212" s="1"/>
      <c r="KA212" s="1"/>
      <c r="KB212" s="1"/>
      <c r="KC212" s="1"/>
      <c r="KD212" s="1"/>
      <c r="KE212" s="1"/>
      <c r="KF212" s="1"/>
      <c r="KG212" s="1"/>
      <c r="KH212" s="1"/>
      <c r="KI212" s="1"/>
      <c r="KJ212" s="1"/>
      <c r="KK212" s="1"/>
      <c r="KL212" s="1"/>
      <c r="KM212" s="1"/>
      <c r="KN212" s="1"/>
      <c r="KO212" s="1"/>
      <c r="KP212" s="1"/>
      <c r="KQ212" s="1"/>
      <c r="KR212" s="1"/>
      <c r="KS212" s="1"/>
      <c r="KT212" s="1"/>
      <c r="KU212" s="1"/>
      <c r="KV212" s="1"/>
      <c r="KW212" s="1"/>
      <c r="KX212" s="1"/>
      <c r="KY212" s="1"/>
      <c r="KZ212" s="1"/>
      <c r="LA212" s="1"/>
      <c r="LB212" s="1"/>
      <c r="LC212" s="1"/>
      <c r="LD212" s="1"/>
      <c r="LE212" s="1"/>
    </row>
    <row r="213" spans="1:317" x14ac:dyDescent="0.25">
      <c r="A213" s="76">
        <v>19794</v>
      </c>
      <c r="B213" s="3">
        <v>150</v>
      </c>
      <c r="C213" s="8">
        <f t="shared" si="41"/>
        <v>5</v>
      </c>
      <c r="D213" s="8">
        <f t="shared" si="42"/>
        <v>2.0999999999999943</v>
      </c>
      <c r="E213" s="3">
        <v>145</v>
      </c>
      <c r="F213" s="3">
        <v>152.1</v>
      </c>
      <c r="G213" s="3">
        <f t="shared" si="49"/>
        <v>5</v>
      </c>
      <c r="H213" s="4" t="s">
        <v>227</v>
      </c>
      <c r="I213" s="4" t="s">
        <v>62</v>
      </c>
      <c r="J213" s="4" t="s">
        <v>60</v>
      </c>
      <c r="K213" s="4"/>
      <c r="L213" s="4" t="s">
        <v>606</v>
      </c>
      <c r="M213" s="86" t="s">
        <v>4</v>
      </c>
      <c r="N213" s="4" t="str">
        <f t="shared" si="50"/>
        <v>marine sediment</v>
      </c>
      <c r="O213" s="86" t="s">
        <v>27</v>
      </c>
      <c r="P213" s="5">
        <v>-31.7</v>
      </c>
      <c r="Q213" s="4" t="s">
        <v>59</v>
      </c>
      <c r="S213" s="84">
        <f t="shared" si="51"/>
        <v>-28.2</v>
      </c>
      <c r="T213" s="5">
        <v>1.63</v>
      </c>
      <c r="U213" s="4" t="s">
        <v>2</v>
      </c>
      <c r="V213" s="88">
        <f t="shared" si="43"/>
        <v>-9.6676712328767103</v>
      </c>
      <c r="W213" s="88">
        <f t="shared" si="44"/>
        <v>-9.0376712328767113</v>
      </c>
      <c r="X213" s="88">
        <f t="shared" si="45"/>
        <v>19.718387288663706</v>
      </c>
      <c r="Y213" s="88">
        <v>19</v>
      </c>
      <c r="AB213" s="84"/>
      <c r="AC213" s="84">
        <f t="shared" si="46"/>
        <v>292</v>
      </c>
      <c r="AD213" s="84"/>
      <c r="AE213" s="23"/>
      <c r="AF213" s="23"/>
      <c r="AG213" s="23"/>
      <c r="AH213" s="23"/>
      <c r="AI213" s="23"/>
      <c r="AJ213" s="23"/>
      <c r="AK213" s="83" t="s">
        <v>400</v>
      </c>
      <c r="AL213" s="83" t="s">
        <v>399</v>
      </c>
      <c r="AM213" s="86">
        <v>170</v>
      </c>
      <c r="AN213" s="85">
        <f t="shared" si="39"/>
        <v>25.06778361374489</v>
      </c>
      <c r="AO213" s="85">
        <v>34</v>
      </c>
      <c r="AP213" s="87">
        <f t="shared" si="47"/>
        <v>3.4473177581195849E-2</v>
      </c>
      <c r="AQ213" s="88">
        <f t="shared" si="48"/>
        <v>727.16776846874313</v>
      </c>
    </row>
    <row r="214" spans="1:317" x14ac:dyDescent="0.25">
      <c r="A214" s="76">
        <v>19795</v>
      </c>
      <c r="B214" s="3">
        <v>150</v>
      </c>
      <c r="C214" s="8">
        <f t="shared" si="41"/>
        <v>5</v>
      </c>
      <c r="D214" s="8">
        <f t="shared" si="42"/>
        <v>2.0999999999999943</v>
      </c>
      <c r="E214" s="3">
        <v>145</v>
      </c>
      <c r="F214" s="3">
        <v>152.1</v>
      </c>
      <c r="G214" s="3">
        <f t="shared" si="49"/>
        <v>5</v>
      </c>
      <c r="H214" s="4" t="s">
        <v>227</v>
      </c>
      <c r="I214" s="4" t="s">
        <v>61</v>
      </c>
      <c r="J214" s="4" t="s">
        <v>60</v>
      </c>
      <c r="K214" s="4"/>
      <c r="L214" s="4" t="s">
        <v>606</v>
      </c>
      <c r="M214" s="86" t="s">
        <v>4</v>
      </c>
      <c r="N214" s="4" t="str">
        <f t="shared" si="50"/>
        <v>marine sediment</v>
      </c>
      <c r="O214" s="86" t="s">
        <v>27</v>
      </c>
      <c r="P214" s="5">
        <v>-32.200000000000003</v>
      </c>
      <c r="Q214" s="4" t="s">
        <v>59</v>
      </c>
      <c r="S214" s="84">
        <f t="shared" si="51"/>
        <v>-28.700000000000003</v>
      </c>
      <c r="T214" s="5">
        <v>1.63</v>
      </c>
      <c r="U214" s="4" t="s">
        <v>2</v>
      </c>
      <c r="V214" s="88">
        <f t="shared" si="43"/>
        <v>-9.6676712328767103</v>
      </c>
      <c r="W214" s="88">
        <f t="shared" si="44"/>
        <v>-9.0376712328767113</v>
      </c>
      <c r="X214" s="88">
        <f t="shared" si="45"/>
        <v>20.243311816249722</v>
      </c>
      <c r="Y214" s="88">
        <v>19</v>
      </c>
      <c r="AB214" s="84"/>
      <c r="AC214" s="84">
        <f t="shared" si="46"/>
        <v>292</v>
      </c>
      <c r="AD214" s="84"/>
      <c r="AE214" s="23"/>
      <c r="AF214" s="23"/>
      <c r="AG214" s="23"/>
      <c r="AH214" s="23"/>
      <c r="AI214" s="23"/>
      <c r="AJ214" s="23"/>
      <c r="AK214" s="83" t="s">
        <v>400</v>
      </c>
      <c r="AL214" s="83" t="s">
        <v>399</v>
      </c>
      <c r="AM214" s="86">
        <v>170</v>
      </c>
      <c r="AN214" s="85">
        <f t="shared" si="39"/>
        <v>27.170924138671314</v>
      </c>
      <c r="AO214" s="85">
        <v>34</v>
      </c>
      <c r="AP214" s="87">
        <f t="shared" si="47"/>
        <v>3.4473177581195849E-2</v>
      </c>
      <c r="AQ214" s="88">
        <f t="shared" si="48"/>
        <v>788.17579478058587</v>
      </c>
    </row>
    <row r="215" spans="1:317" s="9" customFormat="1" x14ac:dyDescent="0.25">
      <c r="A215" s="76">
        <v>19796</v>
      </c>
      <c r="B215" s="3">
        <v>150</v>
      </c>
      <c r="C215" s="8">
        <f t="shared" si="41"/>
        <v>12</v>
      </c>
      <c r="D215" s="8">
        <f t="shared" si="42"/>
        <v>0</v>
      </c>
      <c r="E215" s="3">
        <v>138</v>
      </c>
      <c r="F215" s="3">
        <v>150</v>
      </c>
      <c r="G215" s="3">
        <f t="shared" si="49"/>
        <v>12</v>
      </c>
      <c r="H215" s="4" t="s">
        <v>324</v>
      </c>
      <c r="I215" s="4" t="s">
        <v>327</v>
      </c>
      <c r="J215" s="4" t="s">
        <v>332</v>
      </c>
      <c r="K215" s="4"/>
      <c r="L215" s="4"/>
      <c r="M215" s="86" t="s">
        <v>1</v>
      </c>
      <c r="N215" s="4" t="str">
        <f t="shared" si="50"/>
        <v>marine oil</v>
      </c>
      <c r="O215" s="86" t="s">
        <v>0</v>
      </c>
      <c r="P215" s="5">
        <v>-31.5</v>
      </c>
      <c r="Q215" s="4" t="s">
        <v>317</v>
      </c>
      <c r="R215" s="4"/>
      <c r="S215" s="84">
        <f t="shared" si="51"/>
        <v>-28</v>
      </c>
      <c r="T215" s="5">
        <v>2</v>
      </c>
      <c r="U215" s="4" t="s">
        <v>339</v>
      </c>
      <c r="V215" s="88">
        <f t="shared" si="43"/>
        <v>-10.203684942944616</v>
      </c>
      <c r="W215" s="88">
        <f t="shared" si="44"/>
        <v>-9.2036849429446157</v>
      </c>
      <c r="X215" s="88">
        <f t="shared" si="45"/>
        <v>19.337772692443743</v>
      </c>
      <c r="Y215" s="88">
        <f>Z215+AA215</f>
        <v>14.440000000000001</v>
      </c>
      <c r="Z215" s="88">
        <v>9.4</v>
      </c>
      <c r="AA215" s="88">
        <v>5.04</v>
      </c>
      <c r="AB215" s="84" t="s">
        <v>176</v>
      </c>
      <c r="AC215" s="84">
        <f t="shared" si="46"/>
        <v>287.44</v>
      </c>
      <c r="AD215" s="84">
        <v>62.83</v>
      </c>
      <c r="AE215" s="1" t="s">
        <v>414</v>
      </c>
      <c r="AF215" s="1" t="s">
        <v>572</v>
      </c>
      <c r="AG215" s="23"/>
      <c r="AH215" s="1" t="s">
        <v>573</v>
      </c>
      <c r="AI215" s="23"/>
      <c r="AJ215" s="23"/>
      <c r="AK215" s="83"/>
      <c r="AL215" s="84"/>
      <c r="AM215" s="86">
        <v>170</v>
      </c>
      <c r="AN215" s="85">
        <f t="shared" si="39"/>
        <v>23.735633162696114</v>
      </c>
      <c r="AO215" s="85">
        <v>34</v>
      </c>
      <c r="AP215" s="87">
        <f t="shared" si="47"/>
        <v>3.9476253885938395E-2</v>
      </c>
      <c r="AQ215" s="88">
        <f t="shared" si="48"/>
        <v>601.2635654658925</v>
      </c>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c r="JL215" s="1"/>
      <c r="JM215" s="1"/>
      <c r="JN215" s="1"/>
      <c r="JO215" s="1"/>
      <c r="JP215" s="1"/>
      <c r="JQ215" s="1"/>
      <c r="JR215" s="1"/>
      <c r="JS215" s="1"/>
      <c r="JT215" s="1"/>
      <c r="JU215" s="1"/>
      <c r="JV215" s="1"/>
      <c r="JW215" s="1"/>
      <c r="JX215" s="1"/>
      <c r="JY215" s="1"/>
      <c r="JZ215" s="1"/>
      <c r="KA215" s="1"/>
      <c r="KB215" s="1"/>
      <c r="KC215" s="1"/>
      <c r="KD215" s="1"/>
      <c r="KE215" s="1"/>
      <c r="KF215" s="1"/>
      <c r="KG215" s="1"/>
      <c r="KH215" s="1"/>
      <c r="KI215" s="1"/>
      <c r="KJ215" s="1"/>
      <c r="KK215" s="1"/>
      <c r="KL215" s="1"/>
      <c r="KM215" s="1"/>
      <c r="KN215" s="1"/>
      <c r="KO215" s="1"/>
      <c r="KP215" s="1"/>
      <c r="KQ215" s="1"/>
      <c r="KR215" s="1"/>
      <c r="KS215" s="1"/>
      <c r="KT215" s="1"/>
      <c r="KU215" s="1"/>
      <c r="KV215" s="1"/>
      <c r="KW215" s="1"/>
      <c r="KX215" s="1"/>
      <c r="KY215" s="1"/>
      <c r="KZ215" s="1"/>
      <c r="LA215" s="1"/>
      <c r="LB215" s="1"/>
      <c r="LC215" s="1"/>
      <c r="LD215" s="1"/>
      <c r="LE215" s="1"/>
    </row>
    <row r="216" spans="1:317" ht="13.2" customHeight="1" x14ac:dyDescent="0.25">
      <c r="A216" s="76">
        <v>19797</v>
      </c>
      <c r="B216" s="24">
        <f t="shared" ref="B216:B224" si="52">AVERAGE(E216:F216)</f>
        <v>154.69999999999999</v>
      </c>
      <c r="C216" s="8">
        <f t="shared" si="41"/>
        <v>2.5999999999999943</v>
      </c>
      <c r="D216" s="8">
        <f t="shared" si="42"/>
        <v>2.6000000000000227</v>
      </c>
      <c r="E216" s="24">
        <v>152.1</v>
      </c>
      <c r="F216" s="24">
        <v>157.30000000000001</v>
      </c>
      <c r="G216" s="3">
        <f t="shared" si="49"/>
        <v>2.6000000000000227</v>
      </c>
      <c r="H216" s="25" t="s">
        <v>549</v>
      </c>
      <c r="I216" s="26">
        <v>62311</v>
      </c>
      <c r="J216" s="25" t="s">
        <v>212</v>
      </c>
      <c r="K216" s="25"/>
      <c r="L216" s="25" t="s">
        <v>212</v>
      </c>
      <c r="M216" s="95" t="s">
        <v>1</v>
      </c>
      <c r="N216" s="4" t="str">
        <f t="shared" si="50"/>
        <v>marine oil</v>
      </c>
      <c r="O216" s="95" t="s">
        <v>0</v>
      </c>
      <c r="P216" s="27">
        <f>AVERAGE(-29.889,-29.711)</f>
        <v>-29.799999999999997</v>
      </c>
      <c r="Q216" s="25" t="s">
        <v>293</v>
      </c>
      <c r="R216" s="25"/>
      <c r="S216" s="84">
        <f t="shared" si="51"/>
        <v>-26.299999999999997</v>
      </c>
      <c r="T216" s="5">
        <v>2.1</v>
      </c>
      <c r="U216" s="4" t="s">
        <v>402</v>
      </c>
      <c r="V216" s="88">
        <f t="shared" si="43"/>
        <v>-9.3240677966101693</v>
      </c>
      <c r="W216" s="88">
        <f t="shared" si="44"/>
        <v>-8.2240677966101696</v>
      </c>
      <c r="X216" s="88">
        <f t="shared" si="45"/>
        <v>18.56416987099707</v>
      </c>
      <c r="Y216" s="88">
        <v>22</v>
      </c>
      <c r="Z216" s="86"/>
      <c r="AB216" s="84"/>
      <c r="AC216" s="84">
        <f t="shared" si="46"/>
        <v>295</v>
      </c>
      <c r="AD216" s="84"/>
      <c r="AE216" s="5"/>
      <c r="AF216" s="5"/>
      <c r="AG216" s="5"/>
      <c r="AH216" s="5"/>
      <c r="AI216" s="5"/>
      <c r="AJ216" s="5"/>
      <c r="AK216" s="83" t="s">
        <v>403</v>
      </c>
      <c r="AL216" s="83" t="s">
        <v>402</v>
      </c>
      <c r="AM216" s="86">
        <v>170</v>
      </c>
      <c r="AN216" s="85">
        <f t="shared" si="39"/>
        <v>21.421829504477948</v>
      </c>
      <c r="AO216" s="85">
        <v>34</v>
      </c>
      <c r="AP216" s="87">
        <f t="shared" si="47"/>
        <v>3.1713091748844839E-2</v>
      </c>
      <c r="AQ216" s="88">
        <f t="shared" si="48"/>
        <v>675.48852297752535</v>
      </c>
    </row>
    <row r="217" spans="1:317" ht="13.2" customHeight="1" x14ac:dyDescent="0.25">
      <c r="A217" s="76">
        <v>19798</v>
      </c>
      <c r="B217" s="24">
        <f t="shared" si="52"/>
        <v>154.69999999999999</v>
      </c>
      <c r="C217" s="8">
        <f t="shared" si="41"/>
        <v>2.5999999999999943</v>
      </c>
      <c r="D217" s="8">
        <f t="shared" si="42"/>
        <v>2.6000000000000227</v>
      </c>
      <c r="E217" s="24">
        <v>152.1</v>
      </c>
      <c r="F217" s="24">
        <v>157.30000000000001</v>
      </c>
      <c r="G217" s="3">
        <f t="shared" si="49"/>
        <v>2.6000000000000227</v>
      </c>
      <c r="H217" s="25" t="s">
        <v>549</v>
      </c>
      <c r="I217" s="26">
        <v>320005</v>
      </c>
      <c r="J217" s="25" t="s">
        <v>212</v>
      </c>
      <c r="K217" s="25"/>
      <c r="L217" s="25" t="s">
        <v>212</v>
      </c>
      <c r="M217" s="95" t="s">
        <v>1</v>
      </c>
      <c r="N217" s="4" t="str">
        <f t="shared" si="50"/>
        <v>marine oil</v>
      </c>
      <c r="O217" s="95" t="s">
        <v>0</v>
      </c>
      <c r="P217" s="27">
        <f>AVERAGE(-30.03,-30.468,-29.925)</f>
        <v>-30.141000000000002</v>
      </c>
      <c r="Q217" s="25" t="s">
        <v>293</v>
      </c>
      <c r="R217" s="25"/>
      <c r="S217" s="84">
        <f t="shared" si="51"/>
        <v>-26.641000000000002</v>
      </c>
      <c r="T217" s="5">
        <v>2.1</v>
      </c>
      <c r="U217" s="4" t="s">
        <v>402</v>
      </c>
      <c r="V217" s="88">
        <f t="shared" si="43"/>
        <v>-9.3240677966101693</v>
      </c>
      <c r="W217" s="88">
        <f t="shared" si="44"/>
        <v>-8.2240677966101696</v>
      </c>
      <c r="X217" s="88">
        <f t="shared" si="45"/>
        <v>18.921006744058168</v>
      </c>
      <c r="Y217" s="88">
        <v>22</v>
      </c>
      <c r="Z217" s="86"/>
      <c r="AB217" s="84"/>
      <c r="AC217" s="84">
        <f t="shared" si="46"/>
        <v>295</v>
      </c>
      <c r="AD217" s="84"/>
      <c r="AE217" s="5"/>
      <c r="AF217" s="5"/>
      <c r="AG217" s="5"/>
      <c r="AH217" s="5"/>
      <c r="AI217" s="5"/>
      <c r="AJ217" s="5"/>
      <c r="AK217" s="83" t="s">
        <v>403</v>
      </c>
      <c r="AL217" s="83" t="s">
        <v>402</v>
      </c>
      <c r="AM217" s="86">
        <v>170</v>
      </c>
      <c r="AN217" s="85">
        <f t="shared" si="39"/>
        <v>22.430419748259073</v>
      </c>
      <c r="AO217" s="85">
        <v>34</v>
      </c>
      <c r="AP217" s="87">
        <f t="shared" si="47"/>
        <v>3.1713091748844839E-2</v>
      </c>
      <c r="AQ217" s="88">
        <f t="shared" si="48"/>
        <v>707.29211537932463</v>
      </c>
    </row>
    <row r="218" spans="1:317" ht="13.2" customHeight="1" x14ac:dyDescent="0.25">
      <c r="A218" s="76">
        <v>19799</v>
      </c>
      <c r="B218" s="24">
        <f t="shared" si="52"/>
        <v>154.69999999999999</v>
      </c>
      <c r="C218" s="8">
        <f t="shared" si="41"/>
        <v>2.5999999999999943</v>
      </c>
      <c r="D218" s="8">
        <f t="shared" si="42"/>
        <v>2.6000000000000227</v>
      </c>
      <c r="E218" s="24">
        <v>152.1</v>
      </c>
      <c r="F218" s="24">
        <v>157.30000000000001</v>
      </c>
      <c r="G218" s="3">
        <f t="shared" si="49"/>
        <v>2.6000000000000227</v>
      </c>
      <c r="H218" s="25" t="s">
        <v>549</v>
      </c>
      <c r="I218" s="26">
        <v>320036</v>
      </c>
      <c r="J218" s="25" t="s">
        <v>212</v>
      </c>
      <c r="K218" s="25"/>
      <c r="L218" s="25" t="s">
        <v>212</v>
      </c>
      <c r="M218" s="95" t="s">
        <v>1</v>
      </c>
      <c r="N218" s="4" t="str">
        <f t="shared" si="50"/>
        <v>marine oil</v>
      </c>
      <c r="O218" s="95" t="s">
        <v>0</v>
      </c>
      <c r="P218" s="27">
        <f>AVERAGE(-30.832,-30.41,-30.328)</f>
        <v>-30.523333333333337</v>
      </c>
      <c r="Q218" s="25" t="s">
        <v>293</v>
      </c>
      <c r="R218" s="25"/>
      <c r="S218" s="84">
        <f t="shared" si="51"/>
        <v>-27.023333333333337</v>
      </c>
      <c r="T218" s="5">
        <v>2.1</v>
      </c>
      <c r="U218" s="4" t="s">
        <v>402</v>
      </c>
      <c r="V218" s="88">
        <f t="shared" si="43"/>
        <v>-9.3240677966101693</v>
      </c>
      <c r="W218" s="88">
        <f t="shared" si="44"/>
        <v>-8.2240677966101696</v>
      </c>
      <c r="X218" s="88">
        <f t="shared" si="45"/>
        <v>19.321394007451254</v>
      </c>
      <c r="Y218" s="88">
        <v>22</v>
      </c>
      <c r="Z218" s="86"/>
      <c r="AB218" s="84"/>
      <c r="AC218" s="84">
        <f t="shared" si="46"/>
        <v>295</v>
      </c>
      <c r="AD218" s="84"/>
      <c r="AE218" s="5"/>
      <c r="AF218" s="5"/>
      <c r="AG218" s="5"/>
      <c r="AH218" s="5"/>
      <c r="AI218" s="5"/>
      <c r="AJ218" s="5"/>
      <c r="AK218" s="83" t="s">
        <v>403</v>
      </c>
      <c r="AL218" s="83" t="s">
        <v>402</v>
      </c>
      <c r="AM218" s="86">
        <v>170</v>
      </c>
      <c r="AN218" s="85">
        <f t="shared" si="39"/>
        <v>23.681478016268994</v>
      </c>
      <c r="AO218" s="85">
        <v>34</v>
      </c>
      <c r="AP218" s="87">
        <f t="shared" si="47"/>
        <v>3.1713091748844839E-2</v>
      </c>
      <c r="AQ218" s="88">
        <f t="shared" si="48"/>
        <v>746.74138377351994</v>
      </c>
    </row>
    <row r="219" spans="1:317" ht="13.2" customHeight="1" x14ac:dyDescent="0.25">
      <c r="A219" s="76">
        <v>19800</v>
      </c>
      <c r="B219" s="24">
        <f t="shared" si="52"/>
        <v>154.69999999999999</v>
      </c>
      <c r="C219" s="8">
        <f t="shared" si="41"/>
        <v>2.5999999999999943</v>
      </c>
      <c r="D219" s="8">
        <f t="shared" si="42"/>
        <v>2.6000000000000227</v>
      </c>
      <c r="E219" s="24">
        <v>152.1</v>
      </c>
      <c r="F219" s="24">
        <v>157.30000000000001</v>
      </c>
      <c r="G219" s="3">
        <f t="shared" si="49"/>
        <v>2.6000000000000227</v>
      </c>
      <c r="H219" s="25" t="s">
        <v>549</v>
      </c>
      <c r="I219" s="26">
        <v>320102</v>
      </c>
      <c r="J219" s="25" t="s">
        <v>212</v>
      </c>
      <c r="K219" s="25"/>
      <c r="L219" s="25" t="s">
        <v>212</v>
      </c>
      <c r="M219" s="95" t="s">
        <v>1</v>
      </c>
      <c r="N219" s="4" t="str">
        <f t="shared" si="50"/>
        <v>marine oil</v>
      </c>
      <c r="O219" s="95" t="s">
        <v>0</v>
      </c>
      <c r="P219" s="27">
        <f>AVERAGE(-29.328,-29.429,-29.966,-29.848)</f>
        <v>-29.642749999999999</v>
      </c>
      <c r="Q219" s="25" t="s">
        <v>293</v>
      </c>
      <c r="R219" s="25"/>
      <c r="S219" s="84">
        <f t="shared" si="51"/>
        <v>-26.142749999999999</v>
      </c>
      <c r="T219" s="5">
        <v>2.1</v>
      </c>
      <c r="U219" s="4" t="s">
        <v>402</v>
      </c>
      <c r="V219" s="88">
        <f t="shared" si="43"/>
        <v>-9.3240677966101693</v>
      </c>
      <c r="W219" s="88">
        <f t="shared" si="44"/>
        <v>-8.2240677966101696</v>
      </c>
      <c r="X219" s="88">
        <f t="shared" si="45"/>
        <v>18.399700986350798</v>
      </c>
      <c r="Y219" s="88">
        <v>22</v>
      </c>
      <c r="Z219" s="86"/>
      <c r="AB219" s="84"/>
      <c r="AC219" s="84">
        <f t="shared" si="46"/>
        <v>295</v>
      </c>
      <c r="AD219" s="84"/>
      <c r="AE219" s="5"/>
      <c r="AF219" s="5"/>
      <c r="AG219" s="5"/>
      <c r="AH219" s="5"/>
      <c r="AI219" s="5"/>
      <c r="AJ219" s="5"/>
      <c r="AK219" s="83" t="s">
        <v>403</v>
      </c>
      <c r="AL219" s="83" t="s">
        <v>402</v>
      </c>
      <c r="AM219" s="86">
        <v>170</v>
      </c>
      <c r="AN219" s="85">
        <f t="shared" si="39"/>
        <v>20.986879584759258</v>
      </c>
      <c r="AO219" s="85">
        <v>34</v>
      </c>
      <c r="AP219" s="87">
        <f t="shared" si="47"/>
        <v>3.1713091748844839E-2</v>
      </c>
      <c r="AQ219" s="88">
        <f t="shared" si="48"/>
        <v>661.77336952723044</v>
      </c>
    </row>
    <row r="220" spans="1:317" ht="13.2" customHeight="1" x14ac:dyDescent="0.25">
      <c r="A220" s="76">
        <v>19801</v>
      </c>
      <c r="B220" s="24">
        <f t="shared" si="52"/>
        <v>154.69999999999999</v>
      </c>
      <c r="C220" s="8">
        <f t="shared" si="41"/>
        <v>2.5999999999999943</v>
      </c>
      <c r="D220" s="8">
        <f t="shared" si="42"/>
        <v>2.6000000000000227</v>
      </c>
      <c r="E220" s="24">
        <v>152.1</v>
      </c>
      <c r="F220" s="24">
        <v>157.30000000000001</v>
      </c>
      <c r="G220" s="3">
        <f t="shared" si="49"/>
        <v>2.6000000000000227</v>
      </c>
      <c r="H220" s="25" t="s">
        <v>549</v>
      </c>
      <c r="I220" s="26">
        <v>912255</v>
      </c>
      <c r="J220" s="25" t="s">
        <v>212</v>
      </c>
      <c r="K220" s="25"/>
      <c r="L220" s="25" t="s">
        <v>212</v>
      </c>
      <c r="M220" s="95" t="s">
        <v>1</v>
      </c>
      <c r="N220" s="4" t="str">
        <f t="shared" si="50"/>
        <v>marine oil</v>
      </c>
      <c r="O220" s="95" t="s">
        <v>0</v>
      </c>
      <c r="P220" s="27">
        <f>AVERAGE(-31,-30.715)</f>
        <v>-30.857500000000002</v>
      </c>
      <c r="Q220" s="25" t="s">
        <v>293</v>
      </c>
      <c r="R220" s="25"/>
      <c r="S220" s="84">
        <f t="shared" si="51"/>
        <v>-27.357500000000002</v>
      </c>
      <c r="T220" s="5">
        <v>2.1</v>
      </c>
      <c r="U220" s="4" t="s">
        <v>402</v>
      </c>
      <c r="V220" s="88">
        <f t="shared" si="43"/>
        <v>-9.3240677966101693</v>
      </c>
      <c r="W220" s="88">
        <f t="shared" si="44"/>
        <v>-8.2240677966101696</v>
      </c>
      <c r="X220" s="88">
        <f t="shared" si="45"/>
        <v>19.671597944146857</v>
      </c>
      <c r="Y220" s="88">
        <v>22</v>
      </c>
      <c r="Z220" s="86"/>
      <c r="AB220" s="84"/>
      <c r="AC220" s="84">
        <f t="shared" si="46"/>
        <v>295</v>
      </c>
      <c r="AD220" s="84"/>
      <c r="AE220" s="5"/>
      <c r="AF220" s="5"/>
      <c r="AG220" s="5"/>
      <c r="AH220" s="5"/>
      <c r="AI220" s="5"/>
      <c r="AJ220" s="5"/>
      <c r="AK220" s="83" t="s">
        <v>403</v>
      </c>
      <c r="AL220" s="83" t="s">
        <v>402</v>
      </c>
      <c r="AM220" s="86">
        <v>170</v>
      </c>
      <c r="AN220" s="85">
        <f t="shared" si="39"/>
        <v>24.896014998747777</v>
      </c>
      <c r="AO220" s="85">
        <v>34</v>
      </c>
      <c r="AP220" s="87">
        <f t="shared" si="47"/>
        <v>3.1713091748844839E-2</v>
      </c>
      <c r="AQ220" s="88">
        <f t="shared" si="48"/>
        <v>785.03903674590867</v>
      </c>
    </row>
    <row r="221" spans="1:317" ht="13.2" customHeight="1" x14ac:dyDescent="0.25">
      <c r="A221" s="76">
        <v>19802</v>
      </c>
      <c r="B221" s="24">
        <f t="shared" si="52"/>
        <v>154.69999999999999</v>
      </c>
      <c r="C221" s="8">
        <f t="shared" si="41"/>
        <v>2.5999999999999943</v>
      </c>
      <c r="D221" s="8">
        <f t="shared" si="42"/>
        <v>2.6000000000000227</v>
      </c>
      <c r="E221" s="24">
        <v>152.1</v>
      </c>
      <c r="F221" s="24">
        <v>157.30000000000001</v>
      </c>
      <c r="G221" s="3">
        <f t="shared" si="49"/>
        <v>2.6000000000000227</v>
      </c>
      <c r="H221" s="25" t="s">
        <v>549</v>
      </c>
      <c r="I221" s="26">
        <v>912256</v>
      </c>
      <c r="J221" s="25" t="s">
        <v>212</v>
      </c>
      <c r="K221" s="25"/>
      <c r="L221" s="25" t="s">
        <v>212</v>
      </c>
      <c r="M221" s="95" t="s">
        <v>1</v>
      </c>
      <c r="N221" s="4" t="str">
        <f t="shared" si="50"/>
        <v>marine oil</v>
      </c>
      <c r="O221" s="95" t="s">
        <v>0</v>
      </c>
      <c r="P221" s="27">
        <f>AVERAGE(-29.653,-29.451)</f>
        <v>-29.552</v>
      </c>
      <c r="Q221" s="25" t="s">
        <v>293</v>
      </c>
      <c r="R221" s="25"/>
      <c r="S221" s="84">
        <f t="shared" si="51"/>
        <v>-26.052</v>
      </c>
      <c r="T221" s="5">
        <v>2.1</v>
      </c>
      <c r="U221" s="4" t="s">
        <v>402</v>
      </c>
      <c r="V221" s="88">
        <f t="shared" si="43"/>
        <v>-9.3240677966101693</v>
      </c>
      <c r="W221" s="88">
        <f t="shared" si="44"/>
        <v>-8.2240677966101696</v>
      </c>
      <c r="X221" s="88">
        <f t="shared" si="45"/>
        <v>18.30480908979726</v>
      </c>
      <c r="Y221" s="88">
        <v>22</v>
      </c>
      <c r="Z221" s="86"/>
      <c r="AB221" s="84"/>
      <c r="AC221" s="84">
        <f t="shared" si="46"/>
        <v>295</v>
      </c>
      <c r="AD221" s="84"/>
      <c r="AE221" s="5"/>
      <c r="AF221" s="5"/>
      <c r="AG221" s="5"/>
      <c r="AH221" s="5"/>
      <c r="AI221" s="5"/>
      <c r="AJ221" s="5"/>
      <c r="AK221" s="83" t="s">
        <v>403</v>
      </c>
      <c r="AL221" s="83" t="s">
        <v>402</v>
      </c>
      <c r="AM221" s="86">
        <v>170</v>
      </c>
      <c r="AN221" s="85">
        <f t="shared" si="39"/>
        <v>20.743873066868481</v>
      </c>
      <c r="AO221" s="85">
        <v>34</v>
      </c>
      <c r="AP221" s="87">
        <f t="shared" si="47"/>
        <v>3.1713091748844839E-2</v>
      </c>
      <c r="AQ221" s="88">
        <f t="shared" si="48"/>
        <v>654.11071336569023</v>
      </c>
    </row>
    <row r="222" spans="1:317" ht="13.2" customHeight="1" x14ac:dyDescent="0.25">
      <c r="A222" s="76">
        <v>19803</v>
      </c>
      <c r="B222" s="24">
        <f t="shared" si="52"/>
        <v>154.69999999999999</v>
      </c>
      <c r="C222" s="8">
        <f t="shared" si="41"/>
        <v>2.5999999999999943</v>
      </c>
      <c r="D222" s="8">
        <f t="shared" si="42"/>
        <v>2.6000000000000227</v>
      </c>
      <c r="E222" s="24">
        <v>152.1</v>
      </c>
      <c r="F222" s="24">
        <v>157.30000000000001</v>
      </c>
      <c r="G222" s="3">
        <f t="shared" si="49"/>
        <v>2.6000000000000227</v>
      </c>
      <c r="H222" s="25" t="s">
        <v>549</v>
      </c>
      <c r="I222" s="26">
        <v>912263</v>
      </c>
      <c r="J222" s="25" t="s">
        <v>212</v>
      </c>
      <c r="K222" s="25"/>
      <c r="L222" s="25" t="s">
        <v>212</v>
      </c>
      <c r="M222" s="95" t="s">
        <v>1</v>
      </c>
      <c r="N222" s="4" t="str">
        <f t="shared" si="50"/>
        <v>marine oil</v>
      </c>
      <c r="O222" s="95" t="s">
        <v>0</v>
      </c>
      <c r="P222" s="27">
        <f>AVERAGE(-29.941,-29.967)</f>
        <v>-29.954000000000001</v>
      </c>
      <c r="Q222" s="25" t="s">
        <v>293</v>
      </c>
      <c r="R222" s="25"/>
      <c r="S222" s="84">
        <f t="shared" si="51"/>
        <v>-26.454000000000001</v>
      </c>
      <c r="T222" s="5">
        <v>2.1</v>
      </c>
      <c r="U222" s="4" t="s">
        <v>402</v>
      </c>
      <c r="V222" s="88">
        <f t="shared" si="43"/>
        <v>-9.3240677966101693</v>
      </c>
      <c r="W222" s="88">
        <f t="shared" si="44"/>
        <v>-8.2240677966101696</v>
      </c>
      <c r="X222" s="88">
        <f t="shared" si="45"/>
        <v>18.725291052903216</v>
      </c>
      <c r="Y222" s="88">
        <v>22</v>
      </c>
      <c r="Z222" s="86"/>
      <c r="AB222" s="84"/>
      <c r="AC222" s="84">
        <f t="shared" si="46"/>
        <v>295</v>
      </c>
      <c r="AD222" s="84"/>
      <c r="AE222" s="5"/>
      <c r="AF222" s="5"/>
      <c r="AG222" s="5"/>
      <c r="AH222" s="5"/>
      <c r="AI222" s="5"/>
      <c r="AJ222" s="5"/>
      <c r="AK222" s="83" t="s">
        <v>403</v>
      </c>
      <c r="AL222" s="83" t="s">
        <v>402</v>
      </c>
      <c r="AM222" s="86">
        <v>170</v>
      </c>
      <c r="AN222" s="85">
        <f t="shared" si="39"/>
        <v>21.865770301726993</v>
      </c>
      <c r="AO222" s="85">
        <v>34</v>
      </c>
      <c r="AP222" s="87">
        <f t="shared" si="47"/>
        <v>3.1713091748844839E-2</v>
      </c>
      <c r="AQ222" s="88">
        <f t="shared" si="48"/>
        <v>689.48718323950425</v>
      </c>
    </row>
    <row r="223" spans="1:317" ht="13.2" customHeight="1" x14ac:dyDescent="0.25">
      <c r="A223" s="76">
        <v>19804</v>
      </c>
      <c r="B223" s="24">
        <f t="shared" si="52"/>
        <v>154.69999999999999</v>
      </c>
      <c r="C223" s="8">
        <f t="shared" si="41"/>
        <v>2.5999999999999943</v>
      </c>
      <c r="D223" s="8">
        <f t="shared" si="42"/>
        <v>2.6000000000000227</v>
      </c>
      <c r="E223" s="24">
        <v>152.1</v>
      </c>
      <c r="F223" s="24">
        <v>157.30000000000001</v>
      </c>
      <c r="G223" s="3">
        <f t="shared" si="49"/>
        <v>2.6000000000000227</v>
      </c>
      <c r="H223" s="25" t="s">
        <v>549</v>
      </c>
      <c r="I223" s="25">
        <v>60050</v>
      </c>
      <c r="J223" s="25" t="s">
        <v>212</v>
      </c>
      <c r="K223" s="25"/>
      <c r="L223" s="25" t="s">
        <v>212</v>
      </c>
      <c r="M223" s="95" t="s">
        <v>1</v>
      </c>
      <c r="N223" s="4" t="str">
        <f t="shared" si="50"/>
        <v>marine oil</v>
      </c>
      <c r="O223" s="95" t="s">
        <v>0</v>
      </c>
      <c r="P223" s="27">
        <v>-30.866125</v>
      </c>
      <c r="Q223" s="25" t="s">
        <v>293</v>
      </c>
      <c r="R223" s="25"/>
      <c r="S223" s="84">
        <f t="shared" si="51"/>
        <v>-27.366125</v>
      </c>
      <c r="T223" s="5">
        <v>2.1</v>
      </c>
      <c r="U223" s="4" t="s">
        <v>402</v>
      </c>
      <c r="V223" s="88">
        <f t="shared" si="43"/>
        <v>-9.3240677966101693</v>
      </c>
      <c r="W223" s="88">
        <f t="shared" si="44"/>
        <v>-8.2240677966101696</v>
      </c>
      <c r="X223" s="88">
        <f t="shared" si="45"/>
        <v>19.680640059333676</v>
      </c>
      <c r="Y223" s="88">
        <v>22</v>
      </c>
      <c r="Z223" s="86"/>
      <c r="AB223" s="84"/>
      <c r="AC223" s="84">
        <f t="shared" si="46"/>
        <v>295</v>
      </c>
      <c r="AD223" s="84"/>
      <c r="AE223" s="5"/>
      <c r="AF223" s="5"/>
      <c r="AG223" s="5"/>
      <c r="AH223" s="5"/>
      <c r="AI223" s="5"/>
      <c r="AJ223" s="5"/>
      <c r="AK223" s="83" t="s">
        <v>403</v>
      </c>
      <c r="AL223" s="83" t="s">
        <v>402</v>
      </c>
      <c r="AM223" s="86">
        <v>170</v>
      </c>
      <c r="AN223" s="85">
        <f t="shared" si="39"/>
        <v>24.929025814611744</v>
      </c>
      <c r="AO223" s="85">
        <v>34</v>
      </c>
      <c r="AP223" s="87">
        <f t="shared" si="47"/>
        <v>3.1713091748844839E-2</v>
      </c>
      <c r="AQ223" s="88">
        <f t="shared" si="48"/>
        <v>786.07995751533099</v>
      </c>
    </row>
    <row r="224" spans="1:317" x14ac:dyDescent="0.25">
      <c r="A224" s="76">
        <v>19805</v>
      </c>
      <c r="B224" s="24">
        <f t="shared" si="52"/>
        <v>154.69999999999999</v>
      </c>
      <c r="C224" s="8">
        <f t="shared" si="41"/>
        <v>2.5999999999999943</v>
      </c>
      <c r="D224" s="8">
        <f t="shared" si="42"/>
        <v>2.6000000000000227</v>
      </c>
      <c r="E224" s="24">
        <v>152.1</v>
      </c>
      <c r="F224" s="24">
        <v>157.30000000000001</v>
      </c>
      <c r="G224" s="3">
        <f t="shared" si="49"/>
        <v>2.6000000000000227</v>
      </c>
      <c r="H224" s="25" t="s">
        <v>549</v>
      </c>
      <c r="I224" s="26">
        <v>32588</v>
      </c>
      <c r="J224" s="25" t="s">
        <v>212</v>
      </c>
      <c r="K224" s="25"/>
      <c r="L224" s="25" t="s">
        <v>212</v>
      </c>
      <c r="M224" s="95" t="s">
        <v>1</v>
      </c>
      <c r="N224" s="4" t="str">
        <f t="shared" si="50"/>
        <v>marine oil</v>
      </c>
      <c r="O224" s="95" t="s">
        <v>0</v>
      </c>
      <c r="P224" s="27">
        <f>AVERAGE(-28,-27.929)</f>
        <v>-27.964500000000001</v>
      </c>
      <c r="Q224" s="25" t="s">
        <v>293</v>
      </c>
      <c r="R224" s="25"/>
      <c r="S224" s="84">
        <f t="shared" si="51"/>
        <v>-24.464500000000001</v>
      </c>
      <c r="T224" s="5">
        <v>2.1</v>
      </c>
      <c r="U224" s="4" t="s">
        <v>402</v>
      </c>
      <c r="V224" s="88">
        <f t="shared" si="43"/>
        <v>-9.3626579786872988</v>
      </c>
      <c r="W224" s="88">
        <f t="shared" si="44"/>
        <v>-8.2626579786872991</v>
      </c>
      <c r="X224" s="88">
        <f t="shared" si="45"/>
        <v>16.608152159826695</v>
      </c>
      <c r="Y224" s="88">
        <f>Z224+AA224</f>
        <v>21.66</v>
      </c>
      <c r="Z224" s="89">
        <v>18.36</v>
      </c>
      <c r="AA224" s="86">
        <v>3.3</v>
      </c>
      <c r="AB224" s="84" t="s">
        <v>176</v>
      </c>
      <c r="AC224" s="84">
        <f t="shared" si="46"/>
        <v>294.66000000000003</v>
      </c>
      <c r="AD224" s="84">
        <v>44.5</v>
      </c>
      <c r="AE224" s="5"/>
      <c r="AF224" s="5"/>
      <c r="AG224" s="5"/>
      <c r="AH224" s="5"/>
      <c r="AI224" s="5"/>
      <c r="AJ224" s="5"/>
      <c r="AK224" s="83" t="s">
        <v>259</v>
      </c>
      <c r="AM224" s="86">
        <v>170</v>
      </c>
      <c r="AN224" s="85">
        <f t="shared" si="39"/>
        <v>17.185868883828444</v>
      </c>
      <c r="AO224" s="85">
        <v>34</v>
      </c>
      <c r="AP224" s="87">
        <f t="shared" si="47"/>
        <v>3.2007369017880066E-2</v>
      </c>
      <c r="AQ224" s="88">
        <f t="shared" si="48"/>
        <v>536.93475631277329</v>
      </c>
    </row>
    <row r="225" spans="1:317" x14ac:dyDescent="0.25">
      <c r="A225" s="76">
        <v>19806</v>
      </c>
      <c r="B225" s="3">
        <v>155</v>
      </c>
      <c r="C225" s="8">
        <f t="shared" si="41"/>
        <v>10</v>
      </c>
      <c r="D225" s="8">
        <f t="shared" si="42"/>
        <v>9</v>
      </c>
      <c r="E225" s="24">
        <v>145</v>
      </c>
      <c r="F225" s="24">
        <v>164</v>
      </c>
      <c r="G225" s="3">
        <f t="shared" si="49"/>
        <v>10</v>
      </c>
      <c r="H225" s="4" t="s">
        <v>397</v>
      </c>
      <c r="I225" s="32" t="s">
        <v>41</v>
      </c>
      <c r="J225" s="32" t="s">
        <v>40</v>
      </c>
      <c r="K225" s="32"/>
      <c r="L225" s="32" t="s">
        <v>40</v>
      </c>
      <c r="M225" s="86" t="s">
        <v>4</v>
      </c>
      <c r="N225" s="4" t="str">
        <f t="shared" si="50"/>
        <v>marine sediment</v>
      </c>
      <c r="O225" s="86" t="s">
        <v>0</v>
      </c>
      <c r="P225" s="33">
        <v>-33.5</v>
      </c>
      <c r="Q225" s="33" t="s">
        <v>21</v>
      </c>
      <c r="R225" s="33"/>
      <c r="S225" s="84">
        <f t="shared" si="51"/>
        <v>-30</v>
      </c>
      <c r="T225" s="5">
        <v>1.68</v>
      </c>
      <c r="U225" s="4" t="s">
        <v>2</v>
      </c>
      <c r="V225" s="88">
        <f t="shared" si="43"/>
        <v>-9.6676712328767103</v>
      </c>
      <c r="W225" s="88">
        <f t="shared" si="44"/>
        <v>-8.9876712328767105</v>
      </c>
      <c r="X225" s="88">
        <f t="shared" si="45"/>
        <v>21.662194605281737</v>
      </c>
      <c r="Y225" s="88">
        <v>19</v>
      </c>
      <c r="AB225" s="84"/>
      <c r="AC225" s="84">
        <f t="shared" si="46"/>
        <v>292</v>
      </c>
      <c r="AD225" s="84"/>
      <c r="AE225" s="23"/>
      <c r="AF225" s="23"/>
      <c r="AG225" s="23"/>
      <c r="AH225" s="23"/>
      <c r="AI225" s="23"/>
      <c r="AJ225" s="23"/>
      <c r="AK225" s="83" t="s">
        <v>403</v>
      </c>
      <c r="AL225" s="83" t="s">
        <v>402</v>
      </c>
      <c r="AM225" s="86">
        <v>170</v>
      </c>
      <c r="AN225" s="85">
        <f t="shared" si="39"/>
        <v>35.139900456847585</v>
      </c>
      <c r="AO225" s="85">
        <v>34</v>
      </c>
      <c r="AP225" s="87">
        <f t="shared" si="47"/>
        <v>3.4473177581195849E-2</v>
      </c>
      <c r="AQ225" s="88">
        <f t="shared" si="48"/>
        <v>1019.3403371093767</v>
      </c>
    </row>
    <row r="226" spans="1:317" s="9" customFormat="1" x14ac:dyDescent="0.25">
      <c r="A226" s="76">
        <v>19807</v>
      </c>
      <c r="B226" s="24">
        <v>155</v>
      </c>
      <c r="C226" s="8">
        <f t="shared" si="41"/>
        <v>2.9000000000000057</v>
      </c>
      <c r="D226" s="8">
        <f t="shared" si="42"/>
        <v>2.3000000000000114</v>
      </c>
      <c r="E226" s="24">
        <v>152.1</v>
      </c>
      <c r="F226" s="24">
        <v>157.30000000000001</v>
      </c>
      <c r="G226" s="3">
        <f t="shared" si="49"/>
        <v>2.9000000000000057</v>
      </c>
      <c r="H226" s="25" t="s">
        <v>549</v>
      </c>
      <c r="I226" s="26">
        <v>327712</v>
      </c>
      <c r="J226" s="25" t="s">
        <v>214</v>
      </c>
      <c r="K226" s="25"/>
      <c r="L226" s="25" t="s">
        <v>214</v>
      </c>
      <c r="M226" s="95" t="s">
        <v>1</v>
      </c>
      <c r="N226" s="4" t="str">
        <f t="shared" si="50"/>
        <v>marine oil</v>
      </c>
      <c r="O226" s="95" t="s">
        <v>0</v>
      </c>
      <c r="P226" s="27">
        <f>AVERAGE(-31.038,-31.013)</f>
        <v>-31.025500000000001</v>
      </c>
      <c r="Q226" s="25" t="s">
        <v>293</v>
      </c>
      <c r="R226" s="25"/>
      <c r="S226" s="84">
        <f t="shared" si="51"/>
        <v>-27.525500000000001</v>
      </c>
      <c r="T226" s="5">
        <v>0.8</v>
      </c>
      <c r="U226" s="4" t="s">
        <v>481</v>
      </c>
      <c r="V226" s="88">
        <f t="shared" si="43"/>
        <v>-8.4227977702279198</v>
      </c>
      <c r="W226" s="88">
        <f t="shared" si="44"/>
        <v>-8.622797770227919</v>
      </c>
      <c r="X226" s="88">
        <f t="shared" si="45"/>
        <v>19.437735621625094</v>
      </c>
      <c r="Y226" s="88">
        <f>Z226+AA226</f>
        <v>30.169999999999998</v>
      </c>
      <c r="Z226" s="86">
        <v>26.77</v>
      </c>
      <c r="AA226" s="88">
        <v>3.4</v>
      </c>
      <c r="AB226" s="84" t="s">
        <v>176</v>
      </c>
      <c r="AC226" s="84">
        <f t="shared" si="46"/>
        <v>303.17</v>
      </c>
      <c r="AD226" s="84">
        <v>3.3</v>
      </c>
      <c r="AE226" s="5"/>
      <c r="AF226" s="5"/>
      <c r="AG226" s="5"/>
      <c r="AH226" s="5"/>
      <c r="AI226" s="5"/>
      <c r="AJ226" s="5"/>
      <c r="AK226" s="83" t="s">
        <v>259</v>
      </c>
      <c r="AL226" s="84"/>
      <c r="AM226" s="86">
        <v>170</v>
      </c>
      <c r="AN226" s="85">
        <f t="shared" si="39"/>
        <v>24.071599545402268</v>
      </c>
      <c r="AO226" s="85">
        <v>35</v>
      </c>
      <c r="AP226" s="87">
        <f t="shared" si="47"/>
        <v>2.570977970711227E-2</v>
      </c>
      <c r="AQ226" s="88">
        <f t="shared" si="48"/>
        <v>936.28182814585455</v>
      </c>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c r="KV226" s="1"/>
      <c r="KW226" s="1"/>
      <c r="KX226" s="1"/>
      <c r="KY226" s="1"/>
      <c r="KZ226" s="1"/>
      <c r="LA226" s="1"/>
      <c r="LB226" s="1"/>
      <c r="LC226" s="1"/>
      <c r="LD226" s="1"/>
      <c r="LE226" s="1"/>
    </row>
    <row r="227" spans="1:317" ht="13.2" customHeight="1" x14ac:dyDescent="0.25">
      <c r="A227" s="76">
        <v>19808</v>
      </c>
      <c r="B227" s="24">
        <v>159</v>
      </c>
      <c r="C227" s="8">
        <f t="shared" si="41"/>
        <v>7</v>
      </c>
      <c r="D227" s="8">
        <f t="shared" si="42"/>
        <v>7</v>
      </c>
      <c r="E227" s="24">
        <v>152</v>
      </c>
      <c r="F227" s="24">
        <v>166</v>
      </c>
      <c r="G227" s="3">
        <f t="shared" si="49"/>
        <v>7</v>
      </c>
      <c r="H227" s="25" t="s">
        <v>548</v>
      </c>
      <c r="I227" s="26">
        <v>51676</v>
      </c>
      <c r="J227" s="25" t="s">
        <v>214</v>
      </c>
      <c r="K227" s="25"/>
      <c r="L227" s="25" t="s">
        <v>214</v>
      </c>
      <c r="M227" s="95" t="s">
        <v>1</v>
      </c>
      <c r="N227" s="4" t="str">
        <f t="shared" si="50"/>
        <v>marine oil</v>
      </c>
      <c r="O227" s="95" t="s">
        <v>0</v>
      </c>
      <c r="P227" s="27">
        <f>AVERAGE(-30.19,-29.921)</f>
        <v>-30.055500000000002</v>
      </c>
      <c r="Q227" s="25" t="s">
        <v>293</v>
      </c>
      <c r="R227" s="25"/>
      <c r="S227" s="84">
        <f t="shared" si="51"/>
        <v>-26.555500000000002</v>
      </c>
      <c r="T227" s="5">
        <v>0.8</v>
      </c>
      <c r="U227" s="4" t="s">
        <v>481</v>
      </c>
      <c r="V227" s="88">
        <f t="shared" si="43"/>
        <v>-8.4227977702279198</v>
      </c>
      <c r="W227" s="88">
        <f t="shared" si="44"/>
        <v>-8.622797770227919</v>
      </c>
      <c r="X227" s="88">
        <f t="shared" si="45"/>
        <v>18.421905131491556</v>
      </c>
      <c r="Y227" s="88">
        <f>Z227+AA227</f>
        <v>30.169999999999998</v>
      </c>
      <c r="Z227" s="86">
        <v>26.77</v>
      </c>
      <c r="AA227" s="88">
        <v>3.4</v>
      </c>
      <c r="AB227" s="84" t="s">
        <v>176</v>
      </c>
      <c r="AC227" s="84">
        <f t="shared" si="46"/>
        <v>303.17</v>
      </c>
      <c r="AD227" s="84">
        <v>3.3</v>
      </c>
      <c r="AE227" s="5"/>
      <c r="AF227" s="5"/>
      <c r="AG227" s="5"/>
      <c r="AH227" s="5"/>
      <c r="AI227" s="5"/>
      <c r="AJ227" s="5"/>
      <c r="AK227" s="83" t="s">
        <v>259</v>
      </c>
      <c r="AM227" s="86">
        <v>170</v>
      </c>
      <c r="AN227" s="85">
        <f t="shared" si="39"/>
        <v>21.044565923919279</v>
      </c>
      <c r="AO227" s="85">
        <v>34</v>
      </c>
      <c r="AP227" s="87">
        <f t="shared" si="47"/>
        <v>2.581879787347564E-2</v>
      </c>
      <c r="AQ227" s="88">
        <f t="shared" si="48"/>
        <v>815.08697759855579</v>
      </c>
    </row>
    <row r="228" spans="1:317" s="9" customFormat="1" ht="13.2" customHeight="1" x14ac:dyDescent="0.25">
      <c r="A228" s="76">
        <v>19809</v>
      </c>
      <c r="B228" s="24">
        <v>159</v>
      </c>
      <c r="C228" s="8">
        <f t="shared" si="41"/>
        <v>7</v>
      </c>
      <c r="D228" s="8">
        <f t="shared" si="42"/>
        <v>7</v>
      </c>
      <c r="E228" s="24">
        <v>152</v>
      </c>
      <c r="F228" s="24">
        <v>166</v>
      </c>
      <c r="G228" s="3">
        <f t="shared" si="49"/>
        <v>7</v>
      </c>
      <c r="H228" s="25" t="s">
        <v>548</v>
      </c>
      <c r="I228" s="28">
        <v>2787</v>
      </c>
      <c r="J228" s="29" t="s">
        <v>214</v>
      </c>
      <c r="K228" s="29"/>
      <c r="L228" s="29" t="s">
        <v>214</v>
      </c>
      <c r="M228" s="96" t="s">
        <v>1</v>
      </c>
      <c r="N228" s="4" t="str">
        <f t="shared" si="50"/>
        <v>marine oil</v>
      </c>
      <c r="O228" s="96" t="s">
        <v>0</v>
      </c>
      <c r="P228" s="30">
        <f>AVERAGE(-29.15,-29.83,-29.27,-29.7)</f>
        <v>-29.487500000000001</v>
      </c>
      <c r="Q228" s="25" t="s">
        <v>293</v>
      </c>
      <c r="R228" s="25"/>
      <c r="S228" s="84">
        <f t="shared" si="51"/>
        <v>-25.987500000000001</v>
      </c>
      <c r="T228" s="5">
        <v>0.8</v>
      </c>
      <c r="U228" s="4" t="s">
        <v>481</v>
      </c>
      <c r="V228" s="88">
        <f t="shared" si="43"/>
        <v>-8.4227977702279198</v>
      </c>
      <c r="W228" s="88">
        <f t="shared" si="44"/>
        <v>-8.622797770227919</v>
      </c>
      <c r="X228" s="88">
        <f t="shared" si="45"/>
        <v>17.828007576670799</v>
      </c>
      <c r="Y228" s="88">
        <f>Z228+AA228</f>
        <v>30.169999999999998</v>
      </c>
      <c r="Z228" s="86">
        <v>26.77</v>
      </c>
      <c r="AA228" s="88">
        <v>3.4</v>
      </c>
      <c r="AB228" s="84" t="s">
        <v>176</v>
      </c>
      <c r="AC228" s="84">
        <f t="shared" si="46"/>
        <v>303.17</v>
      </c>
      <c r="AD228" s="84">
        <v>3.3</v>
      </c>
      <c r="AE228" s="5"/>
      <c r="AF228" s="5"/>
      <c r="AG228" s="5"/>
      <c r="AH228" s="5"/>
      <c r="AI228" s="5"/>
      <c r="AJ228" s="5"/>
      <c r="AK228" s="83" t="s">
        <v>259</v>
      </c>
      <c r="AL228" s="84"/>
      <c r="AM228" s="86">
        <v>170</v>
      </c>
      <c r="AN228" s="85">
        <f t="shared" si="39"/>
        <v>19.603338160521197</v>
      </c>
      <c r="AO228" s="85">
        <v>34</v>
      </c>
      <c r="AP228" s="87">
        <f t="shared" si="47"/>
        <v>2.581879787347564E-2</v>
      </c>
      <c r="AQ228" s="88">
        <f t="shared" si="48"/>
        <v>759.26610745344749</v>
      </c>
      <c r="AR228" s="13"/>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c r="JL228" s="1"/>
      <c r="JM228" s="1"/>
      <c r="JN228" s="1"/>
      <c r="JO228" s="1"/>
      <c r="JP228" s="1"/>
      <c r="JQ228" s="1"/>
      <c r="JR228" s="1"/>
      <c r="JS228" s="1"/>
      <c r="JT228" s="1"/>
      <c r="JU228" s="1"/>
      <c r="JV228" s="1"/>
      <c r="JW228" s="1"/>
      <c r="JX228" s="1"/>
      <c r="JY228" s="1"/>
      <c r="JZ228" s="1"/>
      <c r="KA228" s="1"/>
      <c r="KB228" s="1"/>
      <c r="KC228" s="1"/>
      <c r="KD228" s="1"/>
      <c r="KE228" s="1"/>
      <c r="KF228" s="1"/>
      <c r="KG228" s="1"/>
      <c r="KH228" s="1"/>
      <c r="KI228" s="1"/>
      <c r="KJ228" s="1"/>
      <c r="KK228" s="1"/>
      <c r="KL228" s="1"/>
      <c r="KM228" s="1"/>
      <c r="KN228" s="1"/>
      <c r="KO228" s="1"/>
      <c r="KP228" s="1"/>
      <c r="KQ228" s="1"/>
      <c r="KR228" s="1"/>
      <c r="KS228" s="1"/>
      <c r="KT228" s="1"/>
      <c r="KU228" s="1"/>
      <c r="KV228" s="1"/>
      <c r="KW228" s="1"/>
      <c r="KX228" s="1"/>
      <c r="KY228" s="1"/>
      <c r="KZ228" s="1"/>
      <c r="LA228" s="1"/>
      <c r="LB228" s="1"/>
      <c r="LC228" s="1"/>
      <c r="LD228" s="1"/>
      <c r="LE228" s="1"/>
    </row>
    <row r="229" spans="1:317" ht="13.2" customHeight="1" x14ac:dyDescent="0.25">
      <c r="A229" s="76">
        <v>19810</v>
      </c>
      <c r="B229" s="3">
        <v>177</v>
      </c>
      <c r="C229" s="8">
        <f t="shared" si="41"/>
        <v>2.9000000000000057</v>
      </c>
      <c r="D229" s="8">
        <f t="shared" si="42"/>
        <v>5.6999999999999886</v>
      </c>
      <c r="E229" s="3">
        <v>174.1</v>
      </c>
      <c r="F229" s="3">
        <v>182.7</v>
      </c>
      <c r="G229" s="3">
        <f t="shared" si="49"/>
        <v>5.6999999999999886</v>
      </c>
      <c r="H229" s="4" t="s">
        <v>228</v>
      </c>
      <c r="I229" s="32" t="s">
        <v>340</v>
      </c>
      <c r="J229" s="32" t="s">
        <v>43</v>
      </c>
      <c r="K229" s="32"/>
      <c r="L229" s="32" t="s">
        <v>606</v>
      </c>
      <c r="M229" s="86" t="s">
        <v>4</v>
      </c>
      <c r="N229" s="4" t="str">
        <f t="shared" si="50"/>
        <v>marine sediment</v>
      </c>
      <c r="O229" s="86" t="s">
        <v>27</v>
      </c>
      <c r="P229" s="33">
        <v>-32.28</v>
      </c>
      <c r="Q229" s="33" t="s">
        <v>42</v>
      </c>
      <c r="R229" s="33"/>
      <c r="S229" s="84">
        <f t="shared" si="51"/>
        <v>-28.78</v>
      </c>
      <c r="T229" s="5">
        <v>2</v>
      </c>
      <c r="U229" s="4" t="s">
        <v>407</v>
      </c>
      <c r="V229" s="88">
        <f t="shared" si="43"/>
        <v>-9.4378231292517007</v>
      </c>
      <c r="W229" s="88">
        <f t="shared" si="44"/>
        <v>-8.4378231292517007</v>
      </c>
      <c r="X229" s="88">
        <f t="shared" si="45"/>
        <v>20.944973199427785</v>
      </c>
      <c r="Y229" s="88">
        <v>21</v>
      </c>
      <c r="AB229" s="84"/>
      <c r="AC229" s="84">
        <f t="shared" si="46"/>
        <v>294</v>
      </c>
      <c r="AD229" s="84"/>
      <c r="AE229" s="23"/>
      <c r="AF229" s="23"/>
      <c r="AG229" s="23"/>
      <c r="AH229" s="23"/>
      <c r="AI229" s="23"/>
      <c r="AJ229" s="23"/>
      <c r="AK229" s="90"/>
      <c r="AL229" s="83" t="s">
        <v>401</v>
      </c>
      <c r="AM229" s="86">
        <v>170</v>
      </c>
      <c r="AN229" s="85">
        <f t="shared" si="39"/>
        <v>30.602912659663239</v>
      </c>
      <c r="AO229" s="85">
        <v>34</v>
      </c>
      <c r="AP229" s="87">
        <f t="shared" si="47"/>
        <v>3.2591654943586672E-2</v>
      </c>
      <c r="AQ229" s="88">
        <f t="shared" si="48"/>
        <v>938.98001536387846</v>
      </c>
    </row>
    <row r="230" spans="1:317" x14ac:dyDescent="0.25">
      <c r="A230" s="76">
        <v>19811</v>
      </c>
      <c r="B230" s="3">
        <v>177</v>
      </c>
      <c r="C230" s="8">
        <f t="shared" si="41"/>
        <v>2.9000000000000057</v>
      </c>
      <c r="D230" s="8">
        <f t="shared" si="42"/>
        <v>5.6999999999999886</v>
      </c>
      <c r="E230" s="3">
        <v>174.1</v>
      </c>
      <c r="F230" s="3">
        <v>182.7</v>
      </c>
      <c r="G230" s="3">
        <f t="shared" si="49"/>
        <v>5.6999999999999886</v>
      </c>
      <c r="H230" s="4" t="s">
        <v>228</v>
      </c>
      <c r="I230" s="32" t="s">
        <v>58</v>
      </c>
      <c r="J230" s="32" t="s">
        <v>43</v>
      </c>
      <c r="K230" s="32"/>
      <c r="L230" s="32" t="s">
        <v>606</v>
      </c>
      <c r="M230" s="86" t="s">
        <v>4</v>
      </c>
      <c r="N230" s="4" t="str">
        <f t="shared" si="50"/>
        <v>marine sediment</v>
      </c>
      <c r="O230" s="86" t="s">
        <v>27</v>
      </c>
      <c r="P230" s="33">
        <v>-32.54</v>
      </c>
      <c r="Q230" s="33" t="s">
        <v>42</v>
      </c>
      <c r="R230" s="33"/>
      <c r="S230" s="84">
        <f t="shared" si="51"/>
        <v>-29.04</v>
      </c>
      <c r="T230" s="5">
        <v>2</v>
      </c>
      <c r="U230" s="4" t="s">
        <v>407</v>
      </c>
      <c r="V230" s="88">
        <f t="shared" si="43"/>
        <v>-9.4378231292517007</v>
      </c>
      <c r="W230" s="88">
        <f t="shared" si="44"/>
        <v>-8.4378231292517007</v>
      </c>
      <c r="X230" s="88">
        <f t="shared" si="45"/>
        <v>21.218357986681589</v>
      </c>
      <c r="Y230" s="88">
        <v>21</v>
      </c>
      <c r="AB230" s="84"/>
      <c r="AC230" s="84">
        <f t="shared" si="46"/>
        <v>294</v>
      </c>
      <c r="AD230" s="84"/>
      <c r="AE230" s="23"/>
      <c r="AF230" s="23"/>
      <c r="AG230" s="23"/>
      <c r="AH230" s="23"/>
      <c r="AI230" s="23"/>
      <c r="AJ230" s="23"/>
      <c r="AK230" s="90"/>
      <c r="AL230" s="83" t="s">
        <v>401</v>
      </c>
      <c r="AM230" s="86">
        <v>170</v>
      </c>
      <c r="AN230" s="85">
        <f t="shared" si="39"/>
        <v>32.18695995891445</v>
      </c>
      <c r="AO230" s="85">
        <v>34</v>
      </c>
      <c r="AP230" s="87">
        <f t="shared" si="47"/>
        <v>3.2591654943586672E-2</v>
      </c>
      <c r="AQ230" s="88">
        <f t="shared" si="48"/>
        <v>987.58286483540917</v>
      </c>
    </row>
    <row r="231" spans="1:317" x14ac:dyDescent="0.25">
      <c r="A231" s="76">
        <v>19812</v>
      </c>
      <c r="B231" s="24">
        <v>178</v>
      </c>
      <c r="C231" s="8">
        <f t="shared" si="41"/>
        <v>3.9000000000000057</v>
      </c>
      <c r="D231" s="8">
        <f t="shared" si="42"/>
        <v>4.6999999999999886</v>
      </c>
      <c r="E231" s="3">
        <v>174.1</v>
      </c>
      <c r="F231" s="3">
        <v>182.7</v>
      </c>
      <c r="G231" s="3">
        <f t="shared" si="49"/>
        <v>4.6999999999999886</v>
      </c>
      <c r="H231" s="4" t="s">
        <v>228</v>
      </c>
      <c r="I231" s="26">
        <v>283124</v>
      </c>
      <c r="J231" s="25" t="s">
        <v>212</v>
      </c>
      <c r="K231" s="25"/>
      <c r="L231" s="25" t="s">
        <v>212</v>
      </c>
      <c r="M231" s="95" t="s">
        <v>1</v>
      </c>
      <c r="N231" s="4" t="str">
        <f t="shared" si="50"/>
        <v>marine oil</v>
      </c>
      <c r="O231" s="95" t="s">
        <v>0</v>
      </c>
      <c r="P231" s="27">
        <f>AVERAGE(-29.999,-29.698,-29.908,-29.818)</f>
        <v>-29.85575</v>
      </c>
      <c r="Q231" s="25" t="s">
        <v>293</v>
      </c>
      <c r="R231" s="25"/>
      <c r="S231" s="84">
        <f t="shared" si="51"/>
        <v>-26.35575</v>
      </c>
      <c r="T231" s="5">
        <v>2.1</v>
      </c>
      <c r="U231" s="4" t="s">
        <v>402</v>
      </c>
      <c r="V231" s="88">
        <f t="shared" si="43"/>
        <v>-9.3240677966101693</v>
      </c>
      <c r="W231" s="88">
        <f t="shared" si="44"/>
        <v>-8.2240677966101696</v>
      </c>
      <c r="X231" s="88">
        <f t="shared" si="45"/>
        <v>18.622491945482047</v>
      </c>
      <c r="Y231" s="88">
        <v>22</v>
      </c>
      <c r="Z231" s="86"/>
      <c r="AB231" s="84"/>
      <c r="AC231" s="84">
        <f t="shared" si="46"/>
        <v>295</v>
      </c>
      <c r="AD231" s="84"/>
      <c r="AE231" s="5"/>
      <c r="AF231" s="5"/>
      <c r="AG231" s="5"/>
      <c r="AH231" s="5"/>
      <c r="AI231" s="5"/>
      <c r="AJ231" s="5"/>
      <c r="AK231" s="83" t="s">
        <v>403</v>
      </c>
      <c r="AL231" s="83" t="s">
        <v>402</v>
      </c>
      <c r="AM231" s="86">
        <v>170</v>
      </c>
      <c r="AN231" s="85">
        <f t="shared" si="39"/>
        <v>21.580428585217458</v>
      </c>
      <c r="AO231" s="85">
        <v>34</v>
      </c>
      <c r="AP231" s="87">
        <f t="shared" si="47"/>
        <v>3.1713091748844839E-2</v>
      </c>
      <c r="AQ231" s="88">
        <f t="shared" si="48"/>
        <v>680.48958317044355</v>
      </c>
    </row>
    <row r="232" spans="1:317" s="9" customFormat="1" x14ac:dyDescent="0.25">
      <c r="A232" s="76">
        <v>19813</v>
      </c>
      <c r="B232" s="24">
        <v>178</v>
      </c>
      <c r="C232" s="8">
        <f t="shared" si="41"/>
        <v>3.9000000000000057</v>
      </c>
      <c r="D232" s="8">
        <f t="shared" si="42"/>
        <v>4.6999999999999886</v>
      </c>
      <c r="E232" s="3">
        <v>174.1</v>
      </c>
      <c r="F232" s="3">
        <v>182.7</v>
      </c>
      <c r="G232" s="3">
        <f t="shared" si="49"/>
        <v>4.6999999999999886</v>
      </c>
      <c r="H232" s="25" t="s">
        <v>228</v>
      </c>
      <c r="I232" s="26">
        <v>23339</v>
      </c>
      <c r="J232" s="25" t="s">
        <v>212</v>
      </c>
      <c r="K232" s="25"/>
      <c r="L232" s="25" t="s">
        <v>212</v>
      </c>
      <c r="M232" s="95" t="s">
        <v>1</v>
      </c>
      <c r="N232" s="4" t="str">
        <f t="shared" si="50"/>
        <v>marine oil</v>
      </c>
      <c r="O232" s="95" t="s">
        <v>0</v>
      </c>
      <c r="P232" s="27">
        <v>-32.358625000000004</v>
      </c>
      <c r="Q232" s="25" t="s">
        <v>293</v>
      </c>
      <c r="R232" s="25"/>
      <c r="S232" s="84">
        <f t="shared" si="51"/>
        <v>-28.858625000000004</v>
      </c>
      <c r="T232" s="5">
        <v>2.1</v>
      </c>
      <c r="U232" s="4" t="s">
        <v>402</v>
      </c>
      <c r="V232" s="88">
        <f t="shared" si="43"/>
        <v>-9.3240677966101693</v>
      </c>
      <c r="W232" s="88">
        <f t="shared" si="44"/>
        <v>-8.2240677966101696</v>
      </c>
      <c r="X232" s="88">
        <f t="shared" si="45"/>
        <v>21.24773769770627</v>
      </c>
      <c r="Y232" s="88">
        <v>22</v>
      </c>
      <c r="Z232" s="86"/>
      <c r="AA232" s="88"/>
      <c r="AB232" s="84"/>
      <c r="AC232" s="84">
        <f t="shared" si="46"/>
        <v>295</v>
      </c>
      <c r="AD232" s="84"/>
      <c r="AE232" s="5"/>
      <c r="AF232" s="5"/>
      <c r="AG232" s="5"/>
      <c r="AH232" s="5"/>
      <c r="AI232" s="5"/>
      <c r="AJ232" s="5"/>
      <c r="AK232" s="83" t="s">
        <v>403</v>
      </c>
      <c r="AL232" s="83" t="s">
        <v>402</v>
      </c>
      <c r="AM232" s="86">
        <v>171</v>
      </c>
      <c r="AN232" s="85">
        <f t="shared" si="39"/>
        <v>32.557399108822523</v>
      </c>
      <c r="AO232" s="85">
        <v>35</v>
      </c>
      <c r="AP232" s="87">
        <f t="shared" si="47"/>
        <v>3.1567922335525633E-2</v>
      </c>
      <c r="AQ232" s="88">
        <f t="shared" si="48"/>
        <v>1031.3443742917273</v>
      </c>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c r="KV232" s="1"/>
      <c r="KW232" s="1"/>
      <c r="KX232" s="1"/>
      <c r="KY232" s="1"/>
      <c r="KZ232" s="1"/>
      <c r="LA232" s="1"/>
      <c r="LB232" s="1"/>
      <c r="LC232" s="1"/>
      <c r="LD232" s="1"/>
      <c r="LE232" s="1"/>
    </row>
    <row r="233" spans="1:317" x14ac:dyDescent="0.25">
      <c r="A233" s="76">
        <v>19814</v>
      </c>
      <c r="B233" s="3">
        <v>178</v>
      </c>
      <c r="C233" s="8">
        <f t="shared" si="41"/>
        <v>3.9000000000000057</v>
      </c>
      <c r="D233" s="8">
        <f t="shared" si="42"/>
        <v>4.6999999999999886</v>
      </c>
      <c r="E233" s="3">
        <v>174.1</v>
      </c>
      <c r="F233" s="3">
        <v>182.7</v>
      </c>
      <c r="G233" s="3">
        <f t="shared" si="49"/>
        <v>4.6999999999999886</v>
      </c>
      <c r="H233" s="4" t="s">
        <v>228</v>
      </c>
      <c r="I233" s="32" t="s">
        <v>57</v>
      </c>
      <c r="J233" s="32" t="s">
        <v>43</v>
      </c>
      <c r="K233" s="32"/>
      <c r="L233" s="32" t="s">
        <v>606</v>
      </c>
      <c r="M233" s="86" t="s">
        <v>4</v>
      </c>
      <c r="N233" s="4" t="str">
        <f t="shared" si="50"/>
        <v>marine sediment</v>
      </c>
      <c r="O233" s="86" t="s">
        <v>27</v>
      </c>
      <c r="P233" s="33">
        <v>-32.479999999999997</v>
      </c>
      <c r="Q233" s="33" t="s">
        <v>42</v>
      </c>
      <c r="R233" s="33"/>
      <c r="S233" s="84">
        <f t="shared" si="51"/>
        <v>-28.979999999999997</v>
      </c>
      <c r="T233" s="5">
        <v>2</v>
      </c>
      <c r="U233" s="4" t="s">
        <v>407</v>
      </c>
      <c r="V233" s="88">
        <f t="shared" si="43"/>
        <v>-9.4378231292517007</v>
      </c>
      <c r="W233" s="88">
        <f t="shared" si="44"/>
        <v>-8.4378231292517007</v>
      </c>
      <c r="X233" s="88">
        <f t="shared" si="45"/>
        <v>21.155256195287684</v>
      </c>
      <c r="Y233" s="88">
        <v>21</v>
      </c>
      <c r="AB233" s="84"/>
      <c r="AC233" s="84">
        <f t="shared" si="46"/>
        <v>294</v>
      </c>
      <c r="AD233" s="84"/>
      <c r="AE233" s="23"/>
      <c r="AF233" s="23"/>
      <c r="AG233" s="23"/>
      <c r="AH233" s="23"/>
      <c r="AI233" s="23"/>
      <c r="AJ233" s="23"/>
      <c r="AK233" s="90"/>
      <c r="AL233" s="83" t="s">
        <v>401</v>
      </c>
      <c r="AM233" s="86">
        <v>170</v>
      </c>
      <c r="AN233" s="85">
        <f t="shared" si="39"/>
        <v>31.806950194715714</v>
      </c>
      <c r="AO233" s="85">
        <v>34</v>
      </c>
      <c r="AP233" s="87">
        <f t="shared" si="47"/>
        <v>3.2591654943586672E-2</v>
      </c>
      <c r="AQ233" s="88">
        <f t="shared" si="48"/>
        <v>975.9231389069007</v>
      </c>
    </row>
    <row r="234" spans="1:317" x14ac:dyDescent="0.25">
      <c r="A234" s="76">
        <v>19815</v>
      </c>
      <c r="B234" s="3">
        <v>178</v>
      </c>
      <c r="C234" s="8">
        <f t="shared" si="41"/>
        <v>3.9000000000000057</v>
      </c>
      <c r="D234" s="8">
        <f t="shared" si="42"/>
        <v>4.6999999999999886</v>
      </c>
      <c r="E234" s="3">
        <v>174.1</v>
      </c>
      <c r="F234" s="3">
        <v>182.7</v>
      </c>
      <c r="G234" s="3">
        <f t="shared" si="49"/>
        <v>4.6999999999999886</v>
      </c>
      <c r="H234" s="4" t="s">
        <v>228</v>
      </c>
      <c r="I234" s="32" t="s">
        <v>56</v>
      </c>
      <c r="J234" s="32" t="s">
        <v>43</v>
      </c>
      <c r="K234" s="32"/>
      <c r="L234" s="32" t="s">
        <v>606</v>
      </c>
      <c r="M234" s="86" t="s">
        <v>4</v>
      </c>
      <c r="N234" s="4" t="str">
        <f t="shared" si="50"/>
        <v>marine sediment</v>
      </c>
      <c r="O234" s="86" t="s">
        <v>27</v>
      </c>
      <c r="P234" s="33">
        <v>-32.71</v>
      </c>
      <c r="Q234" s="33" t="s">
        <v>42</v>
      </c>
      <c r="R234" s="33"/>
      <c r="S234" s="84">
        <f t="shared" si="51"/>
        <v>-29.21</v>
      </c>
      <c r="T234" s="5">
        <v>2</v>
      </c>
      <c r="U234" s="4" t="s">
        <v>407</v>
      </c>
      <c r="V234" s="88">
        <f t="shared" si="43"/>
        <v>-9.4378231292517007</v>
      </c>
      <c r="W234" s="88">
        <f t="shared" si="44"/>
        <v>-8.4378231292517007</v>
      </c>
      <c r="X234" s="88">
        <f t="shared" si="45"/>
        <v>21.397188754260334</v>
      </c>
      <c r="Y234" s="88">
        <v>21</v>
      </c>
      <c r="AB234" s="84"/>
      <c r="AC234" s="84">
        <f t="shared" si="46"/>
        <v>294</v>
      </c>
      <c r="AD234" s="84"/>
      <c r="AE234" s="23"/>
      <c r="AF234" s="23"/>
      <c r="AG234" s="23"/>
      <c r="AH234" s="23"/>
      <c r="AI234" s="23"/>
      <c r="AJ234" s="23"/>
      <c r="AK234" s="90"/>
      <c r="AL234" s="83" t="s">
        <v>401</v>
      </c>
      <c r="AM234" s="86">
        <v>170</v>
      </c>
      <c r="AN234" s="85">
        <f t="shared" si="39"/>
        <v>33.314969300879568</v>
      </c>
      <c r="AO234" s="85">
        <v>34</v>
      </c>
      <c r="AP234" s="87">
        <f t="shared" si="47"/>
        <v>3.2591654943586672E-2</v>
      </c>
      <c r="AQ234" s="88">
        <f t="shared" si="48"/>
        <v>1022.1932380710612</v>
      </c>
    </row>
    <row r="235" spans="1:317" ht="13.2" customHeight="1" x14ac:dyDescent="0.25">
      <c r="A235" s="76">
        <v>19816</v>
      </c>
      <c r="B235" s="3">
        <v>178</v>
      </c>
      <c r="C235" s="8">
        <f t="shared" si="41"/>
        <v>3.9000000000000057</v>
      </c>
      <c r="D235" s="8">
        <f t="shared" si="42"/>
        <v>4.6999999999999886</v>
      </c>
      <c r="E235" s="3">
        <v>174.1</v>
      </c>
      <c r="F235" s="3">
        <v>182.7</v>
      </c>
      <c r="G235" s="3">
        <f t="shared" si="49"/>
        <v>4.6999999999999886</v>
      </c>
      <c r="H235" s="4" t="s">
        <v>228</v>
      </c>
      <c r="I235" s="4" t="s">
        <v>53</v>
      </c>
      <c r="J235" s="4" t="s">
        <v>50</v>
      </c>
      <c r="K235" s="4"/>
      <c r="L235" s="4" t="s">
        <v>40</v>
      </c>
      <c r="M235" s="86" t="s">
        <v>4</v>
      </c>
      <c r="N235" s="4" t="str">
        <f t="shared" si="50"/>
        <v>marine sediment</v>
      </c>
      <c r="O235" s="86" t="s">
        <v>0</v>
      </c>
      <c r="P235" s="5">
        <v>-32.4</v>
      </c>
      <c r="Q235" s="4" t="s">
        <v>49</v>
      </c>
      <c r="S235" s="84">
        <f t="shared" si="51"/>
        <v>-28.9</v>
      </c>
      <c r="T235" s="5">
        <v>1</v>
      </c>
      <c r="U235" s="4" t="s">
        <v>405</v>
      </c>
      <c r="V235" s="88">
        <f t="shared" si="43"/>
        <v>-9.4378231292517007</v>
      </c>
      <c r="W235" s="88">
        <f t="shared" si="44"/>
        <v>-9.4378231292517007</v>
      </c>
      <c r="X235" s="88">
        <f t="shared" si="45"/>
        <v>20.041372537069613</v>
      </c>
      <c r="Y235" s="88">
        <v>21</v>
      </c>
      <c r="AB235" s="84"/>
      <c r="AC235" s="84">
        <f t="shared" si="46"/>
        <v>294</v>
      </c>
      <c r="AD235" s="84"/>
      <c r="AE235" s="23"/>
      <c r="AF235" s="23"/>
      <c r="AG235" s="23"/>
      <c r="AH235" s="23"/>
      <c r="AI235" s="23"/>
      <c r="AJ235" s="23"/>
      <c r="AK235" s="83"/>
      <c r="AL235" s="83" t="s">
        <v>401</v>
      </c>
      <c r="AM235" s="86">
        <v>170</v>
      </c>
      <c r="AN235" s="85">
        <f t="shared" si="39"/>
        <v>26.321381899749355</v>
      </c>
      <c r="AO235" s="85">
        <v>34</v>
      </c>
      <c r="AP235" s="87">
        <f t="shared" si="47"/>
        <v>3.2591654943586672E-2</v>
      </c>
      <c r="AQ235" s="88">
        <f t="shared" si="48"/>
        <v>807.61108772504451</v>
      </c>
    </row>
    <row r="236" spans="1:317" ht="13.2" customHeight="1" x14ac:dyDescent="0.25">
      <c r="A236" s="76">
        <v>19817</v>
      </c>
      <c r="B236" s="3">
        <v>178</v>
      </c>
      <c r="C236" s="8">
        <f t="shared" si="41"/>
        <v>3.9000000000000057</v>
      </c>
      <c r="D236" s="8">
        <f t="shared" si="42"/>
        <v>4.6999999999999886</v>
      </c>
      <c r="E236" s="3">
        <v>174.1</v>
      </c>
      <c r="F236" s="3">
        <v>182.7</v>
      </c>
      <c r="G236" s="3">
        <f t="shared" si="49"/>
        <v>4.6999999999999886</v>
      </c>
      <c r="H236" s="4" t="s">
        <v>228</v>
      </c>
      <c r="I236" s="4" t="s">
        <v>52</v>
      </c>
      <c r="J236" s="4" t="s">
        <v>50</v>
      </c>
      <c r="K236" s="4"/>
      <c r="L236" s="4" t="s">
        <v>40</v>
      </c>
      <c r="M236" s="86" t="s">
        <v>4</v>
      </c>
      <c r="N236" s="4" t="str">
        <f t="shared" si="50"/>
        <v>marine sediment</v>
      </c>
      <c r="O236" s="86" t="s">
        <v>0</v>
      </c>
      <c r="P236" s="5">
        <v>-31.1</v>
      </c>
      <c r="Q236" s="4" t="s">
        <v>49</v>
      </c>
      <c r="S236" s="84">
        <f t="shared" si="51"/>
        <v>-27.6</v>
      </c>
      <c r="T236" s="5">
        <v>1</v>
      </c>
      <c r="U236" s="4" t="s">
        <v>405</v>
      </c>
      <c r="V236" s="88">
        <f t="shared" si="43"/>
        <v>-9.4378231292517007</v>
      </c>
      <c r="W236" s="88">
        <f t="shared" si="44"/>
        <v>-9.4378231292517007</v>
      </c>
      <c r="X236" s="88">
        <f t="shared" si="45"/>
        <v>18.677680862554837</v>
      </c>
      <c r="Y236" s="88">
        <v>21</v>
      </c>
      <c r="AB236" s="84"/>
      <c r="AC236" s="84">
        <f t="shared" si="46"/>
        <v>294</v>
      </c>
      <c r="AD236" s="84"/>
      <c r="AE236" s="23"/>
      <c r="AF236" s="23"/>
      <c r="AG236" s="23"/>
      <c r="AH236" s="23"/>
      <c r="AI236" s="23"/>
      <c r="AJ236" s="23"/>
      <c r="AK236" s="83"/>
      <c r="AL236" s="83" t="s">
        <v>401</v>
      </c>
      <c r="AM236" s="86">
        <v>170</v>
      </c>
      <c r="AN236" s="85">
        <f t="shared" si="39"/>
        <v>21.732685283347244</v>
      </c>
      <c r="AO236" s="85">
        <v>34</v>
      </c>
      <c r="AP236" s="87">
        <f t="shared" si="47"/>
        <v>3.2591654943586672E-2</v>
      </c>
      <c r="AQ236" s="88">
        <f t="shared" si="48"/>
        <v>666.81748198932019</v>
      </c>
    </row>
    <row r="237" spans="1:317" ht="13.2" customHeight="1" x14ac:dyDescent="0.25">
      <c r="A237" s="76">
        <v>19818</v>
      </c>
      <c r="B237" s="3">
        <v>178</v>
      </c>
      <c r="C237" s="8">
        <f t="shared" si="41"/>
        <v>3.9000000000000057</v>
      </c>
      <c r="D237" s="8">
        <f t="shared" si="42"/>
        <v>4.6999999999999886</v>
      </c>
      <c r="E237" s="3">
        <v>174.1</v>
      </c>
      <c r="F237" s="3">
        <v>182.7</v>
      </c>
      <c r="G237" s="3">
        <f t="shared" si="49"/>
        <v>4.6999999999999886</v>
      </c>
      <c r="H237" s="4" t="s">
        <v>228</v>
      </c>
      <c r="I237" s="4" t="s">
        <v>51</v>
      </c>
      <c r="J237" s="4" t="s">
        <v>50</v>
      </c>
      <c r="K237" s="4"/>
      <c r="L237" s="4" t="s">
        <v>40</v>
      </c>
      <c r="M237" s="86" t="s">
        <v>4</v>
      </c>
      <c r="N237" s="4" t="str">
        <f t="shared" si="50"/>
        <v>marine sediment</v>
      </c>
      <c r="O237" s="86" t="s">
        <v>0</v>
      </c>
      <c r="P237" s="5">
        <v>-31.4</v>
      </c>
      <c r="Q237" s="4" t="s">
        <v>49</v>
      </c>
      <c r="S237" s="84">
        <f t="shared" si="51"/>
        <v>-27.9</v>
      </c>
      <c r="T237" s="5">
        <v>1</v>
      </c>
      <c r="U237" s="4" t="s">
        <v>405</v>
      </c>
      <c r="V237" s="88">
        <f t="shared" si="43"/>
        <v>-9.4378231292517007</v>
      </c>
      <c r="W237" s="88">
        <f t="shared" si="44"/>
        <v>-9.4378231292517007</v>
      </c>
      <c r="X237" s="88">
        <f t="shared" si="45"/>
        <v>18.992055211139114</v>
      </c>
      <c r="Y237" s="88">
        <v>21</v>
      </c>
      <c r="AB237" s="84"/>
      <c r="AC237" s="84">
        <f t="shared" si="46"/>
        <v>294</v>
      </c>
      <c r="AD237" s="84"/>
      <c r="AE237" s="23"/>
      <c r="AF237" s="23"/>
      <c r="AG237" s="23"/>
      <c r="AH237" s="23"/>
      <c r="AI237" s="23"/>
      <c r="AJ237" s="23"/>
      <c r="AK237" s="83"/>
      <c r="AL237" s="83" t="s">
        <v>401</v>
      </c>
      <c r="AM237" s="86">
        <v>170</v>
      </c>
      <c r="AN237" s="85">
        <f t="shared" si="39"/>
        <v>22.642681157194897</v>
      </c>
      <c r="AO237" s="85">
        <v>34</v>
      </c>
      <c r="AP237" s="87">
        <f t="shared" si="47"/>
        <v>3.2591654943586672E-2</v>
      </c>
      <c r="AQ237" s="88">
        <f t="shared" si="48"/>
        <v>694.73861319369678</v>
      </c>
    </row>
    <row r="238" spans="1:317" ht="13.2" customHeight="1" x14ac:dyDescent="0.25">
      <c r="A238" s="76">
        <v>19819</v>
      </c>
      <c r="B238" s="3">
        <v>179</v>
      </c>
      <c r="C238" s="8">
        <f t="shared" si="41"/>
        <v>4.9000000000000057</v>
      </c>
      <c r="D238" s="8">
        <f t="shared" si="42"/>
        <v>3.6999999999999886</v>
      </c>
      <c r="E238" s="3">
        <v>174.1</v>
      </c>
      <c r="F238" s="3">
        <v>182.7</v>
      </c>
      <c r="G238" s="3">
        <f t="shared" si="49"/>
        <v>4.9000000000000057</v>
      </c>
      <c r="H238" s="4" t="s">
        <v>228</v>
      </c>
      <c r="I238" s="32" t="s">
        <v>55</v>
      </c>
      <c r="J238" s="32" t="s">
        <v>43</v>
      </c>
      <c r="K238" s="32"/>
      <c r="L238" s="32" t="s">
        <v>606</v>
      </c>
      <c r="M238" s="86" t="s">
        <v>4</v>
      </c>
      <c r="N238" s="4" t="str">
        <f t="shared" si="50"/>
        <v>marine sediment</v>
      </c>
      <c r="O238" s="86" t="s">
        <v>27</v>
      </c>
      <c r="P238" s="33">
        <v>-32.43</v>
      </c>
      <c r="Q238" s="33" t="s">
        <v>42</v>
      </c>
      <c r="R238" s="33"/>
      <c r="S238" s="84">
        <f t="shared" si="51"/>
        <v>-28.93</v>
      </c>
      <c r="T238" s="5">
        <v>2</v>
      </c>
      <c r="U238" s="4" t="s">
        <v>407</v>
      </c>
      <c r="V238" s="88">
        <f t="shared" si="43"/>
        <v>-9.4378231292517007</v>
      </c>
      <c r="W238" s="88">
        <f t="shared" si="44"/>
        <v>-8.4378231292517007</v>
      </c>
      <c r="X238" s="88">
        <f t="shared" si="45"/>
        <v>21.102677325783191</v>
      </c>
      <c r="Y238" s="88">
        <v>21</v>
      </c>
      <c r="AB238" s="84"/>
      <c r="AC238" s="84">
        <f t="shared" si="46"/>
        <v>294</v>
      </c>
      <c r="AD238" s="84"/>
      <c r="AE238" s="23"/>
      <c r="AF238" s="23"/>
      <c r="AG238" s="23"/>
      <c r="AH238" s="23"/>
      <c r="AI238" s="23"/>
      <c r="AJ238" s="23"/>
      <c r="AK238" s="90"/>
      <c r="AL238" s="83" t="s">
        <v>401</v>
      </c>
      <c r="AM238" s="86">
        <v>170</v>
      </c>
      <c r="AN238" s="85">
        <f t="shared" si="39"/>
        <v>31.497097776291138</v>
      </c>
      <c r="AO238" s="85">
        <v>34</v>
      </c>
      <c r="AP238" s="87">
        <f t="shared" si="47"/>
        <v>3.2591654943586672E-2</v>
      </c>
      <c r="AQ238" s="88">
        <f t="shared" si="48"/>
        <v>966.41602983370694</v>
      </c>
    </row>
    <row r="239" spans="1:317" ht="13.2" customHeight="1" x14ac:dyDescent="0.25">
      <c r="A239" s="76">
        <v>19820</v>
      </c>
      <c r="B239" s="3">
        <v>179</v>
      </c>
      <c r="C239" s="8">
        <f t="shared" si="41"/>
        <v>4.9000000000000057</v>
      </c>
      <c r="D239" s="8">
        <f t="shared" si="42"/>
        <v>3.6999999999999886</v>
      </c>
      <c r="E239" s="3">
        <v>174.1</v>
      </c>
      <c r="F239" s="3">
        <v>182.7</v>
      </c>
      <c r="G239" s="3">
        <f t="shared" si="49"/>
        <v>4.9000000000000057</v>
      </c>
      <c r="H239" s="4" t="s">
        <v>228</v>
      </c>
      <c r="I239" s="32" t="s">
        <v>54</v>
      </c>
      <c r="J239" s="32" t="s">
        <v>43</v>
      </c>
      <c r="K239" s="32"/>
      <c r="L239" s="32" t="s">
        <v>606</v>
      </c>
      <c r="M239" s="86" t="s">
        <v>4</v>
      </c>
      <c r="N239" s="4" t="str">
        <f t="shared" si="50"/>
        <v>marine sediment</v>
      </c>
      <c r="O239" s="86" t="s">
        <v>27</v>
      </c>
      <c r="P239" s="33">
        <v>-32.78</v>
      </c>
      <c r="Q239" s="33" t="s">
        <v>42</v>
      </c>
      <c r="R239" s="33"/>
      <c r="S239" s="84">
        <f t="shared" si="51"/>
        <v>-29.28</v>
      </c>
      <c r="T239" s="5">
        <v>2</v>
      </c>
      <c r="U239" s="4" t="s">
        <v>407</v>
      </c>
      <c r="V239" s="88">
        <f t="shared" si="43"/>
        <v>-9.4378231292517007</v>
      </c>
      <c r="W239" s="88">
        <f t="shared" si="44"/>
        <v>-8.4378231292517007</v>
      </c>
      <c r="X239" s="88">
        <f t="shared" si="45"/>
        <v>21.470843158426955</v>
      </c>
      <c r="Y239" s="88">
        <v>21</v>
      </c>
      <c r="AB239" s="84"/>
      <c r="AC239" s="84">
        <f t="shared" si="46"/>
        <v>294</v>
      </c>
      <c r="AD239" s="84"/>
      <c r="AE239" s="23"/>
      <c r="AF239" s="23"/>
      <c r="AG239" s="23"/>
      <c r="AH239" s="23"/>
      <c r="AI239" s="23"/>
      <c r="AJ239" s="23"/>
      <c r="AK239" s="90"/>
      <c r="AL239" s="83" t="s">
        <v>401</v>
      </c>
      <c r="AM239" s="86">
        <v>170</v>
      </c>
      <c r="AN239" s="85">
        <f t="shared" si="39"/>
        <v>33.802882939484256</v>
      </c>
      <c r="AO239" s="85">
        <v>34</v>
      </c>
      <c r="AP239" s="87">
        <f t="shared" si="47"/>
        <v>3.2591654943586672E-2</v>
      </c>
      <c r="AQ239" s="88">
        <f t="shared" si="48"/>
        <v>1037.1637463023621</v>
      </c>
    </row>
    <row r="240" spans="1:317" x14ac:dyDescent="0.25">
      <c r="A240" s="76">
        <v>19821</v>
      </c>
      <c r="B240" s="3">
        <v>180</v>
      </c>
      <c r="C240" s="8">
        <f t="shared" si="41"/>
        <v>5.9000000000000057</v>
      </c>
      <c r="D240" s="8">
        <f t="shared" si="42"/>
        <v>2.6999999999999886</v>
      </c>
      <c r="E240" s="3">
        <v>174.1</v>
      </c>
      <c r="F240" s="3">
        <v>182.7</v>
      </c>
      <c r="G240" s="3">
        <f t="shared" si="49"/>
        <v>5.9000000000000057</v>
      </c>
      <c r="H240" s="4" t="s">
        <v>228</v>
      </c>
      <c r="I240" s="32" t="s">
        <v>48</v>
      </c>
      <c r="J240" s="32" t="s">
        <v>43</v>
      </c>
      <c r="K240" s="32"/>
      <c r="L240" s="32" t="s">
        <v>606</v>
      </c>
      <c r="M240" s="86" t="s">
        <v>4</v>
      </c>
      <c r="N240" s="4" t="str">
        <f t="shared" si="50"/>
        <v>marine sediment</v>
      </c>
      <c r="O240" s="86" t="s">
        <v>27</v>
      </c>
      <c r="P240" s="33">
        <v>-32.67</v>
      </c>
      <c r="Q240" s="33" t="s">
        <v>42</v>
      </c>
      <c r="R240" s="33"/>
      <c r="S240" s="84">
        <f t="shared" si="51"/>
        <v>-29.17</v>
      </c>
      <c r="T240" s="5">
        <v>2</v>
      </c>
      <c r="U240" s="4" t="s">
        <v>407</v>
      </c>
      <c r="V240" s="88">
        <f t="shared" si="43"/>
        <v>-9.4378231292517007</v>
      </c>
      <c r="W240" s="88">
        <f t="shared" si="44"/>
        <v>-8.4378231292517007</v>
      </c>
      <c r="X240" s="88">
        <f t="shared" si="45"/>
        <v>21.355105292119482</v>
      </c>
      <c r="Y240" s="88">
        <v>21</v>
      </c>
      <c r="AB240" s="84"/>
      <c r="AC240" s="84">
        <f t="shared" si="46"/>
        <v>294</v>
      </c>
      <c r="AD240" s="84"/>
      <c r="AE240" s="23"/>
      <c r="AF240" s="23"/>
      <c r="AG240" s="23"/>
      <c r="AH240" s="23"/>
      <c r="AI240" s="23"/>
      <c r="AJ240" s="23"/>
      <c r="AK240" s="90"/>
      <c r="AL240" s="83" t="s">
        <v>401</v>
      </c>
      <c r="AM240" s="86">
        <v>170</v>
      </c>
      <c r="AN240" s="85">
        <f t="shared" si="39"/>
        <v>33.042464355899895</v>
      </c>
      <c r="AO240" s="85">
        <v>34</v>
      </c>
      <c r="AP240" s="87">
        <f t="shared" si="47"/>
        <v>3.2591654943586672E-2</v>
      </c>
      <c r="AQ240" s="88">
        <f t="shared" si="48"/>
        <v>1013.8320503544093</v>
      </c>
    </row>
    <row r="241" spans="1:86" x14ac:dyDescent="0.25">
      <c r="A241" s="76">
        <v>19822</v>
      </c>
      <c r="B241" s="3">
        <v>180</v>
      </c>
      <c r="C241" s="8">
        <f t="shared" si="41"/>
        <v>5.9000000000000057</v>
      </c>
      <c r="D241" s="8">
        <f t="shared" si="42"/>
        <v>2.6999999999999886</v>
      </c>
      <c r="E241" s="3">
        <v>174.1</v>
      </c>
      <c r="F241" s="3">
        <v>182.7</v>
      </c>
      <c r="G241" s="3">
        <f t="shared" si="49"/>
        <v>5.9000000000000057</v>
      </c>
      <c r="H241" s="4" t="s">
        <v>228</v>
      </c>
      <c r="I241" s="32" t="s">
        <v>47</v>
      </c>
      <c r="J241" s="32" t="s">
        <v>43</v>
      </c>
      <c r="K241" s="32"/>
      <c r="L241" s="32" t="s">
        <v>606</v>
      </c>
      <c r="M241" s="86" t="s">
        <v>4</v>
      </c>
      <c r="N241" s="4" t="str">
        <f t="shared" si="50"/>
        <v>marine sediment</v>
      </c>
      <c r="O241" s="86" t="s">
        <v>27</v>
      </c>
      <c r="P241" s="33">
        <v>-32.380000000000003</v>
      </c>
      <c r="Q241" s="33" t="s">
        <v>42</v>
      </c>
      <c r="R241" s="33"/>
      <c r="S241" s="84">
        <f t="shared" si="51"/>
        <v>-28.880000000000003</v>
      </c>
      <c r="T241" s="5">
        <v>2</v>
      </c>
      <c r="U241" s="4" t="s">
        <v>407</v>
      </c>
      <c r="V241" s="88">
        <f t="shared" si="43"/>
        <v>-9.4378231292517007</v>
      </c>
      <c r="W241" s="88">
        <f t="shared" si="44"/>
        <v>-8.4378231292517007</v>
      </c>
      <c r="X241" s="88">
        <f t="shared" si="45"/>
        <v>21.050103870529302</v>
      </c>
      <c r="Y241" s="88">
        <v>21</v>
      </c>
      <c r="AB241" s="84"/>
      <c r="AC241" s="84">
        <f t="shared" si="46"/>
        <v>294</v>
      </c>
      <c r="AD241" s="84"/>
      <c r="AE241" s="23"/>
      <c r="AF241" s="23"/>
      <c r="AG241" s="23"/>
      <c r="AH241" s="23"/>
      <c r="AI241" s="23"/>
      <c r="AJ241" s="23"/>
      <c r="AK241" s="90"/>
      <c r="AL241" s="83" t="s">
        <v>401</v>
      </c>
      <c r="AM241" s="86">
        <v>170</v>
      </c>
      <c r="AN241" s="85">
        <f t="shared" si="39"/>
        <v>31.193255056864846</v>
      </c>
      <c r="AO241" s="85">
        <v>34</v>
      </c>
      <c r="AP241" s="87">
        <f t="shared" si="47"/>
        <v>3.2591654943586672E-2</v>
      </c>
      <c r="AQ241" s="88">
        <f t="shared" si="48"/>
        <v>957.09331455728977</v>
      </c>
    </row>
    <row r="242" spans="1:86" x14ac:dyDescent="0.25">
      <c r="A242" s="76">
        <v>19823</v>
      </c>
      <c r="B242" s="3">
        <v>181</v>
      </c>
      <c r="C242" s="8">
        <f t="shared" si="41"/>
        <v>6.9000000000000057</v>
      </c>
      <c r="D242" s="8">
        <f t="shared" si="42"/>
        <v>1.6999999999999886</v>
      </c>
      <c r="E242" s="3">
        <v>174.1</v>
      </c>
      <c r="F242" s="3">
        <v>182.7</v>
      </c>
      <c r="G242" s="3">
        <f t="shared" si="49"/>
        <v>6.9000000000000057</v>
      </c>
      <c r="H242" s="4" t="s">
        <v>228</v>
      </c>
      <c r="I242" s="32" t="s">
        <v>46</v>
      </c>
      <c r="J242" s="32" t="s">
        <v>43</v>
      </c>
      <c r="K242" s="32"/>
      <c r="L242" s="32" t="s">
        <v>606</v>
      </c>
      <c r="M242" s="86" t="s">
        <v>4</v>
      </c>
      <c r="N242" s="4" t="str">
        <f t="shared" si="50"/>
        <v>marine sediment</v>
      </c>
      <c r="O242" s="86" t="s">
        <v>27</v>
      </c>
      <c r="P242" s="33">
        <v>-32.520000000000003</v>
      </c>
      <c r="Q242" s="33" t="s">
        <v>42</v>
      </c>
      <c r="R242" s="33"/>
      <c r="S242" s="84">
        <f t="shared" si="51"/>
        <v>-29.020000000000003</v>
      </c>
      <c r="T242" s="5">
        <v>2</v>
      </c>
      <c r="U242" s="4" t="s">
        <v>407</v>
      </c>
      <c r="V242" s="88">
        <f t="shared" si="43"/>
        <v>-9.4378231292517007</v>
      </c>
      <c r="W242" s="88">
        <f t="shared" si="44"/>
        <v>-8.4378231292517007</v>
      </c>
      <c r="X242" s="88">
        <f t="shared" si="45"/>
        <v>21.197323189713792</v>
      </c>
      <c r="Y242" s="88">
        <v>21</v>
      </c>
      <c r="AB242" s="84"/>
      <c r="AC242" s="84">
        <f t="shared" si="46"/>
        <v>294</v>
      </c>
      <c r="AD242" s="84"/>
      <c r="AE242" s="23"/>
      <c r="AF242" s="23"/>
      <c r="AG242" s="23"/>
      <c r="AH242" s="23"/>
      <c r="AI242" s="23"/>
      <c r="AJ242" s="23"/>
      <c r="AK242" s="90"/>
      <c r="AL242" s="83" t="s">
        <v>401</v>
      </c>
      <c r="AM242" s="86">
        <v>170</v>
      </c>
      <c r="AN242" s="85">
        <f t="shared" si="39"/>
        <v>32.05927988487467</v>
      </c>
      <c r="AO242" s="85">
        <v>34</v>
      </c>
      <c r="AP242" s="87">
        <f t="shared" si="47"/>
        <v>3.2591654943586672E-2</v>
      </c>
      <c r="AQ242" s="88">
        <f t="shared" si="48"/>
        <v>983.66529531459821</v>
      </c>
    </row>
    <row r="243" spans="1:86" x14ac:dyDescent="0.25">
      <c r="A243" s="76">
        <v>19824</v>
      </c>
      <c r="B243" s="3">
        <v>181</v>
      </c>
      <c r="C243" s="8">
        <f t="shared" si="41"/>
        <v>6.9000000000000057</v>
      </c>
      <c r="D243" s="8">
        <f t="shared" si="42"/>
        <v>1.6999999999999886</v>
      </c>
      <c r="E243" s="3">
        <v>174.1</v>
      </c>
      <c r="F243" s="3">
        <v>182.7</v>
      </c>
      <c r="G243" s="3">
        <f t="shared" si="49"/>
        <v>6.9000000000000057</v>
      </c>
      <c r="H243" s="4" t="s">
        <v>228</v>
      </c>
      <c r="I243" s="32" t="s">
        <v>45</v>
      </c>
      <c r="J243" s="32" t="s">
        <v>43</v>
      </c>
      <c r="K243" s="32"/>
      <c r="L243" s="32" t="s">
        <v>606</v>
      </c>
      <c r="M243" s="86" t="s">
        <v>4</v>
      </c>
      <c r="N243" s="4" t="str">
        <f t="shared" si="50"/>
        <v>marine sediment</v>
      </c>
      <c r="O243" s="86" t="s">
        <v>27</v>
      </c>
      <c r="P243" s="33">
        <v>-32.58</v>
      </c>
      <c r="Q243" s="33" t="s">
        <v>42</v>
      </c>
      <c r="R243" s="33"/>
      <c r="S243" s="84">
        <f t="shared" si="51"/>
        <v>-29.08</v>
      </c>
      <c r="T243" s="5">
        <v>2</v>
      </c>
      <c r="U243" s="4" t="s">
        <v>407</v>
      </c>
      <c r="V243" s="88">
        <f t="shared" si="43"/>
        <v>-9.4378231292517007</v>
      </c>
      <c r="W243" s="88">
        <f t="shared" si="44"/>
        <v>-8.4378231292517007</v>
      </c>
      <c r="X243" s="88">
        <f t="shared" si="45"/>
        <v>21.260430180394252</v>
      </c>
      <c r="Y243" s="88">
        <v>21</v>
      </c>
      <c r="AB243" s="84"/>
      <c r="AC243" s="84">
        <f t="shared" si="46"/>
        <v>294</v>
      </c>
      <c r="AD243" s="84"/>
      <c r="AE243" s="23"/>
      <c r="AF243" s="23"/>
      <c r="AG243" s="23"/>
      <c r="AH243" s="23"/>
      <c r="AI243" s="23"/>
      <c r="AJ243" s="23"/>
      <c r="AK243" s="90"/>
      <c r="AL243" s="83" t="s">
        <v>401</v>
      </c>
      <c r="AM243" s="86">
        <v>170</v>
      </c>
      <c r="AN243" s="85">
        <f t="shared" si="39"/>
        <v>32.445411713740967</v>
      </c>
      <c r="AO243" s="85">
        <v>34</v>
      </c>
      <c r="AP243" s="87">
        <f t="shared" si="47"/>
        <v>3.2591654943586672E-2</v>
      </c>
      <c r="AQ243" s="88">
        <f t="shared" si="48"/>
        <v>995.51286272210359</v>
      </c>
    </row>
    <row r="244" spans="1:86" x14ac:dyDescent="0.25">
      <c r="A244" s="76">
        <v>19825</v>
      </c>
      <c r="B244" s="24">
        <v>182</v>
      </c>
      <c r="C244" s="8">
        <f t="shared" si="41"/>
        <v>8</v>
      </c>
      <c r="D244" s="8">
        <f t="shared" si="42"/>
        <v>9</v>
      </c>
      <c r="E244" s="24">
        <v>174</v>
      </c>
      <c r="F244" s="24">
        <v>191</v>
      </c>
      <c r="G244" s="3">
        <f t="shared" si="49"/>
        <v>9</v>
      </c>
      <c r="H244" s="25" t="s">
        <v>547</v>
      </c>
      <c r="I244" s="26">
        <v>309018</v>
      </c>
      <c r="J244" s="25" t="s">
        <v>212</v>
      </c>
      <c r="K244" s="25"/>
      <c r="L244" s="25" t="s">
        <v>212</v>
      </c>
      <c r="M244" s="95" t="s">
        <v>1</v>
      </c>
      <c r="N244" s="4" t="str">
        <f t="shared" si="50"/>
        <v>marine oil</v>
      </c>
      <c r="O244" s="95" t="s">
        <v>0</v>
      </c>
      <c r="P244" s="27">
        <f>AVERAGE(-31.242,-30.65)</f>
        <v>-30.945999999999998</v>
      </c>
      <c r="Q244" s="25" t="s">
        <v>293</v>
      </c>
      <c r="R244" s="25"/>
      <c r="S244" s="84">
        <f t="shared" si="51"/>
        <v>-27.445999999999998</v>
      </c>
      <c r="T244" s="5">
        <v>2.1</v>
      </c>
      <c r="U244" s="4" t="s">
        <v>402</v>
      </c>
      <c r="V244" s="88">
        <f t="shared" si="43"/>
        <v>-9.3240677966101693</v>
      </c>
      <c r="W244" s="88">
        <f t="shared" si="44"/>
        <v>-8.2240677966101696</v>
      </c>
      <c r="X244" s="88">
        <f t="shared" si="45"/>
        <v>19.764385528608042</v>
      </c>
      <c r="Y244" s="88">
        <v>22</v>
      </c>
      <c r="Z244" s="86"/>
      <c r="AB244" s="84"/>
      <c r="AC244" s="84">
        <f t="shared" si="46"/>
        <v>295</v>
      </c>
      <c r="AD244" s="84"/>
      <c r="AE244" s="5"/>
      <c r="AF244" s="5"/>
      <c r="AG244" s="5"/>
      <c r="AH244" s="5"/>
      <c r="AI244" s="5"/>
      <c r="AJ244" s="5"/>
      <c r="AK244" s="83" t="s">
        <v>403</v>
      </c>
      <c r="AL244" s="83" t="s">
        <v>402</v>
      </c>
      <c r="AM244" s="86">
        <v>170</v>
      </c>
      <c r="AN244" s="85">
        <f t="shared" si="39"/>
        <v>25.238974220100872</v>
      </c>
      <c r="AO244" s="85">
        <v>34</v>
      </c>
      <c r="AP244" s="87">
        <f t="shared" si="47"/>
        <v>3.1713091748844839E-2</v>
      </c>
      <c r="AQ244" s="88">
        <f t="shared" si="48"/>
        <v>795.85347338517408</v>
      </c>
    </row>
    <row r="245" spans="1:86" x14ac:dyDescent="0.25">
      <c r="A245" s="76">
        <v>19826</v>
      </c>
      <c r="B245" s="3">
        <v>182</v>
      </c>
      <c r="C245" s="8">
        <f t="shared" si="41"/>
        <v>7.9000000000000057</v>
      </c>
      <c r="D245" s="8">
        <f t="shared" si="42"/>
        <v>0.69999999999998863</v>
      </c>
      <c r="E245" s="3">
        <v>174.1</v>
      </c>
      <c r="F245" s="3">
        <v>182.7</v>
      </c>
      <c r="G245" s="3">
        <f t="shared" si="49"/>
        <v>7.9000000000000057</v>
      </c>
      <c r="H245" s="4" t="s">
        <v>228</v>
      </c>
      <c r="I245" s="32" t="s">
        <v>44</v>
      </c>
      <c r="J245" s="32" t="s">
        <v>43</v>
      </c>
      <c r="K245" s="32"/>
      <c r="L245" s="32" t="s">
        <v>606</v>
      </c>
      <c r="M245" s="86" t="s">
        <v>4</v>
      </c>
      <c r="N245" s="4" t="str">
        <f t="shared" si="50"/>
        <v>marine sediment</v>
      </c>
      <c r="O245" s="86" t="s">
        <v>27</v>
      </c>
      <c r="P245" s="33">
        <v>-32.5</v>
      </c>
      <c r="Q245" s="33" t="s">
        <v>42</v>
      </c>
      <c r="R245" s="33"/>
      <c r="S245" s="84">
        <f t="shared" si="51"/>
        <v>-29</v>
      </c>
      <c r="T245" s="5">
        <v>2</v>
      </c>
      <c r="U245" s="4" t="s">
        <v>407</v>
      </c>
      <c r="V245" s="88">
        <f t="shared" si="43"/>
        <v>-9.4378231292517007</v>
      </c>
      <c r="W245" s="88">
        <f t="shared" si="44"/>
        <v>-8.4378231292517007</v>
      </c>
      <c r="X245" s="88">
        <f t="shared" si="45"/>
        <v>21.176289259267065</v>
      </c>
      <c r="Y245" s="88">
        <v>21</v>
      </c>
      <c r="AB245" s="84"/>
      <c r="AC245" s="84">
        <f t="shared" si="46"/>
        <v>294</v>
      </c>
      <c r="AD245" s="84"/>
      <c r="AE245" s="23"/>
      <c r="AF245" s="23"/>
      <c r="AG245" s="23"/>
      <c r="AH245" s="23"/>
      <c r="AI245" s="23"/>
      <c r="AJ245" s="23"/>
      <c r="AK245" s="90"/>
      <c r="AL245" s="83" t="s">
        <v>401</v>
      </c>
      <c r="AM245" s="86">
        <v>170</v>
      </c>
      <c r="AN245" s="85">
        <f t="shared" si="39"/>
        <v>31.932613975303152</v>
      </c>
      <c r="AO245" s="85">
        <v>34</v>
      </c>
      <c r="AP245" s="87">
        <f t="shared" si="47"/>
        <v>3.2591654943586672E-2</v>
      </c>
      <c r="AQ245" s="88">
        <f t="shared" si="48"/>
        <v>979.77884309881586</v>
      </c>
    </row>
    <row r="246" spans="1:86" x14ac:dyDescent="0.25">
      <c r="A246" s="76">
        <v>19827</v>
      </c>
      <c r="B246" s="3">
        <v>184</v>
      </c>
      <c r="C246" s="8">
        <f t="shared" si="41"/>
        <v>2</v>
      </c>
      <c r="D246" s="8">
        <f t="shared" si="42"/>
        <v>2</v>
      </c>
      <c r="E246" s="3">
        <v>182</v>
      </c>
      <c r="F246" s="3">
        <v>186</v>
      </c>
      <c r="G246" s="3">
        <f t="shared" si="49"/>
        <v>2</v>
      </c>
      <c r="H246" s="4" t="s">
        <v>319</v>
      </c>
      <c r="I246" s="4" t="s">
        <v>323</v>
      </c>
      <c r="J246" s="4" t="s">
        <v>335</v>
      </c>
      <c r="K246" s="4"/>
      <c r="L246" s="4"/>
      <c r="M246" s="86" t="s">
        <v>1</v>
      </c>
      <c r="N246" s="4" t="str">
        <f t="shared" si="50"/>
        <v>marine oil</v>
      </c>
      <c r="O246" s="86" t="s">
        <v>0</v>
      </c>
      <c r="P246" s="5">
        <v>-30.2</v>
      </c>
      <c r="Q246" s="4" t="s">
        <v>317</v>
      </c>
      <c r="S246" s="84">
        <f t="shared" si="51"/>
        <v>-26.7</v>
      </c>
      <c r="T246" s="5">
        <v>2</v>
      </c>
      <c r="U246" s="4" t="s">
        <v>339</v>
      </c>
      <c r="V246" s="88">
        <f t="shared" si="43"/>
        <v>-9.552354948805462</v>
      </c>
      <c r="W246" s="88">
        <f t="shared" si="44"/>
        <v>-8.552354948805462</v>
      </c>
      <c r="X246" s="88">
        <f t="shared" si="45"/>
        <v>18.645479349835181</v>
      </c>
      <c r="Y246" s="88">
        <v>20</v>
      </c>
      <c r="AB246" s="84"/>
      <c r="AC246" s="84">
        <f t="shared" si="46"/>
        <v>293</v>
      </c>
      <c r="AD246" s="84">
        <v>66.45</v>
      </c>
      <c r="AE246" s="1" t="s">
        <v>414</v>
      </c>
      <c r="AF246" s="1" t="s">
        <v>572</v>
      </c>
      <c r="AG246" s="23"/>
      <c r="AH246" s="1" t="s">
        <v>573</v>
      </c>
      <c r="AI246" s="23"/>
      <c r="AJ246" s="23"/>
      <c r="AK246" s="83"/>
      <c r="AL246" s="83" t="s">
        <v>401</v>
      </c>
      <c r="AM246" s="86">
        <v>170</v>
      </c>
      <c r="AN246" s="85">
        <f t="shared" si="39"/>
        <v>21.643586868211077</v>
      </c>
      <c r="AO246" s="85">
        <v>34</v>
      </c>
      <c r="AP246" s="87">
        <f t="shared" si="47"/>
        <v>3.3510933071403508E-2</v>
      </c>
      <c r="AQ246" s="88">
        <f t="shared" si="48"/>
        <v>645.86643475709695</v>
      </c>
    </row>
    <row r="247" spans="1:86" x14ac:dyDescent="0.25">
      <c r="A247" s="76">
        <v>19828</v>
      </c>
      <c r="B247" s="24">
        <v>200</v>
      </c>
      <c r="C247" s="8">
        <f t="shared" si="41"/>
        <v>1</v>
      </c>
      <c r="D247" s="8">
        <f t="shared" si="42"/>
        <v>1</v>
      </c>
      <c r="E247" s="24">
        <v>199</v>
      </c>
      <c r="F247" s="24">
        <v>201</v>
      </c>
      <c r="G247" s="3">
        <f t="shared" si="49"/>
        <v>1</v>
      </c>
      <c r="H247" s="25" t="s">
        <v>546</v>
      </c>
      <c r="I247" s="26">
        <v>317350</v>
      </c>
      <c r="J247" s="25" t="s">
        <v>212</v>
      </c>
      <c r="K247" s="25"/>
      <c r="L247" s="25" t="s">
        <v>212</v>
      </c>
      <c r="M247" s="95" t="s">
        <v>1</v>
      </c>
      <c r="N247" s="4" t="str">
        <f t="shared" si="50"/>
        <v>marine oil</v>
      </c>
      <c r="O247" s="95" t="s">
        <v>0</v>
      </c>
      <c r="P247" s="27">
        <v>-31.49625</v>
      </c>
      <c r="Q247" s="25" t="s">
        <v>293</v>
      </c>
      <c r="R247" s="25"/>
      <c r="S247" s="84">
        <f t="shared" si="51"/>
        <v>-27.99625</v>
      </c>
      <c r="T247" s="5">
        <v>2.1</v>
      </c>
      <c r="U247" s="4" t="s">
        <v>402</v>
      </c>
      <c r="V247" s="88">
        <f t="shared" si="43"/>
        <v>-9.3240677966101693</v>
      </c>
      <c r="W247" s="88">
        <f t="shared" si="44"/>
        <v>-8.2240677966101696</v>
      </c>
      <c r="X247" s="88">
        <f t="shared" si="45"/>
        <v>20.341672759379705</v>
      </c>
      <c r="Y247" s="88">
        <v>22</v>
      </c>
      <c r="Z247" s="86"/>
      <c r="AB247" s="84"/>
      <c r="AC247" s="84">
        <f t="shared" si="46"/>
        <v>295</v>
      </c>
      <c r="AD247" s="84"/>
      <c r="AE247" s="5"/>
      <c r="AF247" s="5"/>
      <c r="AG247" s="5"/>
      <c r="AH247" s="5"/>
      <c r="AI247" s="5"/>
      <c r="AJ247" s="5"/>
      <c r="AK247" s="83" t="s">
        <v>403</v>
      </c>
      <c r="AL247" s="83" t="s">
        <v>402</v>
      </c>
      <c r="AM247" s="86">
        <v>170</v>
      </c>
      <c r="AN247" s="85">
        <f t="shared" si="39"/>
        <v>27.60489875865655</v>
      </c>
      <c r="AO247" s="85">
        <v>34</v>
      </c>
      <c r="AP247" s="87">
        <f t="shared" si="47"/>
        <v>3.1713091748844839E-2</v>
      </c>
      <c r="AQ247" s="88">
        <f t="shared" si="48"/>
        <v>870.45750623359095</v>
      </c>
    </row>
    <row r="248" spans="1:86" s="41" customFormat="1" x14ac:dyDescent="0.25">
      <c r="A248" s="76">
        <v>19829</v>
      </c>
      <c r="B248" s="24">
        <v>205</v>
      </c>
      <c r="C248" s="8">
        <f t="shared" si="41"/>
        <v>3.6999999999999886</v>
      </c>
      <c r="D248" s="8">
        <f t="shared" si="42"/>
        <v>4</v>
      </c>
      <c r="E248" s="24">
        <v>201.3</v>
      </c>
      <c r="F248" s="24">
        <v>209</v>
      </c>
      <c r="G248" s="3">
        <f t="shared" si="49"/>
        <v>4</v>
      </c>
      <c r="H248" s="25" t="s">
        <v>550</v>
      </c>
      <c r="I248" s="26" t="s">
        <v>406</v>
      </c>
      <c r="J248" s="25" t="s">
        <v>212</v>
      </c>
      <c r="K248" s="25"/>
      <c r="L248" s="25" t="s">
        <v>212</v>
      </c>
      <c r="M248" s="95" t="s">
        <v>1</v>
      </c>
      <c r="N248" s="4" t="str">
        <f t="shared" si="50"/>
        <v>marine oil</v>
      </c>
      <c r="O248" s="95" t="s">
        <v>0</v>
      </c>
      <c r="P248" s="27">
        <f>AVERAGE(-30.632,-30.722)</f>
        <v>-30.677</v>
      </c>
      <c r="Q248" s="25" t="s">
        <v>293</v>
      </c>
      <c r="R248" s="25"/>
      <c r="S248" s="84">
        <f t="shared" si="51"/>
        <v>-27.177</v>
      </c>
      <c r="T248" s="5">
        <v>4</v>
      </c>
      <c r="U248" s="4" t="s">
        <v>536</v>
      </c>
      <c r="V248" s="88">
        <f t="shared" si="43"/>
        <v>-8.9873825503355711</v>
      </c>
      <c r="W248" s="88">
        <f t="shared" si="44"/>
        <v>-5.9873825503355711</v>
      </c>
      <c r="X248" s="88">
        <f t="shared" si="45"/>
        <v>21.781575322195714</v>
      </c>
      <c r="Y248" s="88">
        <v>25</v>
      </c>
      <c r="Z248" s="88"/>
      <c r="AA248" s="88"/>
      <c r="AB248" s="84"/>
      <c r="AC248" s="84">
        <f t="shared" si="46"/>
        <v>298</v>
      </c>
      <c r="AD248" s="84"/>
      <c r="AE248" s="5"/>
      <c r="AF248" s="5"/>
      <c r="AG248" s="5"/>
      <c r="AH248" s="5"/>
      <c r="AI248" s="5"/>
      <c r="AJ248" s="5"/>
      <c r="AK248" s="83" t="s">
        <v>259</v>
      </c>
      <c r="AL248" s="84"/>
      <c r="AM248" s="86">
        <v>170</v>
      </c>
      <c r="AN248" s="85">
        <f t="shared" si="39"/>
        <v>36.028973992037805</v>
      </c>
      <c r="AO248" s="85">
        <v>34</v>
      </c>
      <c r="AP248" s="87">
        <f t="shared" si="47"/>
        <v>2.9301183151799796E-2</v>
      </c>
      <c r="AQ248" s="88">
        <f t="shared" si="48"/>
        <v>1229.6081631032964</v>
      </c>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row>
    <row r="249" spans="1:86" s="41" customFormat="1" x14ac:dyDescent="0.25">
      <c r="A249" s="76">
        <v>19830</v>
      </c>
      <c r="B249" s="3">
        <v>226</v>
      </c>
      <c r="C249" s="8">
        <f t="shared" si="41"/>
        <v>6</v>
      </c>
      <c r="D249" s="8">
        <f t="shared" si="42"/>
        <v>6</v>
      </c>
      <c r="E249" s="3">
        <v>220</v>
      </c>
      <c r="F249" s="3">
        <v>232</v>
      </c>
      <c r="G249" s="3">
        <f t="shared" si="49"/>
        <v>6</v>
      </c>
      <c r="H249" s="4" t="s">
        <v>316</v>
      </c>
      <c r="I249" s="4" t="s">
        <v>320</v>
      </c>
      <c r="J249" s="4" t="s">
        <v>333</v>
      </c>
      <c r="K249" s="4"/>
      <c r="L249" s="4"/>
      <c r="M249" s="86" t="s">
        <v>1</v>
      </c>
      <c r="N249" s="4" t="str">
        <f t="shared" si="50"/>
        <v>marine oil</v>
      </c>
      <c r="O249" s="86" t="s">
        <v>0</v>
      </c>
      <c r="P249" s="5">
        <v>-30.3</v>
      </c>
      <c r="Q249" s="4" t="s">
        <v>317</v>
      </c>
      <c r="R249" s="4"/>
      <c r="S249" s="84">
        <f t="shared" si="51"/>
        <v>-26.8</v>
      </c>
      <c r="T249" s="5">
        <v>3.02</v>
      </c>
      <c r="U249" s="4" t="s">
        <v>2</v>
      </c>
      <c r="V249" s="88">
        <f t="shared" si="43"/>
        <v>-8.7578992268728335</v>
      </c>
      <c r="W249" s="88">
        <f t="shared" si="44"/>
        <v>-6.7378992268728339</v>
      </c>
      <c r="X249" s="88">
        <f t="shared" si="45"/>
        <v>20.614571283525507</v>
      </c>
      <c r="Y249" s="88">
        <f>Z249+AA249</f>
        <v>27.08</v>
      </c>
      <c r="Z249" s="88">
        <v>19.079999999999998</v>
      </c>
      <c r="AA249" s="88">
        <v>8</v>
      </c>
      <c r="AB249" s="84" t="s">
        <v>176</v>
      </c>
      <c r="AC249" s="84">
        <f t="shared" si="46"/>
        <v>300.08</v>
      </c>
      <c r="AD249" s="84">
        <v>43.56</v>
      </c>
      <c r="AE249" s="1" t="s">
        <v>414</v>
      </c>
      <c r="AF249" s="1" t="s">
        <v>572</v>
      </c>
      <c r="AG249" s="23"/>
      <c r="AH249" s="1" t="s">
        <v>573</v>
      </c>
      <c r="AI249" s="23"/>
      <c r="AJ249" s="23"/>
      <c r="AK249" s="83" t="s">
        <v>259</v>
      </c>
      <c r="AL249" s="84"/>
      <c r="AM249" s="86">
        <v>170</v>
      </c>
      <c r="AN249" s="85">
        <f t="shared" ref="AN249:AN312" si="53">AM249/($AV$8-X249)</f>
        <v>28.884896613246877</v>
      </c>
      <c r="AO249" s="85">
        <v>34</v>
      </c>
      <c r="AP249" s="87">
        <f t="shared" si="47"/>
        <v>2.7806279035083901E-2</v>
      </c>
      <c r="AQ249" s="88">
        <f t="shared" si="48"/>
        <v>1038.7904320747864</v>
      </c>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row>
    <row r="250" spans="1:86" s="41" customFormat="1" x14ac:dyDescent="0.25">
      <c r="A250" s="76">
        <v>19831</v>
      </c>
      <c r="B250" s="3">
        <v>226</v>
      </c>
      <c r="C250" s="8">
        <f t="shared" si="41"/>
        <v>6</v>
      </c>
      <c r="D250" s="8">
        <f t="shared" si="42"/>
        <v>6</v>
      </c>
      <c r="E250" s="3">
        <v>220</v>
      </c>
      <c r="F250" s="3">
        <v>232</v>
      </c>
      <c r="G250" s="3">
        <f t="shared" si="49"/>
        <v>6</v>
      </c>
      <c r="H250" s="4" t="s">
        <v>316</v>
      </c>
      <c r="I250" s="4" t="s">
        <v>321</v>
      </c>
      <c r="J250" s="4" t="s">
        <v>334</v>
      </c>
      <c r="K250" s="4"/>
      <c r="L250" s="4"/>
      <c r="M250" s="86" t="s">
        <v>1</v>
      </c>
      <c r="N250" s="4" t="str">
        <f t="shared" si="50"/>
        <v>marine oil</v>
      </c>
      <c r="O250" s="86" t="s">
        <v>0</v>
      </c>
      <c r="P250" s="5">
        <v>-30.2</v>
      </c>
      <c r="Q250" s="4" t="s">
        <v>317</v>
      </c>
      <c r="R250" s="4"/>
      <c r="S250" s="84">
        <f t="shared" si="51"/>
        <v>-26.7</v>
      </c>
      <c r="T250" s="5">
        <v>3.02</v>
      </c>
      <c r="U250" s="4" t="s">
        <v>2</v>
      </c>
      <c r="V250" s="88">
        <f t="shared" si="43"/>
        <v>-8.7578992268728335</v>
      </c>
      <c r="W250" s="88">
        <f t="shared" si="44"/>
        <v>-6.7378992268728339</v>
      </c>
      <c r="X250" s="88">
        <f t="shared" si="45"/>
        <v>20.509710030953698</v>
      </c>
      <c r="Y250" s="88">
        <f>Z250+AA250</f>
        <v>27.08</v>
      </c>
      <c r="Z250" s="88">
        <v>19.079999999999998</v>
      </c>
      <c r="AA250" s="88">
        <v>8</v>
      </c>
      <c r="AB250" s="84" t="s">
        <v>176</v>
      </c>
      <c r="AC250" s="84">
        <f t="shared" si="46"/>
        <v>300.08</v>
      </c>
      <c r="AD250" s="84">
        <v>43.15</v>
      </c>
      <c r="AE250" s="1" t="s">
        <v>414</v>
      </c>
      <c r="AF250" s="1" t="s">
        <v>572</v>
      </c>
      <c r="AG250" s="23"/>
      <c r="AH250" s="1" t="s">
        <v>573</v>
      </c>
      <c r="AI250" s="23"/>
      <c r="AJ250" s="23"/>
      <c r="AK250" s="83" t="s">
        <v>259</v>
      </c>
      <c r="AL250" s="84"/>
      <c r="AM250" s="86">
        <v>170</v>
      </c>
      <c r="AN250" s="85">
        <f t="shared" si="53"/>
        <v>28.379260583117524</v>
      </c>
      <c r="AO250" s="85">
        <v>34</v>
      </c>
      <c r="AP250" s="87">
        <f t="shared" si="47"/>
        <v>2.7806279035083901E-2</v>
      </c>
      <c r="AQ250" s="88">
        <f t="shared" si="48"/>
        <v>1020.6061928426553</v>
      </c>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row>
    <row r="251" spans="1:86" x14ac:dyDescent="0.25">
      <c r="A251" s="76">
        <v>19832</v>
      </c>
      <c r="B251" s="3">
        <v>226</v>
      </c>
      <c r="C251" s="8">
        <f t="shared" si="41"/>
        <v>6</v>
      </c>
      <c r="D251" s="8">
        <f t="shared" si="42"/>
        <v>6</v>
      </c>
      <c r="E251" s="3">
        <v>220</v>
      </c>
      <c r="F251" s="3">
        <v>232</v>
      </c>
      <c r="G251" s="3">
        <f t="shared" si="49"/>
        <v>6</v>
      </c>
      <c r="H251" s="4" t="s">
        <v>329</v>
      </c>
      <c r="I251" s="4" t="s">
        <v>330</v>
      </c>
      <c r="J251" s="4" t="s">
        <v>331</v>
      </c>
      <c r="K251" s="4"/>
      <c r="L251" s="4"/>
      <c r="M251" s="86" t="s">
        <v>1</v>
      </c>
      <c r="N251" s="4" t="str">
        <f t="shared" si="50"/>
        <v>marine oil</v>
      </c>
      <c r="O251" s="86" t="s">
        <v>0</v>
      </c>
      <c r="P251" s="5">
        <v>-32.799999999999997</v>
      </c>
      <c r="Q251" s="4" t="s">
        <v>317</v>
      </c>
      <c r="S251" s="84">
        <f t="shared" si="51"/>
        <v>-29.299999999999997</v>
      </c>
      <c r="T251" s="5">
        <v>2.4500000000000002</v>
      </c>
      <c r="U251" s="4" t="s">
        <v>2</v>
      </c>
      <c r="V251" s="88">
        <f t="shared" si="43"/>
        <v>-8.7578992268728335</v>
      </c>
      <c r="W251" s="88">
        <f t="shared" si="44"/>
        <v>-7.3078992268728333</v>
      </c>
      <c r="X251" s="88">
        <f t="shared" si="45"/>
        <v>22.655919205858854</v>
      </c>
      <c r="Y251" s="88">
        <f>Z251+AA251</f>
        <v>27.08</v>
      </c>
      <c r="Z251" s="88">
        <v>19.079999999999998</v>
      </c>
      <c r="AA251" s="88">
        <v>8</v>
      </c>
      <c r="AB251" s="84" t="s">
        <v>176</v>
      </c>
      <c r="AC251" s="84">
        <f t="shared" si="46"/>
        <v>300.08</v>
      </c>
      <c r="AD251" s="84">
        <v>42.73</v>
      </c>
      <c r="AE251" s="1" t="s">
        <v>414</v>
      </c>
      <c r="AF251" s="1" t="s">
        <v>572</v>
      </c>
      <c r="AG251" s="23"/>
      <c r="AH251" s="1" t="s">
        <v>573</v>
      </c>
      <c r="AI251" s="23"/>
      <c r="AJ251" s="23"/>
      <c r="AK251" s="83" t="s">
        <v>259</v>
      </c>
      <c r="AM251" s="86">
        <v>170</v>
      </c>
      <c r="AN251" s="85">
        <f t="shared" si="53"/>
        <v>44.223836361374353</v>
      </c>
      <c r="AO251" s="85">
        <v>34</v>
      </c>
      <c r="AP251" s="87">
        <f t="shared" si="47"/>
        <v>2.7806279035083901E-2</v>
      </c>
      <c r="AQ251" s="88">
        <f t="shared" si="48"/>
        <v>1590.4262596795493</v>
      </c>
    </row>
    <row r="252" spans="1:86" ht="13.2" customHeight="1" x14ac:dyDescent="0.25">
      <c r="A252" s="76">
        <v>19833</v>
      </c>
      <c r="B252" s="3">
        <v>237</v>
      </c>
      <c r="C252" s="8">
        <f t="shared" si="41"/>
        <v>5</v>
      </c>
      <c r="D252" s="8">
        <f t="shared" si="42"/>
        <v>5</v>
      </c>
      <c r="E252" s="3">
        <v>232</v>
      </c>
      <c r="F252" s="3">
        <v>242</v>
      </c>
      <c r="G252" s="3">
        <f t="shared" si="49"/>
        <v>5</v>
      </c>
      <c r="H252" s="4" t="s">
        <v>318</v>
      </c>
      <c r="I252" s="4" t="s">
        <v>322</v>
      </c>
      <c r="J252" s="4" t="s">
        <v>333</v>
      </c>
      <c r="K252" s="4"/>
      <c r="L252" s="4"/>
      <c r="M252" s="86" t="s">
        <v>1</v>
      </c>
      <c r="N252" s="4" t="str">
        <f t="shared" si="50"/>
        <v>marine oil</v>
      </c>
      <c r="O252" s="86" t="s">
        <v>0</v>
      </c>
      <c r="P252" s="5">
        <v>-31.5</v>
      </c>
      <c r="Q252" s="4" t="s">
        <v>317</v>
      </c>
      <c r="S252" s="84">
        <f t="shared" si="51"/>
        <v>-28</v>
      </c>
      <c r="T252" s="5">
        <v>1.69</v>
      </c>
      <c r="U252" s="4" t="s">
        <v>2</v>
      </c>
      <c r="V252" s="88">
        <f t="shared" si="43"/>
        <v>-9.563851143735068</v>
      </c>
      <c r="W252" s="88">
        <f t="shared" si="44"/>
        <v>-8.8738511437350684</v>
      </c>
      <c r="X252" s="88">
        <f t="shared" si="45"/>
        <v>19.677107876815647</v>
      </c>
      <c r="Y252" s="88">
        <f>Z252+AA252</f>
        <v>19.899999999999999</v>
      </c>
      <c r="Z252" s="88">
        <v>9.4</v>
      </c>
      <c r="AA252" s="88">
        <v>10.5</v>
      </c>
      <c r="AB252" s="84" t="s">
        <v>176</v>
      </c>
      <c r="AC252" s="84">
        <f t="shared" si="46"/>
        <v>292.89999999999998</v>
      </c>
      <c r="AD252" s="84">
        <v>46.28</v>
      </c>
      <c r="AE252" s="1" t="s">
        <v>413</v>
      </c>
      <c r="AF252" s="1" t="s">
        <v>574</v>
      </c>
      <c r="AG252" s="23">
        <f>VLOOKUP(A252, 'fixing lats'!A:F, 4, FALSE)</f>
        <v>75.000100000000003</v>
      </c>
      <c r="AH252" s="1" t="s">
        <v>575</v>
      </c>
      <c r="AI252" s="23">
        <f>VLOOKUP(A252, 'fixing lats'!A:F, 6, FALSE)</f>
        <v>33.000100000000003</v>
      </c>
      <c r="AJ252" s="23" t="s">
        <v>612</v>
      </c>
      <c r="AK252" s="83"/>
      <c r="AM252" s="86">
        <v>170</v>
      </c>
      <c r="AN252" s="85">
        <f t="shared" si="53"/>
        <v>24.916120162934408</v>
      </c>
      <c r="AO252" s="85">
        <v>34</v>
      </c>
      <c r="AP252" s="87">
        <f t="shared" si="47"/>
        <v>3.3605185642748704E-2</v>
      </c>
      <c r="AQ252" s="88">
        <f t="shared" si="48"/>
        <v>741.43676597456283</v>
      </c>
    </row>
    <row r="253" spans="1:86" s="14" customFormat="1" ht="13.8" x14ac:dyDescent="0.25">
      <c r="A253" s="76">
        <v>19834</v>
      </c>
      <c r="B253" s="49">
        <v>242</v>
      </c>
      <c r="C253" s="8">
        <f t="shared" si="41"/>
        <v>5</v>
      </c>
      <c r="D253" s="8">
        <f t="shared" si="42"/>
        <v>5.1999999999999886</v>
      </c>
      <c r="E253" s="49">
        <v>237</v>
      </c>
      <c r="F253" s="49">
        <v>247.2</v>
      </c>
      <c r="G253" s="3">
        <f t="shared" si="49"/>
        <v>5.1999999999999886</v>
      </c>
      <c r="H253" s="42" t="s">
        <v>220</v>
      </c>
      <c r="I253" s="50">
        <v>272030</v>
      </c>
      <c r="J253" s="42" t="s">
        <v>213</v>
      </c>
      <c r="K253" s="42"/>
      <c r="L253" s="42" t="s">
        <v>607</v>
      </c>
      <c r="M253" s="95" t="s">
        <v>1</v>
      </c>
      <c r="N253" s="4" t="str">
        <f t="shared" si="50"/>
        <v>marine oil</v>
      </c>
      <c r="O253" s="95" t="s">
        <v>0</v>
      </c>
      <c r="P253" s="52">
        <v>-33.192999999999998</v>
      </c>
      <c r="Q253" s="47" t="s">
        <v>293</v>
      </c>
      <c r="R253" s="47"/>
      <c r="S253" s="84">
        <f t="shared" si="51"/>
        <v>-29.692999999999998</v>
      </c>
      <c r="T253" s="5">
        <v>0</v>
      </c>
      <c r="U253" s="4" t="s">
        <v>404</v>
      </c>
      <c r="V253" s="88">
        <f t="shared" si="43"/>
        <v>-9.7837800687285217</v>
      </c>
      <c r="W253" s="88">
        <f t="shared" si="44"/>
        <v>-10.783780068728522</v>
      </c>
      <c r="X253" s="88">
        <f t="shared" si="45"/>
        <v>19.487873354795404</v>
      </c>
      <c r="Y253" s="88">
        <v>18</v>
      </c>
      <c r="Z253" s="86"/>
      <c r="AA253" s="86"/>
      <c r="AB253" s="89"/>
      <c r="AC253" s="84">
        <f t="shared" si="46"/>
        <v>291</v>
      </c>
      <c r="AD253" s="84"/>
      <c r="AE253" s="47"/>
      <c r="AF253" s="47"/>
      <c r="AG253" s="47"/>
      <c r="AH253" s="1"/>
      <c r="AI253" s="1"/>
      <c r="AJ253" s="1"/>
      <c r="AK253" s="89"/>
      <c r="AL253" s="83" t="s">
        <v>404</v>
      </c>
      <c r="AM253" s="86">
        <v>170</v>
      </c>
      <c r="AN253" s="85">
        <f t="shared" si="53"/>
        <v>24.243715009947575</v>
      </c>
      <c r="AO253" s="85">
        <v>34</v>
      </c>
      <c r="AP253" s="87">
        <f t="shared" si="47"/>
        <v>3.5480787486361354E-2</v>
      </c>
      <c r="AQ253" s="88">
        <f t="shared" si="48"/>
        <v>683.29134518975218</v>
      </c>
    </row>
    <row r="254" spans="1:86" x14ac:dyDescent="0.25">
      <c r="A254" s="76">
        <v>19835</v>
      </c>
      <c r="B254" s="3">
        <v>246</v>
      </c>
      <c r="C254" s="8">
        <f t="shared" si="41"/>
        <v>5.1999999999999886</v>
      </c>
      <c r="D254" s="8">
        <f t="shared" si="42"/>
        <v>6.1699999999999875</v>
      </c>
      <c r="E254" s="3">
        <v>251.2</v>
      </c>
      <c r="F254" s="3">
        <v>252.17</v>
      </c>
      <c r="G254" s="3">
        <f t="shared" si="49"/>
        <v>6.1699999999999875</v>
      </c>
      <c r="H254" s="4" t="s">
        <v>229</v>
      </c>
      <c r="I254" s="4" t="s">
        <v>336</v>
      </c>
      <c r="J254" s="4" t="s">
        <v>35</v>
      </c>
      <c r="K254" s="4"/>
      <c r="L254" s="4" t="s">
        <v>608</v>
      </c>
      <c r="M254" s="86" t="s">
        <v>4</v>
      </c>
      <c r="N254" s="4" t="str">
        <f t="shared" si="50"/>
        <v>marine sediment</v>
      </c>
      <c r="O254" s="86" t="s">
        <v>0</v>
      </c>
      <c r="P254" s="5">
        <v>-31</v>
      </c>
      <c r="Q254" s="4" t="s">
        <v>34</v>
      </c>
      <c r="S254" s="84">
        <f t="shared" si="51"/>
        <v>-27.5</v>
      </c>
      <c r="T254" s="5">
        <v>2.6</v>
      </c>
      <c r="U254" s="4" t="s">
        <v>2</v>
      </c>
      <c r="V254" s="88">
        <f t="shared" si="43"/>
        <v>-8.5640257072815196</v>
      </c>
      <c r="W254" s="88">
        <f t="shared" si="44"/>
        <v>-6.9640257072815199</v>
      </c>
      <c r="X254" s="88">
        <f t="shared" si="45"/>
        <v>21.116683077345488</v>
      </c>
      <c r="Y254" s="88">
        <f t="shared" ref="Y254:Y260" si="54">Z254+AA254</f>
        <v>28.86</v>
      </c>
      <c r="Z254" s="88">
        <v>18.36</v>
      </c>
      <c r="AA254" s="88">
        <v>10.5</v>
      </c>
      <c r="AB254" s="84"/>
      <c r="AC254" s="84">
        <f t="shared" si="46"/>
        <v>301.86</v>
      </c>
      <c r="AD254" s="84">
        <v>45</v>
      </c>
      <c r="AE254" s="1" t="s">
        <v>264</v>
      </c>
      <c r="AF254" s="1" t="s">
        <v>576</v>
      </c>
      <c r="AG254" s="23">
        <f>VLOOKUP(A254, 'fixing lats'!A:F, 4, FALSE)</f>
        <v>77.001499999999993</v>
      </c>
      <c r="AH254" s="1" t="s">
        <v>577</v>
      </c>
      <c r="AI254" s="23">
        <f>VLOOKUP(A254, 'fixing lats'!A:F, 6, FALSE)</f>
        <v>20.016300000000001</v>
      </c>
      <c r="AJ254" s="23" t="s">
        <v>612</v>
      </c>
      <c r="AK254" s="83" t="s">
        <v>184</v>
      </c>
      <c r="AL254" s="84" t="s">
        <v>185</v>
      </c>
      <c r="AM254" s="86">
        <v>170</v>
      </c>
      <c r="AN254" s="85">
        <f t="shared" si="53"/>
        <v>31.579043634713791</v>
      </c>
      <c r="AO254" s="85">
        <v>34</v>
      </c>
      <c r="AP254" s="87">
        <f t="shared" si="47"/>
        <v>2.6629493389043982E-2</v>
      </c>
      <c r="AQ254" s="88">
        <f t="shared" si="48"/>
        <v>1185.8672327467625</v>
      </c>
    </row>
    <row r="255" spans="1:86" x14ac:dyDescent="0.25">
      <c r="A255" s="76">
        <v>19836</v>
      </c>
      <c r="B255" s="3">
        <v>247</v>
      </c>
      <c r="C255" s="8">
        <f t="shared" si="41"/>
        <v>4.1999999999999886</v>
      </c>
      <c r="D255" s="8">
        <f t="shared" si="42"/>
        <v>5.1699999999999875</v>
      </c>
      <c r="E255" s="3">
        <v>251.2</v>
      </c>
      <c r="F255" s="3">
        <v>252.17</v>
      </c>
      <c r="G255" s="3">
        <f t="shared" si="49"/>
        <v>5.1699999999999875</v>
      </c>
      <c r="H255" s="4" t="s">
        <v>229</v>
      </c>
      <c r="I255" s="4" t="s">
        <v>337</v>
      </c>
      <c r="J255" s="4" t="s">
        <v>35</v>
      </c>
      <c r="K255" s="4"/>
      <c r="L255" s="4" t="s">
        <v>608</v>
      </c>
      <c r="M255" s="86" t="s">
        <v>4</v>
      </c>
      <c r="N255" s="4" t="str">
        <f t="shared" si="50"/>
        <v>marine sediment</v>
      </c>
      <c r="O255" s="86" t="s">
        <v>0</v>
      </c>
      <c r="P255" s="5">
        <v>-30</v>
      </c>
      <c r="Q255" s="4" t="s">
        <v>34</v>
      </c>
      <c r="S255" s="84">
        <f t="shared" si="51"/>
        <v>-26.5</v>
      </c>
      <c r="T255" s="5">
        <v>3</v>
      </c>
      <c r="U255" s="4" t="s">
        <v>2</v>
      </c>
      <c r="V255" s="88">
        <f t="shared" si="43"/>
        <v>-8.5748568398727478</v>
      </c>
      <c r="W255" s="88">
        <f t="shared" si="44"/>
        <v>-6.5748568398727478</v>
      </c>
      <c r="X255" s="88">
        <f t="shared" si="45"/>
        <v>20.467532778764451</v>
      </c>
      <c r="Y255" s="88">
        <f t="shared" si="54"/>
        <v>28.759999999999998</v>
      </c>
      <c r="Z255" s="88">
        <v>18.36</v>
      </c>
      <c r="AA255" s="88">
        <v>10.4</v>
      </c>
      <c r="AB255" s="84"/>
      <c r="AC255" s="84">
        <f t="shared" si="46"/>
        <v>301.76</v>
      </c>
      <c r="AD255" s="84">
        <v>46</v>
      </c>
      <c r="AE255" s="1" t="s">
        <v>264</v>
      </c>
      <c r="AF255" s="1" t="s">
        <v>576</v>
      </c>
      <c r="AG255" s="23">
        <f>VLOOKUP(A255, 'fixing lats'!A:F, 4, FALSE)</f>
        <v>77.001499999999993</v>
      </c>
      <c r="AH255" s="1" t="s">
        <v>577</v>
      </c>
      <c r="AI255" s="23">
        <f>VLOOKUP(A255, 'fixing lats'!A:F, 6, FALSE)</f>
        <v>20.016300000000001</v>
      </c>
      <c r="AJ255" s="23" t="s">
        <v>612</v>
      </c>
      <c r="AK255" s="83" t="s">
        <v>184</v>
      </c>
      <c r="AL255" s="84" t="s">
        <v>185</v>
      </c>
      <c r="AM255" s="86">
        <v>170</v>
      </c>
      <c r="AN255" s="85">
        <f t="shared" si="53"/>
        <v>28.180841066415471</v>
      </c>
      <c r="AO255" s="85">
        <v>34</v>
      </c>
      <c r="AP255" s="87">
        <f t="shared" si="47"/>
        <v>2.6693253358707102E-2</v>
      </c>
      <c r="AQ255" s="88">
        <f t="shared" si="48"/>
        <v>1055.7289771957726</v>
      </c>
    </row>
    <row r="256" spans="1:86" x14ac:dyDescent="0.25">
      <c r="A256" s="76">
        <v>19837</v>
      </c>
      <c r="B256" s="3">
        <v>247</v>
      </c>
      <c r="C256" s="8">
        <f t="shared" si="41"/>
        <v>4.1999999999999886</v>
      </c>
      <c r="D256" s="8">
        <f t="shared" si="42"/>
        <v>5.1699999999999875</v>
      </c>
      <c r="E256" s="3">
        <v>251.2</v>
      </c>
      <c r="F256" s="3">
        <v>252.17</v>
      </c>
      <c r="G256" s="3">
        <f t="shared" si="49"/>
        <v>5.1699999999999875</v>
      </c>
      <c r="H256" s="4" t="s">
        <v>229</v>
      </c>
      <c r="I256" s="4" t="s">
        <v>338</v>
      </c>
      <c r="J256" s="4" t="s">
        <v>35</v>
      </c>
      <c r="K256" s="4"/>
      <c r="L256" s="4" t="s">
        <v>608</v>
      </c>
      <c r="M256" s="86" t="s">
        <v>4</v>
      </c>
      <c r="N256" s="4" t="str">
        <f t="shared" si="50"/>
        <v>marine sediment</v>
      </c>
      <c r="O256" s="86" t="s">
        <v>0</v>
      </c>
      <c r="P256" s="5">
        <v>-32</v>
      </c>
      <c r="Q256" s="4" t="s">
        <v>34</v>
      </c>
      <c r="S256" s="84">
        <f t="shared" si="51"/>
        <v>-28.5</v>
      </c>
      <c r="T256" s="5">
        <v>3</v>
      </c>
      <c r="U256" s="4" t="s">
        <v>2</v>
      </c>
      <c r="V256" s="88">
        <f t="shared" si="43"/>
        <v>-8.5748568398727478</v>
      </c>
      <c r="W256" s="88">
        <f t="shared" si="44"/>
        <v>-6.5748568398727478</v>
      </c>
      <c r="X256" s="88">
        <f t="shared" si="45"/>
        <v>22.56834087506676</v>
      </c>
      <c r="Y256" s="88">
        <f t="shared" si="54"/>
        <v>28.759999999999998</v>
      </c>
      <c r="Z256" s="88">
        <v>18.36</v>
      </c>
      <c r="AA256" s="88">
        <v>10.4</v>
      </c>
      <c r="AB256" s="84"/>
      <c r="AC256" s="84">
        <f t="shared" si="46"/>
        <v>301.76</v>
      </c>
      <c r="AD256" s="84">
        <v>47</v>
      </c>
      <c r="AE256" s="1" t="s">
        <v>264</v>
      </c>
      <c r="AF256" s="1" t="s">
        <v>576</v>
      </c>
      <c r="AG256" s="23">
        <f>VLOOKUP(A256, 'fixing lats'!A:F, 4, FALSE)</f>
        <v>77.001499999999993</v>
      </c>
      <c r="AH256" s="1" t="s">
        <v>577</v>
      </c>
      <c r="AI256" s="23">
        <f>VLOOKUP(A256, 'fixing lats'!A:F, 6, FALSE)</f>
        <v>20.016300000000001</v>
      </c>
      <c r="AJ256" s="23" t="s">
        <v>612</v>
      </c>
      <c r="AK256" s="83" t="s">
        <v>184</v>
      </c>
      <c r="AL256" s="84" t="s">
        <v>185</v>
      </c>
      <c r="AM256" s="86">
        <v>170</v>
      </c>
      <c r="AN256" s="85">
        <f t="shared" si="53"/>
        <v>43.238743390015173</v>
      </c>
      <c r="AO256" s="85">
        <v>34</v>
      </c>
      <c r="AP256" s="87">
        <f t="shared" si="47"/>
        <v>2.6693253358707102E-2</v>
      </c>
      <c r="AQ256" s="88">
        <f t="shared" si="48"/>
        <v>1619.8378972007577</v>
      </c>
    </row>
    <row r="257" spans="1:317" x14ac:dyDescent="0.25">
      <c r="A257" s="76">
        <v>19838</v>
      </c>
      <c r="B257" s="3">
        <v>248</v>
      </c>
      <c r="C257" s="8">
        <f t="shared" si="41"/>
        <v>3.1999999999999886</v>
      </c>
      <c r="D257" s="8">
        <f t="shared" si="42"/>
        <v>4.1699999999999875</v>
      </c>
      <c r="E257" s="3">
        <v>251.2</v>
      </c>
      <c r="F257" s="3">
        <v>252.17</v>
      </c>
      <c r="G257" s="3">
        <f t="shared" si="49"/>
        <v>4.1699999999999875</v>
      </c>
      <c r="H257" s="4" t="s">
        <v>39</v>
      </c>
      <c r="I257" s="4" t="s">
        <v>38</v>
      </c>
      <c r="J257" s="4" t="s">
        <v>37</v>
      </c>
      <c r="K257" s="4"/>
      <c r="L257" s="4" t="s">
        <v>600</v>
      </c>
      <c r="M257" s="86" t="s">
        <v>1</v>
      </c>
      <c r="N257" s="4" t="str">
        <f t="shared" si="50"/>
        <v>marine oil</v>
      </c>
      <c r="O257" s="86" t="s">
        <v>0</v>
      </c>
      <c r="P257" s="5">
        <v>-30</v>
      </c>
      <c r="Q257" s="4" t="s">
        <v>36</v>
      </c>
      <c r="S257" s="84">
        <f t="shared" si="51"/>
        <v>-26.5</v>
      </c>
      <c r="T257" s="5">
        <v>3.2</v>
      </c>
      <c r="U257" s="4" t="s">
        <v>2</v>
      </c>
      <c r="V257" s="88">
        <f t="shared" si="43"/>
        <v>-10.971588120220527</v>
      </c>
      <c r="W257" s="88">
        <f t="shared" si="44"/>
        <v>-8.7715881202205281</v>
      </c>
      <c r="X257" s="88">
        <f t="shared" si="45"/>
        <v>18.21100347178173</v>
      </c>
      <c r="Y257" s="88">
        <f t="shared" si="54"/>
        <v>8.15</v>
      </c>
      <c r="Z257" s="88">
        <v>2.75</v>
      </c>
      <c r="AA257" s="88">
        <v>5.4</v>
      </c>
      <c r="AB257" s="84" t="s">
        <v>176</v>
      </c>
      <c r="AC257" s="84">
        <f t="shared" si="46"/>
        <v>281.14999999999998</v>
      </c>
      <c r="AD257" s="84">
        <v>45</v>
      </c>
      <c r="AE257" s="1" t="s">
        <v>264</v>
      </c>
      <c r="AF257" s="1" t="s">
        <v>576</v>
      </c>
      <c r="AG257" s="23">
        <f>VLOOKUP(A257, 'fixing lats'!A:F, 4, FALSE)</f>
        <v>77.001499999999993</v>
      </c>
      <c r="AH257" s="1" t="s">
        <v>577</v>
      </c>
      <c r="AI257" s="23">
        <f>VLOOKUP(A257, 'fixing lats'!A:F, 6, FALSE)</f>
        <v>20.016300000000001</v>
      </c>
      <c r="AJ257" s="23" t="s">
        <v>612</v>
      </c>
      <c r="AK257" s="83" t="s">
        <v>192</v>
      </c>
      <c r="AL257" s="84" t="s">
        <v>193</v>
      </c>
      <c r="AM257" s="86">
        <v>170</v>
      </c>
      <c r="AN257" s="85">
        <f t="shared" si="53"/>
        <v>20.509117047071765</v>
      </c>
      <c r="AO257" s="85">
        <v>34</v>
      </c>
      <c r="AP257" s="87">
        <f t="shared" si="47"/>
        <v>4.8459741894596203E-2</v>
      </c>
      <c r="AQ257" s="88">
        <f t="shared" si="48"/>
        <v>423.21969216593698</v>
      </c>
    </row>
    <row r="258" spans="1:317" s="9" customFormat="1" ht="13.2" customHeight="1" x14ac:dyDescent="0.25">
      <c r="A258" s="76">
        <v>19839</v>
      </c>
      <c r="B258" s="3">
        <v>253</v>
      </c>
      <c r="C258" s="8">
        <f t="shared" si="41"/>
        <v>0.83000000000001251</v>
      </c>
      <c r="D258" s="8">
        <f t="shared" si="42"/>
        <v>1.1399999999999864</v>
      </c>
      <c r="E258" s="3">
        <v>252.17</v>
      </c>
      <c r="F258" s="3">
        <v>254.14</v>
      </c>
      <c r="G258" s="3">
        <f t="shared" si="49"/>
        <v>1.1399999999999864</v>
      </c>
      <c r="H258" s="4" t="s">
        <v>230</v>
      </c>
      <c r="I258" s="4">
        <v>16.39</v>
      </c>
      <c r="J258" s="4" t="s">
        <v>35</v>
      </c>
      <c r="K258" s="4"/>
      <c r="L258" s="4" t="s">
        <v>608</v>
      </c>
      <c r="M258" s="86" t="s">
        <v>4</v>
      </c>
      <c r="N258" s="4" t="str">
        <f t="shared" si="50"/>
        <v>marine sediment</v>
      </c>
      <c r="O258" s="86" t="s">
        <v>0</v>
      </c>
      <c r="P258" s="5">
        <v>-28.3</v>
      </c>
      <c r="Q258" s="4" t="s">
        <v>34</v>
      </c>
      <c r="R258" s="4"/>
      <c r="S258" s="84">
        <f t="shared" si="51"/>
        <v>-24.8</v>
      </c>
      <c r="T258" s="5">
        <v>3.89</v>
      </c>
      <c r="U258" s="4" t="s">
        <v>2</v>
      </c>
      <c r="V258" s="88">
        <f t="shared" si="43"/>
        <v>-8.7272499667066192</v>
      </c>
      <c r="W258" s="88">
        <f t="shared" si="44"/>
        <v>-5.8372499667066187</v>
      </c>
      <c r="X258" s="88">
        <f t="shared" si="45"/>
        <v>19.444985678110484</v>
      </c>
      <c r="Y258" s="88">
        <f t="shared" si="54"/>
        <v>27.36</v>
      </c>
      <c r="Z258" s="88">
        <v>18.36</v>
      </c>
      <c r="AA258" s="88">
        <v>9</v>
      </c>
      <c r="AB258" s="84" t="s">
        <v>176</v>
      </c>
      <c r="AC258" s="84">
        <f t="shared" si="46"/>
        <v>300.36</v>
      </c>
      <c r="AD258" s="84">
        <v>45</v>
      </c>
      <c r="AE258" s="1" t="s">
        <v>264</v>
      </c>
      <c r="AF258" s="1" t="s">
        <v>576</v>
      </c>
      <c r="AG258" s="23">
        <f>VLOOKUP(A258, 'fixing lats'!A:F, 4, FALSE)</f>
        <v>77.001499999999993</v>
      </c>
      <c r="AH258" s="1" t="s">
        <v>577</v>
      </c>
      <c r="AI258" s="23">
        <f>VLOOKUP(A258, 'fixing lats'!A:F, 6, FALSE)</f>
        <v>20.016300000000001</v>
      </c>
      <c r="AJ258" s="23" t="s">
        <v>612</v>
      </c>
      <c r="AK258" s="83" t="s">
        <v>184</v>
      </c>
      <c r="AL258" s="84" t="s">
        <v>185</v>
      </c>
      <c r="AM258" s="86">
        <v>170</v>
      </c>
      <c r="AN258" s="85">
        <f t="shared" si="53"/>
        <v>24.096336625787259</v>
      </c>
      <c r="AO258" s="85">
        <v>34</v>
      </c>
      <c r="AP258" s="87">
        <f t="shared" si="47"/>
        <v>2.7615148680769558E-2</v>
      </c>
      <c r="AQ258" s="88">
        <f t="shared" si="48"/>
        <v>872.57674779666479</v>
      </c>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c r="JL258" s="1"/>
      <c r="JM258" s="1"/>
      <c r="JN258" s="1"/>
      <c r="JO258" s="1"/>
      <c r="JP258" s="1"/>
      <c r="JQ258" s="1"/>
      <c r="JR258" s="1"/>
      <c r="JS258" s="1"/>
      <c r="JT258" s="1"/>
      <c r="JU258" s="1"/>
      <c r="JV258" s="1"/>
      <c r="JW258" s="1"/>
      <c r="JX258" s="1"/>
      <c r="JY258" s="1"/>
      <c r="JZ258" s="1"/>
      <c r="KA258" s="1"/>
      <c r="KB258" s="1"/>
      <c r="KC258" s="1"/>
      <c r="KD258" s="1"/>
      <c r="KE258" s="1"/>
      <c r="KF258" s="1"/>
      <c r="KG258" s="1"/>
      <c r="KH258" s="1"/>
      <c r="KI258" s="1"/>
      <c r="KJ258" s="1"/>
      <c r="KK258" s="1"/>
      <c r="KL258" s="1"/>
      <c r="KM258" s="1"/>
      <c r="KN258" s="1"/>
      <c r="KO258" s="1"/>
      <c r="KP258" s="1"/>
      <c r="KQ258" s="1"/>
      <c r="KR258" s="1"/>
      <c r="KS258" s="1"/>
      <c r="KT258" s="1"/>
      <c r="KU258" s="1"/>
      <c r="KV258" s="1"/>
      <c r="KW258" s="1"/>
      <c r="KX258" s="1"/>
      <c r="KY258" s="1"/>
      <c r="KZ258" s="1"/>
      <c r="LA258" s="1"/>
      <c r="LB258" s="1"/>
      <c r="LC258" s="1"/>
      <c r="LD258" s="1"/>
      <c r="LE258" s="1"/>
    </row>
    <row r="259" spans="1:317" ht="13.2" customHeight="1" x14ac:dyDescent="0.25">
      <c r="A259" s="76">
        <v>19840</v>
      </c>
      <c r="B259" s="3">
        <v>253</v>
      </c>
      <c r="C259" s="8">
        <f t="shared" ref="C259:C308" si="55">ABS(B259-E259)</f>
        <v>0.83000000000001251</v>
      </c>
      <c r="D259" s="8">
        <f t="shared" ref="D259:D308" si="56">ABS(F259-B259)</f>
        <v>1.1399999999999864</v>
      </c>
      <c r="E259" s="3">
        <v>252.17</v>
      </c>
      <c r="F259" s="3">
        <v>254.14</v>
      </c>
      <c r="G259" s="3">
        <f t="shared" si="49"/>
        <v>1.1399999999999864</v>
      </c>
      <c r="H259" s="4" t="s">
        <v>230</v>
      </c>
      <c r="I259" s="4">
        <v>15.37</v>
      </c>
      <c r="J259" s="4" t="s">
        <v>35</v>
      </c>
      <c r="K259" s="4"/>
      <c r="L259" s="4" t="s">
        <v>608</v>
      </c>
      <c r="M259" s="86" t="s">
        <v>4</v>
      </c>
      <c r="N259" s="4" t="str">
        <f t="shared" si="50"/>
        <v>marine sediment</v>
      </c>
      <c r="O259" s="86" t="s">
        <v>0</v>
      </c>
      <c r="P259" s="5">
        <v>-30.6</v>
      </c>
      <c r="Q259" s="4" t="s">
        <v>34</v>
      </c>
      <c r="S259" s="84">
        <f t="shared" si="51"/>
        <v>-27.1</v>
      </c>
      <c r="T259" s="5">
        <v>2.89</v>
      </c>
      <c r="U259" s="4" t="s">
        <v>2</v>
      </c>
      <c r="V259" s="88">
        <f t="shared" ref="V259:V308" si="57">24.12-9866/AC259</f>
        <v>-8.7272499667066192</v>
      </c>
      <c r="W259" s="88">
        <f t="shared" ref="W259:W308" si="58">T259-1+V259</f>
        <v>-6.8372499667066187</v>
      </c>
      <c r="X259" s="88">
        <f t="shared" ref="X259:X308" si="59">1000*((W259+1000)/(S259+1000)-1)</f>
        <v>20.827166238352788</v>
      </c>
      <c r="Y259" s="88">
        <f t="shared" si="54"/>
        <v>27.36</v>
      </c>
      <c r="Z259" s="88">
        <v>18.36</v>
      </c>
      <c r="AA259" s="88">
        <v>9</v>
      </c>
      <c r="AB259" s="84" t="s">
        <v>176</v>
      </c>
      <c r="AC259" s="84">
        <f t="shared" ref="AC259:AC308" si="60">Y259+273</f>
        <v>300.36</v>
      </c>
      <c r="AD259" s="84">
        <v>45</v>
      </c>
      <c r="AE259" s="1" t="s">
        <v>264</v>
      </c>
      <c r="AF259" s="1" t="s">
        <v>576</v>
      </c>
      <c r="AG259" s="23">
        <f>VLOOKUP(A259, 'fixing lats'!A:F, 4, FALSE)</f>
        <v>77.001499999999993</v>
      </c>
      <c r="AH259" s="1" t="s">
        <v>577</v>
      </c>
      <c r="AI259" s="23">
        <f>VLOOKUP(A259, 'fixing lats'!A:F, 6, FALSE)</f>
        <v>20.016300000000001</v>
      </c>
      <c r="AJ259" s="23" t="s">
        <v>612</v>
      </c>
      <c r="AK259" s="83" t="s">
        <v>184</v>
      </c>
      <c r="AL259" s="84" t="s">
        <v>185</v>
      </c>
      <c r="AM259" s="86">
        <v>170</v>
      </c>
      <c r="AN259" s="85">
        <f t="shared" si="53"/>
        <v>29.96738616762099</v>
      </c>
      <c r="AO259" s="85">
        <v>34</v>
      </c>
      <c r="AP259" s="87">
        <f t="shared" ref="AP259:AP322" si="61">EXP($AT$4+$AT$5*(100/AC259)+$AT$6*LN(AC259/100)+AO259*($AW$4+$AW$5*(AC259/100)+$AW$6*(AC259/100)^2))</f>
        <v>2.7615148680769558E-2</v>
      </c>
      <c r="AQ259" s="88">
        <f t="shared" ref="AQ259:AQ308" si="62">AN259/AP259</f>
        <v>1085.1792439737783</v>
      </c>
    </row>
    <row r="260" spans="1:317" x14ac:dyDescent="0.25">
      <c r="A260" s="76">
        <v>19841</v>
      </c>
      <c r="B260" s="3">
        <v>256</v>
      </c>
      <c r="C260" s="8">
        <f t="shared" si="55"/>
        <v>3.8300000000000125</v>
      </c>
      <c r="D260" s="8">
        <f t="shared" si="56"/>
        <v>3.8000000000000114</v>
      </c>
      <c r="E260" s="3">
        <v>252.17</v>
      </c>
      <c r="F260" s="3">
        <v>259.8</v>
      </c>
      <c r="G260" s="3">
        <f t="shared" ref="G260:G308" si="63">IF(C260&gt;D260, C260, D260)</f>
        <v>3.8300000000000125</v>
      </c>
      <c r="H260" s="4" t="s">
        <v>30</v>
      </c>
      <c r="I260" s="4" t="s">
        <v>33</v>
      </c>
      <c r="J260" s="4" t="s">
        <v>32</v>
      </c>
      <c r="K260" s="4"/>
      <c r="L260" s="4" t="s">
        <v>40</v>
      </c>
      <c r="M260" s="86" t="s">
        <v>4</v>
      </c>
      <c r="N260" s="4" t="str">
        <f t="shared" ref="N260:N308" si="64">IF(M260="MS", "marine sediment", "marine oil")</f>
        <v>marine sediment</v>
      </c>
      <c r="O260" s="86" t="s">
        <v>0</v>
      </c>
      <c r="P260" s="5">
        <v>-31.3</v>
      </c>
      <c r="Q260" s="4" t="s">
        <v>31</v>
      </c>
      <c r="S260" s="84">
        <f t="shared" ref="S260:S308" si="65">P260+3.5</f>
        <v>-27.8</v>
      </c>
      <c r="T260" s="5">
        <v>3.2</v>
      </c>
      <c r="U260" s="4" t="s">
        <v>412</v>
      </c>
      <c r="V260" s="88">
        <f t="shared" si="57"/>
        <v>-10.226388163620538</v>
      </c>
      <c r="W260" s="88">
        <f t="shared" si="58"/>
        <v>-8.0263881636205383</v>
      </c>
      <c r="X260" s="88">
        <f t="shared" si="59"/>
        <v>20.339037066837484</v>
      </c>
      <c r="Y260" s="88">
        <f t="shared" si="54"/>
        <v>14.25</v>
      </c>
      <c r="Z260" s="88">
        <v>9.6999999999999993</v>
      </c>
      <c r="AA260" s="88">
        <f>9.1/2</f>
        <v>4.55</v>
      </c>
      <c r="AB260" s="84" t="s">
        <v>176</v>
      </c>
      <c r="AC260" s="84">
        <f t="shared" si="60"/>
        <v>287.25</v>
      </c>
      <c r="AD260" s="84">
        <v>19.2</v>
      </c>
      <c r="AE260" s="23" t="s">
        <v>263</v>
      </c>
      <c r="AF260" s="23" t="s">
        <v>578</v>
      </c>
      <c r="AG260" s="23">
        <f>VLOOKUP(A260, 'fixing lats'!A:F, 4, FALSE)</f>
        <v>51.003799999999998</v>
      </c>
      <c r="AH260" s="23" t="s">
        <v>579</v>
      </c>
      <c r="AI260" s="23">
        <f>VLOOKUP(A260, 'fixing lats'!A:F, 6, FALSE)</f>
        <v>6.0129000000000001</v>
      </c>
      <c r="AJ260" s="23" t="s">
        <v>612</v>
      </c>
      <c r="AK260" s="83" t="s">
        <v>187</v>
      </c>
      <c r="AL260" s="84" t="s">
        <v>183</v>
      </c>
      <c r="AM260" s="86">
        <v>170</v>
      </c>
      <c r="AN260" s="85">
        <f t="shared" si="53"/>
        <v>27.593089236902195</v>
      </c>
      <c r="AO260" s="85">
        <v>34</v>
      </c>
      <c r="AP260" s="87">
        <f t="shared" si="61"/>
        <v>3.9709071835406527E-2</v>
      </c>
      <c r="AQ260" s="88">
        <f t="shared" si="62"/>
        <v>694.88124404607368</v>
      </c>
    </row>
    <row r="261" spans="1:317" x14ac:dyDescent="0.25">
      <c r="A261" s="76">
        <v>19842</v>
      </c>
      <c r="B261" s="3">
        <v>262</v>
      </c>
      <c r="C261" s="8">
        <f t="shared" si="55"/>
        <v>9.8300000000000125</v>
      </c>
      <c r="D261" s="8">
        <f t="shared" si="56"/>
        <v>6.8000000000000114</v>
      </c>
      <c r="E261" s="24">
        <v>252.17</v>
      </c>
      <c r="F261" s="24">
        <v>268.8</v>
      </c>
      <c r="G261" s="3">
        <f t="shared" si="63"/>
        <v>9.8300000000000125</v>
      </c>
      <c r="H261" s="25" t="s">
        <v>221</v>
      </c>
      <c r="I261" s="26">
        <v>283111</v>
      </c>
      <c r="J261" s="25" t="s">
        <v>212</v>
      </c>
      <c r="K261" s="25"/>
      <c r="L261" s="25" t="s">
        <v>212</v>
      </c>
      <c r="M261" s="95" t="s">
        <v>1</v>
      </c>
      <c r="N261" s="4" t="str">
        <f t="shared" si="64"/>
        <v>marine oil</v>
      </c>
      <c r="O261" s="95" t="s">
        <v>0</v>
      </c>
      <c r="P261" s="27">
        <v>-28.359000000000002</v>
      </c>
      <c r="Q261" s="25" t="s">
        <v>293</v>
      </c>
      <c r="R261" s="25"/>
      <c r="S261" s="84">
        <f t="shared" si="65"/>
        <v>-24.859000000000002</v>
      </c>
      <c r="T261" s="5">
        <v>3.2</v>
      </c>
      <c r="U261" s="4" t="s">
        <v>412</v>
      </c>
      <c r="V261" s="88">
        <f t="shared" si="57"/>
        <v>-9.6445448323066394</v>
      </c>
      <c r="W261" s="88">
        <f t="shared" si="58"/>
        <v>-7.4445448323066392</v>
      </c>
      <c r="X261" s="88">
        <f t="shared" si="59"/>
        <v>17.858397060213306</v>
      </c>
      <c r="Y261" s="88">
        <v>19.2</v>
      </c>
      <c r="Z261" s="86"/>
      <c r="AB261" s="84"/>
      <c r="AC261" s="84">
        <f t="shared" si="60"/>
        <v>292.2</v>
      </c>
      <c r="AD261" s="84"/>
      <c r="AE261" s="5"/>
      <c r="AF261" s="5"/>
      <c r="AG261" s="5"/>
      <c r="AH261" s="5"/>
      <c r="AI261" s="5"/>
      <c r="AJ261" s="5"/>
      <c r="AK261" s="83" t="s">
        <v>259</v>
      </c>
      <c r="AM261" s="86">
        <v>170</v>
      </c>
      <c r="AN261" s="85">
        <f t="shared" si="53"/>
        <v>19.672276218258673</v>
      </c>
      <c r="AO261" s="85">
        <v>34</v>
      </c>
      <c r="AP261" s="87">
        <f t="shared" si="61"/>
        <v>3.4277178426861649E-2</v>
      </c>
      <c r="AQ261" s="88">
        <f t="shared" si="62"/>
        <v>573.91760702340366</v>
      </c>
    </row>
    <row r="262" spans="1:317" x14ac:dyDescent="0.25">
      <c r="A262" s="76">
        <v>19843</v>
      </c>
      <c r="B262" s="3">
        <v>262</v>
      </c>
      <c r="C262" s="8">
        <f t="shared" si="55"/>
        <v>9.8300000000000125</v>
      </c>
      <c r="D262" s="8">
        <f t="shared" si="56"/>
        <v>6.8000000000000114</v>
      </c>
      <c r="E262" s="24">
        <v>252.17</v>
      </c>
      <c r="F262" s="24">
        <v>268.8</v>
      </c>
      <c r="G262" s="3">
        <f t="shared" si="63"/>
        <v>9.8300000000000125</v>
      </c>
      <c r="H262" s="25" t="s">
        <v>221</v>
      </c>
      <c r="I262" s="26">
        <v>26489</v>
      </c>
      <c r="J262" s="25" t="s">
        <v>212</v>
      </c>
      <c r="K262" s="25"/>
      <c r="L262" s="25" t="s">
        <v>212</v>
      </c>
      <c r="M262" s="95" t="s">
        <v>1</v>
      </c>
      <c r="N262" s="4" t="str">
        <f t="shared" si="64"/>
        <v>marine oil</v>
      </c>
      <c r="O262" s="95" t="s">
        <v>0</v>
      </c>
      <c r="P262" s="27">
        <f>AVERAGE(-26.176,-26.328,-26.578)</f>
        <v>-26.360666666666663</v>
      </c>
      <c r="Q262" s="25" t="s">
        <v>293</v>
      </c>
      <c r="R262" s="25"/>
      <c r="S262" s="84">
        <f t="shared" si="65"/>
        <v>-22.860666666666663</v>
      </c>
      <c r="T262" s="5">
        <v>3.2</v>
      </c>
      <c r="U262" s="4" t="s">
        <v>412</v>
      </c>
      <c r="V262" s="88">
        <f t="shared" si="57"/>
        <v>-9.6445448323066394</v>
      </c>
      <c r="W262" s="88">
        <f t="shared" si="58"/>
        <v>-7.4445448323066392</v>
      </c>
      <c r="X262" s="88">
        <f t="shared" si="59"/>
        <v>15.776789766277055</v>
      </c>
      <c r="Y262" s="88">
        <v>19.2</v>
      </c>
      <c r="Z262" s="86"/>
      <c r="AB262" s="84"/>
      <c r="AC262" s="84">
        <f t="shared" si="60"/>
        <v>292.2</v>
      </c>
      <c r="AD262" s="84"/>
      <c r="AE262" s="5"/>
      <c r="AF262" s="5"/>
      <c r="AG262" s="5"/>
      <c r="AH262" s="5"/>
      <c r="AI262" s="5"/>
      <c r="AJ262" s="5"/>
      <c r="AK262" s="83" t="s">
        <v>259</v>
      </c>
      <c r="AM262" s="86">
        <v>170</v>
      </c>
      <c r="AN262" s="85">
        <f t="shared" si="53"/>
        <v>15.8534614443513</v>
      </c>
      <c r="AO262" s="85">
        <v>34</v>
      </c>
      <c r="AP262" s="87">
        <f t="shared" si="61"/>
        <v>3.4277178426861649E-2</v>
      </c>
      <c r="AQ262" s="88">
        <f t="shared" si="62"/>
        <v>462.50777257464046</v>
      </c>
    </row>
    <row r="263" spans="1:317" ht="13.2" customHeight="1" x14ac:dyDescent="0.25">
      <c r="A263" s="76">
        <v>19844</v>
      </c>
      <c r="B263" s="3">
        <v>343</v>
      </c>
      <c r="C263" s="8">
        <f t="shared" si="55"/>
        <v>19.800000000000011</v>
      </c>
      <c r="D263" s="8">
        <f t="shared" si="56"/>
        <v>15.899999999999977</v>
      </c>
      <c r="E263" s="3">
        <v>323.2</v>
      </c>
      <c r="F263" s="3">
        <v>358.9</v>
      </c>
      <c r="G263" s="3">
        <f t="shared" si="63"/>
        <v>19.800000000000011</v>
      </c>
      <c r="H263" s="4" t="s">
        <v>231</v>
      </c>
      <c r="I263" s="4" t="s">
        <v>29</v>
      </c>
      <c r="J263" s="4" t="s">
        <v>188</v>
      </c>
      <c r="K263" s="4"/>
      <c r="L263" s="4" t="s">
        <v>596</v>
      </c>
      <c r="M263" s="86" t="s">
        <v>1</v>
      </c>
      <c r="N263" s="4" t="str">
        <f t="shared" si="64"/>
        <v>marine oil</v>
      </c>
      <c r="O263" s="86" t="s">
        <v>0</v>
      </c>
      <c r="P263" s="5">
        <v>-30.5</v>
      </c>
      <c r="Q263" s="4" t="s">
        <v>28</v>
      </c>
      <c r="S263" s="84">
        <f t="shared" si="65"/>
        <v>-27</v>
      </c>
      <c r="T263" s="5">
        <v>3.8</v>
      </c>
      <c r="U263" s="4" t="s">
        <v>2</v>
      </c>
      <c r="V263" s="88">
        <f t="shared" si="57"/>
        <v>-10.934183691597088</v>
      </c>
      <c r="W263" s="88">
        <f t="shared" si="58"/>
        <v>-8.1341836915970873</v>
      </c>
      <c r="X263" s="88">
        <f t="shared" si="59"/>
        <v>19.389328168964994</v>
      </c>
      <c r="Y263" s="88">
        <f>Z263+AA263</f>
        <v>8.4499999999999993</v>
      </c>
      <c r="Z263" s="88">
        <v>5.95</v>
      </c>
      <c r="AA263" s="88">
        <v>2.5</v>
      </c>
      <c r="AB263" s="84" t="s">
        <v>176</v>
      </c>
      <c r="AC263" s="84">
        <f t="shared" si="60"/>
        <v>281.45</v>
      </c>
      <c r="AD263" s="84">
        <v>46.8</v>
      </c>
      <c r="AE263" s="23" t="s">
        <v>262</v>
      </c>
      <c r="AF263" s="23" t="s">
        <v>580</v>
      </c>
      <c r="AG263" s="23">
        <f>VLOOKUP(A263, 'fixing lats'!A:F, 4, FALSE)</f>
        <v>46.003100000000003</v>
      </c>
      <c r="AH263" s="23" t="s">
        <v>581</v>
      </c>
      <c r="AI263" s="23">
        <f>VLOOKUP(A263, 'fixing lats'!A:F, 6, FALSE)</f>
        <v>-103.00660000000001</v>
      </c>
      <c r="AJ263" s="23" t="s">
        <v>612</v>
      </c>
      <c r="AK263" s="83" t="s">
        <v>189</v>
      </c>
      <c r="AL263" s="83" t="s">
        <v>177</v>
      </c>
      <c r="AM263" s="86">
        <v>170</v>
      </c>
      <c r="AN263" s="85">
        <f t="shared" si="53"/>
        <v>23.907726870198616</v>
      </c>
      <c r="AO263" s="85">
        <v>34</v>
      </c>
      <c r="AP263" s="87">
        <f t="shared" si="61"/>
        <v>4.7964343721128941E-2</v>
      </c>
      <c r="AQ263" s="88">
        <f t="shared" si="62"/>
        <v>498.44790974731796</v>
      </c>
    </row>
    <row r="264" spans="1:317" ht="13.2" customHeight="1" x14ac:dyDescent="0.25">
      <c r="A264" s="76">
        <v>19845</v>
      </c>
      <c r="B264" s="24">
        <v>355</v>
      </c>
      <c r="C264" s="8">
        <f t="shared" si="55"/>
        <v>8</v>
      </c>
      <c r="D264" s="8">
        <f t="shared" si="56"/>
        <v>8</v>
      </c>
      <c r="E264" s="24">
        <v>347</v>
      </c>
      <c r="F264" s="24">
        <v>363</v>
      </c>
      <c r="G264" s="3">
        <f t="shared" si="63"/>
        <v>8</v>
      </c>
      <c r="H264" s="25" t="s">
        <v>551</v>
      </c>
      <c r="I264" s="29">
        <v>272129</v>
      </c>
      <c r="J264" s="29" t="s">
        <v>213</v>
      </c>
      <c r="K264" s="29"/>
      <c r="L264" s="29" t="s">
        <v>607</v>
      </c>
      <c r="M264" s="96" t="s">
        <v>1</v>
      </c>
      <c r="N264" s="4" t="str">
        <f t="shared" si="64"/>
        <v>marine oil</v>
      </c>
      <c r="O264" s="96" t="s">
        <v>0</v>
      </c>
      <c r="P264" s="30">
        <f>AVERAGE(-28.84,-28.8,-28.5)</f>
        <v>-28.713333333333335</v>
      </c>
      <c r="Q264" s="25" t="s">
        <v>293</v>
      </c>
      <c r="R264" s="25"/>
      <c r="S264" s="84">
        <f t="shared" si="65"/>
        <v>-25.213333333333335</v>
      </c>
      <c r="T264" s="5">
        <v>4</v>
      </c>
      <c r="U264" s="4" t="s">
        <v>2</v>
      </c>
      <c r="V264" s="88">
        <f t="shared" si="57"/>
        <v>-11.93994152046783</v>
      </c>
      <c r="W264" s="88">
        <f t="shared" si="58"/>
        <v>-8.9399415204678299</v>
      </c>
      <c r="X264" s="88">
        <f t="shared" si="59"/>
        <v>16.694311041936196</v>
      </c>
      <c r="Y264" s="88">
        <f>Z264+AA264</f>
        <v>0.59999999999999964</v>
      </c>
      <c r="Z264" s="86">
        <v>2.8</v>
      </c>
      <c r="AA264" s="88">
        <v>-2.2000000000000002</v>
      </c>
      <c r="AB264" s="84"/>
      <c r="AC264" s="84">
        <f t="shared" si="60"/>
        <v>273.60000000000002</v>
      </c>
      <c r="AD264" s="84"/>
      <c r="AE264" s="5"/>
      <c r="AF264" s="5"/>
      <c r="AG264" s="5"/>
      <c r="AH264" s="5"/>
      <c r="AI264" s="5"/>
      <c r="AJ264" s="5"/>
      <c r="AK264" s="83" t="s">
        <v>259</v>
      </c>
      <c r="AM264" s="86">
        <v>170</v>
      </c>
      <c r="AN264" s="85">
        <f t="shared" si="53"/>
        <v>17.336874617076123</v>
      </c>
      <c r="AO264" s="85">
        <v>34</v>
      </c>
      <c r="AP264" s="87">
        <f t="shared" si="61"/>
        <v>6.3855620125150711E-2</v>
      </c>
      <c r="AQ264" s="88">
        <f t="shared" si="62"/>
        <v>271.50115499775211</v>
      </c>
    </row>
    <row r="265" spans="1:317" x14ac:dyDescent="0.25">
      <c r="A265" s="76">
        <v>19846</v>
      </c>
      <c r="B265" s="24">
        <v>355</v>
      </c>
      <c r="C265" s="8">
        <f t="shared" si="55"/>
        <v>8</v>
      </c>
      <c r="D265" s="8">
        <f t="shared" si="56"/>
        <v>8</v>
      </c>
      <c r="E265" s="24">
        <v>347</v>
      </c>
      <c r="F265" s="24">
        <v>363</v>
      </c>
      <c r="G265" s="3">
        <f t="shared" si="63"/>
        <v>8</v>
      </c>
      <c r="H265" s="25" t="s">
        <v>551</v>
      </c>
      <c r="I265" s="26">
        <v>272494</v>
      </c>
      <c r="J265" s="29" t="s">
        <v>213</v>
      </c>
      <c r="K265" s="29"/>
      <c r="L265" s="29" t="s">
        <v>607</v>
      </c>
      <c r="M265" s="95" t="s">
        <v>1</v>
      </c>
      <c r="N265" s="4" t="str">
        <f t="shared" si="64"/>
        <v>marine oil</v>
      </c>
      <c r="O265" s="95" t="s">
        <v>0</v>
      </c>
      <c r="P265" s="27">
        <v>-33.008499999999998</v>
      </c>
      <c r="Q265" s="25" t="s">
        <v>293</v>
      </c>
      <c r="R265" s="25"/>
      <c r="S265" s="84">
        <f t="shared" si="65"/>
        <v>-29.508499999999998</v>
      </c>
      <c r="T265" s="5">
        <v>4</v>
      </c>
      <c r="U265" s="4" t="s">
        <v>2</v>
      </c>
      <c r="V265" s="88">
        <f t="shared" si="57"/>
        <v>-11.93994152046783</v>
      </c>
      <c r="W265" s="88">
        <f t="shared" si="58"/>
        <v>-8.9399415204678299</v>
      </c>
      <c r="X265" s="88">
        <f t="shared" si="59"/>
        <v>21.19396046181987</v>
      </c>
      <c r="Y265" s="88">
        <f>Z265+AA265</f>
        <v>0.59999999999999964</v>
      </c>
      <c r="Z265" s="86">
        <v>2.8</v>
      </c>
      <c r="AA265" s="88">
        <v>-2.2000000000000002</v>
      </c>
      <c r="AB265" s="84"/>
      <c r="AC265" s="84">
        <f t="shared" si="60"/>
        <v>273.60000000000002</v>
      </c>
      <c r="AD265" s="84"/>
      <c r="AE265" s="5"/>
      <c r="AF265" s="5"/>
      <c r="AG265" s="5"/>
      <c r="AH265" s="5"/>
      <c r="AI265" s="5"/>
      <c r="AJ265" s="5"/>
      <c r="AK265" s="83" t="s">
        <v>259</v>
      </c>
      <c r="AM265" s="86">
        <v>170</v>
      </c>
      <c r="AN265" s="85">
        <f t="shared" si="53"/>
        <v>32.038962163162985</v>
      </c>
      <c r="AO265" s="85">
        <v>34</v>
      </c>
      <c r="AP265" s="87">
        <f t="shared" si="61"/>
        <v>6.3855620125150711E-2</v>
      </c>
      <c r="AQ265" s="88">
        <f t="shared" si="62"/>
        <v>501.74067843002359</v>
      </c>
    </row>
    <row r="266" spans="1:317" ht="14.4" customHeight="1" x14ac:dyDescent="0.25">
      <c r="A266" s="76">
        <v>19847</v>
      </c>
      <c r="B266" s="24">
        <v>372</v>
      </c>
      <c r="C266" s="8">
        <f t="shared" si="55"/>
        <v>13.100000000000023</v>
      </c>
      <c r="D266" s="8">
        <f t="shared" si="56"/>
        <v>10.699999999999989</v>
      </c>
      <c r="E266" s="24">
        <v>358.9</v>
      </c>
      <c r="F266" s="24">
        <v>382.7</v>
      </c>
      <c r="G266" s="3">
        <f t="shared" si="63"/>
        <v>13.100000000000023</v>
      </c>
      <c r="H266" s="25" t="s">
        <v>222</v>
      </c>
      <c r="I266" s="26">
        <v>271871</v>
      </c>
      <c r="J266" s="25" t="s">
        <v>213</v>
      </c>
      <c r="K266" s="25"/>
      <c r="L266" s="25" t="s">
        <v>607</v>
      </c>
      <c r="M266" s="95" t="s">
        <v>1</v>
      </c>
      <c r="N266" s="4" t="str">
        <f t="shared" si="64"/>
        <v>marine oil</v>
      </c>
      <c r="O266" s="95" t="s">
        <v>0</v>
      </c>
      <c r="P266" s="27">
        <f>AVERAGE(-29.86,-29.984,-30.02,-29.851)</f>
        <v>-29.928750000000001</v>
      </c>
      <c r="Q266" s="25" t="s">
        <v>293</v>
      </c>
      <c r="R266" s="25"/>
      <c r="S266" s="84">
        <f t="shared" si="65"/>
        <v>-26.428750000000001</v>
      </c>
      <c r="T266" s="5">
        <v>2</v>
      </c>
      <c r="U266" s="4" t="s">
        <v>409</v>
      </c>
      <c r="V266" s="88">
        <f t="shared" si="57"/>
        <v>-8.44105610561056</v>
      </c>
      <c r="W266" s="88">
        <f t="shared" si="58"/>
        <v>-7.44105610561056</v>
      </c>
      <c r="X266" s="88">
        <f t="shared" si="59"/>
        <v>19.503137437952844</v>
      </c>
      <c r="Y266" s="88">
        <v>30</v>
      </c>
      <c r="AB266" s="84"/>
      <c r="AC266" s="84">
        <f t="shared" si="60"/>
        <v>303</v>
      </c>
      <c r="AD266" s="84"/>
      <c r="AE266" s="5"/>
      <c r="AF266" s="5"/>
      <c r="AG266" s="5"/>
      <c r="AH266" s="5"/>
      <c r="AI266" s="5"/>
      <c r="AJ266" s="5"/>
      <c r="AK266" s="83"/>
      <c r="AL266" s="83" t="s">
        <v>408</v>
      </c>
      <c r="AM266" s="86">
        <v>170</v>
      </c>
      <c r="AN266" s="85">
        <f t="shared" si="53"/>
        <v>24.296604155428927</v>
      </c>
      <c r="AO266" s="85">
        <v>34</v>
      </c>
      <c r="AP266" s="87">
        <f t="shared" si="61"/>
        <v>2.5921477953569454E-2</v>
      </c>
      <c r="AQ266" s="88">
        <f t="shared" si="62"/>
        <v>937.31554192044905</v>
      </c>
    </row>
    <row r="267" spans="1:317" ht="14.4" customHeight="1" x14ac:dyDescent="0.25">
      <c r="A267" s="76">
        <v>19848</v>
      </c>
      <c r="B267" s="3">
        <v>372</v>
      </c>
      <c r="C267" s="8">
        <f t="shared" si="55"/>
        <v>13.100000000000023</v>
      </c>
      <c r="D267" s="8">
        <f t="shared" si="56"/>
        <v>10.699999999999989</v>
      </c>
      <c r="E267" s="3">
        <v>358.9</v>
      </c>
      <c r="F267" s="3">
        <v>382.7</v>
      </c>
      <c r="G267" s="3">
        <f t="shared" si="63"/>
        <v>13.100000000000023</v>
      </c>
      <c r="H267" s="4" t="s">
        <v>222</v>
      </c>
      <c r="I267" s="4" t="s">
        <v>26</v>
      </c>
      <c r="J267" s="4" t="s">
        <v>186</v>
      </c>
      <c r="K267" s="4"/>
      <c r="L267" s="4" t="s">
        <v>596</v>
      </c>
      <c r="M267" s="86" t="s">
        <v>1</v>
      </c>
      <c r="N267" s="4" t="str">
        <f t="shared" si="64"/>
        <v>marine oil</v>
      </c>
      <c r="O267" s="86" t="s">
        <v>0</v>
      </c>
      <c r="P267" s="5">
        <v>-31</v>
      </c>
      <c r="Q267" s="4" t="s">
        <v>25</v>
      </c>
      <c r="S267" s="84">
        <f t="shared" si="65"/>
        <v>-27.5</v>
      </c>
      <c r="T267" s="5">
        <v>2</v>
      </c>
      <c r="U267" s="4" t="s">
        <v>409</v>
      </c>
      <c r="V267" s="88">
        <f t="shared" si="57"/>
        <v>-8.44105610561056</v>
      </c>
      <c r="W267" s="88">
        <f t="shared" si="58"/>
        <v>-7.44105610561056</v>
      </c>
      <c r="X267" s="88">
        <f t="shared" si="59"/>
        <v>20.626163387547081</v>
      </c>
      <c r="Y267" s="88">
        <v>30</v>
      </c>
      <c r="AB267" s="84"/>
      <c r="AC267" s="84">
        <f t="shared" si="60"/>
        <v>303</v>
      </c>
      <c r="AD267" s="84"/>
      <c r="AE267" s="23"/>
      <c r="AF267" s="23"/>
      <c r="AG267" s="23"/>
      <c r="AH267" s="23"/>
      <c r="AI267" s="23"/>
      <c r="AJ267" s="23"/>
      <c r="AK267" s="83"/>
      <c r="AL267" s="83" t="s">
        <v>408</v>
      </c>
      <c r="AM267" s="86">
        <v>170</v>
      </c>
      <c r="AN267" s="85">
        <f t="shared" si="53"/>
        <v>28.941901386836133</v>
      </c>
      <c r="AO267" s="85">
        <v>34</v>
      </c>
      <c r="AP267" s="87">
        <f t="shared" si="61"/>
        <v>2.5921477953569454E-2</v>
      </c>
      <c r="AQ267" s="88">
        <f t="shared" si="62"/>
        <v>1116.5220377741139</v>
      </c>
    </row>
    <row r="268" spans="1:317" ht="14.4" customHeight="1" x14ac:dyDescent="0.25">
      <c r="A268" s="76">
        <v>19849</v>
      </c>
      <c r="B268" s="3">
        <v>377</v>
      </c>
      <c r="C268" s="8">
        <f t="shared" si="55"/>
        <v>0</v>
      </c>
      <c r="D268" s="8">
        <f t="shared" si="56"/>
        <v>2</v>
      </c>
      <c r="E268" s="3">
        <v>377</v>
      </c>
      <c r="F268" s="3">
        <v>379</v>
      </c>
      <c r="G268" s="3">
        <f t="shared" si="63"/>
        <v>2</v>
      </c>
      <c r="H268" s="4" t="s">
        <v>446</v>
      </c>
      <c r="I268" s="4" t="s">
        <v>24</v>
      </c>
      <c r="J268" s="4" t="s">
        <v>23</v>
      </c>
      <c r="K268" s="4"/>
      <c r="L268" s="4" t="s">
        <v>609</v>
      </c>
      <c r="M268" s="86" t="s">
        <v>4</v>
      </c>
      <c r="N268" s="4" t="str">
        <f t="shared" si="64"/>
        <v>marine sediment</v>
      </c>
      <c r="O268" s="86" t="s">
        <v>0</v>
      </c>
      <c r="P268" s="5">
        <v>-31.1</v>
      </c>
      <c r="Q268" s="4" t="s">
        <v>22</v>
      </c>
      <c r="S268" s="84">
        <f t="shared" si="65"/>
        <v>-27.6</v>
      </c>
      <c r="T268" s="5">
        <v>0.89</v>
      </c>
      <c r="U268" s="4" t="s">
        <v>2</v>
      </c>
      <c r="V268" s="88">
        <f t="shared" si="57"/>
        <v>-8.44105610561056</v>
      </c>
      <c r="W268" s="88">
        <f t="shared" si="58"/>
        <v>-8.5510561056105594</v>
      </c>
      <c r="X268" s="88">
        <f t="shared" si="59"/>
        <v>19.58961733277409</v>
      </c>
      <c r="Y268" s="88">
        <v>30</v>
      </c>
      <c r="AB268" s="84"/>
      <c r="AC268" s="84">
        <f t="shared" si="60"/>
        <v>303</v>
      </c>
      <c r="AD268" s="84">
        <v>-25.9</v>
      </c>
      <c r="AE268" s="23"/>
      <c r="AF268" s="23"/>
      <c r="AG268" s="23"/>
      <c r="AH268" s="23"/>
      <c r="AI268" s="23"/>
      <c r="AJ268" s="23"/>
      <c r="AK268" s="83"/>
      <c r="AL268" s="83" t="s">
        <v>408</v>
      </c>
      <c r="AM268" s="86">
        <v>170</v>
      </c>
      <c r="AN268" s="85">
        <f t="shared" si="53"/>
        <v>24.600663694973704</v>
      </c>
      <c r="AO268" s="85">
        <v>34</v>
      </c>
      <c r="AP268" s="87">
        <f t="shared" si="61"/>
        <v>2.5921477953569454E-2</v>
      </c>
      <c r="AQ268" s="88">
        <f t="shared" si="62"/>
        <v>949.04556518877541</v>
      </c>
    </row>
    <row r="269" spans="1:317" ht="14.4" customHeight="1" x14ac:dyDescent="0.25">
      <c r="A269" s="76">
        <v>19850</v>
      </c>
      <c r="B269" s="3">
        <v>377</v>
      </c>
      <c r="C269" s="8">
        <f t="shared" si="55"/>
        <v>0</v>
      </c>
      <c r="D269" s="8">
        <f t="shared" si="56"/>
        <v>2</v>
      </c>
      <c r="E269" s="3">
        <v>377</v>
      </c>
      <c r="F269" s="3">
        <v>379</v>
      </c>
      <c r="G269" s="3">
        <f t="shared" si="63"/>
        <v>2</v>
      </c>
      <c r="H269" s="4" t="s">
        <v>446</v>
      </c>
      <c r="I269" s="4" t="s">
        <v>24</v>
      </c>
      <c r="J269" s="4" t="s">
        <v>23</v>
      </c>
      <c r="K269" s="4"/>
      <c r="L269" s="4" t="s">
        <v>609</v>
      </c>
      <c r="M269" s="86" t="s">
        <v>4</v>
      </c>
      <c r="N269" s="4" t="str">
        <f t="shared" si="64"/>
        <v>marine sediment</v>
      </c>
      <c r="O269" s="86" t="s">
        <v>0</v>
      </c>
      <c r="P269" s="5">
        <v>-32.299999999999997</v>
      </c>
      <c r="Q269" s="4" t="s">
        <v>22</v>
      </c>
      <c r="S269" s="84">
        <f t="shared" si="65"/>
        <v>-28.799999999999997</v>
      </c>
      <c r="T269" s="5">
        <v>0.89</v>
      </c>
      <c r="U269" s="4" t="s">
        <v>2</v>
      </c>
      <c r="V269" s="88">
        <f t="shared" si="57"/>
        <v>-8.44105610561056</v>
      </c>
      <c r="W269" s="88">
        <f t="shared" si="58"/>
        <v>-8.5510561056105594</v>
      </c>
      <c r="X269" s="88">
        <f t="shared" si="59"/>
        <v>20.849406810532713</v>
      </c>
      <c r="Y269" s="88">
        <v>30</v>
      </c>
      <c r="AB269" s="84"/>
      <c r="AC269" s="84">
        <f t="shared" si="60"/>
        <v>303</v>
      </c>
      <c r="AD269" s="84">
        <v>-25.9</v>
      </c>
      <c r="AE269" s="23"/>
      <c r="AF269" s="23"/>
      <c r="AG269" s="23"/>
      <c r="AH269" s="23"/>
      <c r="AI269" s="23"/>
      <c r="AJ269" s="23"/>
      <c r="AK269" s="83"/>
      <c r="AL269" s="83" t="s">
        <v>408</v>
      </c>
      <c r="AM269" s="86">
        <v>170</v>
      </c>
      <c r="AN269" s="85">
        <f t="shared" si="53"/>
        <v>30.08533693716975</v>
      </c>
      <c r="AO269" s="85">
        <v>34</v>
      </c>
      <c r="AP269" s="87">
        <f t="shared" si="61"/>
        <v>2.5921477953569454E-2</v>
      </c>
      <c r="AQ269" s="88">
        <f t="shared" si="62"/>
        <v>1160.6335484056349</v>
      </c>
    </row>
    <row r="270" spans="1:317" ht="14.4" customHeight="1" x14ac:dyDescent="0.25">
      <c r="A270" s="76">
        <v>19851</v>
      </c>
      <c r="B270" s="3">
        <v>377</v>
      </c>
      <c r="C270" s="8">
        <f t="shared" si="55"/>
        <v>2</v>
      </c>
      <c r="D270" s="8">
        <f t="shared" si="56"/>
        <v>5</v>
      </c>
      <c r="E270" s="3">
        <v>375</v>
      </c>
      <c r="F270" s="3">
        <v>382</v>
      </c>
      <c r="G270" s="3">
        <f t="shared" si="63"/>
        <v>5</v>
      </c>
      <c r="H270" s="4" t="s">
        <v>232</v>
      </c>
      <c r="I270" s="4">
        <v>29</v>
      </c>
      <c r="J270" s="4" t="s">
        <v>208</v>
      </c>
      <c r="K270" s="4"/>
      <c r="L270" s="4" t="s">
        <v>610</v>
      </c>
      <c r="M270" s="86" t="s">
        <v>4</v>
      </c>
      <c r="N270" s="4" t="str">
        <f t="shared" si="64"/>
        <v>marine sediment</v>
      </c>
      <c r="O270" s="86" t="s">
        <v>27</v>
      </c>
      <c r="P270" s="5">
        <v>-31.7</v>
      </c>
      <c r="Q270" s="4" t="s">
        <v>207</v>
      </c>
      <c r="S270" s="84">
        <f t="shared" si="65"/>
        <v>-28.2</v>
      </c>
      <c r="T270" s="5">
        <v>0.5</v>
      </c>
      <c r="U270" s="4" t="s">
        <v>409</v>
      </c>
      <c r="V270" s="88">
        <f t="shared" si="57"/>
        <v>-8.657408637873754</v>
      </c>
      <c r="W270" s="88">
        <f t="shared" si="58"/>
        <v>-9.157408637873754</v>
      </c>
      <c r="X270" s="88">
        <f t="shared" si="59"/>
        <v>19.595175305748391</v>
      </c>
      <c r="Y270" s="88">
        <v>28</v>
      </c>
      <c r="AB270" s="84"/>
      <c r="AC270" s="84">
        <f t="shared" si="60"/>
        <v>301</v>
      </c>
      <c r="AD270" s="84">
        <v>-16.8</v>
      </c>
      <c r="AE270" s="23"/>
      <c r="AF270" s="23"/>
      <c r="AG270" s="23"/>
      <c r="AH270" s="23"/>
      <c r="AI270" s="23"/>
      <c r="AJ270" s="23"/>
      <c r="AK270" s="83"/>
      <c r="AL270" s="83" t="s">
        <v>408</v>
      </c>
      <c r="AM270" s="86">
        <v>170</v>
      </c>
      <c r="AN270" s="85">
        <f t="shared" si="53"/>
        <v>24.620465765268172</v>
      </c>
      <c r="AO270" s="85">
        <v>34</v>
      </c>
      <c r="AP270" s="87">
        <f t="shared" si="61"/>
        <v>2.7186837070105174E-2</v>
      </c>
      <c r="AQ270" s="88">
        <f t="shared" si="62"/>
        <v>905.60243185997535</v>
      </c>
    </row>
    <row r="271" spans="1:317" ht="14.4" customHeight="1" x14ac:dyDescent="0.25">
      <c r="A271" s="76">
        <v>19852</v>
      </c>
      <c r="B271" s="3">
        <v>378</v>
      </c>
      <c r="C271" s="8">
        <f t="shared" si="55"/>
        <v>1</v>
      </c>
      <c r="D271" s="8">
        <f t="shared" si="56"/>
        <v>1</v>
      </c>
      <c r="E271" s="3">
        <v>377</v>
      </c>
      <c r="F271" s="3">
        <v>379</v>
      </c>
      <c r="G271" s="3">
        <f t="shared" si="63"/>
        <v>1</v>
      </c>
      <c r="H271" s="4" t="s">
        <v>446</v>
      </c>
      <c r="I271" s="4" t="s">
        <v>24</v>
      </c>
      <c r="J271" s="4" t="s">
        <v>23</v>
      </c>
      <c r="K271" s="4"/>
      <c r="L271" s="4" t="s">
        <v>609</v>
      </c>
      <c r="M271" s="86" t="s">
        <v>4</v>
      </c>
      <c r="N271" s="4" t="str">
        <f t="shared" si="64"/>
        <v>marine sediment</v>
      </c>
      <c r="O271" s="86" t="s">
        <v>0</v>
      </c>
      <c r="P271" s="5">
        <v>-32.9</v>
      </c>
      <c r="Q271" s="4" t="s">
        <v>22</v>
      </c>
      <c r="S271" s="84">
        <f t="shared" si="65"/>
        <v>-29.4</v>
      </c>
      <c r="T271" s="5">
        <v>0.89</v>
      </c>
      <c r="U271" s="4" t="s">
        <v>2</v>
      </c>
      <c r="V271" s="88">
        <f t="shared" si="57"/>
        <v>-8.44105610561056</v>
      </c>
      <c r="W271" s="88">
        <f t="shared" si="58"/>
        <v>-8.5510561056105594</v>
      </c>
      <c r="X271" s="88">
        <f t="shared" si="59"/>
        <v>21.48046970367745</v>
      </c>
      <c r="Y271" s="88">
        <v>30</v>
      </c>
      <c r="AB271" s="84"/>
      <c r="AC271" s="84">
        <f t="shared" si="60"/>
        <v>303</v>
      </c>
      <c r="AD271" s="84">
        <v>-25.9</v>
      </c>
      <c r="AE271" s="23"/>
      <c r="AF271" s="23"/>
      <c r="AG271" s="23"/>
      <c r="AH271" s="23"/>
      <c r="AI271" s="23"/>
      <c r="AJ271" s="23"/>
      <c r="AK271" s="83"/>
      <c r="AL271" s="83" t="s">
        <v>408</v>
      </c>
      <c r="AM271" s="86">
        <v>170</v>
      </c>
      <c r="AN271" s="85">
        <f t="shared" si="53"/>
        <v>33.867710714794732</v>
      </c>
      <c r="AO271" s="85">
        <v>34</v>
      </c>
      <c r="AP271" s="87">
        <f t="shared" si="61"/>
        <v>2.5921477953569454E-2</v>
      </c>
      <c r="AQ271" s="88">
        <f t="shared" si="62"/>
        <v>1306.5501425288546</v>
      </c>
    </row>
    <row r="272" spans="1:317" ht="14.4" customHeight="1" x14ac:dyDescent="0.25">
      <c r="A272" s="76">
        <v>19853</v>
      </c>
      <c r="B272" s="3">
        <v>378</v>
      </c>
      <c r="C272" s="8">
        <f t="shared" si="55"/>
        <v>1</v>
      </c>
      <c r="D272" s="8">
        <f t="shared" si="56"/>
        <v>1</v>
      </c>
      <c r="E272" s="3">
        <v>377</v>
      </c>
      <c r="F272" s="3">
        <v>379</v>
      </c>
      <c r="G272" s="3">
        <f t="shared" si="63"/>
        <v>1</v>
      </c>
      <c r="H272" s="4" t="s">
        <v>446</v>
      </c>
      <c r="I272" s="4" t="s">
        <v>24</v>
      </c>
      <c r="J272" s="4" t="s">
        <v>23</v>
      </c>
      <c r="K272" s="4"/>
      <c r="L272" s="4" t="s">
        <v>609</v>
      </c>
      <c r="M272" s="86" t="s">
        <v>4</v>
      </c>
      <c r="N272" s="4" t="str">
        <f t="shared" si="64"/>
        <v>marine sediment</v>
      </c>
      <c r="O272" s="86" t="s">
        <v>0</v>
      </c>
      <c r="P272" s="5">
        <v>-32.799999999999997</v>
      </c>
      <c r="Q272" s="4" t="s">
        <v>22</v>
      </c>
      <c r="S272" s="84">
        <f t="shared" si="65"/>
        <v>-29.299999999999997</v>
      </c>
      <c r="T272" s="5">
        <v>0.65</v>
      </c>
      <c r="U272" s="4" t="s">
        <v>2</v>
      </c>
      <c r="V272" s="88">
        <f t="shared" si="57"/>
        <v>-8.9873825503355711</v>
      </c>
      <c r="W272" s="88">
        <f t="shared" si="58"/>
        <v>-9.3373825503355707</v>
      </c>
      <c r="X272" s="88">
        <f t="shared" si="59"/>
        <v>20.565177139862499</v>
      </c>
      <c r="Y272" s="88">
        <v>25</v>
      </c>
      <c r="AB272" s="84"/>
      <c r="AC272" s="84">
        <f t="shared" si="60"/>
        <v>298</v>
      </c>
      <c r="AD272" s="84">
        <v>-25.5</v>
      </c>
      <c r="AE272" s="23"/>
      <c r="AF272" s="23"/>
      <c r="AG272" s="23"/>
      <c r="AH272" s="23"/>
      <c r="AI272" s="23"/>
      <c r="AJ272" s="23"/>
      <c r="AK272" s="83"/>
      <c r="AL272" s="83" t="s">
        <v>408</v>
      </c>
      <c r="AM272" s="86">
        <v>170</v>
      </c>
      <c r="AN272" s="85">
        <f t="shared" si="53"/>
        <v>28.644494369299736</v>
      </c>
      <c r="AO272" s="85">
        <v>34</v>
      </c>
      <c r="AP272" s="87">
        <f t="shared" si="61"/>
        <v>2.9301183151799796E-2</v>
      </c>
      <c r="AQ272" s="88">
        <f t="shared" si="62"/>
        <v>977.58831856386234</v>
      </c>
    </row>
    <row r="273" spans="1:43" x14ac:dyDescent="0.25">
      <c r="A273" s="76">
        <v>19854</v>
      </c>
      <c r="B273" s="3">
        <v>378</v>
      </c>
      <c r="C273" s="8">
        <f t="shared" si="55"/>
        <v>3</v>
      </c>
      <c r="D273" s="8">
        <f t="shared" si="56"/>
        <v>4</v>
      </c>
      <c r="E273" s="3">
        <v>375</v>
      </c>
      <c r="F273" s="3">
        <v>382</v>
      </c>
      <c r="G273" s="3">
        <f t="shared" si="63"/>
        <v>4</v>
      </c>
      <c r="H273" s="4" t="s">
        <v>232</v>
      </c>
      <c r="I273" s="4">
        <v>30.9</v>
      </c>
      <c r="J273" s="4" t="s">
        <v>208</v>
      </c>
      <c r="K273" s="4"/>
      <c r="L273" s="4" t="s">
        <v>610</v>
      </c>
      <c r="M273" s="86" t="s">
        <v>4</v>
      </c>
      <c r="N273" s="4" t="str">
        <f t="shared" si="64"/>
        <v>marine sediment</v>
      </c>
      <c r="O273" s="86" t="s">
        <v>27</v>
      </c>
      <c r="P273" s="5">
        <v>-31.2</v>
      </c>
      <c r="Q273" s="4" t="s">
        <v>207</v>
      </c>
      <c r="S273" s="84">
        <f t="shared" si="65"/>
        <v>-27.7</v>
      </c>
      <c r="T273" s="5">
        <v>0.8</v>
      </c>
      <c r="U273" s="4" t="s">
        <v>409</v>
      </c>
      <c r="V273" s="88">
        <f t="shared" si="57"/>
        <v>-8.657408637873754</v>
      </c>
      <c r="W273" s="88">
        <f t="shared" si="58"/>
        <v>-8.8574086378737533</v>
      </c>
      <c r="X273" s="88">
        <f t="shared" si="59"/>
        <v>19.379400763268826</v>
      </c>
      <c r="Y273" s="88">
        <v>28</v>
      </c>
      <c r="AB273" s="84"/>
      <c r="AC273" s="84">
        <f t="shared" si="60"/>
        <v>301</v>
      </c>
      <c r="AD273" s="84">
        <v>-16.8</v>
      </c>
      <c r="AE273" s="23"/>
      <c r="AF273" s="23"/>
      <c r="AG273" s="23"/>
      <c r="AH273" s="23"/>
      <c r="AI273" s="23"/>
      <c r="AJ273" s="23"/>
      <c r="AK273" s="83"/>
      <c r="AL273" s="83" t="s">
        <v>408</v>
      </c>
      <c r="AM273" s="86">
        <v>170</v>
      </c>
      <c r="AN273" s="85">
        <f t="shared" si="53"/>
        <v>23.874395166500236</v>
      </c>
      <c r="AO273" s="85">
        <v>34</v>
      </c>
      <c r="AP273" s="87">
        <f t="shared" si="61"/>
        <v>2.7186837070105174E-2</v>
      </c>
      <c r="AQ273" s="88">
        <f t="shared" si="62"/>
        <v>878.16008551994003</v>
      </c>
    </row>
    <row r="274" spans="1:43" x14ac:dyDescent="0.25">
      <c r="A274" s="76">
        <v>19855</v>
      </c>
      <c r="B274" s="3">
        <v>379</v>
      </c>
      <c r="C274" s="8">
        <f t="shared" si="55"/>
        <v>2</v>
      </c>
      <c r="D274" s="8">
        <f t="shared" si="56"/>
        <v>0</v>
      </c>
      <c r="E274" s="3">
        <v>377</v>
      </c>
      <c r="F274" s="3">
        <v>379</v>
      </c>
      <c r="G274" s="3">
        <f t="shared" si="63"/>
        <v>2</v>
      </c>
      <c r="H274" s="4" t="s">
        <v>446</v>
      </c>
      <c r="I274" s="4" t="s">
        <v>24</v>
      </c>
      <c r="J274" s="4" t="s">
        <v>23</v>
      </c>
      <c r="K274" s="4"/>
      <c r="L274" s="4" t="s">
        <v>609</v>
      </c>
      <c r="M274" s="86" t="s">
        <v>4</v>
      </c>
      <c r="N274" s="4" t="str">
        <f t="shared" si="64"/>
        <v>marine sediment</v>
      </c>
      <c r="O274" s="86" t="s">
        <v>0</v>
      </c>
      <c r="P274" s="5">
        <v>-33.1</v>
      </c>
      <c r="Q274" s="4" t="s">
        <v>22</v>
      </c>
      <c r="S274" s="84">
        <f t="shared" si="65"/>
        <v>-29.6</v>
      </c>
      <c r="T274" s="5">
        <v>0.65</v>
      </c>
      <c r="U274" s="4" t="s">
        <v>2</v>
      </c>
      <c r="V274" s="88">
        <f t="shared" si="57"/>
        <v>-8.9873825503355711</v>
      </c>
      <c r="W274" s="88">
        <f t="shared" si="58"/>
        <v>-9.3373825503355707</v>
      </c>
      <c r="X274" s="88">
        <f t="shared" si="59"/>
        <v>20.880685747799443</v>
      </c>
      <c r="Y274" s="88">
        <v>25</v>
      </c>
      <c r="AB274" s="84"/>
      <c r="AC274" s="84">
        <f t="shared" si="60"/>
        <v>298</v>
      </c>
      <c r="AD274" s="84">
        <v>-25.5</v>
      </c>
      <c r="AE274" s="23"/>
      <c r="AF274" s="23"/>
      <c r="AG274" s="23"/>
      <c r="AH274" s="23"/>
      <c r="AI274" s="23"/>
      <c r="AJ274" s="23"/>
      <c r="AK274" s="83"/>
      <c r="AL274" s="83" t="s">
        <v>408</v>
      </c>
      <c r="AM274" s="86">
        <v>170</v>
      </c>
      <c r="AN274" s="85">
        <f t="shared" si="53"/>
        <v>30.252801742388229</v>
      </c>
      <c r="AO274" s="85">
        <v>34</v>
      </c>
      <c r="AP274" s="87">
        <f t="shared" si="61"/>
        <v>2.9301183151799796E-2</v>
      </c>
      <c r="AQ274" s="88">
        <f t="shared" si="62"/>
        <v>1032.477138744139</v>
      </c>
    </row>
    <row r="275" spans="1:43" ht="13.2" customHeight="1" x14ac:dyDescent="0.25">
      <c r="A275" s="76">
        <v>19856</v>
      </c>
      <c r="B275" s="3">
        <v>379</v>
      </c>
      <c r="C275" s="8">
        <f t="shared" si="55"/>
        <v>2</v>
      </c>
      <c r="D275" s="8">
        <f t="shared" si="56"/>
        <v>0</v>
      </c>
      <c r="E275" s="3">
        <v>377</v>
      </c>
      <c r="F275" s="3">
        <v>379</v>
      </c>
      <c r="G275" s="3">
        <f t="shared" si="63"/>
        <v>2</v>
      </c>
      <c r="H275" s="4" t="s">
        <v>446</v>
      </c>
      <c r="I275" s="4" t="s">
        <v>24</v>
      </c>
      <c r="J275" s="4" t="s">
        <v>23</v>
      </c>
      <c r="K275" s="4"/>
      <c r="L275" s="4" t="s">
        <v>609</v>
      </c>
      <c r="M275" s="86" t="s">
        <v>4</v>
      </c>
      <c r="N275" s="4" t="str">
        <f t="shared" si="64"/>
        <v>marine sediment</v>
      </c>
      <c r="O275" s="86" t="s">
        <v>0</v>
      </c>
      <c r="P275" s="5">
        <v>-32.5</v>
      </c>
      <c r="Q275" s="4" t="s">
        <v>22</v>
      </c>
      <c r="S275" s="84">
        <f t="shared" si="65"/>
        <v>-29</v>
      </c>
      <c r="T275" s="5">
        <v>0.65</v>
      </c>
      <c r="U275" s="4" t="s">
        <v>2</v>
      </c>
      <c r="V275" s="88">
        <f t="shared" si="57"/>
        <v>-8.9873825503355711</v>
      </c>
      <c r="W275" s="88">
        <f t="shared" si="58"/>
        <v>-9.3373825503355707</v>
      </c>
      <c r="X275" s="88">
        <f t="shared" si="59"/>
        <v>20.249863490900523</v>
      </c>
      <c r="Y275" s="88">
        <v>25</v>
      </c>
      <c r="AB275" s="84"/>
      <c r="AC275" s="84">
        <f t="shared" si="60"/>
        <v>298</v>
      </c>
      <c r="AD275" s="84">
        <v>-25.5</v>
      </c>
      <c r="AE275" s="23"/>
      <c r="AF275" s="23"/>
      <c r="AG275" s="23"/>
      <c r="AH275" s="23"/>
      <c r="AI275" s="23"/>
      <c r="AJ275" s="23"/>
      <c r="AK275" s="83"/>
      <c r="AL275" s="83" t="s">
        <v>408</v>
      </c>
      <c r="AM275" s="86">
        <v>170</v>
      </c>
      <c r="AN275" s="85">
        <f t="shared" si="53"/>
        <v>27.199405925374531</v>
      </c>
      <c r="AO275" s="85">
        <v>34</v>
      </c>
      <c r="AP275" s="87">
        <f t="shared" si="61"/>
        <v>2.9301183151799796E-2</v>
      </c>
      <c r="AQ275" s="88">
        <f t="shared" si="62"/>
        <v>928.2698853648111</v>
      </c>
    </row>
    <row r="276" spans="1:43" ht="14.4" customHeight="1" x14ac:dyDescent="0.25">
      <c r="A276" s="76">
        <v>19857</v>
      </c>
      <c r="B276" s="3">
        <v>379</v>
      </c>
      <c r="C276" s="8">
        <f t="shared" si="55"/>
        <v>6.8000000000000114</v>
      </c>
      <c r="D276" s="8">
        <f t="shared" si="56"/>
        <v>3.6999999999999886</v>
      </c>
      <c r="E276" s="3">
        <v>372.2</v>
      </c>
      <c r="F276" s="3">
        <v>382.7</v>
      </c>
      <c r="G276" s="3">
        <f t="shared" si="63"/>
        <v>6.8000000000000114</v>
      </c>
      <c r="H276" s="4" t="s">
        <v>446</v>
      </c>
      <c r="I276" s="4" t="s">
        <v>24</v>
      </c>
      <c r="J276" s="4" t="s">
        <v>23</v>
      </c>
      <c r="K276" s="4"/>
      <c r="L276" s="4" t="s">
        <v>609</v>
      </c>
      <c r="M276" s="86" t="s">
        <v>4</v>
      </c>
      <c r="N276" s="4" t="str">
        <f t="shared" si="64"/>
        <v>marine sediment</v>
      </c>
      <c r="O276" s="86" t="s">
        <v>0</v>
      </c>
      <c r="P276" s="5">
        <v>-32.5</v>
      </c>
      <c r="Q276" s="4" t="s">
        <v>22</v>
      </c>
      <c r="S276" s="84">
        <f t="shared" si="65"/>
        <v>-29</v>
      </c>
      <c r="T276" s="5">
        <v>0.7</v>
      </c>
      <c r="U276" s="4" t="s">
        <v>2</v>
      </c>
      <c r="V276" s="88">
        <f t="shared" si="57"/>
        <v>-8.9873825503355711</v>
      </c>
      <c r="W276" s="88">
        <f t="shared" si="58"/>
        <v>-9.2873825503355718</v>
      </c>
      <c r="X276" s="88">
        <f t="shared" si="59"/>
        <v>20.301356796770698</v>
      </c>
      <c r="Y276" s="88">
        <v>25</v>
      </c>
      <c r="AB276" s="84"/>
      <c r="AC276" s="84">
        <f t="shared" si="60"/>
        <v>298</v>
      </c>
      <c r="AD276" s="84">
        <v>-25.5</v>
      </c>
      <c r="AE276" s="23"/>
      <c r="AF276" s="23"/>
      <c r="AG276" s="23"/>
      <c r="AH276" s="23"/>
      <c r="AI276" s="23"/>
      <c r="AJ276" s="23"/>
      <c r="AK276" s="83"/>
      <c r="AL276" s="83" t="s">
        <v>408</v>
      </c>
      <c r="AM276" s="86">
        <v>170</v>
      </c>
      <c r="AN276" s="85">
        <f t="shared" si="53"/>
        <v>27.425356554065772</v>
      </c>
      <c r="AO276" s="85">
        <v>34</v>
      </c>
      <c r="AP276" s="87">
        <f t="shared" si="61"/>
        <v>2.9301183151799796E-2</v>
      </c>
      <c r="AQ276" s="88">
        <f t="shared" si="62"/>
        <v>935.98119952986258</v>
      </c>
    </row>
    <row r="277" spans="1:43" ht="14.4" customHeight="1" x14ac:dyDescent="0.25">
      <c r="A277" s="76">
        <v>19858</v>
      </c>
      <c r="B277" s="24">
        <v>379</v>
      </c>
      <c r="C277" s="8">
        <f t="shared" si="55"/>
        <v>4</v>
      </c>
      <c r="D277" s="8">
        <f t="shared" si="56"/>
        <v>3</v>
      </c>
      <c r="E277" s="3">
        <v>375</v>
      </c>
      <c r="F277" s="3">
        <v>382</v>
      </c>
      <c r="G277" s="3">
        <f t="shared" si="63"/>
        <v>4</v>
      </c>
      <c r="H277" s="4" t="s">
        <v>232</v>
      </c>
      <c r="I277" s="28">
        <v>285014</v>
      </c>
      <c r="J277" s="29" t="s">
        <v>217</v>
      </c>
      <c r="K277" s="29"/>
      <c r="L277" s="29" t="s">
        <v>217</v>
      </c>
      <c r="M277" s="96" t="s">
        <v>1</v>
      </c>
      <c r="N277" s="4" t="str">
        <f t="shared" si="64"/>
        <v>marine oil</v>
      </c>
      <c r="O277" s="96" t="s">
        <v>0</v>
      </c>
      <c r="P277" s="30">
        <f>AVERAGE(-29.9,-29.59,-30.66,-30.79,-29.73,-29.7)</f>
        <v>-30.061666666666664</v>
      </c>
      <c r="Q277" s="25" t="s">
        <v>293</v>
      </c>
      <c r="R277" s="25"/>
      <c r="S277" s="84">
        <f t="shared" si="65"/>
        <v>-26.561666666666664</v>
      </c>
      <c r="T277" s="5">
        <v>2</v>
      </c>
      <c r="U277" s="4" t="s">
        <v>409</v>
      </c>
      <c r="V277" s="88">
        <f t="shared" si="57"/>
        <v>-8.44105610561056</v>
      </c>
      <c r="W277" s="88">
        <f t="shared" si="58"/>
        <v>-7.44105610561056</v>
      </c>
      <c r="X277" s="88">
        <f t="shared" si="59"/>
        <v>19.642343953706344</v>
      </c>
      <c r="Y277" s="88">
        <v>30</v>
      </c>
      <c r="AB277" s="84"/>
      <c r="AC277" s="84">
        <f t="shared" si="60"/>
        <v>303</v>
      </c>
      <c r="AD277" s="84"/>
      <c r="AE277" s="5"/>
      <c r="AF277" s="5"/>
      <c r="AG277" s="5"/>
      <c r="AH277" s="5"/>
      <c r="AI277" s="5"/>
      <c r="AJ277" s="5"/>
      <c r="AK277" s="83"/>
      <c r="AL277" s="83" t="s">
        <v>408</v>
      </c>
      <c r="AM277" s="86">
        <v>170</v>
      </c>
      <c r="AN277" s="85">
        <f t="shared" si="53"/>
        <v>24.78981139508733</v>
      </c>
      <c r="AO277" s="85">
        <v>34</v>
      </c>
      <c r="AP277" s="87">
        <f t="shared" si="61"/>
        <v>2.5921477953569454E-2</v>
      </c>
      <c r="AQ277" s="88">
        <f t="shared" si="62"/>
        <v>956.34251409162835</v>
      </c>
    </row>
    <row r="278" spans="1:43" ht="14.4" customHeight="1" x14ac:dyDescent="0.25">
      <c r="A278" s="76">
        <v>19859</v>
      </c>
      <c r="B278" s="3">
        <v>379</v>
      </c>
      <c r="C278" s="8">
        <f t="shared" si="55"/>
        <v>4</v>
      </c>
      <c r="D278" s="8">
        <f t="shared" si="56"/>
        <v>3</v>
      </c>
      <c r="E278" s="3">
        <v>375</v>
      </c>
      <c r="F278" s="3">
        <v>382</v>
      </c>
      <c r="G278" s="3">
        <f t="shared" si="63"/>
        <v>4</v>
      </c>
      <c r="H278" s="4" t="s">
        <v>232</v>
      </c>
      <c r="I278" s="4">
        <v>31.9</v>
      </c>
      <c r="J278" s="4" t="s">
        <v>208</v>
      </c>
      <c r="K278" s="4"/>
      <c r="L278" s="4" t="s">
        <v>610</v>
      </c>
      <c r="M278" s="86" t="s">
        <v>4</v>
      </c>
      <c r="N278" s="4" t="str">
        <f t="shared" si="64"/>
        <v>marine sediment</v>
      </c>
      <c r="O278" s="86" t="s">
        <v>27</v>
      </c>
      <c r="P278" s="5">
        <v>-31.7</v>
      </c>
      <c r="Q278" s="4" t="s">
        <v>207</v>
      </c>
      <c r="S278" s="84">
        <f t="shared" si="65"/>
        <v>-28.2</v>
      </c>
      <c r="T278" s="5">
        <v>0.8</v>
      </c>
      <c r="U278" s="4" t="s">
        <v>409</v>
      </c>
      <c r="V278" s="88">
        <f t="shared" si="57"/>
        <v>-8.657408637873754</v>
      </c>
      <c r="W278" s="88">
        <f t="shared" si="58"/>
        <v>-8.8574086378737533</v>
      </c>
      <c r="X278" s="88">
        <f t="shared" si="59"/>
        <v>19.903880800706155</v>
      </c>
      <c r="Y278" s="88">
        <v>28</v>
      </c>
      <c r="AB278" s="84"/>
      <c r="AC278" s="84">
        <f t="shared" si="60"/>
        <v>301</v>
      </c>
      <c r="AD278" s="84">
        <v>-16.8</v>
      </c>
      <c r="AE278" s="23"/>
      <c r="AF278" s="23"/>
      <c r="AG278" s="23"/>
      <c r="AH278" s="23"/>
      <c r="AI278" s="23"/>
      <c r="AJ278" s="23"/>
      <c r="AK278" s="83"/>
      <c r="AL278" s="83" t="s">
        <v>408</v>
      </c>
      <c r="AM278" s="86">
        <v>170</v>
      </c>
      <c r="AN278" s="85">
        <f t="shared" si="53"/>
        <v>25.772730125647143</v>
      </c>
      <c r="AO278" s="85">
        <v>34</v>
      </c>
      <c r="AP278" s="87">
        <f t="shared" si="61"/>
        <v>2.7186837070105174E-2</v>
      </c>
      <c r="AQ278" s="88">
        <f t="shared" si="62"/>
        <v>947.98560270870962</v>
      </c>
    </row>
    <row r="279" spans="1:43" ht="14.4" customHeight="1" x14ac:dyDescent="0.25">
      <c r="A279" s="76">
        <v>19860</v>
      </c>
      <c r="B279" s="3">
        <v>379</v>
      </c>
      <c r="C279" s="8">
        <f t="shared" si="55"/>
        <v>4</v>
      </c>
      <c r="D279" s="8">
        <f t="shared" si="56"/>
        <v>3</v>
      </c>
      <c r="E279" s="3">
        <v>375</v>
      </c>
      <c r="F279" s="3">
        <v>382</v>
      </c>
      <c r="G279" s="3">
        <f t="shared" si="63"/>
        <v>4</v>
      </c>
      <c r="H279" s="4" t="s">
        <v>232</v>
      </c>
      <c r="I279" s="4">
        <v>33.200000000000003</v>
      </c>
      <c r="J279" s="4" t="s">
        <v>208</v>
      </c>
      <c r="K279" s="4"/>
      <c r="L279" s="4" t="s">
        <v>610</v>
      </c>
      <c r="M279" s="86" t="s">
        <v>4</v>
      </c>
      <c r="N279" s="4" t="str">
        <f t="shared" si="64"/>
        <v>marine sediment</v>
      </c>
      <c r="O279" s="86" t="s">
        <v>27</v>
      </c>
      <c r="P279" s="5">
        <v>-32</v>
      </c>
      <c r="Q279" s="4" t="s">
        <v>207</v>
      </c>
      <c r="S279" s="84">
        <f t="shared" si="65"/>
        <v>-28.5</v>
      </c>
      <c r="T279" s="5">
        <v>0.8</v>
      </c>
      <c r="U279" s="4" t="s">
        <v>409</v>
      </c>
      <c r="V279" s="88">
        <f t="shared" si="57"/>
        <v>-8.657408637873754</v>
      </c>
      <c r="W279" s="88">
        <f t="shared" si="58"/>
        <v>-8.8574086378737533</v>
      </c>
      <c r="X279" s="88">
        <f t="shared" si="59"/>
        <v>20.218827958956574</v>
      </c>
      <c r="Y279" s="88">
        <v>28</v>
      </c>
      <c r="AB279" s="84"/>
      <c r="AC279" s="84">
        <f t="shared" si="60"/>
        <v>301</v>
      </c>
      <c r="AD279" s="84">
        <v>-16.8</v>
      </c>
      <c r="AE279" s="23"/>
      <c r="AF279" s="23"/>
      <c r="AG279" s="23"/>
      <c r="AH279" s="23"/>
      <c r="AI279" s="23"/>
      <c r="AJ279" s="23"/>
      <c r="AK279" s="83"/>
      <c r="AL279" s="83" t="s">
        <v>408</v>
      </c>
      <c r="AM279" s="86">
        <v>170</v>
      </c>
      <c r="AN279" s="85">
        <f t="shared" si="53"/>
        <v>27.065012530967017</v>
      </c>
      <c r="AO279" s="85">
        <v>34</v>
      </c>
      <c r="AP279" s="87">
        <f t="shared" si="61"/>
        <v>2.7186837070105174E-2</v>
      </c>
      <c r="AQ279" s="88">
        <f t="shared" si="62"/>
        <v>995.51898814768288</v>
      </c>
    </row>
    <row r="280" spans="1:43" ht="14.4" customHeight="1" x14ac:dyDescent="0.25">
      <c r="A280" s="76">
        <v>19861</v>
      </c>
      <c r="B280" s="3">
        <v>380</v>
      </c>
      <c r="C280" s="8">
        <f t="shared" si="55"/>
        <v>5</v>
      </c>
      <c r="D280" s="8">
        <f t="shared" si="56"/>
        <v>2</v>
      </c>
      <c r="E280" s="3">
        <v>375</v>
      </c>
      <c r="F280" s="3">
        <v>382</v>
      </c>
      <c r="G280" s="3">
        <f t="shared" si="63"/>
        <v>5</v>
      </c>
      <c r="H280" s="4" t="s">
        <v>232</v>
      </c>
      <c r="I280" s="4">
        <v>33.4</v>
      </c>
      <c r="J280" s="4" t="s">
        <v>208</v>
      </c>
      <c r="K280" s="4"/>
      <c r="L280" s="4" t="s">
        <v>610</v>
      </c>
      <c r="M280" s="86" t="s">
        <v>4</v>
      </c>
      <c r="N280" s="4" t="str">
        <f t="shared" si="64"/>
        <v>marine sediment</v>
      </c>
      <c r="O280" s="86" t="s">
        <v>27</v>
      </c>
      <c r="P280" s="5">
        <v>-31.4</v>
      </c>
      <c r="Q280" s="4" t="s">
        <v>207</v>
      </c>
      <c r="S280" s="84">
        <f t="shared" si="65"/>
        <v>-27.9</v>
      </c>
      <c r="T280" s="5">
        <v>1.1000000000000001</v>
      </c>
      <c r="U280" s="4" t="s">
        <v>409</v>
      </c>
      <c r="V280" s="88">
        <f t="shared" si="57"/>
        <v>-8.9873825503355711</v>
      </c>
      <c r="W280" s="88">
        <f t="shared" si="58"/>
        <v>-8.8873825503355715</v>
      </c>
      <c r="X280" s="88">
        <f t="shared" si="59"/>
        <v>19.55829384802432</v>
      </c>
      <c r="Y280" s="88">
        <v>25</v>
      </c>
      <c r="AB280" s="84"/>
      <c r="AC280" s="84">
        <f t="shared" si="60"/>
        <v>298</v>
      </c>
      <c r="AD280" s="84">
        <v>-16.8</v>
      </c>
      <c r="AE280" s="23"/>
      <c r="AF280" s="23"/>
      <c r="AG280" s="23"/>
      <c r="AH280" s="23"/>
      <c r="AI280" s="23"/>
      <c r="AJ280" s="23"/>
      <c r="AK280" s="83"/>
      <c r="AL280" s="83" t="s">
        <v>408</v>
      </c>
      <c r="AM280" s="86">
        <v>170</v>
      </c>
      <c r="AN280" s="85">
        <f t="shared" si="53"/>
        <v>24.489656617287995</v>
      </c>
      <c r="AO280" s="85">
        <v>34</v>
      </c>
      <c r="AP280" s="87">
        <f t="shared" si="61"/>
        <v>2.9301183151799796E-2</v>
      </c>
      <c r="AQ280" s="88">
        <f t="shared" si="62"/>
        <v>835.79070819137701</v>
      </c>
    </row>
    <row r="281" spans="1:43" ht="14.4" customHeight="1" x14ac:dyDescent="0.25">
      <c r="A281" s="76">
        <v>19862</v>
      </c>
      <c r="B281" s="3">
        <v>383</v>
      </c>
      <c r="C281" s="8">
        <f t="shared" si="55"/>
        <v>3</v>
      </c>
      <c r="D281" s="8">
        <f t="shared" si="56"/>
        <v>2</v>
      </c>
      <c r="E281" s="3">
        <v>380</v>
      </c>
      <c r="F281" s="3">
        <v>385</v>
      </c>
      <c r="G281" s="3">
        <f t="shared" si="63"/>
        <v>3</v>
      </c>
      <c r="H281" s="4" t="s">
        <v>209</v>
      </c>
      <c r="I281" s="4">
        <v>40.200000000000003</v>
      </c>
      <c r="J281" s="4" t="s">
        <v>208</v>
      </c>
      <c r="K281" s="4"/>
      <c r="L281" s="4" t="s">
        <v>610</v>
      </c>
      <c r="M281" s="86" t="s">
        <v>4</v>
      </c>
      <c r="N281" s="4" t="str">
        <f t="shared" si="64"/>
        <v>marine sediment</v>
      </c>
      <c r="O281" s="86" t="s">
        <v>27</v>
      </c>
      <c r="P281" s="5">
        <v>-33.5</v>
      </c>
      <c r="Q281" s="4" t="s">
        <v>207</v>
      </c>
      <c r="S281" s="84">
        <f t="shared" si="65"/>
        <v>-30</v>
      </c>
      <c r="T281" s="5">
        <v>1.6</v>
      </c>
      <c r="U281" s="4" t="s">
        <v>409</v>
      </c>
      <c r="V281" s="88">
        <f t="shared" si="57"/>
        <v>-9.2110810810810797</v>
      </c>
      <c r="W281" s="88">
        <f t="shared" si="58"/>
        <v>-8.6110810810810801</v>
      </c>
      <c r="X281" s="88">
        <f t="shared" si="59"/>
        <v>22.050431875174191</v>
      </c>
      <c r="Y281" s="88">
        <v>23</v>
      </c>
      <c r="AB281" s="84"/>
      <c r="AC281" s="84">
        <f t="shared" si="60"/>
        <v>296</v>
      </c>
      <c r="AD281" s="84">
        <v>-13.9</v>
      </c>
      <c r="AE281" s="23"/>
      <c r="AF281" s="23"/>
      <c r="AG281" s="23"/>
      <c r="AH281" s="23"/>
      <c r="AI281" s="23"/>
      <c r="AJ281" s="23"/>
      <c r="AK281" s="83"/>
      <c r="AL281" s="83" t="s">
        <v>408</v>
      </c>
      <c r="AM281" s="86">
        <v>170</v>
      </c>
      <c r="AN281" s="85">
        <f t="shared" si="53"/>
        <v>38.205955101913432</v>
      </c>
      <c r="AO281" s="85">
        <v>34</v>
      </c>
      <c r="AP281" s="87">
        <f t="shared" si="61"/>
        <v>3.0873129465195694E-2</v>
      </c>
      <c r="AQ281" s="88">
        <f t="shared" si="62"/>
        <v>1237.5148151075607</v>
      </c>
    </row>
    <row r="282" spans="1:43" ht="14.4" customHeight="1" x14ac:dyDescent="0.25">
      <c r="A282" s="76">
        <v>19863</v>
      </c>
      <c r="B282" s="3">
        <v>383</v>
      </c>
      <c r="C282" s="8">
        <f t="shared" si="55"/>
        <v>3</v>
      </c>
      <c r="D282" s="8">
        <f t="shared" si="56"/>
        <v>2</v>
      </c>
      <c r="E282" s="3">
        <v>380</v>
      </c>
      <c r="F282" s="3">
        <v>385</v>
      </c>
      <c r="G282" s="3">
        <f t="shared" si="63"/>
        <v>3</v>
      </c>
      <c r="H282" s="4" t="s">
        <v>209</v>
      </c>
      <c r="I282" s="4">
        <v>40.299999999999997</v>
      </c>
      <c r="J282" s="4" t="s">
        <v>208</v>
      </c>
      <c r="K282" s="4"/>
      <c r="L282" s="4" t="s">
        <v>610</v>
      </c>
      <c r="M282" s="86" t="s">
        <v>4</v>
      </c>
      <c r="N282" s="4" t="str">
        <f t="shared" si="64"/>
        <v>marine sediment</v>
      </c>
      <c r="O282" s="86" t="s">
        <v>27</v>
      </c>
      <c r="P282" s="5">
        <v>-33.6</v>
      </c>
      <c r="Q282" s="4" t="s">
        <v>207</v>
      </c>
      <c r="S282" s="84">
        <f t="shared" si="65"/>
        <v>-30.1</v>
      </c>
      <c r="T282" s="5">
        <v>1.6</v>
      </c>
      <c r="U282" s="4" t="s">
        <v>409</v>
      </c>
      <c r="V282" s="88">
        <f t="shared" si="57"/>
        <v>-9.2110810810810797</v>
      </c>
      <c r="W282" s="88">
        <f t="shared" si="58"/>
        <v>-8.6110810810810801</v>
      </c>
      <c r="X282" s="88">
        <f t="shared" si="59"/>
        <v>22.15580876267542</v>
      </c>
      <c r="Y282" s="88">
        <v>23</v>
      </c>
      <c r="AB282" s="84"/>
      <c r="AC282" s="84">
        <f t="shared" si="60"/>
        <v>296</v>
      </c>
      <c r="AD282" s="84">
        <v>-13.9</v>
      </c>
      <c r="AE282" s="23"/>
      <c r="AF282" s="23"/>
      <c r="AG282" s="23"/>
      <c r="AH282" s="23"/>
      <c r="AI282" s="23"/>
      <c r="AJ282" s="23"/>
      <c r="AK282" s="83"/>
      <c r="AL282" s="83" t="s">
        <v>408</v>
      </c>
      <c r="AM282" s="86">
        <v>170</v>
      </c>
      <c r="AN282" s="85">
        <f t="shared" si="53"/>
        <v>39.132715553447056</v>
      </c>
      <c r="AO282" s="85">
        <v>34</v>
      </c>
      <c r="AP282" s="87">
        <f t="shared" si="61"/>
        <v>3.0873129465195694E-2</v>
      </c>
      <c r="AQ282" s="88">
        <f t="shared" si="62"/>
        <v>1267.5331665862598</v>
      </c>
    </row>
    <row r="283" spans="1:43" ht="14.4" customHeight="1" x14ac:dyDescent="0.25">
      <c r="A283" s="76">
        <v>19864</v>
      </c>
      <c r="B283" s="3">
        <v>383</v>
      </c>
      <c r="C283" s="8">
        <f t="shared" si="55"/>
        <v>3</v>
      </c>
      <c r="D283" s="8">
        <f t="shared" si="56"/>
        <v>2</v>
      </c>
      <c r="E283" s="3">
        <v>380</v>
      </c>
      <c r="F283" s="3">
        <v>385</v>
      </c>
      <c r="G283" s="3">
        <f t="shared" si="63"/>
        <v>3</v>
      </c>
      <c r="H283" s="4" t="s">
        <v>209</v>
      </c>
      <c r="I283" s="4">
        <v>40.700000000000003</v>
      </c>
      <c r="J283" s="4" t="s">
        <v>208</v>
      </c>
      <c r="K283" s="4"/>
      <c r="L283" s="4" t="s">
        <v>610</v>
      </c>
      <c r="M283" s="86" t="s">
        <v>4</v>
      </c>
      <c r="N283" s="4" t="str">
        <f t="shared" si="64"/>
        <v>marine sediment</v>
      </c>
      <c r="O283" s="86" t="s">
        <v>27</v>
      </c>
      <c r="P283" s="5">
        <v>-32.9</v>
      </c>
      <c r="Q283" s="4" t="s">
        <v>207</v>
      </c>
      <c r="S283" s="84">
        <f t="shared" si="65"/>
        <v>-29.4</v>
      </c>
      <c r="T283" s="5">
        <v>1.6</v>
      </c>
      <c r="U283" s="4" t="s">
        <v>409</v>
      </c>
      <c r="V283" s="88">
        <f t="shared" si="57"/>
        <v>-9.2110810810810797</v>
      </c>
      <c r="W283" s="88">
        <f t="shared" si="58"/>
        <v>-8.6110810810810801</v>
      </c>
      <c r="X283" s="88">
        <f t="shared" si="59"/>
        <v>21.418626539170482</v>
      </c>
      <c r="Y283" s="88">
        <v>23</v>
      </c>
      <c r="AB283" s="84"/>
      <c r="AC283" s="84">
        <f t="shared" si="60"/>
        <v>296</v>
      </c>
      <c r="AD283" s="84">
        <v>-13.9</v>
      </c>
      <c r="AE283" s="23"/>
      <c r="AF283" s="23"/>
      <c r="AG283" s="23"/>
      <c r="AH283" s="23"/>
      <c r="AI283" s="23"/>
      <c r="AJ283" s="23"/>
      <c r="AK283" s="83"/>
      <c r="AL283" s="83" t="s">
        <v>408</v>
      </c>
      <c r="AM283" s="86">
        <v>170</v>
      </c>
      <c r="AN283" s="85">
        <f t="shared" si="53"/>
        <v>33.455521683353709</v>
      </c>
      <c r="AO283" s="85">
        <v>34</v>
      </c>
      <c r="AP283" s="87">
        <f t="shared" si="61"/>
        <v>3.0873129465195694E-2</v>
      </c>
      <c r="AQ283" s="88">
        <f t="shared" si="62"/>
        <v>1083.6453013637388</v>
      </c>
    </row>
    <row r="284" spans="1:43" ht="14.4" customHeight="1" x14ac:dyDescent="0.25">
      <c r="A284" s="76">
        <v>19865</v>
      </c>
      <c r="B284" s="3">
        <v>383</v>
      </c>
      <c r="C284" s="8">
        <f t="shared" si="55"/>
        <v>3</v>
      </c>
      <c r="D284" s="8">
        <f t="shared" si="56"/>
        <v>2</v>
      </c>
      <c r="E284" s="3">
        <v>380</v>
      </c>
      <c r="F284" s="3">
        <v>385</v>
      </c>
      <c r="G284" s="3">
        <f t="shared" si="63"/>
        <v>3</v>
      </c>
      <c r="H284" s="4" t="s">
        <v>209</v>
      </c>
      <c r="I284" s="4">
        <v>41.2</v>
      </c>
      <c r="J284" s="4" t="s">
        <v>208</v>
      </c>
      <c r="K284" s="4"/>
      <c r="L284" s="4" t="s">
        <v>610</v>
      </c>
      <c r="M284" s="86" t="s">
        <v>4</v>
      </c>
      <c r="N284" s="4" t="str">
        <f t="shared" si="64"/>
        <v>marine sediment</v>
      </c>
      <c r="O284" s="86" t="s">
        <v>27</v>
      </c>
      <c r="P284" s="5">
        <v>-32.6</v>
      </c>
      <c r="Q284" s="4" t="s">
        <v>207</v>
      </c>
      <c r="S284" s="84">
        <f t="shared" si="65"/>
        <v>-29.1</v>
      </c>
      <c r="T284" s="5">
        <v>1.6</v>
      </c>
      <c r="U284" s="4" t="s">
        <v>409</v>
      </c>
      <c r="V284" s="88">
        <f t="shared" si="57"/>
        <v>-9.2110810810810797</v>
      </c>
      <c r="W284" s="88">
        <f t="shared" si="58"/>
        <v>-8.6110810810810801</v>
      </c>
      <c r="X284" s="88">
        <f t="shared" si="59"/>
        <v>21.103016705035451</v>
      </c>
      <c r="Y284" s="88">
        <v>23</v>
      </c>
      <c r="AB284" s="84"/>
      <c r="AC284" s="84">
        <f t="shared" si="60"/>
        <v>296</v>
      </c>
      <c r="AD284" s="84">
        <v>-13.9</v>
      </c>
      <c r="AE284" s="23"/>
      <c r="AF284" s="23"/>
      <c r="AG284" s="23"/>
      <c r="AH284" s="23"/>
      <c r="AI284" s="23"/>
      <c r="AJ284" s="23"/>
      <c r="AK284" s="83"/>
      <c r="AL284" s="83" t="s">
        <v>408</v>
      </c>
      <c r="AM284" s="86">
        <v>170</v>
      </c>
      <c r="AN284" s="85">
        <f t="shared" si="53"/>
        <v>31.499078412677701</v>
      </c>
      <c r="AO284" s="85">
        <v>34</v>
      </c>
      <c r="AP284" s="87">
        <f t="shared" si="61"/>
        <v>3.0873129465195694E-2</v>
      </c>
      <c r="AQ284" s="88">
        <f t="shared" si="62"/>
        <v>1020.2748784566094</v>
      </c>
    </row>
    <row r="285" spans="1:43" ht="14.4" customHeight="1" x14ac:dyDescent="0.25">
      <c r="A285" s="76">
        <v>19866</v>
      </c>
      <c r="B285" s="3">
        <v>383</v>
      </c>
      <c r="C285" s="8">
        <f t="shared" si="55"/>
        <v>3</v>
      </c>
      <c r="D285" s="8">
        <f t="shared" si="56"/>
        <v>2</v>
      </c>
      <c r="E285" s="3">
        <v>380</v>
      </c>
      <c r="F285" s="3">
        <v>385</v>
      </c>
      <c r="G285" s="3">
        <f t="shared" si="63"/>
        <v>3</v>
      </c>
      <c r="H285" s="4" t="s">
        <v>209</v>
      </c>
      <c r="I285" s="4">
        <v>41.9</v>
      </c>
      <c r="J285" s="4" t="s">
        <v>208</v>
      </c>
      <c r="K285" s="4"/>
      <c r="L285" s="4" t="s">
        <v>610</v>
      </c>
      <c r="M285" s="86" t="s">
        <v>4</v>
      </c>
      <c r="N285" s="4" t="str">
        <f t="shared" si="64"/>
        <v>marine sediment</v>
      </c>
      <c r="O285" s="86" t="s">
        <v>27</v>
      </c>
      <c r="P285" s="5">
        <v>-33.9</v>
      </c>
      <c r="Q285" s="4" t="s">
        <v>207</v>
      </c>
      <c r="S285" s="84">
        <f t="shared" si="65"/>
        <v>-30.4</v>
      </c>
      <c r="T285" s="5">
        <v>1.6</v>
      </c>
      <c r="U285" s="4" t="s">
        <v>409</v>
      </c>
      <c r="V285" s="88">
        <f t="shared" si="57"/>
        <v>-9.2110810810810797</v>
      </c>
      <c r="W285" s="88">
        <f t="shared" si="58"/>
        <v>-8.6110810810810801</v>
      </c>
      <c r="X285" s="88">
        <f t="shared" si="59"/>
        <v>22.472069842119247</v>
      </c>
      <c r="Y285" s="88">
        <v>23</v>
      </c>
      <c r="AB285" s="84"/>
      <c r="AC285" s="84">
        <f t="shared" si="60"/>
        <v>296</v>
      </c>
      <c r="AD285" s="84">
        <v>-13.9</v>
      </c>
      <c r="AE285" s="23"/>
      <c r="AF285" s="23"/>
      <c r="AG285" s="23"/>
      <c r="AH285" s="23"/>
      <c r="AI285" s="23"/>
      <c r="AJ285" s="23"/>
      <c r="AK285" s="83"/>
      <c r="AL285" s="83" t="s">
        <v>408</v>
      </c>
      <c r="AM285" s="86">
        <v>170</v>
      </c>
      <c r="AN285" s="85">
        <f t="shared" si="53"/>
        <v>42.205299828099164</v>
      </c>
      <c r="AO285" s="85">
        <v>34</v>
      </c>
      <c r="AP285" s="87">
        <f t="shared" si="61"/>
        <v>3.0873129465195694E-2</v>
      </c>
      <c r="AQ285" s="88">
        <f t="shared" si="62"/>
        <v>1367.0560956795327</v>
      </c>
    </row>
    <row r="286" spans="1:43" x14ac:dyDescent="0.25">
      <c r="A286" s="76">
        <v>19867</v>
      </c>
      <c r="B286" s="24">
        <f>AVERAGE(E286:F286)</f>
        <v>388</v>
      </c>
      <c r="C286" s="8">
        <f t="shared" si="55"/>
        <v>5.3000000000000114</v>
      </c>
      <c r="D286" s="8">
        <f t="shared" si="56"/>
        <v>5.3000000000000114</v>
      </c>
      <c r="E286" s="24">
        <v>382.7</v>
      </c>
      <c r="F286" s="24">
        <v>393.3</v>
      </c>
      <c r="G286" s="3">
        <f t="shared" si="63"/>
        <v>5.3000000000000114</v>
      </c>
      <c r="H286" s="25" t="s">
        <v>223</v>
      </c>
      <c r="I286" s="26">
        <v>271806</v>
      </c>
      <c r="J286" s="25" t="s">
        <v>213</v>
      </c>
      <c r="K286" s="25"/>
      <c r="L286" s="25" t="s">
        <v>607</v>
      </c>
      <c r="M286" s="95" t="s">
        <v>1</v>
      </c>
      <c r="N286" s="4" t="str">
        <f t="shared" si="64"/>
        <v>marine oil</v>
      </c>
      <c r="O286" s="95" t="s">
        <v>0</v>
      </c>
      <c r="P286" s="27">
        <v>-31.363499999999998</v>
      </c>
      <c r="Q286" s="25" t="s">
        <v>293</v>
      </c>
      <c r="R286" s="25"/>
      <c r="S286" s="84">
        <f t="shared" si="65"/>
        <v>-27.863499999999998</v>
      </c>
      <c r="T286" s="5">
        <v>1</v>
      </c>
      <c r="U286" s="4" t="s">
        <v>409</v>
      </c>
      <c r="V286" s="88">
        <f t="shared" si="57"/>
        <v>-9.3240677966101693</v>
      </c>
      <c r="W286" s="88">
        <f t="shared" si="58"/>
        <v>-9.3240677966101693</v>
      </c>
      <c r="X286" s="88">
        <f t="shared" si="59"/>
        <v>19.070811767061493</v>
      </c>
      <c r="Y286" s="88">
        <v>22</v>
      </c>
      <c r="Z286" s="86"/>
      <c r="AB286" s="84"/>
      <c r="AC286" s="84">
        <f t="shared" si="60"/>
        <v>295</v>
      </c>
      <c r="AD286" s="84"/>
      <c r="AE286" s="5"/>
      <c r="AF286" s="5"/>
      <c r="AG286" s="5"/>
      <c r="AH286" s="5"/>
      <c r="AI286" s="5"/>
      <c r="AJ286" s="5"/>
      <c r="AK286" s="83"/>
      <c r="AL286" s="83" t="s">
        <v>408</v>
      </c>
      <c r="AM286" s="86">
        <v>170</v>
      </c>
      <c r="AN286" s="85">
        <f t="shared" si="53"/>
        <v>22.882715401701294</v>
      </c>
      <c r="AO286" s="85">
        <v>34</v>
      </c>
      <c r="AP286" s="87">
        <f t="shared" si="61"/>
        <v>3.1713091748844839E-2</v>
      </c>
      <c r="AQ286" s="88">
        <f t="shared" si="62"/>
        <v>721.55422697109952</v>
      </c>
    </row>
    <row r="287" spans="1:43" x14ac:dyDescent="0.25">
      <c r="A287" s="76">
        <v>19868</v>
      </c>
      <c r="B287" s="24">
        <f>AVERAGE(E287:F287)</f>
        <v>431.5</v>
      </c>
      <c r="C287" s="8">
        <f t="shared" si="55"/>
        <v>12.300000000000011</v>
      </c>
      <c r="D287" s="8">
        <f t="shared" si="56"/>
        <v>12.300000000000011</v>
      </c>
      <c r="E287" s="24">
        <v>419.2</v>
      </c>
      <c r="F287" s="24">
        <v>443.8</v>
      </c>
      <c r="G287" s="3">
        <f t="shared" si="63"/>
        <v>12.300000000000011</v>
      </c>
      <c r="H287" s="25" t="s">
        <v>210</v>
      </c>
      <c r="I287" s="26">
        <v>312307</v>
      </c>
      <c r="J287" s="25" t="s">
        <v>215</v>
      </c>
      <c r="K287" s="25"/>
      <c r="L287" s="25" t="s">
        <v>215</v>
      </c>
      <c r="M287" s="95" t="s">
        <v>1</v>
      </c>
      <c r="N287" s="4" t="str">
        <f t="shared" si="64"/>
        <v>marine oil</v>
      </c>
      <c r="O287" s="95" t="s">
        <v>0</v>
      </c>
      <c r="P287" s="27">
        <v>-31.690666666666701</v>
      </c>
      <c r="Q287" s="25" t="s">
        <v>293</v>
      </c>
      <c r="R287" s="25"/>
      <c r="S287" s="84">
        <f t="shared" si="65"/>
        <v>-28.190666666666701</v>
      </c>
      <c r="T287" s="5">
        <v>1.6</v>
      </c>
      <c r="U287" s="4" t="s">
        <v>410</v>
      </c>
      <c r="V287" s="88">
        <f t="shared" si="57"/>
        <v>-10.546198172874202</v>
      </c>
      <c r="W287" s="88">
        <f t="shared" si="58"/>
        <v>-9.9461981728742028</v>
      </c>
      <c r="X287" s="88">
        <f t="shared" si="59"/>
        <v>18.773711949455539</v>
      </c>
      <c r="Y287" s="88">
        <v>11.6</v>
      </c>
      <c r="Z287" s="86"/>
      <c r="AB287" s="84"/>
      <c r="AC287" s="84">
        <f t="shared" si="60"/>
        <v>284.60000000000002</v>
      </c>
      <c r="AD287" s="84"/>
      <c r="AE287" s="5"/>
      <c r="AF287" s="5"/>
      <c r="AG287" s="5"/>
      <c r="AH287" s="5"/>
      <c r="AI287" s="5"/>
      <c r="AJ287" s="5"/>
      <c r="AK287" s="83" t="s">
        <v>259</v>
      </c>
      <c r="AM287" s="86">
        <v>170</v>
      </c>
      <c r="AN287" s="85">
        <f t="shared" si="53"/>
        <v>22.002803789850979</v>
      </c>
      <c r="AO287" s="85">
        <v>34</v>
      </c>
      <c r="AP287" s="87">
        <f t="shared" si="61"/>
        <v>4.3189637892038397E-2</v>
      </c>
      <c r="AQ287" s="88">
        <f t="shared" si="62"/>
        <v>509.44635944509713</v>
      </c>
    </row>
    <row r="288" spans="1:43" ht="14.4" customHeight="1" x14ac:dyDescent="0.25">
      <c r="A288" s="76">
        <v>19869</v>
      </c>
      <c r="B288" s="24">
        <v>438</v>
      </c>
      <c r="C288" s="8">
        <f t="shared" si="55"/>
        <v>5</v>
      </c>
      <c r="D288" s="8">
        <f t="shared" si="56"/>
        <v>6</v>
      </c>
      <c r="E288" s="24">
        <v>433</v>
      </c>
      <c r="F288" s="24">
        <v>444</v>
      </c>
      <c r="G288" s="3">
        <f t="shared" si="63"/>
        <v>6</v>
      </c>
      <c r="H288" s="25" t="s">
        <v>552</v>
      </c>
      <c r="I288" s="29">
        <v>757868</v>
      </c>
      <c r="J288" s="29" t="s">
        <v>214</v>
      </c>
      <c r="K288" s="29"/>
      <c r="L288" s="29" t="s">
        <v>214</v>
      </c>
      <c r="M288" s="96" t="s">
        <v>1</v>
      </c>
      <c r="N288" s="4" t="str">
        <f t="shared" si="64"/>
        <v>marine oil</v>
      </c>
      <c r="O288" s="96" t="s">
        <v>0</v>
      </c>
      <c r="P288" s="30">
        <f>AVERAGE(-28.57,-29.5,-28.5,-29.3)</f>
        <v>-28.967499999999998</v>
      </c>
      <c r="Q288" s="25" t="s">
        <v>293</v>
      </c>
      <c r="R288" s="25"/>
      <c r="S288" s="84">
        <f t="shared" si="65"/>
        <v>-25.467499999999998</v>
      </c>
      <c r="T288" s="5">
        <v>1.2</v>
      </c>
      <c r="U288" s="4" t="s">
        <v>409</v>
      </c>
      <c r="V288" s="88">
        <f t="shared" si="57"/>
        <v>-8.7666666666666622</v>
      </c>
      <c r="W288" s="88">
        <f t="shared" si="58"/>
        <v>-8.5666666666666629</v>
      </c>
      <c r="X288" s="88">
        <f t="shared" si="59"/>
        <v>17.342503542296718</v>
      </c>
      <c r="Y288" s="88">
        <v>27</v>
      </c>
      <c r="Z288" s="86"/>
      <c r="AB288" s="84"/>
      <c r="AC288" s="84">
        <f t="shared" si="60"/>
        <v>300</v>
      </c>
      <c r="AD288" s="84">
        <v>-42.46</v>
      </c>
      <c r="AE288" s="5"/>
      <c r="AF288" s="5"/>
      <c r="AG288" s="5"/>
      <c r="AH288" s="5"/>
      <c r="AI288" s="5"/>
      <c r="AJ288" s="5"/>
      <c r="AK288" s="83"/>
      <c r="AL288" s="83" t="s">
        <v>411</v>
      </c>
      <c r="AM288" s="86">
        <v>170</v>
      </c>
      <c r="AN288" s="85">
        <f t="shared" si="53"/>
        <v>18.564025744939936</v>
      </c>
      <c r="AO288" s="85">
        <v>34</v>
      </c>
      <c r="AP288" s="87">
        <f t="shared" si="61"/>
        <v>2.7861313375427174E-2</v>
      </c>
      <c r="AQ288" s="88">
        <f t="shared" si="62"/>
        <v>666.30117162074771</v>
      </c>
    </row>
    <row r="289" spans="1:43" ht="14.4" customHeight="1" x14ac:dyDescent="0.25">
      <c r="A289" s="76">
        <v>19870</v>
      </c>
      <c r="B289" s="3">
        <v>450</v>
      </c>
      <c r="C289" s="8">
        <f t="shared" si="55"/>
        <v>6.6000000000000227</v>
      </c>
      <c r="D289" s="8">
        <f t="shared" si="56"/>
        <v>8.3999999999999773</v>
      </c>
      <c r="E289" s="3">
        <v>443.4</v>
      </c>
      <c r="F289" s="3">
        <v>458.4</v>
      </c>
      <c r="G289" s="3">
        <f t="shared" si="63"/>
        <v>8.3999999999999773</v>
      </c>
      <c r="H289" s="4" t="s">
        <v>233</v>
      </c>
      <c r="I289" s="4" t="s">
        <v>20</v>
      </c>
      <c r="J289" s="4" t="s">
        <v>11</v>
      </c>
      <c r="K289" s="4"/>
      <c r="L289" s="4" t="s">
        <v>596</v>
      </c>
      <c r="M289" s="86" t="s">
        <v>4</v>
      </c>
      <c r="N289" s="4" t="str">
        <f t="shared" si="64"/>
        <v>marine sediment</v>
      </c>
      <c r="O289" s="86" t="s">
        <v>0</v>
      </c>
      <c r="P289" s="5">
        <v>-33.9</v>
      </c>
      <c r="Q289" s="4" t="s">
        <v>6</v>
      </c>
      <c r="S289" s="84">
        <f t="shared" si="65"/>
        <v>-30.4</v>
      </c>
      <c r="T289" s="5">
        <v>1</v>
      </c>
      <c r="U289" s="4" t="s">
        <v>410</v>
      </c>
      <c r="V289" s="88">
        <f t="shared" si="57"/>
        <v>-10.458718631711765</v>
      </c>
      <c r="W289" s="88">
        <f t="shared" si="58"/>
        <v>-10.458718631711765</v>
      </c>
      <c r="X289" s="88">
        <f t="shared" si="59"/>
        <v>20.566503061353323</v>
      </c>
      <c r="Y289" s="88">
        <f t="shared" ref="Y289:Y308" si="66">Z289+AA289</f>
        <v>12.32</v>
      </c>
      <c r="Z289" s="88">
        <v>10.15</v>
      </c>
      <c r="AA289" s="88">
        <f t="shared" ref="AA289:AA299" si="67">4.34/2</f>
        <v>2.17</v>
      </c>
      <c r="AB289" s="84" t="s">
        <v>176</v>
      </c>
      <c r="AC289" s="84">
        <f t="shared" si="60"/>
        <v>285.32</v>
      </c>
      <c r="AD289" s="84">
        <v>-10.5</v>
      </c>
      <c r="AE289" s="23" t="s">
        <v>261</v>
      </c>
      <c r="AF289" s="23" t="s">
        <v>582</v>
      </c>
      <c r="AG289" s="23">
        <f>VLOOKUP(A289, 'fixing lats'!A:F, 4, FALSE)</f>
        <v>41.016300000000001</v>
      </c>
      <c r="AH289" s="23" t="s">
        <v>583</v>
      </c>
      <c r="AI289" s="23">
        <f>VLOOKUP(A289, 'fixing lats'!A:F, 6, FALSE)</f>
        <v>-91.011099999999999</v>
      </c>
      <c r="AJ289" s="23" t="s">
        <v>612</v>
      </c>
      <c r="AK289" s="83" t="s">
        <v>190</v>
      </c>
      <c r="AL289" s="83" t="s">
        <v>177</v>
      </c>
      <c r="AM289" s="86">
        <v>170</v>
      </c>
      <c r="AN289" s="85">
        <f t="shared" si="53"/>
        <v>28.650895375497392</v>
      </c>
      <c r="AO289" s="85">
        <v>34</v>
      </c>
      <c r="AP289" s="87">
        <f t="shared" si="61"/>
        <v>4.2199101357315645E-2</v>
      </c>
      <c r="AQ289" s="88">
        <f t="shared" si="62"/>
        <v>678.94562808102228</v>
      </c>
    </row>
    <row r="290" spans="1:43" ht="14.4" customHeight="1" x14ac:dyDescent="0.25">
      <c r="A290" s="76">
        <v>19871</v>
      </c>
      <c r="B290" s="3">
        <v>450</v>
      </c>
      <c r="C290" s="8">
        <f t="shared" si="55"/>
        <v>6.6000000000000227</v>
      </c>
      <c r="D290" s="8">
        <f t="shared" si="56"/>
        <v>8.3999999999999773</v>
      </c>
      <c r="E290" s="3">
        <v>443.4</v>
      </c>
      <c r="F290" s="3">
        <v>458.4</v>
      </c>
      <c r="G290" s="3">
        <f t="shared" si="63"/>
        <v>8.3999999999999773</v>
      </c>
      <c r="H290" s="4" t="s">
        <v>233</v>
      </c>
      <c r="I290" s="4" t="s">
        <v>19</v>
      </c>
      <c r="J290" s="4" t="s">
        <v>11</v>
      </c>
      <c r="K290" s="4"/>
      <c r="L290" s="4" t="s">
        <v>596</v>
      </c>
      <c r="M290" s="86" t="s">
        <v>4</v>
      </c>
      <c r="N290" s="4" t="str">
        <f t="shared" si="64"/>
        <v>marine sediment</v>
      </c>
      <c r="O290" s="86" t="s">
        <v>0</v>
      </c>
      <c r="P290" s="5">
        <v>-33.700000000000003</v>
      </c>
      <c r="Q290" s="4" t="s">
        <v>6</v>
      </c>
      <c r="S290" s="84">
        <f t="shared" si="65"/>
        <v>-30.200000000000003</v>
      </c>
      <c r="T290" s="5">
        <v>1</v>
      </c>
      <c r="U290" s="4" t="s">
        <v>410</v>
      </c>
      <c r="V290" s="88">
        <f t="shared" si="57"/>
        <v>-10.458718631711765</v>
      </c>
      <c r="W290" s="88">
        <f t="shared" si="58"/>
        <v>-10.458718631711765</v>
      </c>
      <c r="X290" s="88">
        <f t="shared" si="59"/>
        <v>20.356033582479061</v>
      </c>
      <c r="Y290" s="88">
        <f t="shared" si="66"/>
        <v>12.32</v>
      </c>
      <c r="Z290" s="88">
        <v>10.15</v>
      </c>
      <c r="AA290" s="88">
        <f t="shared" si="67"/>
        <v>2.17</v>
      </c>
      <c r="AB290" s="84" t="s">
        <v>176</v>
      </c>
      <c r="AC290" s="84">
        <f t="shared" si="60"/>
        <v>285.32</v>
      </c>
      <c r="AD290" s="84">
        <v>-10.5</v>
      </c>
      <c r="AE290" s="23" t="s">
        <v>261</v>
      </c>
      <c r="AF290" s="23" t="s">
        <v>582</v>
      </c>
      <c r="AG290" s="23">
        <f>VLOOKUP(A290, 'fixing lats'!A:F, 4, FALSE)</f>
        <v>41.016300000000001</v>
      </c>
      <c r="AH290" s="23" t="s">
        <v>583</v>
      </c>
      <c r="AI290" s="23">
        <f>VLOOKUP(A290, 'fixing lats'!A:F, 6, FALSE)</f>
        <v>-91.011099999999999</v>
      </c>
      <c r="AJ290" s="23" t="s">
        <v>612</v>
      </c>
      <c r="AK290" s="83" t="s">
        <v>190</v>
      </c>
      <c r="AL290" s="83" t="s">
        <v>177</v>
      </c>
      <c r="AM290" s="86">
        <v>170</v>
      </c>
      <c r="AN290" s="85">
        <f t="shared" si="53"/>
        <v>27.669422071579969</v>
      </c>
      <c r="AO290" s="85">
        <v>34</v>
      </c>
      <c r="AP290" s="87">
        <f t="shared" si="61"/>
        <v>4.2199101357315645E-2</v>
      </c>
      <c r="AQ290" s="88">
        <f t="shared" si="62"/>
        <v>655.68747157178962</v>
      </c>
    </row>
    <row r="291" spans="1:43" ht="14.4" customHeight="1" x14ac:dyDescent="0.25">
      <c r="A291" s="76">
        <v>19872</v>
      </c>
      <c r="B291" s="3">
        <v>450</v>
      </c>
      <c r="C291" s="8">
        <f t="shared" si="55"/>
        <v>6.6000000000000227</v>
      </c>
      <c r="D291" s="8">
        <f t="shared" si="56"/>
        <v>8.3999999999999773</v>
      </c>
      <c r="E291" s="3">
        <v>443.4</v>
      </c>
      <c r="F291" s="3">
        <v>458.4</v>
      </c>
      <c r="G291" s="3">
        <f t="shared" si="63"/>
        <v>8.3999999999999773</v>
      </c>
      <c r="H291" s="4" t="s">
        <v>233</v>
      </c>
      <c r="I291" s="4" t="s">
        <v>16</v>
      </c>
      <c r="J291" s="4" t="s">
        <v>11</v>
      </c>
      <c r="K291" s="4"/>
      <c r="L291" s="4" t="s">
        <v>596</v>
      </c>
      <c r="M291" s="86" t="s">
        <v>4</v>
      </c>
      <c r="N291" s="4" t="str">
        <f t="shared" si="64"/>
        <v>marine sediment</v>
      </c>
      <c r="O291" s="86" t="s">
        <v>0</v>
      </c>
      <c r="P291" s="5">
        <v>-33.700000000000003</v>
      </c>
      <c r="Q291" s="4" t="s">
        <v>6</v>
      </c>
      <c r="S291" s="84">
        <f t="shared" si="65"/>
        <v>-30.200000000000003</v>
      </c>
      <c r="T291" s="5">
        <v>1</v>
      </c>
      <c r="U291" s="4" t="s">
        <v>410</v>
      </c>
      <c r="V291" s="88">
        <f t="shared" si="57"/>
        <v>-10.458718631711765</v>
      </c>
      <c r="W291" s="88">
        <f t="shared" si="58"/>
        <v>-10.458718631711765</v>
      </c>
      <c r="X291" s="88">
        <f t="shared" si="59"/>
        <v>20.356033582479061</v>
      </c>
      <c r="Y291" s="88">
        <f t="shared" si="66"/>
        <v>12.32</v>
      </c>
      <c r="Z291" s="88">
        <v>10.15</v>
      </c>
      <c r="AA291" s="88">
        <f t="shared" si="67"/>
        <v>2.17</v>
      </c>
      <c r="AB291" s="84" t="s">
        <v>176</v>
      </c>
      <c r="AC291" s="84">
        <f t="shared" si="60"/>
        <v>285.32</v>
      </c>
      <c r="AD291" s="84">
        <v>-10.5</v>
      </c>
      <c r="AE291" s="23" t="s">
        <v>261</v>
      </c>
      <c r="AF291" s="23" t="s">
        <v>582</v>
      </c>
      <c r="AG291" s="23">
        <f>VLOOKUP(A291, 'fixing lats'!A:F, 4, FALSE)</f>
        <v>41.016300000000001</v>
      </c>
      <c r="AH291" s="23" t="s">
        <v>583</v>
      </c>
      <c r="AI291" s="23">
        <f>VLOOKUP(A291, 'fixing lats'!A:F, 6, FALSE)</f>
        <v>-91.011099999999999</v>
      </c>
      <c r="AJ291" s="23" t="s">
        <v>612</v>
      </c>
      <c r="AK291" s="83" t="s">
        <v>190</v>
      </c>
      <c r="AL291" s="83" t="s">
        <v>177</v>
      </c>
      <c r="AM291" s="86">
        <v>170</v>
      </c>
      <c r="AN291" s="85">
        <f t="shared" si="53"/>
        <v>27.669422071579969</v>
      </c>
      <c r="AO291" s="85">
        <v>34</v>
      </c>
      <c r="AP291" s="87">
        <f t="shared" si="61"/>
        <v>4.2199101357315645E-2</v>
      </c>
      <c r="AQ291" s="88">
        <f t="shared" si="62"/>
        <v>655.68747157178962</v>
      </c>
    </row>
    <row r="292" spans="1:43" ht="14.4" customHeight="1" x14ac:dyDescent="0.25">
      <c r="A292" s="76">
        <v>19873</v>
      </c>
      <c r="B292" s="3">
        <v>450</v>
      </c>
      <c r="C292" s="8">
        <f t="shared" si="55"/>
        <v>6.6000000000000227</v>
      </c>
      <c r="D292" s="8">
        <f t="shared" si="56"/>
        <v>8.3999999999999773</v>
      </c>
      <c r="E292" s="3">
        <v>443.4</v>
      </c>
      <c r="F292" s="3">
        <v>458.4</v>
      </c>
      <c r="G292" s="3">
        <f t="shared" si="63"/>
        <v>8.3999999999999773</v>
      </c>
      <c r="H292" s="4" t="s">
        <v>233</v>
      </c>
      <c r="I292" s="4" t="s">
        <v>15</v>
      </c>
      <c r="J292" s="4" t="s">
        <v>11</v>
      </c>
      <c r="K292" s="4"/>
      <c r="L292" s="4" t="s">
        <v>596</v>
      </c>
      <c r="M292" s="86" t="s">
        <v>4</v>
      </c>
      <c r="N292" s="4" t="str">
        <f t="shared" si="64"/>
        <v>marine sediment</v>
      </c>
      <c r="O292" s="86" t="s">
        <v>0</v>
      </c>
      <c r="P292" s="5">
        <v>-34.200000000000003</v>
      </c>
      <c r="Q292" s="4" t="s">
        <v>6</v>
      </c>
      <c r="S292" s="84">
        <f t="shared" si="65"/>
        <v>-30.700000000000003</v>
      </c>
      <c r="T292" s="5">
        <v>1</v>
      </c>
      <c r="U292" s="4" t="s">
        <v>410</v>
      </c>
      <c r="V292" s="88">
        <f t="shared" si="57"/>
        <v>-10.458718631711765</v>
      </c>
      <c r="W292" s="88">
        <f t="shared" si="58"/>
        <v>-10.458718631711765</v>
      </c>
      <c r="X292" s="88">
        <f t="shared" si="59"/>
        <v>20.882370131319661</v>
      </c>
      <c r="Y292" s="88">
        <f t="shared" si="66"/>
        <v>12.32</v>
      </c>
      <c r="Z292" s="88">
        <v>10.15</v>
      </c>
      <c r="AA292" s="88">
        <f t="shared" si="67"/>
        <v>2.17</v>
      </c>
      <c r="AB292" s="84" t="s">
        <v>176</v>
      </c>
      <c r="AC292" s="84">
        <f t="shared" si="60"/>
        <v>285.32</v>
      </c>
      <c r="AD292" s="84">
        <v>-10.5</v>
      </c>
      <c r="AE292" s="23" t="s">
        <v>261</v>
      </c>
      <c r="AF292" s="23" t="s">
        <v>582</v>
      </c>
      <c r="AG292" s="23">
        <f>VLOOKUP(A292, 'fixing lats'!A:F, 4, FALSE)</f>
        <v>41.016300000000001</v>
      </c>
      <c r="AH292" s="23" t="s">
        <v>583</v>
      </c>
      <c r="AI292" s="23">
        <f>VLOOKUP(A292, 'fixing lats'!A:F, 6, FALSE)</f>
        <v>-91.011099999999999</v>
      </c>
      <c r="AJ292" s="23" t="s">
        <v>612</v>
      </c>
      <c r="AK292" s="83" t="s">
        <v>190</v>
      </c>
      <c r="AL292" s="83" t="s">
        <v>177</v>
      </c>
      <c r="AM292" s="86">
        <v>170</v>
      </c>
      <c r="AN292" s="85">
        <f t="shared" si="53"/>
        <v>30.261872706813879</v>
      </c>
      <c r="AO292" s="85">
        <v>34</v>
      </c>
      <c r="AP292" s="87">
        <f t="shared" si="61"/>
        <v>4.2199101357315645E-2</v>
      </c>
      <c r="AQ292" s="88">
        <f t="shared" si="62"/>
        <v>717.12125930301772</v>
      </c>
    </row>
    <row r="293" spans="1:43" ht="14.4" customHeight="1" x14ac:dyDescent="0.25">
      <c r="A293" s="76">
        <v>19874</v>
      </c>
      <c r="B293" s="3">
        <v>450</v>
      </c>
      <c r="C293" s="8">
        <f t="shared" si="55"/>
        <v>6.6000000000000227</v>
      </c>
      <c r="D293" s="8">
        <f t="shared" si="56"/>
        <v>8.3999999999999773</v>
      </c>
      <c r="E293" s="3">
        <v>443.4</v>
      </c>
      <c r="F293" s="3">
        <v>458.4</v>
      </c>
      <c r="G293" s="3">
        <f t="shared" si="63"/>
        <v>8.3999999999999773</v>
      </c>
      <c r="H293" s="4" t="s">
        <v>233</v>
      </c>
      <c r="I293" s="4" t="s">
        <v>14</v>
      </c>
      <c r="J293" s="4" t="s">
        <v>11</v>
      </c>
      <c r="K293" s="4"/>
      <c r="L293" s="4" t="s">
        <v>596</v>
      </c>
      <c r="M293" s="86" t="s">
        <v>4</v>
      </c>
      <c r="N293" s="4" t="str">
        <f t="shared" si="64"/>
        <v>marine sediment</v>
      </c>
      <c r="O293" s="86" t="s">
        <v>0</v>
      </c>
      <c r="P293" s="5">
        <v>-32.799999999999997</v>
      </c>
      <c r="Q293" s="4" t="s">
        <v>6</v>
      </c>
      <c r="S293" s="84">
        <f t="shared" si="65"/>
        <v>-29.299999999999997</v>
      </c>
      <c r="T293" s="5">
        <v>1</v>
      </c>
      <c r="U293" s="4" t="s">
        <v>410</v>
      </c>
      <c r="V293" s="88">
        <f t="shared" si="57"/>
        <v>-10.458718631711765</v>
      </c>
      <c r="W293" s="88">
        <f t="shared" si="58"/>
        <v>-10.458718631711765</v>
      </c>
      <c r="X293" s="88">
        <f t="shared" si="59"/>
        <v>19.409994198298364</v>
      </c>
      <c r="Y293" s="88">
        <f t="shared" si="66"/>
        <v>12.32</v>
      </c>
      <c r="Z293" s="88">
        <v>10.15</v>
      </c>
      <c r="AA293" s="88">
        <f t="shared" si="67"/>
        <v>2.17</v>
      </c>
      <c r="AB293" s="84" t="s">
        <v>176</v>
      </c>
      <c r="AC293" s="84">
        <f t="shared" si="60"/>
        <v>285.32</v>
      </c>
      <c r="AD293" s="84">
        <v>-10.5</v>
      </c>
      <c r="AE293" s="23" t="s">
        <v>261</v>
      </c>
      <c r="AF293" s="23" t="s">
        <v>582</v>
      </c>
      <c r="AG293" s="23">
        <f>VLOOKUP(A293, 'fixing lats'!A:F, 4, FALSE)</f>
        <v>41.016300000000001</v>
      </c>
      <c r="AH293" s="23" t="s">
        <v>583</v>
      </c>
      <c r="AI293" s="23">
        <f>VLOOKUP(A293, 'fixing lats'!A:F, 6, FALSE)</f>
        <v>-91.011099999999999</v>
      </c>
      <c r="AJ293" s="23" t="s">
        <v>612</v>
      </c>
      <c r="AK293" s="83" t="s">
        <v>190</v>
      </c>
      <c r="AL293" s="83" t="s">
        <v>177</v>
      </c>
      <c r="AM293" s="86">
        <v>170</v>
      </c>
      <c r="AN293" s="85">
        <f t="shared" si="53"/>
        <v>23.977413383667354</v>
      </c>
      <c r="AO293" s="85">
        <v>34</v>
      </c>
      <c r="AP293" s="87">
        <f t="shared" si="61"/>
        <v>4.2199101357315645E-2</v>
      </c>
      <c r="AQ293" s="88">
        <f t="shared" si="62"/>
        <v>568.19725094716091</v>
      </c>
    </row>
    <row r="294" spans="1:43" ht="14.4" customHeight="1" x14ac:dyDescent="0.25">
      <c r="A294" s="76">
        <v>19875</v>
      </c>
      <c r="B294" s="3">
        <v>450</v>
      </c>
      <c r="C294" s="8">
        <f t="shared" si="55"/>
        <v>6.6000000000000227</v>
      </c>
      <c r="D294" s="8">
        <f t="shared" si="56"/>
        <v>8.3999999999999773</v>
      </c>
      <c r="E294" s="3">
        <v>443.4</v>
      </c>
      <c r="F294" s="3">
        <v>458.4</v>
      </c>
      <c r="G294" s="3">
        <f t="shared" si="63"/>
        <v>8.3999999999999773</v>
      </c>
      <c r="H294" s="4" t="s">
        <v>233</v>
      </c>
      <c r="I294" s="4" t="s">
        <v>13</v>
      </c>
      <c r="J294" s="4" t="s">
        <v>11</v>
      </c>
      <c r="K294" s="4"/>
      <c r="L294" s="4" t="s">
        <v>596</v>
      </c>
      <c r="M294" s="86" t="s">
        <v>4</v>
      </c>
      <c r="N294" s="4" t="str">
        <f t="shared" si="64"/>
        <v>marine sediment</v>
      </c>
      <c r="O294" s="86" t="s">
        <v>0</v>
      </c>
      <c r="P294" s="5">
        <v>-34.200000000000003</v>
      </c>
      <c r="Q294" s="4" t="s">
        <v>6</v>
      </c>
      <c r="S294" s="84">
        <f t="shared" si="65"/>
        <v>-30.700000000000003</v>
      </c>
      <c r="T294" s="5">
        <v>1</v>
      </c>
      <c r="U294" s="4" t="s">
        <v>410</v>
      </c>
      <c r="V294" s="88">
        <f t="shared" si="57"/>
        <v>-10.458718631711765</v>
      </c>
      <c r="W294" s="88">
        <f t="shared" si="58"/>
        <v>-10.458718631711765</v>
      </c>
      <c r="X294" s="88">
        <f t="shared" si="59"/>
        <v>20.882370131319661</v>
      </c>
      <c r="Y294" s="88">
        <f t="shared" si="66"/>
        <v>12.32</v>
      </c>
      <c r="Z294" s="88">
        <v>10.15</v>
      </c>
      <c r="AA294" s="88">
        <f t="shared" si="67"/>
        <v>2.17</v>
      </c>
      <c r="AB294" s="84" t="s">
        <v>176</v>
      </c>
      <c r="AC294" s="84">
        <f t="shared" si="60"/>
        <v>285.32</v>
      </c>
      <c r="AD294" s="84">
        <v>-10.5</v>
      </c>
      <c r="AE294" s="23" t="s">
        <v>261</v>
      </c>
      <c r="AF294" s="23" t="s">
        <v>582</v>
      </c>
      <c r="AG294" s="23">
        <f>VLOOKUP(A294, 'fixing lats'!A:F, 4, FALSE)</f>
        <v>41.016300000000001</v>
      </c>
      <c r="AH294" s="23" t="s">
        <v>583</v>
      </c>
      <c r="AI294" s="23">
        <f>VLOOKUP(A294, 'fixing lats'!A:F, 6, FALSE)</f>
        <v>-91.011099999999999</v>
      </c>
      <c r="AJ294" s="23" t="s">
        <v>612</v>
      </c>
      <c r="AK294" s="83" t="s">
        <v>190</v>
      </c>
      <c r="AL294" s="83" t="s">
        <v>177</v>
      </c>
      <c r="AM294" s="86">
        <v>170</v>
      </c>
      <c r="AN294" s="85">
        <f t="shared" si="53"/>
        <v>30.261872706813879</v>
      </c>
      <c r="AO294" s="85">
        <v>34</v>
      </c>
      <c r="AP294" s="87">
        <f t="shared" si="61"/>
        <v>4.2199101357315645E-2</v>
      </c>
      <c r="AQ294" s="88">
        <f t="shared" si="62"/>
        <v>717.12125930301772</v>
      </c>
    </row>
    <row r="295" spans="1:43" ht="14.4" customHeight="1" x14ac:dyDescent="0.25">
      <c r="A295" s="76">
        <v>19876</v>
      </c>
      <c r="B295" s="3">
        <v>450</v>
      </c>
      <c r="C295" s="8">
        <f t="shared" si="55"/>
        <v>6.6000000000000227</v>
      </c>
      <c r="D295" s="8">
        <f t="shared" si="56"/>
        <v>8.3999999999999773</v>
      </c>
      <c r="E295" s="3">
        <v>443.4</v>
      </c>
      <c r="F295" s="3">
        <v>458.4</v>
      </c>
      <c r="G295" s="3">
        <f t="shared" si="63"/>
        <v>8.3999999999999773</v>
      </c>
      <c r="H295" s="4" t="s">
        <v>233</v>
      </c>
      <c r="I295" s="4" t="s">
        <v>12</v>
      </c>
      <c r="J295" s="4" t="s">
        <v>11</v>
      </c>
      <c r="K295" s="4"/>
      <c r="L295" s="4" t="s">
        <v>596</v>
      </c>
      <c r="M295" s="86" t="s">
        <v>4</v>
      </c>
      <c r="N295" s="4" t="str">
        <f t="shared" si="64"/>
        <v>marine sediment</v>
      </c>
      <c r="O295" s="86" t="s">
        <v>0</v>
      </c>
      <c r="P295" s="5">
        <v>-34</v>
      </c>
      <c r="Q295" s="4" t="s">
        <v>6</v>
      </c>
      <c r="S295" s="84">
        <f t="shared" si="65"/>
        <v>-30.5</v>
      </c>
      <c r="T295" s="5">
        <v>1</v>
      </c>
      <c r="U295" s="4" t="s">
        <v>410</v>
      </c>
      <c r="V295" s="88">
        <f t="shared" si="57"/>
        <v>-10.458718631711765</v>
      </c>
      <c r="W295" s="88">
        <f t="shared" si="58"/>
        <v>-10.458718631711765</v>
      </c>
      <c r="X295" s="88">
        <f t="shared" si="59"/>
        <v>20.671770364402377</v>
      </c>
      <c r="Y295" s="88">
        <f t="shared" si="66"/>
        <v>12.32</v>
      </c>
      <c r="Z295" s="88">
        <v>10.15</v>
      </c>
      <c r="AA295" s="88">
        <f t="shared" si="67"/>
        <v>2.17</v>
      </c>
      <c r="AB295" s="84" t="s">
        <v>176</v>
      </c>
      <c r="AC295" s="84">
        <f t="shared" si="60"/>
        <v>285.32</v>
      </c>
      <c r="AD295" s="84">
        <v>-10.5</v>
      </c>
      <c r="AE295" s="23" t="s">
        <v>261</v>
      </c>
      <c r="AF295" s="23" t="s">
        <v>582</v>
      </c>
      <c r="AG295" s="23">
        <f>VLOOKUP(A295, 'fixing lats'!A:F, 4, FALSE)</f>
        <v>41.016300000000001</v>
      </c>
      <c r="AH295" s="23" t="s">
        <v>583</v>
      </c>
      <c r="AI295" s="23">
        <f>VLOOKUP(A295, 'fixing lats'!A:F, 6, FALSE)</f>
        <v>-91.011099999999999</v>
      </c>
      <c r="AJ295" s="23" t="s">
        <v>612</v>
      </c>
      <c r="AK295" s="83" t="s">
        <v>190</v>
      </c>
      <c r="AL295" s="83" t="s">
        <v>177</v>
      </c>
      <c r="AM295" s="86">
        <v>170</v>
      </c>
      <c r="AN295" s="85">
        <f t="shared" si="53"/>
        <v>29.168377128051908</v>
      </c>
      <c r="AO295" s="85">
        <v>34</v>
      </c>
      <c r="AP295" s="87">
        <f t="shared" si="61"/>
        <v>4.2199101357315645E-2</v>
      </c>
      <c r="AQ295" s="88">
        <f t="shared" si="62"/>
        <v>691.20848998826546</v>
      </c>
    </row>
    <row r="296" spans="1:43" ht="14.4" customHeight="1" x14ac:dyDescent="0.25">
      <c r="A296" s="76">
        <v>19877</v>
      </c>
      <c r="B296" s="3">
        <v>450</v>
      </c>
      <c r="C296" s="8">
        <f t="shared" si="55"/>
        <v>6.6000000000000227</v>
      </c>
      <c r="D296" s="8">
        <f t="shared" si="56"/>
        <v>8.3999999999999773</v>
      </c>
      <c r="E296" s="3">
        <v>443.4</v>
      </c>
      <c r="F296" s="3">
        <v>458.4</v>
      </c>
      <c r="G296" s="3">
        <f t="shared" si="63"/>
        <v>8.3999999999999773</v>
      </c>
      <c r="H296" s="4" t="s">
        <v>233</v>
      </c>
      <c r="I296" s="4" t="s">
        <v>10</v>
      </c>
      <c r="J296" s="4" t="s">
        <v>191</v>
      </c>
      <c r="K296" s="4"/>
      <c r="L296" s="4" t="s">
        <v>596</v>
      </c>
      <c r="M296" s="86" t="s">
        <v>4</v>
      </c>
      <c r="N296" s="4" t="str">
        <f t="shared" si="64"/>
        <v>marine sediment</v>
      </c>
      <c r="O296" s="86" t="s">
        <v>0</v>
      </c>
      <c r="P296" s="5">
        <v>-33.4</v>
      </c>
      <c r="Q296" s="4" t="s">
        <v>6</v>
      </c>
      <c r="S296" s="84">
        <f t="shared" si="65"/>
        <v>-29.9</v>
      </c>
      <c r="T296" s="5">
        <v>1</v>
      </c>
      <c r="U296" s="4" t="s">
        <v>410</v>
      </c>
      <c r="V296" s="88">
        <f t="shared" si="57"/>
        <v>-10.70281519130312</v>
      </c>
      <c r="W296" s="88">
        <f t="shared" si="58"/>
        <v>-10.70281519130312</v>
      </c>
      <c r="X296" s="88">
        <f t="shared" si="59"/>
        <v>19.788872084008702</v>
      </c>
      <c r="Y296" s="88">
        <f t="shared" si="66"/>
        <v>10.32</v>
      </c>
      <c r="Z296" s="88">
        <v>8.15</v>
      </c>
      <c r="AA296" s="88">
        <f t="shared" si="67"/>
        <v>2.17</v>
      </c>
      <c r="AB296" s="84" t="s">
        <v>176</v>
      </c>
      <c r="AC296" s="84">
        <f t="shared" si="60"/>
        <v>283.32</v>
      </c>
      <c r="AD296" s="84">
        <v>-11.1</v>
      </c>
      <c r="AE296" s="23" t="s">
        <v>260</v>
      </c>
      <c r="AF296" s="23" t="s">
        <v>584</v>
      </c>
      <c r="AG296" s="23">
        <f>VLOOKUP(A296, 'fixing lats'!A:F, 4, FALSE)</f>
        <v>42.001100000000001</v>
      </c>
      <c r="AH296" s="23" t="s">
        <v>585</v>
      </c>
      <c r="AI296" s="23">
        <f>VLOOKUP(A296, 'fixing lats'!A:F, 6, FALSE)</f>
        <v>-90.011099999999999</v>
      </c>
      <c r="AJ296" s="23" t="s">
        <v>612</v>
      </c>
      <c r="AK296" s="83" t="s">
        <v>191</v>
      </c>
      <c r="AL296" s="83" t="s">
        <v>177</v>
      </c>
      <c r="AM296" s="86">
        <v>170</v>
      </c>
      <c r="AN296" s="85">
        <f t="shared" si="53"/>
        <v>25.331062397860638</v>
      </c>
      <c r="AO296" s="85">
        <v>34</v>
      </c>
      <c r="AP296" s="87">
        <f t="shared" si="61"/>
        <v>4.5039792871251733E-2</v>
      </c>
      <c r="AQ296" s="88">
        <f t="shared" si="62"/>
        <v>562.41516186077092</v>
      </c>
    </row>
    <row r="297" spans="1:43" ht="14.4" customHeight="1" x14ac:dyDescent="0.25">
      <c r="A297" s="76">
        <v>19878</v>
      </c>
      <c r="B297" s="3">
        <v>450</v>
      </c>
      <c r="C297" s="8">
        <f t="shared" si="55"/>
        <v>6.6000000000000227</v>
      </c>
      <c r="D297" s="8">
        <f t="shared" si="56"/>
        <v>8.3999999999999773</v>
      </c>
      <c r="E297" s="3">
        <v>443.4</v>
      </c>
      <c r="F297" s="3">
        <v>458.4</v>
      </c>
      <c r="G297" s="3">
        <f t="shared" si="63"/>
        <v>8.3999999999999773</v>
      </c>
      <c r="H297" s="4" t="s">
        <v>233</v>
      </c>
      <c r="I297" s="4" t="s">
        <v>9</v>
      </c>
      <c r="J297" s="4" t="s">
        <v>191</v>
      </c>
      <c r="K297" s="4"/>
      <c r="L297" s="4" t="s">
        <v>596</v>
      </c>
      <c r="M297" s="86" t="s">
        <v>4</v>
      </c>
      <c r="N297" s="4" t="str">
        <f t="shared" si="64"/>
        <v>marine sediment</v>
      </c>
      <c r="O297" s="86" t="s">
        <v>0</v>
      </c>
      <c r="P297" s="5">
        <v>-33.799999999999997</v>
      </c>
      <c r="Q297" s="4" t="s">
        <v>6</v>
      </c>
      <c r="S297" s="84">
        <f t="shared" si="65"/>
        <v>-30.299999999999997</v>
      </c>
      <c r="T297" s="5">
        <v>1</v>
      </c>
      <c r="U297" s="4" t="s">
        <v>410</v>
      </c>
      <c r="V297" s="88">
        <f t="shared" si="57"/>
        <v>-10.70281519130312</v>
      </c>
      <c r="W297" s="88">
        <f t="shared" si="58"/>
        <v>-10.70281519130312</v>
      </c>
      <c r="X297" s="88">
        <f t="shared" si="59"/>
        <v>20.209533679175884</v>
      </c>
      <c r="Y297" s="88">
        <f t="shared" si="66"/>
        <v>10.32</v>
      </c>
      <c r="Z297" s="88">
        <v>8.15</v>
      </c>
      <c r="AA297" s="88">
        <f t="shared" si="67"/>
        <v>2.17</v>
      </c>
      <c r="AB297" s="84" t="s">
        <v>176</v>
      </c>
      <c r="AC297" s="84">
        <f t="shared" si="60"/>
        <v>283.32</v>
      </c>
      <c r="AD297" s="84">
        <v>-11.1</v>
      </c>
      <c r="AE297" s="23" t="s">
        <v>260</v>
      </c>
      <c r="AF297" s="23" t="s">
        <v>584</v>
      </c>
      <c r="AG297" s="23">
        <f>VLOOKUP(A297, 'fixing lats'!A:F, 4, FALSE)</f>
        <v>42.001100000000001</v>
      </c>
      <c r="AH297" s="23" t="s">
        <v>585</v>
      </c>
      <c r="AI297" s="23">
        <f>VLOOKUP(A297, 'fixing lats'!A:F, 6, FALSE)</f>
        <v>-90.011099999999999</v>
      </c>
      <c r="AJ297" s="23" t="s">
        <v>612</v>
      </c>
      <c r="AK297" s="83" t="s">
        <v>191</v>
      </c>
      <c r="AL297" s="83" t="s">
        <v>177</v>
      </c>
      <c r="AM297" s="86">
        <v>170</v>
      </c>
      <c r="AN297" s="85">
        <f t="shared" si="53"/>
        <v>27.025023476753667</v>
      </c>
      <c r="AO297" s="85">
        <v>34</v>
      </c>
      <c r="AP297" s="87">
        <f t="shared" si="61"/>
        <v>4.5039792871251733E-2</v>
      </c>
      <c r="AQ297" s="88">
        <f t="shared" si="62"/>
        <v>600.02548311014459</v>
      </c>
    </row>
    <row r="298" spans="1:43" ht="14.4" customHeight="1" x14ac:dyDescent="0.25">
      <c r="A298" s="76">
        <v>19879</v>
      </c>
      <c r="B298" s="3">
        <v>450</v>
      </c>
      <c r="C298" s="8">
        <f t="shared" si="55"/>
        <v>6.6000000000000227</v>
      </c>
      <c r="D298" s="8">
        <f t="shared" si="56"/>
        <v>8.3999999999999773</v>
      </c>
      <c r="E298" s="3">
        <v>443.4</v>
      </c>
      <c r="F298" s="3">
        <v>458.4</v>
      </c>
      <c r="G298" s="3">
        <f t="shared" si="63"/>
        <v>8.3999999999999773</v>
      </c>
      <c r="H298" s="4" t="s">
        <v>233</v>
      </c>
      <c r="I298" s="4" t="s">
        <v>8</v>
      </c>
      <c r="J298" s="4" t="s">
        <v>191</v>
      </c>
      <c r="K298" s="4"/>
      <c r="L298" s="4" t="s">
        <v>596</v>
      </c>
      <c r="M298" s="86" t="s">
        <v>4</v>
      </c>
      <c r="N298" s="4" t="str">
        <f t="shared" si="64"/>
        <v>marine sediment</v>
      </c>
      <c r="O298" s="86" t="s">
        <v>0</v>
      </c>
      <c r="P298" s="5">
        <v>-33.4</v>
      </c>
      <c r="Q298" s="4" t="s">
        <v>6</v>
      </c>
      <c r="S298" s="84">
        <f t="shared" si="65"/>
        <v>-29.9</v>
      </c>
      <c r="T298" s="5">
        <v>1</v>
      </c>
      <c r="U298" s="4" t="s">
        <v>410</v>
      </c>
      <c r="V298" s="88">
        <f t="shared" si="57"/>
        <v>-10.70281519130312</v>
      </c>
      <c r="W298" s="88">
        <f t="shared" si="58"/>
        <v>-10.70281519130312</v>
      </c>
      <c r="X298" s="88">
        <f t="shared" si="59"/>
        <v>19.788872084008702</v>
      </c>
      <c r="Y298" s="88">
        <f t="shared" si="66"/>
        <v>10.32</v>
      </c>
      <c r="Z298" s="88">
        <v>8.15</v>
      </c>
      <c r="AA298" s="88">
        <f t="shared" si="67"/>
        <v>2.17</v>
      </c>
      <c r="AB298" s="84" t="s">
        <v>176</v>
      </c>
      <c r="AC298" s="84">
        <f t="shared" si="60"/>
        <v>283.32</v>
      </c>
      <c r="AD298" s="84">
        <v>-11.1</v>
      </c>
      <c r="AE298" s="23" t="s">
        <v>260</v>
      </c>
      <c r="AF298" s="23" t="s">
        <v>584</v>
      </c>
      <c r="AG298" s="23">
        <f>VLOOKUP(A298, 'fixing lats'!A:F, 4, FALSE)</f>
        <v>42.001100000000001</v>
      </c>
      <c r="AH298" s="23" t="s">
        <v>585</v>
      </c>
      <c r="AI298" s="23">
        <f>VLOOKUP(A298, 'fixing lats'!A:F, 6, FALSE)</f>
        <v>-90.011099999999999</v>
      </c>
      <c r="AJ298" s="23" t="s">
        <v>612</v>
      </c>
      <c r="AK298" s="83" t="s">
        <v>191</v>
      </c>
      <c r="AL298" s="83" t="s">
        <v>177</v>
      </c>
      <c r="AM298" s="86">
        <v>170</v>
      </c>
      <c r="AN298" s="85">
        <f t="shared" si="53"/>
        <v>25.331062397860638</v>
      </c>
      <c r="AO298" s="85">
        <v>34</v>
      </c>
      <c r="AP298" s="87">
        <f t="shared" si="61"/>
        <v>4.5039792871251733E-2</v>
      </c>
      <c r="AQ298" s="88">
        <f t="shared" si="62"/>
        <v>562.41516186077092</v>
      </c>
    </row>
    <row r="299" spans="1:43" ht="14.4" customHeight="1" x14ac:dyDescent="0.25">
      <c r="A299" s="76">
        <v>19880</v>
      </c>
      <c r="B299" s="3">
        <v>450</v>
      </c>
      <c r="C299" s="8">
        <f t="shared" si="55"/>
        <v>6.6000000000000227</v>
      </c>
      <c r="D299" s="8">
        <f t="shared" si="56"/>
        <v>8.3999999999999773</v>
      </c>
      <c r="E299" s="3">
        <v>443.4</v>
      </c>
      <c r="F299" s="3">
        <v>458.4</v>
      </c>
      <c r="G299" s="3">
        <f t="shared" si="63"/>
        <v>8.3999999999999773</v>
      </c>
      <c r="H299" s="4" t="s">
        <v>233</v>
      </c>
      <c r="I299" s="4" t="s">
        <v>7</v>
      </c>
      <c r="J299" s="4" t="s">
        <v>191</v>
      </c>
      <c r="K299" s="4"/>
      <c r="L299" s="4" t="s">
        <v>596</v>
      </c>
      <c r="M299" s="86" t="s">
        <v>4</v>
      </c>
      <c r="N299" s="4" t="str">
        <f t="shared" si="64"/>
        <v>marine sediment</v>
      </c>
      <c r="O299" s="86" t="s">
        <v>0</v>
      </c>
      <c r="P299" s="5">
        <v>-33.1</v>
      </c>
      <c r="Q299" s="4" t="s">
        <v>6</v>
      </c>
      <c r="S299" s="84">
        <f t="shared" si="65"/>
        <v>-29.6</v>
      </c>
      <c r="T299" s="5">
        <v>1</v>
      </c>
      <c r="U299" s="4" t="s">
        <v>410</v>
      </c>
      <c r="V299" s="88">
        <f t="shared" si="57"/>
        <v>-10.70281519130312</v>
      </c>
      <c r="W299" s="88">
        <f t="shared" si="58"/>
        <v>-10.70281519130312</v>
      </c>
      <c r="X299" s="88">
        <f t="shared" si="59"/>
        <v>19.473603471451995</v>
      </c>
      <c r="Y299" s="88">
        <f t="shared" si="66"/>
        <v>10.32</v>
      </c>
      <c r="Z299" s="88">
        <v>8.15</v>
      </c>
      <c r="AA299" s="88">
        <f t="shared" si="67"/>
        <v>2.17</v>
      </c>
      <c r="AB299" s="84" t="s">
        <v>176</v>
      </c>
      <c r="AC299" s="84">
        <f t="shared" si="60"/>
        <v>283.32</v>
      </c>
      <c r="AD299" s="84">
        <v>-11.1</v>
      </c>
      <c r="AE299" s="23" t="s">
        <v>260</v>
      </c>
      <c r="AF299" s="23" t="s">
        <v>584</v>
      </c>
      <c r="AG299" s="23">
        <f>VLOOKUP(A299, 'fixing lats'!A:F, 4, FALSE)</f>
        <v>42.001100000000001</v>
      </c>
      <c r="AH299" s="23" t="s">
        <v>585</v>
      </c>
      <c r="AI299" s="23">
        <f>VLOOKUP(A299, 'fixing lats'!A:F, 6, FALSE)</f>
        <v>-90.011099999999999</v>
      </c>
      <c r="AJ299" s="23" t="s">
        <v>612</v>
      </c>
      <c r="AK299" s="83" t="s">
        <v>191</v>
      </c>
      <c r="AL299" s="83" t="s">
        <v>177</v>
      </c>
      <c r="AM299" s="86">
        <v>170</v>
      </c>
      <c r="AN299" s="85">
        <f t="shared" si="53"/>
        <v>24.194478536657574</v>
      </c>
      <c r="AO299" s="85">
        <v>34</v>
      </c>
      <c r="AP299" s="87">
        <f t="shared" si="61"/>
        <v>4.5039792871251733E-2</v>
      </c>
      <c r="AQ299" s="88">
        <f t="shared" si="62"/>
        <v>537.18005777288045</v>
      </c>
    </row>
    <row r="300" spans="1:43" ht="14.4" customHeight="1" x14ac:dyDescent="0.25">
      <c r="A300" s="76">
        <v>19881</v>
      </c>
      <c r="B300" s="3">
        <v>452</v>
      </c>
      <c r="C300" s="8">
        <f t="shared" si="55"/>
        <v>2</v>
      </c>
      <c r="D300" s="8">
        <f t="shared" si="56"/>
        <v>3</v>
      </c>
      <c r="E300" s="3">
        <v>450</v>
      </c>
      <c r="F300" s="3">
        <v>455</v>
      </c>
      <c r="G300" s="3">
        <f t="shared" si="63"/>
        <v>3</v>
      </c>
      <c r="H300" s="4" t="s">
        <v>234</v>
      </c>
      <c r="I300" s="31">
        <v>201</v>
      </c>
      <c r="J300" s="4" t="s">
        <v>5</v>
      </c>
      <c r="K300" s="4"/>
      <c r="L300" s="4" t="s">
        <v>596</v>
      </c>
      <c r="M300" s="86" t="s">
        <v>4</v>
      </c>
      <c r="N300" s="4" t="str">
        <f t="shared" si="64"/>
        <v>marine sediment</v>
      </c>
      <c r="O300" s="86" t="s">
        <v>0</v>
      </c>
      <c r="P300" s="31">
        <v>-30</v>
      </c>
      <c r="Q300" s="4" t="s">
        <v>3</v>
      </c>
      <c r="S300" s="84">
        <f t="shared" si="65"/>
        <v>-26.5</v>
      </c>
      <c r="T300" s="5">
        <v>1</v>
      </c>
      <c r="U300" s="4" t="s">
        <v>410</v>
      </c>
      <c r="V300" s="88">
        <f t="shared" si="57"/>
        <v>-10.662302132910281</v>
      </c>
      <c r="W300" s="88">
        <f t="shared" si="58"/>
        <v>-10.662302132910281</v>
      </c>
      <c r="X300" s="88">
        <f t="shared" si="59"/>
        <v>16.268821640564646</v>
      </c>
      <c r="Y300" s="88">
        <f t="shared" si="66"/>
        <v>10.65</v>
      </c>
      <c r="Z300" s="88">
        <v>8.15</v>
      </c>
      <c r="AA300" s="88">
        <f t="shared" ref="AA300:AA308" si="68">5/2</f>
        <v>2.5</v>
      </c>
      <c r="AB300" s="84" t="s">
        <v>176</v>
      </c>
      <c r="AC300" s="84">
        <f t="shared" si="60"/>
        <v>283.64999999999998</v>
      </c>
      <c r="AD300" s="84">
        <v>-11.1</v>
      </c>
      <c r="AE300" s="23" t="s">
        <v>260</v>
      </c>
      <c r="AF300" s="23" t="s">
        <v>584</v>
      </c>
      <c r="AG300" s="23">
        <f>VLOOKUP(A300, 'fixing lats'!A:F, 4, FALSE)</f>
        <v>42.001100000000001</v>
      </c>
      <c r="AH300" s="23" t="s">
        <v>585</v>
      </c>
      <c r="AI300" s="23">
        <f>VLOOKUP(A300, 'fixing lats'!A:F, 6, FALSE)</f>
        <v>-90.011099999999999</v>
      </c>
      <c r="AJ300" s="23" t="s">
        <v>612</v>
      </c>
      <c r="AK300" s="83" t="s">
        <v>191</v>
      </c>
      <c r="AL300" s="83" t="s">
        <v>177</v>
      </c>
      <c r="AM300" s="86">
        <v>170</v>
      </c>
      <c r="AN300" s="85">
        <f t="shared" si="53"/>
        <v>16.615876884134593</v>
      </c>
      <c r="AO300" s="85">
        <v>34</v>
      </c>
      <c r="AP300" s="87">
        <f t="shared" si="61"/>
        <v>4.4551514997272619E-2</v>
      </c>
      <c r="AQ300" s="88">
        <f t="shared" si="62"/>
        <v>372.958739678141</v>
      </c>
    </row>
    <row r="301" spans="1:43" ht="14.4" customHeight="1" x14ac:dyDescent="0.25">
      <c r="A301" s="76">
        <v>19882</v>
      </c>
      <c r="B301" s="3">
        <v>455</v>
      </c>
      <c r="C301" s="8">
        <f t="shared" si="55"/>
        <v>9</v>
      </c>
      <c r="D301" s="8">
        <f t="shared" si="56"/>
        <v>4</v>
      </c>
      <c r="E301" s="3">
        <v>446</v>
      </c>
      <c r="F301" s="3">
        <v>459</v>
      </c>
      <c r="G301" s="3">
        <f t="shared" si="63"/>
        <v>9</v>
      </c>
      <c r="H301" s="4" t="s">
        <v>235</v>
      </c>
      <c r="I301" s="31">
        <v>214.8</v>
      </c>
      <c r="J301" s="4" t="s">
        <v>5</v>
      </c>
      <c r="K301" s="4"/>
      <c r="L301" s="4" t="s">
        <v>596</v>
      </c>
      <c r="M301" s="86" t="s">
        <v>4</v>
      </c>
      <c r="N301" s="4" t="str">
        <f t="shared" si="64"/>
        <v>marine sediment</v>
      </c>
      <c r="O301" s="86" t="s">
        <v>0</v>
      </c>
      <c r="P301" s="31">
        <v>-30</v>
      </c>
      <c r="Q301" s="4" t="s">
        <v>3</v>
      </c>
      <c r="S301" s="84">
        <f t="shared" si="65"/>
        <v>-26.5</v>
      </c>
      <c r="T301" s="5">
        <v>1</v>
      </c>
      <c r="U301" s="4" t="s">
        <v>410</v>
      </c>
      <c r="V301" s="88">
        <f t="shared" si="57"/>
        <v>-10.662302132910281</v>
      </c>
      <c r="W301" s="88">
        <f t="shared" si="58"/>
        <v>-10.662302132910281</v>
      </c>
      <c r="X301" s="88">
        <f t="shared" si="59"/>
        <v>16.268821640564646</v>
      </c>
      <c r="Y301" s="88">
        <f t="shared" si="66"/>
        <v>10.65</v>
      </c>
      <c r="Z301" s="88">
        <v>8.15</v>
      </c>
      <c r="AA301" s="88">
        <f t="shared" si="68"/>
        <v>2.5</v>
      </c>
      <c r="AB301" s="84" t="s">
        <v>176</v>
      </c>
      <c r="AC301" s="84">
        <f t="shared" si="60"/>
        <v>283.64999999999998</v>
      </c>
      <c r="AD301" s="84">
        <v>-11.1</v>
      </c>
      <c r="AE301" s="23" t="s">
        <v>260</v>
      </c>
      <c r="AF301" s="23" t="s">
        <v>584</v>
      </c>
      <c r="AG301" s="23">
        <f>VLOOKUP(A301, 'fixing lats'!A:F, 4, FALSE)</f>
        <v>42.001100000000001</v>
      </c>
      <c r="AH301" s="23" t="s">
        <v>585</v>
      </c>
      <c r="AI301" s="23">
        <f>VLOOKUP(A301, 'fixing lats'!A:F, 6, FALSE)</f>
        <v>-90.011099999999999</v>
      </c>
      <c r="AJ301" s="23" t="s">
        <v>612</v>
      </c>
      <c r="AK301" s="83" t="s">
        <v>191</v>
      </c>
      <c r="AL301" s="83" t="s">
        <v>177</v>
      </c>
      <c r="AM301" s="86">
        <v>170</v>
      </c>
      <c r="AN301" s="85">
        <f t="shared" si="53"/>
        <v>16.615876884134593</v>
      </c>
      <c r="AO301" s="85">
        <v>34</v>
      </c>
      <c r="AP301" s="87">
        <f t="shared" si="61"/>
        <v>4.4551514997272619E-2</v>
      </c>
      <c r="AQ301" s="88">
        <f t="shared" si="62"/>
        <v>372.958739678141</v>
      </c>
    </row>
    <row r="302" spans="1:43" ht="14.4" customHeight="1" x14ac:dyDescent="0.25">
      <c r="A302" s="76">
        <v>19883</v>
      </c>
      <c r="B302" s="3">
        <v>455</v>
      </c>
      <c r="C302" s="8">
        <f t="shared" si="55"/>
        <v>9</v>
      </c>
      <c r="D302" s="8">
        <f t="shared" si="56"/>
        <v>4</v>
      </c>
      <c r="E302" s="3">
        <v>446</v>
      </c>
      <c r="F302" s="3">
        <v>459</v>
      </c>
      <c r="G302" s="3">
        <f t="shared" si="63"/>
        <v>9</v>
      </c>
      <c r="H302" s="4" t="s">
        <v>235</v>
      </c>
      <c r="I302" s="31">
        <v>216.1</v>
      </c>
      <c r="J302" s="4" t="s">
        <v>5</v>
      </c>
      <c r="K302" s="4"/>
      <c r="L302" s="4" t="s">
        <v>596</v>
      </c>
      <c r="M302" s="86" t="s">
        <v>4</v>
      </c>
      <c r="N302" s="4" t="str">
        <f t="shared" si="64"/>
        <v>marine sediment</v>
      </c>
      <c r="O302" s="86" t="s">
        <v>0</v>
      </c>
      <c r="P302" s="31">
        <v>-30.5</v>
      </c>
      <c r="Q302" s="4" t="s">
        <v>3</v>
      </c>
      <c r="S302" s="84">
        <f t="shared" si="65"/>
        <v>-27</v>
      </c>
      <c r="T302" s="5">
        <v>1</v>
      </c>
      <c r="U302" s="4" t="s">
        <v>410</v>
      </c>
      <c r="V302" s="88">
        <f t="shared" si="57"/>
        <v>-10.662302132910281</v>
      </c>
      <c r="W302" s="88">
        <f t="shared" si="58"/>
        <v>-10.662302132910281</v>
      </c>
      <c r="X302" s="88">
        <f t="shared" si="59"/>
        <v>16.791056389609203</v>
      </c>
      <c r="Y302" s="88">
        <f t="shared" si="66"/>
        <v>10.65</v>
      </c>
      <c r="Z302" s="88">
        <v>8.15</v>
      </c>
      <c r="AA302" s="88">
        <f t="shared" si="68"/>
        <v>2.5</v>
      </c>
      <c r="AB302" s="84" t="s">
        <v>176</v>
      </c>
      <c r="AC302" s="84">
        <f t="shared" si="60"/>
        <v>283.64999999999998</v>
      </c>
      <c r="AD302" s="84">
        <v>-11.1</v>
      </c>
      <c r="AE302" s="23" t="s">
        <v>260</v>
      </c>
      <c r="AF302" s="23" t="s">
        <v>584</v>
      </c>
      <c r="AG302" s="23">
        <f>VLOOKUP(A302, 'fixing lats'!A:F, 4, FALSE)</f>
        <v>42.001100000000001</v>
      </c>
      <c r="AH302" s="23" t="s">
        <v>585</v>
      </c>
      <c r="AI302" s="23">
        <f>VLOOKUP(A302, 'fixing lats'!A:F, 6, FALSE)</f>
        <v>-90.011099999999999</v>
      </c>
      <c r="AJ302" s="23" t="s">
        <v>612</v>
      </c>
      <c r="AK302" s="83" t="s">
        <v>191</v>
      </c>
      <c r="AL302" s="83" t="s">
        <v>177</v>
      </c>
      <c r="AM302" s="86">
        <v>170</v>
      </c>
      <c r="AN302" s="85">
        <f t="shared" si="53"/>
        <v>17.509628938215378</v>
      </c>
      <c r="AO302" s="85">
        <v>34</v>
      </c>
      <c r="AP302" s="87">
        <f t="shared" si="61"/>
        <v>4.4551514997272619E-2</v>
      </c>
      <c r="AQ302" s="88">
        <f t="shared" si="62"/>
        <v>393.01983196951426</v>
      </c>
    </row>
    <row r="303" spans="1:43" ht="14.4" customHeight="1" x14ac:dyDescent="0.25">
      <c r="A303" s="76">
        <v>19884</v>
      </c>
      <c r="B303" s="3">
        <v>455</v>
      </c>
      <c r="C303" s="8">
        <f t="shared" si="55"/>
        <v>9</v>
      </c>
      <c r="D303" s="8">
        <f t="shared" si="56"/>
        <v>4</v>
      </c>
      <c r="E303" s="3">
        <v>446</v>
      </c>
      <c r="F303" s="3">
        <v>459</v>
      </c>
      <c r="G303" s="3">
        <f t="shared" si="63"/>
        <v>9</v>
      </c>
      <c r="H303" s="4" t="s">
        <v>235</v>
      </c>
      <c r="I303" s="31">
        <v>216.6</v>
      </c>
      <c r="J303" s="4" t="s">
        <v>5</v>
      </c>
      <c r="K303" s="4"/>
      <c r="L303" s="4" t="s">
        <v>596</v>
      </c>
      <c r="M303" s="86" t="s">
        <v>4</v>
      </c>
      <c r="N303" s="4" t="str">
        <f t="shared" si="64"/>
        <v>marine sediment</v>
      </c>
      <c r="O303" s="86" t="s">
        <v>0</v>
      </c>
      <c r="P303" s="31">
        <v>-30</v>
      </c>
      <c r="Q303" s="4" t="s">
        <v>3</v>
      </c>
      <c r="S303" s="84">
        <f t="shared" si="65"/>
        <v>-26.5</v>
      </c>
      <c r="T303" s="5">
        <v>1</v>
      </c>
      <c r="U303" s="4" t="s">
        <v>410</v>
      </c>
      <c r="V303" s="88">
        <f t="shared" si="57"/>
        <v>-10.662302132910281</v>
      </c>
      <c r="W303" s="88">
        <f t="shared" si="58"/>
        <v>-10.662302132910281</v>
      </c>
      <c r="X303" s="88">
        <f t="shared" si="59"/>
        <v>16.268821640564646</v>
      </c>
      <c r="Y303" s="88">
        <f t="shared" si="66"/>
        <v>10.65</v>
      </c>
      <c r="Z303" s="88">
        <v>8.15</v>
      </c>
      <c r="AA303" s="88">
        <f t="shared" si="68"/>
        <v>2.5</v>
      </c>
      <c r="AB303" s="84" t="s">
        <v>176</v>
      </c>
      <c r="AC303" s="84">
        <f t="shared" si="60"/>
        <v>283.64999999999998</v>
      </c>
      <c r="AD303" s="84">
        <v>-11.1</v>
      </c>
      <c r="AE303" s="23" t="s">
        <v>260</v>
      </c>
      <c r="AF303" s="23" t="s">
        <v>584</v>
      </c>
      <c r="AG303" s="23">
        <f>VLOOKUP(A303, 'fixing lats'!A:F, 4, FALSE)</f>
        <v>42.001100000000001</v>
      </c>
      <c r="AH303" s="23" t="s">
        <v>585</v>
      </c>
      <c r="AI303" s="23">
        <f>VLOOKUP(A303, 'fixing lats'!A:F, 6, FALSE)</f>
        <v>-90.011099999999999</v>
      </c>
      <c r="AJ303" s="23" t="s">
        <v>612</v>
      </c>
      <c r="AK303" s="83" t="s">
        <v>191</v>
      </c>
      <c r="AL303" s="83" t="s">
        <v>177</v>
      </c>
      <c r="AM303" s="86">
        <v>170</v>
      </c>
      <c r="AN303" s="85">
        <f t="shared" si="53"/>
        <v>16.615876884134593</v>
      </c>
      <c r="AO303" s="85">
        <v>34</v>
      </c>
      <c r="AP303" s="87">
        <f t="shared" si="61"/>
        <v>4.4551514997272619E-2</v>
      </c>
      <c r="AQ303" s="88">
        <f t="shared" si="62"/>
        <v>372.958739678141</v>
      </c>
    </row>
    <row r="304" spans="1:43" ht="14.4" customHeight="1" x14ac:dyDescent="0.25">
      <c r="A304" s="76">
        <v>19885</v>
      </c>
      <c r="B304" s="3">
        <v>455</v>
      </c>
      <c r="C304" s="8">
        <f t="shared" si="55"/>
        <v>9</v>
      </c>
      <c r="D304" s="8">
        <f t="shared" si="56"/>
        <v>4</v>
      </c>
      <c r="E304" s="3">
        <v>446</v>
      </c>
      <c r="F304" s="3">
        <v>459</v>
      </c>
      <c r="G304" s="3">
        <f t="shared" si="63"/>
        <v>9</v>
      </c>
      <c r="H304" s="4" t="s">
        <v>235</v>
      </c>
      <c r="I304" s="31">
        <v>217.7</v>
      </c>
      <c r="J304" s="4" t="s">
        <v>5</v>
      </c>
      <c r="K304" s="4"/>
      <c r="L304" s="4" t="s">
        <v>596</v>
      </c>
      <c r="M304" s="86" t="s">
        <v>4</v>
      </c>
      <c r="N304" s="4" t="str">
        <f t="shared" si="64"/>
        <v>marine sediment</v>
      </c>
      <c r="O304" s="86" t="s">
        <v>0</v>
      </c>
      <c r="P304" s="31">
        <v>-28.7</v>
      </c>
      <c r="Q304" s="4" t="s">
        <v>3</v>
      </c>
      <c r="S304" s="84">
        <f t="shared" si="65"/>
        <v>-25.2</v>
      </c>
      <c r="T304" s="5">
        <v>1</v>
      </c>
      <c r="U304" s="4" t="s">
        <v>410</v>
      </c>
      <c r="V304" s="88">
        <f t="shared" si="57"/>
        <v>-10.662302132910281</v>
      </c>
      <c r="W304" s="88">
        <f t="shared" si="58"/>
        <v>-10.662302132910281</v>
      </c>
      <c r="X304" s="88">
        <f t="shared" si="59"/>
        <v>14.913518534150239</v>
      </c>
      <c r="Y304" s="88">
        <f t="shared" si="66"/>
        <v>10.65</v>
      </c>
      <c r="Z304" s="88">
        <v>8.15</v>
      </c>
      <c r="AA304" s="88">
        <f t="shared" si="68"/>
        <v>2.5</v>
      </c>
      <c r="AB304" s="84" t="s">
        <v>176</v>
      </c>
      <c r="AC304" s="84">
        <f t="shared" si="60"/>
        <v>283.64999999999998</v>
      </c>
      <c r="AD304" s="84">
        <v>-11.1</v>
      </c>
      <c r="AE304" s="23" t="s">
        <v>260</v>
      </c>
      <c r="AF304" s="23" t="s">
        <v>584</v>
      </c>
      <c r="AG304" s="23">
        <f>VLOOKUP(A304, 'fixing lats'!A:F, 4, FALSE)</f>
        <v>42.001100000000001</v>
      </c>
      <c r="AH304" s="23" t="s">
        <v>585</v>
      </c>
      <c r="AI304" s="23">
        <f>VLOOKUP(A304, 'fixing lats'!A:F, 6, FALSE)</f>
        <v>-90.011099999999999</v>
      </c>
      <c r="AJ304" s="23" t="s">
        <v>612</v>
      </c>
      <c r="AK304" s="83" t="s">
        <v>191</v>
      </c>
      <c r="AL304" s="83" t="s">
        <v>177</v>
      </c>
      <c r="AM304" s="86">
        <v>170</v>
      </c>
      <c r="AN304" s="85">
        <f t="shared" si="53"/>
        <v>14.672271344934316</v>
      </c>
      <c r="AO304" s="85">
        <v>34</v>
      </c>
      <c r="AP304" s="87">
        <f t="shared" si="61"/>
        <v>4.4551514997272619E-2</v>
      </c>
      <c r="AQ304" s="88">
        <f t="shared" si="62"/>
        <v>329.33271395669783</v>
      </c>
    </row>
    <row r="305" spans="1:43" ht="14.4" customHeight="1" x14ac:dyDescent="0.25">
      <c r="A305" s="76">
        <v>19886</v>
      </c>
      <c r="B305" s="3">
        <v>455</v>
      </c>
      <c r="C305" s="8">
        <f t="shared" si="55"/>
        <v>9</v>
      </c>
      <c r="D305" s="8">
        <f t="shared" si="56"/>
        <v>4</v>
      </c>
      <c r="E305" s="3">
        <v>446</v>
      </c>
      <c r="F305" s="3">
        <v>459</v>
      </c>
      <c r="G305" s="3">
        <f t="shared" si="63"/>
        <v>9</v>
      </c>
      <c r="H305" s="4" t="s">
        <v>235</v>
      </c>
      <c r="I305" s="31">
        <v>219.1</v>
      </c>
      <c r="J305" s="4" t="s">
        <v>5</v>
      </c>
      <c r="K305" s="4"/>
      <c r="L305" s="4" t="s">
        <v>596</v>
      </c>
      <c r="M305" s="86" t="s">
        <v>4</v>
      </c>
      <c r="N305" s="4" t="str">
        <f t="shared" si="64"/>
        <v>marine sediment</v>
      </c>
      <c r="O305" s="86" t="s">
        <v>0</v>
      </c>
      <c r="P305" s="31">
        <v>-29.6</v>
      </c>
      <c r="Q305" s="4" t="s">
        <v>3</v>
      </c>
      <c r="S305" s="84">
        <f t="shared" si="65"/>
        <v>-26.1</v>
      </c>
      <c r="T305" s="5">
        <v>1</v>
      </c>
      <c r="U305" s="4" t="s">
        <v>410</v>
      </c>
      <c r="V305" s="88">
        <f t="shared" si="57"/>
        <v>-10.662302132910281</v>
      </c>
      <c r="W305" s="88">
        <f t="shared" si="58"/>
        <v>-10.662302132910281</v>
      </c>
      <c r="X305" s="88">
        <f t="shared" si="59"/>
        <v>15.851419927189303</v>
      </c>
      <c r="Y305" s="88">
        <f t="shared" si="66"/>
        <v>10.65</v>
      </c>
      <c r="Z305" s="88">
        <v>8.15</v>
      </c>
      <c r="AA305" s="88">
        <f t="shared" si="68"/>
        <v>2.5</v>
      </c>
      <c r="AB305" s="84" t="s">
        <v>176</v>
      </c>
      <c r="AC305" s="84">
        <f t="shared" si="60"/>
        <v>283.64999999999998</v>
      </c>
      <c r="AD305" s="84">
        <v>-11.1</v>
      </c>
      <c r="AE305" s="23" t="s">
        <v>260</v>
      </c>
      <c r="AF305" s="23" t="s">
        <v>584</v>
      </c>
      <c r="AG305" s="23">
        <f>VLOOKUP(A305, 'fixing lats'!A:F, 4, FALSE)</f>
        <v>42.001100000000001</v>
      </c>
      <c r="AH305" s="23" t="s">
        <v>585</v>
      </c>
      <c r="AI305" s="23">
        <f>VLOOKUP(A305, 'fixing lats'!A:F, 6, FALSE)</f>
        <v>-90.011099999999999</v>
      </c>
      <c r="AJ305" s="23" t="s">
        <v>612</v>
      </c>
      <c r="AK305" s="83" t="s">
        <v>191</v>
      </c>
      <c r="AL305" s="83" t="s">
        <v>177</v>
      </c>
      <c r="AM305" s="86">
        <v>170</v>
      </c>
      <c r="AN305" s="85">
        <f t="shared" si="53"/>
        <v>15.964569814717882</v>
      </c>
      <c r="AO305" s="85">
        <v>34</v>
      </c>
      <c r="AP305" s="87">
        <f t="shared" si="61"/>
        <v>4.4551514997272619E-2</v>
      </c>
      <c r="AQ305" s="88">
        <f t="shared" si="62"/>
        <v>358.33954952362922</v>
      </c>
    </row>
    <row r="306" spans="1:43" ht="14.4" customHeight="1" x14ac:dyDescent="0.25">
      <c r="A306" s="76">
        <v>19887</v>
      </c>
      <c r="B306" s="3">
        <v>455</v>
      </c>
      <c r="C306" s="8">
        <f t="shared" si="55"/>
        <v>9</v>
      </c>
      <c r="D306" s="8">
        <f t="shared" si="56"/>
        <v>4</v>
      </c>
      <c r="E306" s="3">
        <v>446</v>
      </c>
      <c r="F306" s="3">
        <v>459</v>
      </c>
      <c r="G306" s="3">
        <f t="shared" si="63"/>
        <v>9</v>
      </c>
      <c r="H306" s="4" t="s">
        <v>235</v>
      </c>
      <c r="I306" s="31">
        <v>220.6</v>
      </c>
      <c r="J306" s="4" t="s">
        <v>5</v>
      </c>
      <c r="K306" s="4"/>
      <c r="L306" s="4" t="s">
        <v>596</v>
      </c>
      <c r="M306" s="86" t="s">
        <v>4</v>
      </c>
      <c r="N306" s="4" t="str">
        <f t="shared" si="64"/>
        <v>marine sediment</v>
      </c>
      <c r="O306" s="86" t="s">
        <v>0</v>
      </c>
      <c r="P306" s="31">
        <v>-28.3</v>
      </c>
      <c r="Q306" s="4" t="s">
        <v>3</v>
      </c>
      <c r="S306" s="84">
        <f t="shared" si="65"/>
        <v>-24.8</v>
      </c>
      <c r="T306" s="5">
        <v>1</v>
      </c>
      <c r="U306" s="4" t="s">
        <v>410</v>
      </c>
      <c r="V306" s="88">
        <f t="shared" si="57"/>
        <v>-10.662302132910281</v>
      </c>
      <c r="W306" s="88">
        <f t="shared" si="58"/>
        <v>-10.662302132910281</v>
      </c>
      <c r="X306" s="88">
        <f t="shared" si="59"/>
        <v>14.497229150009838</v>
      </c>
      <c r="Y306" s="88">
        <f t="shared" si="66"/>
        <v>10.65</v>
      </c>
      <c r="Z306" s="88">
        <v>8.15</v>
      </c>
      <c r="AA306" s="88">
        <f t="shared" si="68"/>
        <v>2.5</v>
      </c>
      <c r="AB306" s="84" t="s">
        <v>176</v>
      </c>
      <c r="AC306" s="84">
        <f t="shared" si="60"/>
        <v>283.64999999999998</v>
      </c>
      <c r="AD306" s="84">
        <v>-11.1</v>
      </c>
      <c r="AE306" s="23" t="s">
        <v>260</v>
      </c>
      <c r="AF306" s="23" t="s">
        <v>584</v>
      </c>
      <c r="AG306" s="23">
        <f>VLOOKUP(A306, 'fixing lats'!A:F, 4, FALSE)</f>
        <v>42.001100000000001</v>
      </c>
      <c r="AH306" s="23" t="s">
        <v>585</v>
      </c>
      <c r="AI306" s="23">
        <f>VLOOKUP(A306, 'fixing lats'!A:F, 6, FALSE)</f>
        <v>-90.011099999999999</v>
      </c>
      <c r="AJ306" s="23" t="s">
        <v>612</v>
      </c>
      <c r="AK306" s="83" t="s">
        <v>191</v>
      </c>
      <c r="AL306" s="83" t="s">
        <v>177</v>
      </c>
      <c r="AM306" s="86">
        <v>170</v>
      </c>
      <c r="AN306" s="85">
        <f t="shared" si="53"/>
        <v>14.1633962794632</v>
      </c>
      <c r="AO306" s="85">
        <v>34</v>
      </c>
      <c r="AP306" s="87">
        <f t="shared" si="61"/>
        <v>4.4551514997272619E-2</v>
      </c>
      <c r="AQ306" s="88">
        <f t="shared" si="62"/>
        <v>317.91054199459353</v>
      </c>
    </row>
    <row r="307" spans="1:43" ht="14.4" customHeight="1" x14ac:dyDescent="0.25">
      <c r="A307" s="76">
        <v>19888</v>
      </c>
      <c r="B307" s="3">
        <v>455</v>
      </c>
      <c r="C307" s="8">
        <f t="shared" si="55"/>
        <v>9</v>
      </c>
      <c r="D307" s="8">
        <f t="shared" si="56"/>
        <v>4</v>
      </c>
      <c r="E307" s="3">
        <v>446</v>
      </c>
      <c r="F307" s="3">
        <v>459</v>
      </c>
      <c r="G307" s="3">
        <f t="shared" si="63"/>
        <v>9</v>
      </c>
      <c r="H307" s="4" t="s">
        <v>235</v>
      </c>
      <c r="I307" s="31">
        <v>221.5</v>
      </c>
      <c r="J307" s="4" t="s">
        <v>5</v>
      </c>
      <c r="K307" s="4"/>
      <c r="L307" s="4" t="s">
        <v>596</v>
      </c>
      <c r="M307" s="86" t="s">
        <v>4</v>
      </c>
      <c r="N307" s="4" t="str">
        <f t="shared" si="64"/>
        <v>marine sediment</v>
      </c>
      <c r="O307" s="86" t="s">
        <v>0</v>
      </c>
      <c r="P307" s="31">
        <v>-29.7</v>
      </c>
      <c r="Q307" s="4" t="s">
        <v>3</v>
      </c>
      <c r="S307" s="84">
        <f t="shared" si="65"/>
        <v>-26.2</v>
      </c>
      <c r="T307" s="5">
        <v>1</v>
      </c>
      <c r="U307" s="4" t="s">
        <v>410</v>
      </c>
      <c r="V307" s="88">
        <f t="shared" si="57"/>
        <v>-10.662302132910281</v>
      </c>
      <c r="W307" s="88">
        <f t="shared" si="58"/>
        <v>-10.662302132910281</v>
      </c>
      <c r="X307" s="88">
        <f t="shared" si="59"/>
        <v>15.955738208143</v>
      </c>
      <c r="Y307" s="88">
        <f t="shared" si="66"/>
        <v>10.65</v>
      </c>
      <c r="Z307" s="88">
        <v>8.15</v>
      </c>
      <c r="AA307" s="88">
        <f t="shared" si="68"/>
        <v>2.5</v>
      </c>
      <c r="AB307" s="84" t="s">
        <v>176</v>
      </c>
      <c r="AC307" s="84">
        <f t="shared" si="60"/>
        <v>283.64999999999998</v>
      </c>
      <c r="AD307" s="84">
        <v>-11.1</v>
      </c>
      <c r="AE307" s="23" t="s">
        <v>260</v>
      </c>
      <c r="AF307" s="23" t="s">
        <v>584</v>
      </c>
      <c r="AG307" s="23">
        <f>VLOOKUP(A307, 'fixing lats'!A:F, 4, FALSE)</f>
        <v>42.001100000000001</v>
      </c>
      <c r="AH307" s="23" t="s">
        <v>585</v>
      </c>
      <c r="AI307" s="23">
        <f>VLOOKUP(A307, 'fixing lats'!A:F, 6, FALSE)</f>
        <v>-90.011099999999999</v>
      </c>
      <c r="AJ307" s="23" t="s">
        <v>612</v>
      </c>
      <c r="AK307" s="83" t="s">
        <v>191</v>
      </c>
      <c r="AL307" s="83" t="s">
        <v>177</v>
      </c>
      <c r="AM307" s="86">
        <v>170</v>
      </c>
      <c r="AN307" s="85">
        <f t="shared" si="53"/>
        <v>16.122513207257963</v>
      </c>
      <c r="AO307" s="85">
        <v>34</v>
      </c>
      <c r="AP307" s="87">
        <f t="shared" si="61"/>
        <v>4.4551514997272619E-2</v>
      </c>
      <c r="AQ307" s="88">
        <f t="shared" si="62"/>
        <v>361.88473519351612</v>
      </c>
    </row>
    <row r="308" spans="1:43" ht="14.4" customHeight="1" x14ac:dyDescent="0.25">
      <c r="A308" s="76">
        <v>19889</v>
      </c>
      <c r="B308" s="3">
        <v>455</v>
      </c>
      <c r="C308" s="8">
        <f t="shared" si="55"/>
        <v>9</v>
      </c>
      <c r="D308" s="8">
        <f t="shared" si="56"/>
        <v>4</v>
      </c>
      <c r="E308" s="3">
        <v>446</v>
      </c>
      <c r="F308" s="3">
        <v>459</v>
      </c>
      <c r="G308" s="3">
        <f t="shared" si="63"/>
        <v>9</v>
      </c>
      <c r="H308" s="4" t="s">
        <v>235</v>
      </c>
      <c r="I308" s="31">
        <v>223.4</v>
      </c>
      <c r="J308" s="4" t="s">
        <v>5</v>
      </c>
      <c r="K308" s="4"/>
      <c r="L308" s="4" t="s">
        <v>596</v>
      </c>
      <c r="M308" s="86" t="s">
        <v>4</v>
      </c>
      <c r="N308" s="4" t="str">
        <f t="shared" si="64"/>
        <v>marine sediment</v>
      </c>
      <c r="O308" s="86" t="s">
        <v>0</v>
      </c>
      <c r="P308" s="31">
        <v>-29.8</v>
      </c>
      <c r="Q308" s="4" t="s">
        <v>3</v>
      </c>
      <c r="S308" s="84">
        <f t="shared" si="65"/>
        <v>-26.3</v>
      </c>
      <c r="T308" s="5">
        <v>1</v>
      </c>
      <c r="U308" s="4" t="s">
        <v>410</v>
      </c>
      <c r="V308" s="88">
        <f t="shared" si="57"/>
        <v>-10.662302132910281</v>
      </c>
      <c r="W308" s="88">
        <f t="shared" si="58"/>
        <v>-10.662302132910281</v>
      </c>
      <c r="X308" s="88">
        <f t="shared" si="59"/>
        <v>16.060077916288051</v>
      </c>
      <c r="Y308" s="88">
        <f t="shared" si="66"/>
        <v>10.65</v>
      </c>
      <c r="Z308" s="88">
        <v>8.15</v>
      </c>
      <c r="AA308" s="88">
        <f t="shared" si="68"/>
        <v>2.5</v>
      </c>
      <c r="AB308" s="84" t="s">
        <v>176</v>
      </c>
      <c r="AC308" s="84">
        <f t="shared" si="60"/>
        <v>283.64999999999998</v>
      </c>
      <c r="AD308" s="84">
        <v>-11.1</v>
      </c>
      <c r="AE308" s="23" t="s">
        <v>260</v>
      </c>
      <c r="AF308" s="23" t="s">
        <v>584</v>
      </c>
      <c r="AG308" s="23">
        <f>VLOOKUP(A308, 'fixing lats'!A:F, 4, FALSE)</f>
        <v>42.001100000000001</v>
      </c>
      <c r="AH308" s="23" t="s">
        <v>585</v>
      </c>
      <c r="AI308" s="23">
        <f>VLOOKUP(A308, 'fixing lats'!A:F, 6, FALSE)</f>
        <v>-90.011099999999999</v>
      </c>
      <c r="AJ308" s="23" t="s">
        <v>612</v>
      </c>
      <c r="AK308" s="83" t="s">
        <v>191</v>
      </c>
      <c r="AL308" s="83" t="s">
        <v>177</v>
      </c>
      <c r="AM308" s="86">
        <v>170</v>
      </c>
      <c r="AN308" s="85">
        <f t="shared" si="53"/>
        <v>16.283646433073372</v>
      </c>
      <c r="AO308" s="85">
        <v>34</v>
      </c>
      <c r="AP308" s="87">
        <f t="shared" si="61"/>
        <v>4.4551514997272619E-2</v>
      </c>
      <c r="AQ308" s="88">
        <f t="shared" si="62"/>
        <v>365.50151962442209</v>
      </c>
    </row>
    <row r="309" spans="1:43" ht="14.4" customHeight="1" x14ac:dyDescent="0.25"/>
    <row r="310" spans="1:43" ht="14.4" customHeight="1" x14ac:dyDescent="0.25"/>
    <row r="734" spans="1:317" s="2" customFormat="1" x14ac:dyDescent="0.25">
      <c r="A734" s="1"/>
      <c r="B734" s="11"/>
      <c r="C734" s="11"/>
      <c r="D734" s="11"/>
      <c r="E734" s="11"/>
      <c r="F734" s="11"/>
      <c r="G734" s="11"/>
      <c r="H734" s="1"/>
      <c r="I734" s="4"/>
      <c r="J734" s="1"/>
      <c r="K734" s="1"/>
      <c r="L734" s="1"/>
      <c r="M734" s="86"/>
      <c r="N734" s="86"/>
      <c r="O734" s="86"/>
      <c r="P734" s="12"/>
      <c r="Q734" s="4"/>
      <c r="R734" s="4"/>
      <c r="S734" s="84"/>
      <c r="T734" s="5"/>
      <c r="U734" s="12"/>
      <c r="V734" s="88"/>
      <c r="W734" s="88"/>
      <c r="X734" s="88"/>
      <c r="Y734" s="88"/>
      <c r="Z734" s="88"/>
      <c r="AA734" s="88"/>
      <c r="AB734" s="93"/>
      <c r="AC734" s="93"/>
      <c r="AD734" s="93"/>
      <c r="AE734" s="6"/>
      <c r="AF734" s="6"/>
      <c r="AG734" s="6"/>
      <c r="AH734" s="6"/>
      <c r="AI734" s="6"/>
      <c r="AJ734" s="6"/>
      <c r="AK734" s="89"/>
      <c r="AL734" s="84"/>
      <c r="AM734" s="88"/>
      <c r="AN734" s="88"/>
      <c r="AO734" s="88"/>
      <c r="AP734" s="88"/>
      <c r="AQ734" s="86"/>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c r="KB734" s="1"/>
      <c r="KC734" s="1"/>
      <c r="KD734" s="1"/>
      <c r="KE734" s="1"/>
      <c r="KF734" s="1"/>
      <c r="KG734" s="1"/>
      <c r="KH734" s="1"/>
      <c r="KI734" s="1"/>
      <c r="KJ734" s="1"/>
      <c r="KK734" s="1"/>
      <c r="KL734" s="1"/>
      <c r="KM734" s="1"/>
      <c r="KN734" s="1"/>
      <c r="KO734" s="1"/>
      <c r="KP734" s="1"/>
      <c r="KQ734" s="1"/>
      <c r="KR734" s="1"/>
      <c r="KS734" s="1"/>
      <c r="KT734" s="1"/>
      <c r="KU734" s="1"/>
      <c r="KV734" s="1"/>
      <c r="KW734" s="1"/>
      <c r="KX734" s="1"/>
      <c r="KY734" s="1"/>
      <c r="KZ734" s="1"/>
      <c r="LA734" s="1"/>
      <c r="LB734" s="1"/>
      <c r="LC734" s="1"/>
      <c r="LD734" s="1"/>
      <c r="LE734" s="1"/>
    </row>
    <row r="735" spans="1:317" s="2" customFormat="1" x14ac:dyDescent="0.25">
      <c r="A735" s="1"/>
      <c r="B735" s="11"/>
      <c r="C735" s="11"/>
      <c r="D735" s="11"/>
      <c r="E735" s="11"/>
      <c r="F735" s="11"/>
      <c r="G735" s="11"/>
      <c r="H735" s="1"/>
      <c r="I735" s="4"/>
      <c r="J735" s="1"/>
      <c r="K735" s="1"/>
      <c r="L735" s="1"/>
      <c r="M735" s="86"/>
      <c r="N735" s="86"/>
      <c r="O735" s="86"/>
      <c r="P735" s="12"/>
      <c r="Q735" s="4"/>
      <c r="R735" s="4"/>
      <c r="S735" s="84"/>
      <c r="T735" s="5"/>
      <c r="U735" s="12"/>
      <c r="V735" s="88"/>
      <c r="W735" s="88"/>
      <c r="X735" s="88"/>
      <c r="Y735" s="88"/>
      <c r="Z735" s="88"/>
      <c r="AA735" s="88"/>
      <c r="AB735" s="93"/>
      <c r="AC735" s="93"/>
      <c r="AD735" s="93"/>
      <c r="AE735" s="6"/>
      <c r="AF735" s="6"/>
      <c r="AG735" s="6"/>
      <c r="AH735" s="6"/>
      <c r="AI735" s="6"/>
      <c r="AJ735" s="6"/>
      <c r="AK735" s="89"/>
      <c r="AL735" s="84"/>
      <c r="AM735" s="88"/>
      <c r="AN735" s="88"/>
      <c r="AO735" s="88"/>
      <c r="AP735" s="88"/>
      <c r="AQ735" s="86"/>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c r="KB735" s="1"/>
      <c r="KC735" s="1"/>
      <c r="KD735" s="1"/>
      <c r="KE735" s="1"/>
      <c r="KF735" s="1"/>
      <c r="KG735" s="1"/>
      <c r="KH735" s="1"/>
      <c r="KI735" s="1"/>
      <c r="KJ735" s="1"/>
      <c r="KK735" s="1"/>
      <c r="KL735" s="1"/>
      <c r="KM735" s="1"/>
      <c r="KN735" s="1"/>
      <c r="KO735" s="1"/>
      <c r="KP735" s="1"/>
      <c r="KQ735" s="1"/>
      <c r="KR735" s="1"/>
      <c r="KS735" s="1"/>
      <c r="KT735" s="1"/>
      <c r="KU735" s="1"/>
      <c r="KV735" s="1"/>
      <c r="KW735" s="1"/>
      <c r="KX735" s="1"/>
      <c r="KY735" s="1"/>
      <c r="KZ735" s="1"/>
      <c r="LA735" s="1"/>
      <c r="LB735" s="1"/>
      <c r="LC735" s="1"/>
      <c r="LD735" s="1"/>
      <c r="LE735" s="1"/>
    </row>
    <row r="736" spans="1:317" s="2" customFormat="1" x14ac:dyDescent="0.25">
      <c r="A736" s="1"/>
      <c r="B736" s="11"/>
      <c r="C736" s="11"/>
      <c r="D736" s="11"/>
      <c r="E736" s="11"/>
      <c r="F736" s="11"/>
      <c r="G736" s="11"/>
      <c r="H736" s="1"/>
      <c r="I736" s="4"/>
      <c r="J736" s="1"/>
      <c r="K736" s="1"/>
      <c r="L736" s="1"/>
      <c r="M736" s="86"/>
      <c r="N736" s="86"/>
      <c r="O736" s="86"/>
      <c r="P736" s="12"/>
      <c r="Q736" s="4"/>
      <c r="R736" s="4"/>
      <c r="S736" s="84"/>
      <c r="T736" s="5"/>
      <c r="U736" s="12"/>
      <c r="V736" s="88"/>
      <c r="W736" s="88"/>
      <c r="X736" s="88"/>
      <c r="Y736" s="88"/>
      <c r="Z736" s="88"/>
      <c r="AA736" s="88"/>
      <c r="AB736" s="93"/>
      <c r="AC736" s="93"/>
      <c r="AD736" s="93"/>
      <c r="AE736" s="6"/>
      <c r="AF736" s="6"/>
      <c r="AG736" s="6"/>
      <c r="AH736" s="6"/>
      <c r="AI736" s="6"/>
      <c r="AJ736" s="6"/>
      <c r="AK736" s="89"/>
      <c r="AL736" s="84"/>
      <c r="AM736" s="88"/>
      <c r="AN736" s="88"/>
      <c r="AO736" s="88"/>
      <c r="AP736" s="88"/>
      <c r="AQ736" s="86"/>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c r="KB736" s="1"/>
      <c r="KC736" s="1"/>
      <c r="KD736" s="1"/>
      <c r="KE736" s="1"/>
      <c r="KF736" s="1"/>
      <c r="KG736" s="1"/>
      <c r="KH736" s="1"/>
      <c r="KI736" s="1"/>
      <c r="KJ736" s="1"/>
      <c r="KK736" s="1"/>
      <c r="KL736" s="1"/>
      <c r="KM736" s="1"/>
      <c r="KN736" s="1"/>
      <c r="KO736" s="1"/>
      <c r="KP736" s="1"/>
      <c r="KQ736" s="1"/>
      <c r="KR736" s="1"/>
      <c r="KS736" s="1"/>
      <c r="KT736" s="1"/>
      <c r="KU736" s="1"/>
      <c r="KV736" s="1"/>
      <c r="KW736" s="1"/>
      <c r="KX736" s="1"/>
      <c r="KY736" s="1"/>
      <c r="KZ736" s="1"/>
      <c r="LA736" s="1"/>
      <c r="LB736" s="1"/>
      <c r="LC736" s="1"/>
      <c r="LD736" s="1"/>
      <c r="LE736" s="1"/>
    </row>
    <row r="737" spans="1:317" s="2" customFormat="1" x14ac:dyDescent="0.25">
      <c r="A737" s="1"/>
      <c r="B737" s="11"/>
      <c r="C737" s="11"/>
      <c r="D737" s="11"/>
      <c r="E737" s="11"/>
      <c r="F737" s="11"/>
      <c r="G737" s="11"/>
      <c r="H737" s="1"/>
      <c r="I737" s="4"/>
      <c r="J737" s="1"/>
      <c r="K737" s="1"/>
      <c r="L737" s="1"/>
      <c r="M737" s="86"/>
      <c r="N737" s="86"/>
      <c r="O737" s="86"/>
      <c r="P737" s="12"/>
      <c r="Q737" s="4"/>
      <c r="R737" s="4"/>
      <c r="S737" s="84"/>
      <c r="T737" s="5"/>
      <c r="U737" s="12"/>
      <c r="V737" s="88"/>
      <c r="W737" s="88"/>
      <c r="X737" s="88"/>
      <c r="Y737" s="88"/>
      <c r="Z737" s="88"/>
      <c r="AA737" s="88"/>
      <c r="AB737" s="93"/>
      <c r="AC737" s="93"/>
      <c r="AD737" s="93"/>
      <c r="AE737" s="6"/>
      <c r="AF737" s="6"/>
      <c r="AG737" s="6"/>
      <c r="AH737" s="6"/>
      <c r="AI737" s="6"/>
      <c r="AJ737" s="6"/>
      <c r="AK737" s="89"/>
      <c r="AL737" s="84"/>
      <c r="AM737" s="88"/>
      <c r="AN737" s="88"/>
      <c r="AO737" s="88"/>
      <c r="AP737" s="88"/>
      <c r="AQ737" s="86"/>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c r="KB737" s="1"/>
      <c r="KC737" s="1"/>
      <c r="KD737" s="1"/>
      <c r="KE737" s="1"/>
      <c r="KF737" s="1"/>
      <c r="KG737" s="1"/>
      <c r="KH737" s="1"/>
      <c r="KI737" s="1"/>
      <c r="KJ737" s="1"/>
      <c r="KK737" s="1"/>
      <c r="KL737" s="1"/>
      <c r="KM737" s="1"/>
      <c r="KN737" s="1"/>
      <c r="KO737" s="1"/>
      <c r="KP737" s="1"/>
      <c r="KQ737" s="1"/>
      <c r="KR737" s="1"/>
      <c r="KS737" s="1"/>
      <c r="KT737" s="1"/>
      <c r="KU737" s="1"/>
      <c r="KV737" s="1"/>
      <c r="KW737" s="1"/>
      <c r="KX737" s="1"/>
      <c r="KY737" s="1"/>
      <c r="KZ737" s="1"/>
      <c r="LA737" s="1"/>
      <c r="LB737" s="1"/>
      <c r="LC737" s="1"/>
      <c r="LD737" s="1"/>
      <c r="LE737" s="1"/>
    </row>
    <row r="738" spans="1:317" s="2" customFormat="1" x14ac:dyDescent="0.25">
      <c r="A738" s="1"/>
      <c r="B738" s="11"/>
      <c r="C738" s="11"/>
      <c r="D738" s="11"/>
      <c r="E738" s="11"/>
      <c r="F738" s="11"/>
      <c r="G738" s="11"/>
      <c r="H738" s="1"/>
      <c r="I738" s="4"/>
      <c r="J738" s="1"/>
      <c r="K738" s="1"/>
      <c r="L738" s="1"/>
      <c r="M738" s="86"/>
      <c r="N738" s="86"/>
      <c r="O738" s="86"/>
      <c r="P738" s="12"/>
      <c r="Q738" s="4"/>
      <c r="R738" s="4"/>
      <c r="S738" s="84"/>
      <c r="T738" s="5"/>
      <c r="U738" s="12"/>
      <c r="V738" s="88"/>
      <c r="W738" s="88"/>
      <c r="X738" s="88"/>
      <c r="Y738" s="88"/>
      <c r="Z738" s="88"/>
      <c r="AA738" s="88"/>
      <c r="AB738" s="93"/>
      <c r="AC738" s="93"/>
      <c r="AD738" s="93"/>
      <c r="AE738" s="6"/>
      <c r="AF738" s="6"/>
      <c r="AG738" s="6"/>
      <c r="AH738" s="6"/>
      <c r="AI738" s="6"/>
      <c r="AJ738" s="6"/>
      <c r="AK738" s="89"/>
      <c r="AL738" s="84"/>
      <c r="AM738" s="88"/>
      <c r="AN738" s="88"/>
      <c r="AO738" s="88"/>
      <c r="AP738" s="88"/>
      <c r="AQ738" s="86"/>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c r="KB738" s="1"/>
      <c r="KC738" s="1"/>
      <c r="KD738" s="1"/>
      <c r="KE738" s="1"/>
      <c r="KF738" s="1"/>
      <c r="KG738" s="1"/>
      <c r="KH738" s="1"/>
      <c r="KI738" s="1"/>
      <c r="KJ738" s="1"/>
      <c r="KK738" s="1"/>
      <c r="KL738" s="1"/>
      <c r="KM738" s="1"/>
      <c r="KN738" s="1"/>
      <c r="KO738" s="1"/>
      <c r="KP738" s="1"/>
      <c r="KQ738" s="1"/>
      <c r="KR738" s="1"/>
      <c r="KS738" s="1"/>
      <c r="KT738" s="1"/>
      <c r="KU738" s="1"/>
      <c r="KV738" s="1"/>
      <c r="KW738" s="1"/>
      <c r="KX738" s="1"/>
      <c r="KY738" s="1"/>
      <c r="KZ738" s="1"/>
      <c r="LA738" s="1"/>
      <c r="LB738" s="1"/>
      <c r="LC738" s="1"/>
      <c r="LD738" s="1"/>
      <c r="LE738" s="1"/>
    </row>
    <row r="739" spans="1:317" s="2" customFormat="1" x14ac:dyDescent="0.25">
      <c r="A739" s="1"/>
      <c r="B739" s="11"/>
      <c r="C739" s="11"/>
      <c r="D739" s="11"/>
      <c r="E739" s="11"/>
      <c r="F739" s="11"/>
      <c r="G739" s="11"/>
      <c r="H739" s="1"/>
      <c r="I739" s="4"/>
      <c r="J739" s="1"/>
      <c r="K739" s="1"/>
      <c r="L739" s="1"/>
      <c r="M739" s="86"/>
      <c r="N739" s="86"/>
      <c r="O739" s="86"/>
      <c r="P739" s="12"/>
      <c r="Q739" s="4"/>
      <c r="R739" s="4"/>
      <c r="S739" s="84"/>
      <c r="T739" s="5"/>
      <c r="U739" s="12"/>
      <c r="V739" s="88"/>
      <c r="W739" s="88"/>
      <c r="X739" s="88"/>
      <c r="Y739" s="88"/>
      <c r="Z739" s="88"/>
      <c r="AA739" s="88"/>
      <c r="AB739" s="93"/>
      <c r="AC739" s="93"/>
      <c r="AD739" s="93"/>
      <c r="AE739" s="6"/>
      <c r="AF739" s="6"/>
      <c r="AG739" s="6"/>
      <c r="AH739" s="6"/>
      <c r="AI739" s="6"/>
      <c r="AJ739" s="6"/>
      <c r="AK739" s="89"/>
      <c r="AL739" s="84"/>
      <c r="AM739" s="88"/>
      <c r="AN739" s="88"/>
      <c r="AO739" s="88"/>
      <c r="AP739" s="88"/>
      <c r="AQ739" s="86"/>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c r="KB739" s="1"/>
      <c r="KC739" s="1"/>
      <c r="KD739" s="1"/>
      <c r="KE739" s="1"/>
      <c r="KF739" s="1"/>
      <c r="KG739" s="1"/>
      <c r="KH739" s="1"/>
      <c r="KI739" s="1"/>
      <c r="KJ739" s="1"/>
      <c r="KK739" s="1"/>
      <c r="KL739" s="1"/>
      <c r="KM739" s="1"/>
      <c r="KN739" s="1"/>
      <c r="KO739" s="1"/>
      <c r="KP739" s="1"/>
      <c r="KQ739" s="1"/>
      <c r="KR739" s="1"/>
      <c r="KS739" s="1"/>
      <c r="KT739" s="1"/>
      <c r="KU739" s="1"/>
      <c r="KV739" s="1"/>
      <c r="KW739" s="1"/>
      <c r="KX739" s="1"/>
      <c r="KY739" s="1"/>
      <c r="KZ739" s="1"/>
      <c r="LA739" s="1"/>
      <c r="LB739" s="1"/>
      <c r="LC739" s="1"/>
      <c r="LD739" s="1"/>
      <c r="LE739" s="1"/>
    </row>
    <row r="740" spans="1:317" s="2" customFormat="1" x14ac:dyDescent="0.25">
      <c r="A740" s="1"/>
      <c r="B740" s="11"/>
      <c r="C740" s="11"/>
      <c r="D740" s="11"/>
      <c r="E740" s="11"/>
      <c r="F740" s="11"/>
      <c r="G740" s="11"/>
      <c r="H740" s="1"/>
      <c r="I740" s="4"/>
      <c r="J740" s="1"/>
      <c r="K740" s="1"/>
      <c r="L740" s="1"/>
      <c r="M740" s="86"/>
      <c r="N740" s="86"/>
      <c r="O740" s="86"/>
      <c r="P740" s="12"/>
      <c r="Q740" s="4"/>
      <c r="R740" s="4"/>
      <c r="S740" s="84"/>
      <c r="T740" s="5"/>
      <c r="U740" s="12"/>
      <c r="V740" s="88"/>
      <c r="W740" s="88"/>
      <c r="X740" s="88"/>
      <c r="Y740" s="88"/>
      <c r="Z740" s="88"/>
      <c r="AA740" s="88"/>
      <c r="AB740" s="93"/>
      <c r="AC740" s="93"/>
      <c r="AD740" s="93"/>
      <c r="AE740" s="6"/>
      <c r="AF740" s="6"/>
      <c r="AG740" s="6"/>
      <c r="AH740" s="6"/>
      <c r="AI740" s="6"/>
      <c r="AJ740" s="6"/>
      <c r="AK740" s="89"/>
      <c r="AL740" s="84"/>
      <c r="AM740" s="88"/>
      <c r="AN740" s="88"/>
      <c r="AO740" s="88"/>
      <c r="AP740" s="88"/>
      <c r="AQ740" s="86"/>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c r="KB740" s="1"/>
      <c r="KC740" s="1"/>
      <c r="KD740" s="1"/>
      <c r="KE740" s="1"/>
      <c r="KF740" s="1"/>
      <c r="KG740" s="1"/>
      <c r="KH740" s="1"/>
      <c r="KI740" s="1"/>
      <c r="KJ740" s="1"/>
      <c r="KK740" s="1"/>
      <c r="KL740" s="1"/>
      <c r="KM740" s="1"/>
      <c r="KN740" s="1"/>
      <c r="KO740" s="1"/>
      <c r="KP740" s="1"/>
      <c r="KQ740" s="1"/>
      <c r="KR740" s="1"/>
      <c r="KS740" s="1"/>
      <c r="KT740" s="1"/>
      <c r="KU740" s="1"/>
      <c r="KV740" s="1"/>
      <c r="KW740" s="1"/>
      <c r="KX740" s="1"/>
      <c r="KY740" s="1"/>
      <c r="KZ740" s="1"/>
      <c r="LA740" s="1"/>
      <c r="LB740" s="1"/>
      <c r="LC740" s="1"/>
      <c r="LD740" s="1"/>
      <c r="LE740" s="1"/>
    </row>
    <row r="741" spans="1:317" s="2" customFormat="1" x14ac:dyDescent="0.25">
      <c r="A741" s="1"/>
      <c r="B741" s="11"/>
      <c r="C741" s="11"/>
      <c r="D741" s="11"/>
      <c r="E741" s="11"/>
      <c r="F741" s="11"/>
      <c r="G741" s="11"/>
      <c r="H741" s="1"/>
      <c r="I741" s="4"/>
      <c r="J741" s="1"/>
      <c r="K741" s="1"/>
      <c r="L741" s="1"/>
      <c r="M741" s="86"/>
      <c r="N741" s="86"/>
      <c r="O741" s="86"/>
      <c r="P741" s="12"/>
      <c r="Q741" s="4"/>
      <c r="R741" s="4"/>
      <c r="S741" s="84"/>
      <c r="T741" s="5"/>
      <c r="U741" s="12"/>
      <c r="V741" s="88"/>
      <c r="W741" s="88"/>
      <c r="X741" s="88"/>
      <c r="Y741" s="88"/>
      <c r="Z741" s="88"/>
      <c r="AA741" s="88"/>
      <c r="AB741" s="93"/>
      <c r="AC741" s="93"/>
      <c r="AD741" s="93"/>
      <c r="AE741" s="6"/>
      <c r="AF741" s="6"/>
      <c r="AG741" s="6"/>
      <c r="AH741" s="6"/>
      <c r="AI741" s="6"/>
      <c r="AJ741" s="6"/>
      <c r="AK741" s="89"/>
      <c r="AL741" s="84"/>
      <c r="AM741" s="88"/>
      <c r="AN741" s="88"/>
      <c r="AO741" s="88"/>
      <c r="AP741" s="88"/>
      <c r="AQ741" s="86"/>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c r="KB741" s="1"/>
      <c r="KC741" s="1"/>
      <c r="KD741" s="1"/>
      <c r="KE741" s="1"/>
      <c r="KF741" s="1"/>
      <c r="KG741" s="1"/>
      <c r="KH741" s="1"/>
      <c r="KI741" s="1"/>
      <c r="KJ741" s="1"/>
      <c r="KK741" s="1"/>
      <c r="KL741" s="1"/>
      <c r="KM741" s="1"/>
      <c r="KN741" s="1"/>
      <c r="KO741" s="1"/>
      <c r="KP741" s="1"/>
      <c r="KQ741" s="1"/>
      <c r="KR741" s="1"/>
      <c r="KS741" s="1"/>
      <c r="KT741" s="1"/>
      <c r="KU741" s="1"/>
      <c r="KV741" s="1"/>
      <c r="KW741" s="1"/>
      <c r="KX741" s="1"/>
      <c r="KY741" s="1"/>
      <c r="KZ741" s="1"/>
      <c r="LA741" s="1"/>
      <c r="LB741" s="1"/>
      <c r="LC741" s="1"/>
      <c r="LD741" s="1"/>
      <c r="LE741" s="1"/>
    </row>
    <row r="742" spans="1:317" s="2" customFormat="1" x14ac:dyDescent="0.25">
      <c r="A742" s="1"/>
      <c r="B742" s="11"/>
      <c r="C742" s="11"/>
      <c r="D742" s="11"/>
      <c r="E742" s="11"/>
      <c r="F742" s="11"/>
      <c r="G742" s="11"/>
      <c r="H742" s="1"/>
      <c r="I742" s="4"/>
      <c r="J742" s="1"/>
      <c r="K742" s="1"/>
      <c r="L742" s="1"/>
      <c r="M742" s="86"/>
      <c r="N742" s="86"/>
      <c r="O742" s="86"/>
      <c r="P742" s="12"/>
      <c r="Q742" s="4"/>
      <c r="R742" s="4"/>
      <c r="S742" s="84"/>
      <c r="T742" s="5"/>
      <c r="U742" s="12"/>
      <c r="V742" s="88"/>
      <c r="W742" s="88"/>
      <c r="X742" s="88"/>
      <c r="Y742" s="88"/>
      <c r="Z742" s="88"/>
      <c r="AA742" s="88"/>
      <c r="AB742" s="93"/>
      <c r="AC742" s="93"/>
      <c r="AD742" s="93"/>
      <c r="AE742" s="6"/>
      <c r="AF742" s="6"/>
      <c r="AG742" s="6"/>
      <c r="AH742" s="6"/>
      <c r="AI742" s="6"/>
      <c r="AJ742" s="6"/>
      <c r="AK742" s="89"/>
      <c r="AL742" s="84"/>
      <c r="AM742" s="88"/>
      <c r="AN742" s="88"/>
      <c r="AO742" s="88"/>
      <c r="AP742" s="88"/>
      <c r="AQ742" s="86"/>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c r="KB742" s="1"/>
      <c r="KC742" s="1"/>
      <c r="KD742" s="1"/>
      <c r="KE742" s="1"/>
      <c r="KF742" s="1"/>
      <c r="KG742" s="1"/>
      <c r="KH742" s="1"/>
      <c r="KI742" s="1"/>
      <c r="KJ742" s="1"/>
      <c r="KK742" s="1"/>
      <c r="KL742" s="1"/>
      <c r="KM742" s="1"/>
      <c r="KN742" s="1"/>
      <c r="KO742" s="1"/>
      <c r="KP742" s="1"/>
      <c r="KQ742" s="1"/>
      <c r="KR742" s="1"/>
      <c r="KS742" s="1"/>
      <c r="KT742" s="1"/>
      <c r="KU742" s="1"/>
      <c r="KV742" s="1"/>
      <c r="KW742" s="1"/>
      <c r="KX742" s="1"/>
      <c r="KY742" s="1"/>
      <c r="KZ742" s="1"/>
      <c r="LA742" s="1"/>
      <c r="LB742" s="1"/>
      <c r="LC742" s="1"/>
      <c r="LD742" s="1"/>
      <c r="LE742" s="1"/>
    </row>
    <row r="743" spans="1:317" s="2" customFormat="1" x14ac:dyDescent="0.25">
      <c r="A743" s="1"/>
      <c r="B743" s="11"/>
      <c r="C743" s="11"/>
      <c r="D743" s="11"/>
      <c r="E743" s="11"/>
      <c r="F743" s="11"/>
      <c r="G743" s="11"/>
      <c r="H743" s="1"/>
      <c r="I743" s="4"/>
      <c r="J743" s="1"/>
      <c r="K743" s="1"/>
      <c r="L743" s="1"/>
      <c r="M743" s="86"/>
      <c r="N743" s="86"/>
      <c r="O743" s="86"/>
      <c r="P743" s="12"/>
      <c r="Q743" s="4"/>
      <c r="R743" s="4"/>
      <c r="S743" s="84"/>
      <c r="T743" s="5"/>
      <c r="U743" s="12"/>
      <c r="V743" s="88"/>
      <c r="W743" s="88"/>
      <c r="X743" s="88"/>
      <c r="Y743" s="88"/>
      <c r="Z743" s="88"/>
      <c r="AA743" s="88"/>
      <c r="AB743" s="93"/>
      <c r="AC743" s="93"/>
      <c r="AD743" s="93"/>
      <c r="AE743" s="6"/>
      <c r="AF743" s="6"/>
      <c r="AG743" s="6"/>
      <c r="AH743" s="6"/>
      <c r="AI743" s="6"/>
      <c r="AJ743" s="6"/>
      <c r="AK743" s="89"/>
      <c r="AL743" s="84"/>
      <c r="AM743" s="88"/>
      <c r="AN743" s="88"/>
      <c r="AO743" s="88"/>
      <c r="AP743" s="88"/>
      <c r="AQ743" s="86"/>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c r="KB743" s="1"/>
      <c r="KC743" s="1"/>
      <c r="KD743" s="1"/>
      <c r="KE743" s="1"/>
      <c r="KF743" s="1"/>
      <c r="KG743" s="1"/>
      <c r="KH743" s="1"/>
      <c r="KI743" s="1"/>
      <c r="KJ743" s="1"/>
      <c r="KK743" s="1"/>
      <c r="KL743" s="1"/>
      <c r="KM743" s="1"/>
      <c r="KN743" s="1"/>
      <c r="KO743" s="1"/>
      <c r="KP743" s="1"/>
      <c r="KQ743" s="1"/>
      <c r="KR743" s="1"/>
      <c r="KS743" s="1"/>
      <c r="KT743" s="1"/>
      <c r="KU743" s="1"/>
      <c r="KV743" s="1"/>
      <c r="KW743" s="1"/>
      <c r="KX743" s="1"/>
      <c r="KY743" s="1"/>
      <c r="KZ743" s="1"/>
      <c r="LA743" s="1"/>
      <c r="LB743" s="1"/>
      <c r="LC743" s="1"/>
      <c r="LD743" s="1"/>
      <c r="LE743" s="1"/>
    </row>
    <row r="744" spans="1:317" s="2" customFormat="1" x14ac:dyDescent="0.25">
      <c r="A744" s="1"/>
      <c r="B744" s="11"/>
      <c r="C744" s="11"/>
      <c r="D744" s="11"/>
      <c r="E744" s="11"/>
      <c r="F744" s="11"/>
      <c r="G744" s="11"/>
      <c r="H744" s="1"/>
      <c r="I744" s="4"/>
      <c r="J744" s="1"/>
      <c r="K744" s="1"/>
      <c r="L744" s="1"/>
      <c r="M744" s="86"/>
      <c r="N744" s="86"/>
      <c r="O744" s="86"/>
      <c r="P744" s="12"/>
      <c r="Q744" s="4"/>
      <c r="R744" s="4"/>
      <c r="S744" s="84"/>
      <c r="T744" s="5"/>
      <c r="U744" s="12"/>
      <c r="V744" s="88"/>
      <c r="W744" s="88"/>
      <c r="X744" s="88"/>
      <c r="Y744" s="88"/>
      <c r="Z744" s="88"/>
      <c r="AA744" s="88"/>
      <c r="AB744" s="93"/>
      <c r="AC744" s="93"/>
      <c r="AD744" s="93"/>
      <c r="AE744" s="6"/>
      <c r="AF744" s="6"/>
      <c r="AG744" s="6"/>
      <c r="AH744" s="6"/>
      <c r="AI744" s="6"/>
      <c r="AJ744" s="6"/>
      <c r="AK744" s="89"/>
      <c r="AL744" s="84"/>
      <c r="AM744" s="88"/>
      <c r="AN744" s="88"/>
      <c r="AO744" s="88"/>
      <c r="AP744" s="88"/>
      <c r="AQ744" s="86"/>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c r="KB744" s="1"/>
      <c r="KC744" s="1"/>
      <c r="KD744" s="1"/>
      <c r="KE744" s="1"/>
      <c r="KF744" s="1"/>
      <c r="KG744" s="1"/>
      <c r="KH744" s="1"/>
      <c r="KI744" s="1"/>
      <c r="KJ744" s="1"/>
      <c r="KK744" s="1"/>
      <c r="KL744" s="1"/>
      <c r="KM744" s="1"/>
      <c r="KN744" s="1"/>
      <c r="KO744" s="1"/>
      <c r="KP744" s="1"/>
      <c r="KQ744" s="1"/>
      <c r="KR744" s="1"/>
      <c r="KS744" s="1"/>
      <c r="KT744" s="1"/>
      <c r="KU744" s="1"/>
      <c r="KV744" s="1"/>
      <c r="KW744" s="1"/>
      <c r="KX744" s="1"/>
      <c r="KY744" s="1"/>
      <c r="KZ744" s="1"/>
      <c r="LA744" s="1"/>
      <c r="LB744" s="1"/>
      <c r="LC744" s="1"/>
      <c r="LD744" s="1"/>
      <c r="LE744" s="1"/>
    </row>
    <row r="745" spans="1:317" s="2" customFormat="1" x14ac:dyDescent="0.25">
      <c r="A745" s="1"/>
      <c r="B745" s="11"/>
      <c r="C745" s="11"/>
      <c r="D745" s="11"/>
      <c r="E745" s="11"/>
      <c r="F745" s="11"/>
      <c r="G745" s="11"/>
      <c r="H745" s="1"/>
      <c r="I745" s="4"/>
      <c r="J745" s="1"/>
      <c r="K745" s="1"/>
      <c r="L745" s="1"/>
      <c r="M745" s="86"/>
      <c r="N745" s="86"/>
      <c r="O745" s="86"/>
      <c r="P745" s="12"/>
      <c r="Q745" s="4"/>
      <c r="R745" s="4"/>
      <c r="S745" s="84"/>
      <c r="T745" s="5"/>
      <c r="U745" s="12"/>
      <c r="V745" s="88"/>
      <c r="W745" s="88"/>
      <c r="X745" s="88"/>
      <c r="Y745" s="88"/>
      <c r="Z745" s="88"/>
      <c r="AA745" s="88"/>
      <c r="AB745" s="93"/>
      <c r="AC745" s="93"/>
      <c r="AD745" s="93"/>
      <c r="AE745" s="6"/>
      <c r="AF745" s="6"/>
      <c r="AG745" s="6"/>
      <c r="AH745" s="6"/>
      <c r="AI745" s="6"/>
      <c r="AJ745" s="6"/>
      <c r="AK745" s="89"/>
      <c r="AL745" s="84"/>
      <c r="AM745" s="88"/>
      <c r="AN745" s="88"/>
      <c r="AO745" s="88"/>
      <c r="AP745" s="88"/>
      <c r="AQ745" s="86"/>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c r="KB745" s="1"/>
      <c r="KC745" s="1"/>
      <c r="KD745" s="1"/>
      <c r="KE745" s="1"/>
      <c r="KF745" s="1"/>
      <c r="KG745" s="1"/>
      <c r="KH745" s="1"/>
      <c r="KI745" s="1"/>
      <c r="KJ745" s="1"/>
      <c r="KK745" s="1"/>
      <c r="KL745" s="1"/>
      <c r="KM745" s="1"/>
      <c r="KN745" s="1"/>
      <c r="KO745" s="1"/>
      <c r="KP745" s="1"/>
      <c r="KQ745" s="1"/>
      <c r="KR745" s="1"/>
      <c r="KS745" s="1"/>
      <c r="KT745" s="1"/>
      <c r="KU745" s="1"/>
      <c r="KV745" s="1"/>
      <c r="KW745" s="1"/>
      <c r="KX745" s="1"/>
      <c r="KY745" s="1"/>
      <c r="KZ745" s="1"/>
      <c r="LA745" s="1"/>
      <c r="LB745" s="1"/>
      <c r="LC745" s="1"/>
      <c r="LD745" s="1"/>
      <c r="LE745" s="1"/>
    </row>
    <row r="746" spans="1:317" s="2" customFormat="1" x14ac:dyDescent="0.25">
      <c r="A746" s="1"/>
      <c r="B746" s="11"/>
      <c r="C746" s="11"/>
      <c r="D746" s="11"/>
      <c r="E746" s="11"/>
      <c r="F746" s="11"/>
      <c r="G746" s="11"/>
      <c r="H746" s="1"/>
      <c r="I746" s="4"/>
      <c r="J746" s="1"/>
      <c r="K746" s="1"/>
      <c r="L746" s="1"/>
      <c r="M746" s="86"/>
      <c r="N746" s="86"/>
      <c r="O746" s="86"/>
      <c r="P746" s="12"/>
      <c r="Q746" s="4"/>
      <c r="R746" s="4"/>
      <c r="S746" s="84"/>
      <c r="T746" s="5"/>
      <c r="U746" s="12"/>
      <c r="V746" s="88"/>
      <c r="W746" s="88"/>
      <c r="X746" s="88"/>
      <c r="Y746" s="88"/>
      <c r="Z746" s="88"/>
      <c r="AA746" s="88"/>
      <c r="AB746" s="93"/>
      <c r="AC746" s="93"/>
      <c r="AD746" s="93"/>
      <c r="AE746" s="6"/>
      <c r="AF746" s="6"/>
      <c r="AG746" s="6"/>
      <c r="AH746" s="6"/>
      <c r="AI746" s="6"/>
      <c r="AJ746" s="6"/>
      <c r="AK746" s="89"/>
      <c r="AL746" s="84"/>
      <c r="AM746" s="88"/>
      <c r="AN746" s="88"/>
      <c r="AO746" s="88"/>
      <c r="AP746" s="88"/>
      <c r="AQ746" s="86"/>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c r="KB746" s="1"/>
      <c r="KC746" s="1"/>
      <c r="KD746" s="1"/>
      <c r="KE746" s="1"/>
      <c r="KF746" s="1"/>
      <c r="KG746" s="1"/>
      <c r="KH746" s="1"/>
      <c r="KI746" s="1"/>
      <c r="KJ746" s="1"/>
      <c r="KK746" s="1"/>
      <c r="KL746" s="1"/>
      <c r="KM746" s="1"/>
      <c r="KN746" s="1"/>
      <c r="KO746" s="1"/>
      <c r="KP746" s="1"/>
      <c r="KQ746" s="1"/>
      <c r="KR746" s="1"/>
      <c r="KS746" s="1"/>
      <c r="KT746" s="1"/>
      <c r="KU746" s="1"/>
      <c r="KV746" s="1"/>
      <c r="KW746" s="1"/>
      <c r="KX746" s="1"/>
      <c r="KY746" s="1"/>
      <c r="KZ746" s="1"/>
      <c r="LA746" s="1"/>
      <c r="LB746" s="1"/>
      <c r="LC746" s="1"/>
      <c r="LD746" s="1"/>
      <c r="LE746" s="1"/>
    </row>
    <row r="747" spans="1:317" s="2" customFormat="1" x14ac:dyDescent="0.25">
      <c r="A747" s="1"/>
      <c r="B747" s="11"/>
      <c r="C747" s="11"/>
      <c r="D747" s="11"/>
      <c r="E747" s="11"/>
      <c r="F747" s="11"/>
      <c r="G747" s="11"/>
      <c r="H747" s="1"/>
      <c r="I747" s="4"/>
      <c r="J747" s="1"/>
      <c r="K747" s="1"/>
      <c r="L747" s="1"/>
      <c r="M747" s="86"/>
      <c r="N747" s="86"/>
      <c r="O747" s="86"/>
      <c r="P747" s="12"/>
      <c r="Q747" s="4"/>
      <c r="R747" s="4"/>
      <c r="S747" s="84"/>
      <c r="T747" s="5"/>
      <c r="U747" s="12"/>
      <c r="V747" s="88"/>
      <c r="W747" s="88"/>
      <c r="X747" s="88"/>
      <c r="Y747" s="88"/>
      <c r="Z747" s="88"/>
      <c r="AA747" s="88"/>
      <c r="AB747" s="93"/>
      <c r="AC747" s="93"/>
      <c r="AD747" s="93"/>
      <c r="AE747" s="6"/>
      <c r="AF747" s="6"/>
      <c r="AG747" s="6"/>
      <c r="AH747" s="6"/>
      <c r="AI747" s="6"/>
      <c r="AJ747" s="6"/>
      <c r="AK747" s="89"/>
      <c r="AL747" s="84"/>
      <c r="AM747" s="88"/>
      <c r="AN747" s="88"/>
      <c r="AO747" s="88"/>
      <c r="AP747" s="88"/>
      <c r="AQ747" s="86"/>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c r="KB747" s="1"/>
      <c r="KC747" s="1"/>
      <c r="KD747" s="1"/>
      <c r="KE747" s="1"/>
      <c r="KF747" s="1"/>
      <c r="KG747" s="1"/>
      <c r="KH747" s="1"/>
      <c r="KI747" s="1"/>
      <c r="KJ747" s="1"/>
      <c r="KK747" s="1"/>
      <c r="KL747" s="1"/>
      <c r="KM747" s="1"/>
      <c r="KN747" s="1"/>
      <c r="KO747" s="1"/>
      <c r="KP747" s="1"/>
      <c r="KQ747" s="1"/>
      <c r="KR747" s="1"/>
      <c r="KS747" s="1"/>
      <c r="KT747" s="1"/>
      <c r="KU747" s="1"/>
      <c r="KV747" s="1"/>
      <c r="KW747" s="1"/>
      <c r="KX747" s="1"/>
      <c r="KY747" s="1"/>
      <c r="KZ747" s="1"/>
      <c r="LA747" s="1"/>
      <c r="LB747" s="1"/>
      <c r="LC747" s="1"/>
      <c r="LD747" s="1"/>
      <c r="LE747" s="1"/>
    </row>
    <row r="748" spans="1:317" s="2" customFormat="1" x14ac:dyDescent="0.25">
      <c r="A748" s="1"/>
      <c r="B748" s="11"/>
      <c r="C748" s="11"/>
      <c r="D748" s="11"/>
      <c r="E748" s="11"/>
      <c r="F748" s="11"/>
      <c r="G748" s="11"/>
      <c r="H748" s="1"/>
      <c r="I748" s="4"/>
      <c r="J748" s="1"/>
      <c r="K748" s="1"/>
      <c r="L748" s="1"/>
      <c r="M748" s="86"/>
      <c r="N748" s="86"/>
      <c r="O748" s="86"/>
      <c r="P748" s="12"/>
      <c r="Q748" s="4"/>
      <c r="R748" s="4"/>
      <c r="S748" s="84"/>
      <c r="T748" s="5"/>
      <c r="U748" s="12"/>
      <c r="V748" s="88"/>
      <c r="W748" s="88"/>
      <c r="X748" s="88"/>
      <c r="Y748" s="88"/>
      <c r="Z748" s="88"/>
      <c r="AA748" s="88"/>
      <c r="AB748" s="93"/>
      <c r="AC748" s="93"/>
      <c r="AD748" s="93"/>
      <c r="AE748" s="6"/>
      <c r="AF748" s="6"/>
      <c r="AG748" s="6"/>
      <c r="AH748" s="6"/>
      <c r="AI748" s="6"/>
      <c r="AJ748" s="6"/>
      <c r="AK748" s="89"/>
      <c r="AL748" s="84"/>
      <c r="AM748" s="88"/>
      <c r="AN748" s="88"/>
      <c r="AO748" s="88"/>
      <c r="AP748" s="88"/>
      <c r="AQ748" s="86"/>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c r="KB748" s="1"/>
      <c r="KC748" s="1"/>
      <c r="KD748" s="1"/>
      <c r="KE748" s="1"/>
      <c r="KF748" s="1"/>
      <c r="KG748" s="1"/>
      <c r="KH748" s="1"/>
      <c r="KI748" s="1"/>
      <c r="KJ748" s="1"/>
      <c r="KK748" s="1"/>
      <c r="KL748" s="1"/>
      <c r="KM748" s="1"/>
      <c r="KN748" s="1"/>
      <c r="KO748" s="1"/>
      <c r="KP748" s="1"/>
      <c r="KQ748" s="1"/>
      <c r="KR748" s="1"/>
      <c r="KS748" s="1"/>
      <c r="KT748" s="1"/>
      <c r="KU748" s="1"/>
      <c r="KV748" s="1"/>
      <c r="KW748" s="1"/>
      <c r="KX748" s="1"/>
      <c r="KY748" s="1"/>
      <c r="KZ748" s="1"/>
      <c r="LA748" s="1"/>
      <c r="LB748" s="1"/>
      <c r="LC748" s="1"/>
      <c r="LD748" s="1"/>
      <c r="LE748" s="1"/>
    </row>
    <row r="749" spans="1:317" s="2" customFormat="1" x14ac:dyDescent="0.25">
      <c r="A749" s="1"/>
      <c r="B749" s="11"/>
      <c r="C749" s="11"/>
      <c r="D749" s="11"/>
      <c r="E749" s="11"/>
      <c r="F749" s="11"/>
      <c r="G749" s="11"/>
      <c r="H749" s="1"/>
      <c r="I749" s="4"/>
      <c r="J749" s="1"/>
      <c r="K749" s="1"/>
      <c r="L749" s="1"/>
      <c r="M749" s="86"/>
      <c r="N749" s="86"/>
      <c r="O749" s="86"/>
      <c r="P749" s="12"/>
      <c r="Q749" s="4"/>
      <c r="R749" s="4"/>
      <c r="S749" s="84"/>
      <c r="T749" s="5"/>
      <c r="U749" s="12"/>
      <c r="V749" s="88"/>
      <c r="W749" s="88"/>
      <c r="X749" s="88"/>
      <c r="Y749" s="88"/>
      <c r="Z749" s="88"/>
      <c r="AA749" s="88"/>
      <c r="AB749" s="93"/>
      <c r="AC749" s="93"/>
      <c r="AD749" s="93"/>
      <c r="AE749" s="6"/>
      <c r="AF749" s="6"/>
      <c r="AG749" s="6"/>
      <c r="AH749" s="6"/>
      <c r="AI749" s="6"/>
      <c r="AJ749" s="6"/>
      <c r="AK749" s="89"/>
      <c r="AL749" s="84"/>
      <c r="AM749" s="88"/>
      <c r="AN749" s="88"/>
      <c r="AO749" s="88"/>
      <c r="AP749" s="88"/>
      <c r="AQ749" s="86"/>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c r="KB749" s="1"/>
      <c r="KC749" s="1"/>
      <c r="KD749" s="1"/>
      <c r="KE749" s="1"/>
      <c r="KF749" s="1"/>
      <c r="KG749" s="1"/>
      <c r="KH749" s="1"/>
      <c r="KI749" s="1"/>
      <c r="KJ749" s="1"/>
      <c r="KK749" s="1"/>
      <c r="KL749" s="1"/>
      <c r="KM749" s="1"/>
      <c r="KN749" s="1"/>
      <c r="KO749" s="1"/>
      <c r="KP749" s="1"/>
      <c r="KQ749" s="1"/>
      <c r="KR749" s="1"/>
      <c r="KS749" s="1"/>
      <c r="KT749" s="1"/>
      <c r="KU749" s="1"/>
      <c r="KV749" s="1"/>
      <c r="KW749" s="1"/>
      <c r="KX749" s="1"/>
      <c r="KY749" s="1"/>
      <c r="KZ749" s="1"/>
      <c r="LA749" s="1"/>
      <c r="LB749" s="1"/>
      <c r="LC749" s="1"/>
      <c r="LD749" s="1"/>
      <c r="LE749" s="1"/>
    </row>
    <row r="750" spans="1:317" s="2" customFormat="1" x14ac:dyDescent="0.25">
      <c r="A750" s="1"/>
      <c r="B750" s="11"/>
      <c r="C750" s="11"/>
      <c r="D750" s="11"/>
      <c r="E750" s="11"/>
      <c r="F750" s="11"/>
      <c r="G750" s="11"/>
      <c r="H750" s="1"/>
      <c r="I750" s="4"/>
      <c r="J750" s="1"/>
      <c r="K750" s="1"/>
      <c r="L750" s="1"/>
      <c r="M750" s="86"/>
      <c r="N750" s="86"/>
      <c r="O750" s="86"/>
      <c r="P750" s="12"/>
      <c r="Q750" s="4"/>
      <c r="R750" s="4"/>
      <c r="S750" s="84"/>
      <c r="T750" s="5"/>
      <c r="U750" s="12"/>
      <c r="V750" s="88"/>
      <c r="W750" s="88"/>
      <c r="X750" s="88"/>
      <c r="Y750" s="88"/>
      <c r="Z750" s="88"/>
      <c r="AA750" s="88"/>
      <c r="AB750" s="93"/>
      <c r="AC750" s="93"/>
      <c r="AD750" s="93"/>
      <c r="AE750" s="6"/>
      <c r="AF750" s="6"/>
      <c r="AG750" s="6"/>
      <c r="AH750" s="6"/>
      <c r="AI750" s="6"/>
      <c r="AJ750" s="6"/>
      <c r="AK750" s="89"/>
      <c r="AL750" s="84"/>
      <c r="AM750" s="88"/>
      <c r="AN750" s="88"/>
      <c r="AO750" s="88"/>
      <c r="AP750" s="88"/>
      <c r="AQ750" s="86"/>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c r="KB750" s="1"/>
      <c r="KC750" s="1"/>
      <c r="KD750" s="1"/>
      <c r="KE750" s="1"/>
      <c r="KF750" s="1"/>
      <c r="KG750" s="1"/>
      <c r="KH750" s="1"/>
      <c r="KI750" s="1"/>
      <c r="KJ750" s="1"/>
      <c r="KK750" s="1"/>
      <c r="KL750" s="1"/>
      <c r="KM750" s="1"/>
      <c r="KN750" s="1"/>
      <c r="KO750" s="1"/>
      <c r="KP750" s="1"/>
      <c r="KQ750" s="1"/>
      <c r="KR750" s="1"/>
      <c r="KS750" s="1"/>
      <c r="KT750" s="1"/>
      <c r="KU750" s="1"/>
      <c r="KV750" s="1"/>
      <c r="KW750" s="1"/>
      <c r="KX750" s="1"/>
      <c r="KY750" s="1"/>
      <c r="KZ750" s="1"/>
      <c r="LA750" s="1"/>
      <c r="LB750" s="1"/>
      <c r="LC750" s="1"/>
      <c r="LD750" s="1"/>
      <c r="LE750" s="1"/>
    </row>
    <row r="751" spans="1:317" s="2" customFormat="1" x14ac:dyDescent="0.25">
      <c r="A751" s="1"/>
      <c r="B751" s="11"/>
      <c r="C751" s="11"/>
      <c r="D751" s="11"/>
      <c r="E751" s="11"/>
      <c r="F751" s="11"/>
      <c r="G751" s="11"/>
      <c r="H751" s="1"/>
      <c r="I751" s="4"/>
      <c r="J751" s="1"/>
      <c r="K751" s="1"/>
      <c r="L751" s="1"/>
      <c r="M751" s="86"/>
      <c r="N751" s="86"/>
      <c r="O751" s="86"/>
      <c r="P751" s="12"/>
      <c r="Q751" s="4"/>
      <c r="R751" s="4"/>
      <c r="S751" s="84"/>
      <c r="T751" s="5"/>
      <c r="U751" s="12"/>
      <c r="V751" s="88"/>
      <c r="W751" s="88"/>
      <c r="X751" s="88"/>
      <c r="Y751" s="88"/>
      <c r="Z751" s="88"/>
      <c r="AA751" s="88"/>
      <c r="AB751" s="93"/>
      <c r="AC751" s="93"/>
      <c r="AD751" s="93"/>
      <c r="AE751" s="6"/>
      <c r="AF751" s="6"/>
      <c r="AG751" s="6"/>
      <c r="AH751" s="6"/>
      <c r="AI751" s="6"/>
      <c r="AJ751" s="6"/>
      <c r="AK751" s="89"/>
      <c r="AL751" s="84"/>
      <c r="AM751" s="88"/>
      <c r="AN751" s="88"/>
      <c r="AO751" s="88"/>
      <c r="AP751" s="88"/>
      <c r="AQ751" s="86"/>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c r="KB751" s="1"/>
      <c r="KC751" s="1"/>
      <c r="KD751" s="1"/>
      <c r="KE751" s="1"/>
      <c r="KF751" s="1"/>
      <c r="KG751" s="1"/>
      <c r="KH751" s="1"/>
      <c r="KI751" s="1"/>
      <c r="KJ751" s="1"/>
      <c r="KK751" s="1"/>
      <c r="KL751" s="1"/>
      <c r="KM751" s="1"/>
      <c r="KN751" s="1"/>
      <c r="KO751" s="1"/>
      <c r="KP751" s="1"/>
      <c r="KQ751" s="1"/>
      <c r="KR751" s="1"/>
      <c r="KS751" s="1"/>
      <c r="KT751" s="1"/>
      <c r="KU751" s="1"/>
      <c r="KV751" s="1"/>
      <c r="KW751" s="1"/>
      <c r="KX751" s="1"/>
      <c r="KY751" s="1"/>
      <c r="KZ751" s="1"/>
      <c r="LA751" s="1"/>
      <c r="LB751" s="1"/>
      <c r="LC751" s="1"/>
      <c r="LD751" s="1"/>
      <c r="LE751" s="1"/>
    </row>
    <row r="752" spans="1:317" s="2" customFormat="1" x14ac:dyDescent="0.25">
      <c r="A752" s="1"/>
      <c r="B752" s="11"/>
      <c r="C752" s="11"/>
      <c r="D752" s="11"/>
      <c r="E752" s="11"/>
      <c r="F752" s="11"/>
      <c r="G752" s="11"/>
      <c r="H752" s="1"/>
      <c r="I752" s="4"/>
      <c r="J752" s="1"/>
      <c r="K752" s="1"/>
      <c r="L752" s="1"/>
      <c r="M752" s="86"/>
      <c r="N752" s="86"/>
      <c r="O752" s="86"/>
      <c r="P752" s="12"/>
      <c r="Q752" s="4"/>
      <c r="R752" s="4"/>
      <c r="S752" s="84"/>
      <c r="T752" s="5"/>
      <c r="U752" s="12"/>
      <c r="V752" s="88"/>
      <c r="W752" s="88"/>
      <c r="X752" s="88"/>
      <c r="Y752" s="88"/>
      <c r="Z752" s="88"/>
      <c r="AA752" s="88"/>
      <c r="AB752" s="93"/>
      <c r="AC752" s="93"/>
      <c r="AD752" s="93"/>
      <c r="AE752" s="6"/>
      <c r="AF752" s="6"/>
      <c r="AG752" s="6"/>
      <c r="AH752" s="6"/>
      <c r="AI752" s="6"/>
      <c r="AJ752" s="6"/>
      <c r="AK752" s="89"/>
      <c r="AL752" s="84"/>
      <c r="AM752" s="88"/>
      <c r="AN752" s="88"/>
      <c r="AO752" s="88"/>
      <c r="AP752" s="88"/>
      <c r="AQ752" s="86"/>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c r="KB752" s="1"/>
      <c r="KC752" s="1"/>
      <c r="KD752" s="1"/>
      <c r="KE752" s="1"/>
      <c r="KF752" s="1"/>
      <c r="KG752" s="1"/>
      <c r="KH752" s="1"/>
      <c r="KI752" s="1"/>
      <c r="KJ752" s="1"/>
      <c r="KK752" s="1"/>
      <c r="KL752" s="1"/>
      <c r="KM752" s="1"/>
      <c r="KN752" s="1"/>
      <c r="KO752" s="1"/>
      <c r="KP752" s="1"/>
      <c r="KQ752" s="1"/>
      <c r="KR752" s="1"/>
      <c r="KS752" s="1"/>
      <c r="KT752" s="1"/>
      <c r="KU752" s="1"/>
      <c r="KV752" s="1"/>
      <c r="KW752" s="1"/>
      <c r="KX752" s="1"/>
      <c r="KY752" s="1"/>
      <c r="KZ752" s="1"/>
      <c r="LA752" s="1"/>
      <c r="LB752" s="1"/>
      <c r="LC752" s="1"/>
      <c r="LD752" s="1"/>
      <c r="LE752" s="1"/>
    </row>
    <row r="753" spans="1:317" s="2" customFormat="1" x14ac:dyDescent="0.25">
      <c r="A753" s="1"/>
      <c r="B753" s="11"/>
      <c r="C753" s="11"/>
      <c r="D753" s="11"/>
      <c r="E753" s="11"/>
      <c r="F753" s="11"/>
      <c r="G753" s="11"/>
      <c r="H753" s="1"/>
      <c r="I753" s="4"/>
      <c r="J753" s="1"/>
      <c r="K753" s="1"/>
      <c r="L753" s="1"/>
      <c r="M753" s="86"/>
      <c r="N753" s="86"/>
      <c r="O753" s="86"/>
      <c r="P753" s="12"/>
      <c r="Q753" s="4"/>
      <c r="R753" s="4"/>
      <c r="S753" s="84"/>
      <c r="T753" s="5"/>
      <c r="U753" s="12"/>
      <c r="V753" s="88"/>
      <c r="W753" s="88"/>
      <c r="X753" s="88"/>
      <c r="Y753" s="88"/>
      <c r="Z753" s="88"/>
      <c r="AA753" s="88"/>
      <c r="AB753" s="93"/>
      <c r="AC753" s="93"/>
      <c r="AD753" s="93"/>
      <c r="AE753" s="6"/>
      <c r="AF753" s="6"/>
      <c r="AG753" s="6"/>
      <c r="AH753" s="6"/>
      <c r="AI753" s="6"/>
      <c r="AJ753" s="6"/>
      <c r="AK753" s="89"/>
      <c r="AL753" s="84"/>
      <c r="AM753" s="88"/>
      <c r="AN753" s="88"/>
      <c r="AO753" s="88"/>
      <c r="AP753" s="88"/>
      <c r="AQ753" s="86"/>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c r="KB753" s="1"/>
      <c r="KC753" s="1"/>
      <c r="KD753" s="1"/>
      <c r="KE753" s="1"/>
      <c r="KF753" s="1"/>
      <c r="KG753" s="1"/>
      <c r="KH753" s="1"/>
      <c r="KI753" s="1"/>
      <c r="KJ753" s="1"/>
      <c r="KK753" s="1"/>
      <c r="KL753" s="1"/>
      <c r="KM753" s="1"/>
      <c r="KN753" s="1"/>
      <c r="KO753" s="1"/>
      <c r="KP753" s="1"/>
      <c r="KQ753" s="1"/>
      <c r="KR753" s="1"/>
      <c r="KS753" s="1"/>
      <c r="KT753" s="1"/>
      <c r="KU753" s="1"/>
      <c r="KV753" s="1"/>
      <c r="KW753" s="1"/>
      <c r="KX753" s="1"/>
      <c r="KY753" s="1"/>
      <c r="KZ753" s="1"/>
      <c r="LA753" s="1"/>
      <c r="LB753" s="1"/>
      <c r="LC753" s="1"/>
      <c r="LD753" s="1"/>
      <c r="LE753" s="1"/>
    </row>
    <row r="754" spans="1:317" s="2" customFormat="1" x14ac:dyDescent="0.25">
      <c r="A754" s="1"/>
      <c r="B754" s="11"/>
      <c r="C754" s="11"/>
      <c r="D754" s="11"/>
      <c r="E754" s="11"/>
      <c r="F754" s="11"/>
      <c r="G754" s="11"/>
      <c r="H754" s="1"/>
      <c r="I754" s="4"/>
      <c r="J754" s="1"/>
      <c r="K754" s="1"/>
      <c r="L754" s="1"/>
      <c r="M754" s="86"/>
      <c r="N754" s="86"/>
      <c r="O754" s="86"/>
      <c r="P754" s="12"/>
      <c r="Q754" s="4"/>
      <c r="R754" s="4"/>
      <c r="S754" s="84"/>
      <c r="T754" s="5"/>
      <c r="U754" s="12"/>
      <c r="V754" s="88"/>
      <c r="W754" s="88"/>
      <c r="X754" s="88"/>
      <c r="Y754" s="88"/>
      <c r="Z754" s="88"/>
      <c r="AA754" s="88"/>
      <c r="AB754" s="93"/>
      <c r="AC754" s="93"/>
      <c r="AD754" s="93"/>
      <c r="AE754" s="6"/>
      <c r="AF754" s="6"/>
      <c r="AG754" s="6"/>
      <c r="AH754" s="6"/>
      <c r="AI754" s="6"/>
      <c r="AJ754" s="6"/>
      <c r="AK754" s="89"/>
      <c r="AL754" s="84"/>
      <c r="AM754" s="88"/>
      <c r="AN754" s="88"/>
      <c r="AO754" s="88"/>
      <c r="AP754" s="88"/>
      <c r="AQ754" s="86"/>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c r="KB754" s="1"/>
      <c r="KC754" s="1"/>
      <c r="KD754" s="1"/>
      <c r="KE754" s="1"/>
      <c r="KF754" s="1"/>
      <c r="KG754" s="1"/>
      <c r="KH754" s="1"/>
      <c r="KI754" s="1"/>
      <c r="KJ754" s="1"/>
      <c r="KK754" s="1"/>
      <c r="KL754" s="1"/>
      <c r="KM754" s="1"/>
      <c r="KN754" s="1"/>
      <c r="KO754" s="1"/>
      <c r="KP754" s="1"/>
      <c r="KQ754" s="1"/>
      <c r="KR754" s="1"/>
      <c r="KS754" s="1"/>
      <c r="KT754" s="1"/>
      <c r="KU754" s="1"/>
      <c r="KV754" s="1"/>
      <c r="KW754" s="1"/>
      <c r="KX754" s="1"/>
      <c r="KY754" s="1"/>
      <c r="KZ754" s="1"/>
      <c r="LA754" s="1"/>
      <c r="LB754" s="1"/>
      <c r="LC754" s="1"/>
      <c r="LD754" s="1"/>
      <c r="LE754" s="1"/>
    </row>
    <row r="755" spans="1:317" s="2" customFormat="1" x14ac:dyDescent="0.25">
      <c r="A755" s="1"/>
      <c r="B755" s="11"/>
      <c r="C755" s="11"/>
      <c r="D755" s="11"/>
      <c r="E755" s="11"/>
      <c r="F755" s="11"/>
      <c r="G755" s="11"/>
      <c r="H755" s="1"/>
      <c r="I755" s="4"/>
      <c r="J755" s="1"/>
      <c r="K755" s="1"/>
      <c r="L755" s="1"/>
      <c r="M755" s="86"/>
      <c r="N755" s="86"/>
      <c r="O755" s="86"/>
      <c r="P755" s="12"/>
      <c r="Q755" s="4"/>
      <c r="R755" s="4"/>
      <c r="S755" s="84"/>
      <c r="T755" s="5"/>
      <c r="U755" s="12"/>
      <c r="V755" s="88"/>
      <c r="W755" s="88"/>
      <c r="X755" s="88"/>
      <c r="Y755" s="88"/>
      <c r="Z755" s="88"/>
      <c r="AA755" s="88"/>
      <c r="AB755" s="93"/>
      <c r="AC755" s="93"/>
      <c r="AD755" s="93"/>
      <c r="AE755" s="6"/>
      <c r="AF755" s="6"/>
      <c r="AG755" s="6"/>
      <c r="AH755" s="6"/>
      <c r="AI755" s="6"/>
      <c r="AJ755" s="6"/>
      <c r="AK755" s="89"/>
      <c r="AL755" s="84"/>
      <c r="AM755" s="88"/>
      <c r="AN755" s="88"/>
      <c r="AO755" s="88"/>
      <c r="AP755" s="88"/>
      <c r="AQ755" s="86"/>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c r="KB755" s="1"/>
      <c r="KC755" s="1"/>
      <c r="KD755" s="1"/>
      <c r="KE755" s="1"/>
      <c r="KF755" s="1"/>
      <c r="KG755" s="1"/>
      <c r="KH755" s="1"/>
      <c r="KI755" s="1"/>
      <c r="KJ755" s="1"/>
      <c r="KK755" s="1"/>
      <c r="KL755" s="1"/>
      <c r="KM755" s="1"/>
      <c r="KN755" s="1"/>
      <c r="KO755" s="1"/>
      <c r="KP755" s="1"/>
      <c r="KQ755" s="1"/>
      <c r="KR755" s="1"/>
      <c r="KS755" s="1"/>
      <c r="KT755" s="1"/>
      <c r="KU755" s="1"/>
      <c r="KV755" s="1"/>
      <c r="KW755" s="1"/>
      <c r="KX755" s="1"/>
      <c r="KY755" s="1"/>
      <c r="KZ755" s="1"/>
      <c r="LA755" s="1"/>
      <c r="LB755" s="1"/>
      <c r="LC755" s="1"/>
      <c r="LD755" s="1"/>
      <c r="LE755" s="1"/>
    </row>
    <row r="756" spans="1:317" s="2" customFormat="1" x14ac:dyDescent="0.25">
      <c r="A756" s="1"/>
      <c r="B756" s="11"/>
      <c r="C756" s="11"/>
      <c r="D756" s="11"/>
      <c r="E756" s="11"/>
      <c r="F756" s="11"/>
      <c r="G756" s="11"/>
      <c r="H756" s="1"/>
      <c r="I756" s="4"/>
      <c r="J756" s="1"/>
      <c r="K756" s="1"/>
      <c r="L756" s="1"/>
      <c r="M756" s="86"/>
      <c r="N756" s="86"/>
      <c r="O756" s="86"/>
      <c r="P756" s="12"/>
      <c r="Q756" s="4"/>
      <c r="R756" s="4"/>
      <c r="S756" s="84"/>
      <c r="T756" s="5"/>
      <c r="U756" s="12"/>
      <c r="V756" s="88"/>
      <c r="W756" s="88"/>
      <c r="X756" s="88"/>
      <c r="Y756" s="88"/>
      <c r="Z756" s="88"/>
      <c r="AA756" s="88"/>
      <c r="AB756" s="93"/>
      <c r="AC756" s="93"/>
      <c r="AD756" s="93"/>
      <c r="AE756" s="6"/>
      <c r="AF756" s="6"/>
      <c r="AG756" s="6"/>
      <c r="AH756" s="6"/>
      <c r="AI756" s="6"/>
      <c r="AJ756" s="6"/>
      <c r="AK756" s="89"/>
      <c r="AL756" s="84"/>
      <c r="AM756" s="88"/>
      <c r="AN756" s="88"/>
      <c r="AO756" s="88"/>
      <c r="AP756" s="88"/>
      <c r="AQ756" s="86"/>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c r="KB756" s="1"/>
      <c r="KC756" s="1"/>
      <c r="KD756" s="1"/>
      <c r="KE756" s="1"/>
      <c r="KF756" s="1"/>
      <c r="KG756" s="1"/>
      <c r="KH756" s="1"/>
      <c r="KI756" s="1"/>
      <c r="KJ756" s="1"/>
      <c r="KK756" s="1"/>
      <c r="KL756" s="1"/>
      <c r="KM756" s="1"/>
      <c r="KN756" s="1"/>
      <c r="KO756" s="1"/>
      <c r="KP756" s="1"/>
      <c r="KQ756" s="1"/>
      <c r="KR756" s="1"/>
      <c r="KS756" s="1"/>
      <c r="KT756" s="1"/>
      <c r="KU756" s="1"/>
      <c r="KV756" s="1"/>
      <c r="KW756" s="1"/>
      <c r="KX756" s="1"/>
      <c r="KY756" s="1"/>
      <c r="KZ756" s="1"/>
      <c r="LA756" s="1"/>
      <c r="LB756" s="1"/>
      <c r="LC756" s="1"/>
      <c r="LD756" s="1"/>
      <c r="LE756" s="1"/>
    </row>
    <row r="757" spans="1:317" s="2" customFormat="1" x14ac:dyDescent="0.25">
      <c r="A757" s="1"/>
      <c r="B757" s="11"/>
      <c r="C757" s="11"/>
      <c r="D757" s="11"/>
      <c r="E757" s="11"/>
      <c r="F757" s="11"/>
      <c r="G757" s="11"/>
      <c r="H757" s="1"/>
      <c r="I757" s="4"/>
      <c r="J757" s="1"/>
      <c r="K757" s="1"/>
      <c r="L757" s="1"/>
      <c r="M757" s="86"/>
      <c r="N757" s="86"/>
      <c r="O757" s="86"/>
      <c r="P757" s="12"/>
      <c r="Q757" s="4"/>
      <c r="R757" s="4"/>
      <c r="S757" s="84"/>
      <c r="T757" s="5"/>
      <c r="U757" s="12"/>
      <c r="V757" s="88"/>
      <c r="W757" s="88"/>
      <c r="X757" s="88"/>
      <c r="Y757" s="88"/>
      <c r="Z757" s="88"/>
      <c r="AA757" s="88"/>
      <c r="AB757" s="93"/>
      <c r="AC757" s="93"/>
      <c r="AD757" s="93"/>
      <c r="AE757" s="6"/>
      <c r="AF757" s="6"/>
      <c r="AG757" s="6"/>
      <c r="AH757" s="6"/>
      <c r="AI757" s="6"/>
      <c r="AJ757" s="6"/>
      <c r="AK757" s="89"/>
      <c r="AL757" s="84"/>
      <c r="AM757" s="88"/>
      <c r="AN757" s="88"/>
      <c r="AO757" s="88"/>
      <c r="AP757" s="88"/>
      <c r="AQ757" s="86"/>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c r="KB757" s="1"/>
      <c r="KC757" s="1"/>
      <c r="KD757" s="1"/>
      <c r="KE757" s="1"/>
      <c r="KF757" s="1"/>
      <c r="KG757" s="1"/>
      <c r="KH757" s="1"/>
      <c r="KI757" s="1"/>
      <c r="KJ757" s="1"/>
      <c r="KK757" s="1"/>
      <c r="KL757" s="1"/>
      <c r="KM757" s="1"/>
      <c r="KN757" s="1"/>
      <c r="KO757" s="1"/>
      <c r="KP757" s="1"/>
      <c r="KQ757" s="1"/>
      <c r="KR757" s="1"/>
      <c r="KS757" s="1"/>
      <c r="KT757" s="1"/>
      <c r="KU757" s="1"/>
      <c r="KV757" s="1"/>
      <c r="KW757" s="1"/>
      <c r="KX757" s="1"/>
      <c r="KY757" s="1"/>
      <c r="KZ757" s="1"/>
      <c r="LA757" s="1"/>
      <c r="LB757" s="1"/>
      <c r="LC757" s="1"/>
      <c r="LD757" s="1"/>
      <c r="LE757" s="1"/>
    </row>
    <row r="758" spans="1:317" s="2" customFormat="1" x14ac:dyDescent="0.25">
      <c r="A758" s="1"/>
      <c r="B758" s="11"/>
      <c r="C758" s="11"/>
      <c r="D758" s="11"/>
      <c r="E758" s="11"/>
      <c r="F758" s="11"/>
      <c r="G758" s="11"/>
      <c r="H758" s="1"/>
      <c r="I758" s="4"/>
      <c r="J758" s="1"/>
      <c r="K758" s="1"/>
      <c r="L758" s="1"/>
      <c r="M758" s="86"/>
      <c r="N758" s="86"/>
      <c r="O758" s="86"/>
      <c r="P758" s="12"/>
      <c r="Q758" s="4"/>
      <c r="R758" s="4"/>
      <c r="S758" s="84"/>
      <c r="T758" s="5"/>
      <c r="U758" s="12"/>
      <c r="V758" s="88"/>
      <c r="W758" s="88"/>
      <c r="X758" s="88"/>
      <c r="Y758" s="88"/>
      <c r="Z758" s="88"/>
      <c r="AA758" s="88"/>
      <c r="AB758" s="93"/>
      <c r="AC758" s="93"/>
      <c r="AD758" s="93"/>
      <c r="AE758" s="6"/>
      <c r="AF758" s="6"/>
      <c r="AG758" s="6"/>
      <c r="AH758" s="6"/>
      <c r="AI758" s="6"/>
      <c r="AJ758" s="6"/>
      <c r="AK758" s="89"/>
      <c r="AL758" s="84"/>
      <c r="AM758" s="88"/>
      <c r="AN758" s="88"/>
      <c r="AO758" s="88"/>
      <c r="AP758" s="88"/>
      <c r="AQ758" s="86"/>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c r="KB758" s="1"/>
      <c r="KC758" s="1"/>
      <c r="KD758" s="1"/>
      <c r="KE758" s="1"/>
      <c r="KF758" s="1"/>
      <c r="KG758" s="1"/>
      <c r="KH758" s="1"/>
      <c r="KI758" s="1"/>
      <c r="KJ758" s="1"/>
      <c r="KK758" s="1"/>
      <c r="KL758" s="1"/>
      <c r="KM758" s="1"/>
      <c r="KN758" s="1"/>
      <c r="KO758" s="1"/>
      <c r="KP758" s="1"/>
      <c r="KQ758" s="1"/>
      <c r="KR758" s="1"/>
      <c r="KS758" s="1"/>
      <c r="KT758" s="1"/>
      <c r="KU758" s="1"/>
      <c r="KV758" s="1"/>
      <c r="KW758" s="1"/>
      <c r="KX758" s="1"/>
      <c r="KY758" s="1"/>
      <c r="KZ758" s="1"/>
      <c r="LA758" s="1"/>
      <c r="LB758" s="1"/>
      <c r="LC758" s="1"/>
      <c r="LD758" s="1"/>
      <c r="LE758" s="1"/>
    </row>
    <row r="759" spans="1:317" s="2" customFormat="1" x14ac:dyDescent="0.25">
      <c r="A759" s="1"/>
      <c r="B759" s="11"/>
      <c r="C759" s="11"/>
      <c r="D759" s="11"/>
      <c r="E759" s="11"/>
      <c r="F759" s="11"/>
      <c r="G759" s="11"/>
      <c r="H759" s="1"/>
      <c r="I759" s="4"/>
      <c r="J759" s="1"/>
      <c r="K759" s="1"/>
      <c r="L759" s="1"/>
      <c r="M759" s="86"/>
      <c r="N759" s="86"/>
      <c r="O759" s="86"/>
      <c r="P759" s="12"/>
      <c r="Q759" s="4"/>
      <c r="R759" s="4"/>
      <c r="S759" s="84"/>
      <c r="T759" s="5"/>
      <c r="U759" s="12"/>
      <c r="V759" s="88"/>
      <c r="W759" s="88"/>
      <c r="X759" s="88"/>
      <c r="Y759" s="88"/>
      <c r="Z759" s="88"/>
      <c r="AA759" s="88"/>
      <c r="AB759" s="93"/>
      <c r="AC759" s="93"/>
      <c r="AD759" s="93"/>
      <c r="AE759" s="6"/>
      <c r="AF759" s="6"/>
      <c r="AG759" s="6"/>
      <c r="AH759" s="6"/>
      <c r="AI759" s="6"/>
      <c r="AJ759" s="6"/>
      <c r="AK759" s="89"/>
      <c r="AL759" s="84"/>
      <c r="AM759" s="88"/>
      <c r="AN759" s="88"/>
      <c r="AO759" s="88"/>
      <c r="AP759" s="88"/>
      <c r="AQ759" s="86"/>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c r="KB759" s="1"/>
      <c r="KC759" s="1"/>
      <c r="KD759" s="1"/>
      <c r="KE759" s="1"/>
      <c r="KF759" s="1"/>
      <c r="KG759" s="1"/>
      <c r="KH759" s="1"/>
      <c r="KI759" s="1"/>
      <c r="KJ759" s="1"/>
      <c r="KK759" s="1"/>
      <c r="KL759" s="1"/>
      <c r="KM759" s="1"/>
      <c r="KN759" s="1"/>
      <c r="KO759" s="1"/>
      <c r="KP759" s="1"/>
      <c r="KQ759" s="1"/>
      <c r="KR759" s="1"/>
      <c r="KS759" s="1"/>
      <c r="KT759" s="1"/>
      <c r="KU759" s="1"/>
      <c r="KV759" s="1"/>
      <c r="KW759" s="1"/>
      <c r="KX759" s="1"/>
      <c r="KY759" s="1"/>
      <c r="KZ759" s="1"/>
      <c r="LA759" s="1"/>
      <c r="LB759" s="1"/>
      <c r="LC759" s="1"/>
      <c r="LD759" s="1"/>
      <c r="LE759" s="1"/>
    </row>
    <row r="760" spans="1:317" s="2" customFormat="1" x14ac:dyDescent="0.25">
      <c r="A760" s="1"/>
      <c r="B760" s="11"/>
      <c r="C760" s="11"/>
      <c r="D760" s="11"/>
      <c r="E760" s="11"/>
      <c r="F760" s="11"/>
      <c r="G760" s="11"/>
      <c r="H760" s="1"/>
      <c r="I760" s="4"/>
      <c r="J760" s="1"/>
      <c r="K760" s="1"/>
      <c r="L760" s="1"/>
      <c r="M760" s="86"/>
      <c r="N760" s="86"/>
      <c r="O760" s="86"/>
      <c r="P760" s="12"/>
      <c r="Q760" s="4"/>
      <c r="R760" s="4"/>
      <c r="S760" s="84"/>
      <c r="T760" s="5"/>
      <c r="U760" s="12"/>
      <c r="V760" s="88"/>
      <c r="W760" s="88"/>
      <c r="X760" s="88"/>
      <c r="Y760" s="88"/>
      <c r="Z760" s="88"/>
      <c r="AA760" s="88"/>
      <c r="AB760" s="93"/>
      <c r="AC760" s="93"/>
      <c r="AD760" s="93"/>
      <c r="AE760" s="6"/>
      <c r="AF760" s="6"/>
      <c r="AG760" s="6"/>
      <c r="AH760" s="6"/>
      <c r="AI760" s="6"/>
      <c r="AJ760" s="6"/>
      <c r="AK760" s="89"/>
      <c r="AL760" s="84"/>
      <c r="AM760" s="88"/>
      <c r="AN760" s="88"/>
      <c r="AO760" s="88"/>
      <c r="AP760" s="88"/>
      <c r="AQ760" s="86"/>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c r="KB760" s="1"/>
      <c r="KC760" s="1"/>
      <c r="KD760" s="1"/>
      <c r="KE760" s="1"/>
      <c r="KF760" s="1"/>
      <c r="KG760" s="1"/>
      <c r="KH760" s="1"/>
      <c r="KI760" s="1"/>
      <c r="KJ760" s="1"/>
      <c r="KK760" s="1"/>
      <c r="KL760" s="1"/>
      <c r="KM760" s="1"/>
      <c r="KN760" s="1"/>
      <c r="KO760" s="1"/>
      <c r="KP760" s="1"/>
      <c r="KQ760" s="1"/>
      <c r="KR760" s="1"/>
      <c r="KS760" s="1"/>
      <c r="KT760" s="1"/>
      <c r="KU760" s="1"/>
      <c r="KV760" s="1"/>
      <c r="KW760" s="1"/>
      <c r="KX760" s="1"/>
      <c r="KY760" s="1"/>
      <c r="KZ760" s="1"/>
      <c r="LA760" s="1"/>
      <c r="LB760" s="1"/>
      <c r="LC760" s="1"/>
      <c r="LD760" s="1"/>
      <c r="LE760" s="1"/>
    </row>
    <row r="761" spans="1:317" s="2" customFormat="1" x14ac:dyDescent="0.25">
      <c r="A761" s="1"/>
      <c r="B761" s="11"/>
      <c r="C761" s="11"/>
      <c r="D761" s="11"/>
      <c r="E761" s="11"/>
      <c r="F761" s="11"/>
      <c r="G761" s="11"/>
      <c r="H761" s="1"/>
      <c r="I761" s="4"/>
      <c r="J761" s="1"/>
      <c r="K761" s="1"/>
      <c r="L761" s="1"/>
      <c r="M761" s="86"/>
      <c r="N761" s="86"/>
      <c r="O761" s="86"/>
      <c r="P761" s="12"/>
      <c r="Q761" s="4"/>
      <c r="R761" s="4"/>
      <c r="S761" s="84"/>
      <c r="T761" s="5"/>
      <c r="U761" s="12"/>
      <c r="V761" s="88"/>
      <c r="W761" s="88"/>
      <c r="X761" s="88"/>
      <c r="Y761" s="88"/>
      <c r="Z761" s="88"/>
      <c r="AA761" s="88"/>
      <c r="AB761" s="93"/>
      <c r="AC761" s="93"/>
      <c r="AD761" s="93"/>
      <c r="AE761" s="6"/>
      <c r="AF761" s="6"/>
      <c r="AG761" s="6"/>
      <c r="AH761" s="6"/>
      <c r="AI761" s="6"/>
      <c r="AJ761" s="6"/>
      <c r="AK761" s="89"/>
      <c r="AL761" s="84"/>
      <c r="AM761" s="88"/>
      <c r="AN761" s="88"/>
      <c r="AO761" s="88"/>
      <c r="AP761" s="88"/>
      <c r="AQ761" s="86"/>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c r="KB761" s="1"/>
      <c r="KC761" s="1"/>
      <c r="KD761" s="1"/>
      <c r="KE761" s="1"/>
      <c r="KF761" s="1"/>
      <c r="KG761" s="1"/>
      <c r="KH761" s="1"/>
      <c r="KI761" s="1"/>
      <c r="KJ761" s="1"/>
      <c r="KK761" s="1"/>
      <c r="KL761" s="1"/>
      <c r="KM761" s="1"/>
      <c r="KN761" s="1"/>
      <c r="KO761" s="1"/>
      <c r="KP761" s="1"/>
      <c r="KQ761" s="1"/>
      <c r="KR761" s="1"/>
      <c r="KS761" s="1"/>
      <c r="KT761" s="1"/>
      <c r="KU761" s="1"/>
      <c r="KV761" s="1"/>
      <c r="KW761" s="1"/>
      <c r="KX761" s="1"/>
      <c r="KY761" s="1"/>
      <c r="KZ761" s="1"/>
      <c r="LA761" s="1"/>
      <c r="LB761" s="1"/>
      <c r="LC761" s="1"/>
      <c r="LD761" s="1"/>
      <c r="LE761" s="1"/>
    </row>
    <row r="762" spans="1:317" s="2" customFormat="1" x14ac:dyDescent="0.25">
      <c r="A762" s="1"/>
      <c r="B762" s="11"/>
      <c r="C762" s="11"/>
      <c r="D762" s="11"/>
      <c r="E762" s="11"/>
      <c r="F762" s="11"/>
      <c r="G762" s="11"/>
      <c r="H762" s="1"/>
      <c r="I762" s="4"/>
      <c r="J762" s="1"/>
      <c r="K762" s="1"/>
      <c r="L762" s="1"/>
      <c r="M762" s="86"/>
      <c r="N762" s="86"/>
      <c r="O762" s="86"/>
      <c r="P762" s="12"/>
      <c r="Q762" s="4"/>
      <c r="R762" s="4"/>
      <c r="S762" s="84"/>
      <c r="T762" s="5"/>
      <c r="U762" s="12"/>
      <c r="V762" s="88"/>
      <c r="W762" s="88"/>
      <c r="X762" s="88"/>
      <c r="Y762" s="88"/>
      <c r="Z762" s="88"/>
      <c r="AA762" s="88"/>
      <c r="AB762" s="93"/>
      <c r="AC762" s="93"/>
      <c r="AD762" s="93"/>
      <c r="AE762" s="6"/>
      <c r="AF762" s="6"/>
      <c r="AG762" s="6"/>
      <c r="AH762" s="6"/>
      <c r="AI762" s="6"/>
      <c r="AJ762" s="6"/>
      <c r="AK762" s="89"/>
      <c r="AL762" s="84"/>
      <c r="AM762" s="88"/>
      <c r="AN762" s="88"/>
      <c r="AO762" s="88"/>
      <c r="AP762" s="88"/>
      <c r="AQ762" s="86"/>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c r="KB762" s="1"/>
      <c r="KC762" s="1"/>
      <c r="KD762" s="1"/>
      <c r="KE762" s="1"/>
      <c r="KF762" s="1"/>
      <c r="KG762" s="1"/>
      <c r="KH762" s="1"/>
      <c r="KI762" s="1"/>
      <c r="KJ762" s="1"/>
      <c r="KK762" s="1"/>
      <c r="KL762" s="1"/>
      <c r="KM762" s="1"/>
      <c r="KN762" s="1"/>
      <c r="KO762" s="1"/>
      <c r="KP762" s="1"/>
      <c r="KQ762" s="1"/>
      <c r="KR762" s="1"/>
      <c r="KS762" s="1"/>
      <c r="KT762" s="1"/>
      <c r="KU762" s="1"/>
      <c r="KV762" s="1"/>
      <c r="KW762" s="1"/>
      <c r="KX762" s="1"/>
      <c r="KY762" s="1"/>
      <c r="KZ762" s="1"/>
      <c r="LA762" s="1"/>
      <c r="LB762" s="1"/>
      <c r="LC762" s="1"/>
      <c r="LD762" s="1"/>
      <c r="LE762" s="1"/>
    </row>
    <row r="763" spans="1:317" s="2" customFormat="1" x14ac:dyDescent="0.25">
      <c r="A763" s="1"/>
      <c r="B763" s="11"/>
      <c r="C763" s="11"/>
      <c r="D763" s="11"/>
      <c r="E763" s="11"/>
      <c r="F763" s="11"/>
      <c r="G763" s="11"/>
      <c r="H763" s="1"/>
      <c r="I763" s="4"/>
      <c r="J763" s="1"/>
      <c r="K763" s="1"/>
      <c r="L763" s="1"/>
      <c r="M763" s="86"/>
      <c r="N763" s="86"/>
      <c r="O763" s="86"/>
      <c r="P763" s="12"/>
      <c r="Q763" s="4"/>
      <c r="R763" s="4"/>
      <c r="S763" s="84"/>
      <c r="T763" s="5"/>
      <c r="U763" s="12"/>
      <c r="V763" s="88"/>
      <c r="W763" s="88"/>
      <c r="X763" s="88"/>
      <c r="Y763" s="88"/>
      <c r="Z763" s="88"/>
      <c r="AA763" s="88"/>
      <c r="AB763" s="93"/>
      <c r="AC763" s="93"/>
      <c r="AD763" s="93"/>
      <c r="AE763" s="6"/>
      <c r="AF763" s="6"/>
      <c r="AG763" s="6"/>
      <c r="AH763" s="6"/>
      <c r="AI763" s="6"/>
      <c r="AJ763" s="6"/>
      <c r="AK763" s="89"/>
      <c r="AL763" s="84"/>
      <c r="AM763" s="88"/>
      <c r="AN763" s="88"/>
      <c r="AO763" s="88"/>
      <c r="AP763" s="88"/>
      <c r="AQ763" s="86"/>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c r="KB763" s="1"/>
      <c r="KC763" s="1"/>
      <c r="KD763" s="1"/>
      <c r="KE763" s="1"/>
      <c r="KF763" s="1"/>
      <c r="KG763" s="1"/>
      <c r="KH763" s="1"/>
      <c r="KI763" s="1"/>
      <c r="KJ763" s="1"/>
      <c r="KK763" s="1"/>
      <c r="KL763" s="1"/>
      <c r="KM763" s="1"/>
      <c r="KN763" s="1"/>
      <c r="KO763" s="1"/>
      <c r="KP763" s="1"/>
      <c r="KQ763" s="1"/>
      <c r="KR763" s="1"/>
      <c r="KS763" s="1"/>
      <c r="KT763" s="1"/>
      <c r="KU763" s="1"/>
      <c r="KV763" s="1"/>
      <c r="KW763" s="1"/>
      <c r="KX763" s="1"/>
      <c r="KY763" s="1"/>
      <c r="KZ763" s="1"/>
      <c r="LA763" s="1"/>
      <c r="LB763" s="1"/>
      <c r="LC763" s="1"/>
      <c r="LD763" s="1"/>
      <c r="LE763" s="1"/>
    </row>
    <row r="764" spans="1:317" s="2" customFormat="1" x14ac:dyDescent="0.25">
      <c r="A764" s="1"/>
      <c r="B764" s="11"/>
      <c r="C764" s="11"/>
      <c r="D764" s="11"/>
      <c r="E764" s="11"/>
      <c r="F764" s="11"/>
      <c r="G764" s="11"/>
      <c r="H764" s="1"/>
      <c r="I764" s="4"/>
      <c r="J764" s="1"/>
      <c r="K764" s="1"/>
      <c r="L764" s="1"/>
      <c r="M764" s="86"/>
      <c r="N764" s="86"/>
      <c r="O764" s="86"/>
      <c r="P764" s="12"/>
      <c r="Q764" s="4"/>
      <c r="R764" s="4"/>
      <c r="S764" s="84"/>
      <c r="T764" s="5"/>
      <c r="U764" s="12"/>
      <c r="V764" s="88"/>
      <c r="W764" s="88"/>
      <c r="X764" s="88"/>
      <c r="Y764" s="88"/>
      <c r="Z764" s="88"/>
      <c r="AA764" s="88"/>
      <c r="AB764" s="93"/>
      <c r="AC764" s="93"/>
      <c r="AD764" s="93"/>
      <c r="AE764" s="6"/>
      <c r="AF764" s="6"/>
      <c r="AG764" s="6"/>
      <c r="AH764" s="6"/>
      <c r="AI764" s="6"/>
      <c r="AJ764" s="6"/>
      <c r="AK764" s="89"/>
      <c r="AL764" s="84"/>
      <c r="AM764" s="88"/>
      <c r="AN764" s="88"/>
      <c r="AO764" s="88"/>
      <c r="AP764" s="88"/>
      <c r="AQ764" s="86"/>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c r="KB764" s="1"/>
      <c r="KC764" s="1"/>
      <c r="KD764" s="1"/>
      <c r="KE764" s="1"/>
      <c r="KF764" s="1"/>
      <c r="KG764" s="1"/>
      <c r="KH764" s="1"/>
      <c r="KI764" s="1"/>
      <c r="KJ764" s="1"/>
      <c r="KK764" s="1"/>
      <c r="KL764" s="1"/>
      <c r="KM764" s="1"/>
      <c r="KN764" s="1"/>
      <c r="KO764" s="1"/>
      <c r="KP764" s="1"/>
      <c r="KQ764" s="1"/>
      <c r="KR764" s="1"/>
      <c r="KS764" s="1"/>
      <c r="KT764" s="1"/>
      <c r="KU764" s="1"/>
      <c r="KV764" s="1"/>
      <c r="KW764" s="1"/>
      <c r="KX764" s="1"/>
      <c r="KY764" s="1"/>
      <c r="KZ764" s="1"/>
      <c r="LA764" s="1"/>
      <c r="LB764" s="1"/>
      <c r="LC764" s="1"/>
      <c r="LD764" s="1"/>
      <c r="LE764" s="1"/>
    </row>
    <row r="765" spans="1:317" s="2" customFormat="1" x14ac:dyDescent="0.25">
      <c r="A765" s="1"/>
      <c r="B765" s="11"/>
      <c r="C765" s="11"/>
      <c r="D765" s="11"/>
      <c r="E765" s="11"/>
      <c r="F765" s="11"/>
      <c r="G765" s="11"/>
      <c r="H765" s="1"/>
      <c r="I765" s="4"/>
      <c r="J765" s="1"/>
      <c r="K765" s="1"/>
      <c r="L765" s="1"/>
      <c r="M765" s="86"/>
      <c r="N765" s="86"/>
      <c r="O765" s="86"/>
      <c r="P765" s="12"/>
      <c r="Q765" s="4"/>
      <c r="R765" s="4"/>
      <c r="S765" s="84"/>
      <c r="T765" s="5"/>
      <c r="U765" s="12"/>
      <c r="V765" s="88"/>
      <c r="W765" s="88"/>
      <c r="X765" s="88"/>
      <c r="Y765" s="88"/>
      <c r="Z765" s="88"/>
      <c r="AA765" s="88"/>
      <c r="AB765" s="93"/>
      <c r="AC765" s="93"/>
      <c r="AD765" s="93"/>
      <c r="AE765" s="6"/>
      <c r="AF765" s="6"/>
      <c r="AG765" s="6"/>
      <c r="AH765" s="6"/>
      <c r="AI765" s="6"/>
      <c r="AJ765" s="6"/>
      <c r="AK765" s="89"/>
      <c r="AL765" s="84"/>
      <c r="AM765" s="88"/>
      <c r="AN765" s="88"/>
      <c r="AO765" s="88"/>
      <c r="AP765" s="88"/>
      <c r="AQ765" s="86"/>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c r="KB765" s="1"/>
      <c r="KC765" s="1"/>
      <c r="KD765" s="1"/>
      <c r="KE765" s="1"/>
      <c r="KF765" s="1"/>
      <c r="KG765" s="1"/>
      <c r="KH765" s="1"/>
      <c r="KI765" s="1"/>
      <c r="KJ765" s="1"/>
      <c r="KK765" s="1"/>
      <c r="KL765" s="1"/>
      <c r="KM765" s="1"/>
      <c r="KN765" s="1"/>
      <c r="KO765" s="1"/>
      <c r="KP765" s="1"/>
      <c r="KQ765" s="1"/>
      <c r="KR765" s="1"/>
      <c r="KS765" s="1"/>
      <c r="KT765" s="1"/>
      <c r="KU765" s="1"/>
      <c r="KV765" s="1"/>
      <c r="KW765" s="1"/>
      <c r="KX765" s="1"/>
      <c r="KY765" s="1"/>
      <c r="KZ765" s="1"/>
      <c r="LA765" s="1"/>
      <c r="LB765" s="1"/>
      <c r="LC765" s="1"/>
      <c r="LD765" s="1"/>
      <c r="LE765" s="1"/>
    </row>
    <row r="766" spans="1:317" s="2" customFormat="1" x14ac:dyDescent="0.25">
      <c r="A766" s="1"/>
      <c r="B766" s="11"/>
      <c r="C766" s="11"/>
      <c r="D766" s="11"/>
      <c r="E766" s="11"/>
      <c r="F766" s="11"/>
      <c r="G766" s="11"/>
      <c r="H766" s="1"/>
      <c r="I766" s="4"/>
      <c r="J766" s="1"/>
      <c r="K766" s="1"/>
      <c r="L766" s="1"/>
      <c r="M766" s="86"/>
      <c r="N766" s="86"/>
      <c r="O766" s="86"/>
      <c r="P766" s="12"/>
      <c r="Q766" s="4"/>
      <c r="R766" s="4"/>
      <c r="S766" s="84"/>
      <c r="T766" s="5"/>
      <c r="U766" s="12"/>
      <c r="V766" s="88"/>
      <c r="W766" s="88"/>
      <c r="X766" s="88"/>
      <c r="Y766" s="88"/>
      <c r="Z766" s="88"/>
      <c r="AA766" s="88"/>
      <c r="AB766" s="93"/>
      <c r="AC766" s="93"/>
      <c r="AD766" s="93"/>
      <c r="AE766" s="6"/>
      <c r="AF766" s="6"/>
      <c r="AG766" s="6"/>
      <c r="AH766" s="6"/>
      <c r="AI766" s="6"/>
      <c r="AJ766" s="6"/>
      <c r="AK766" s="89"/>
      <c r="AL766" s="84"/>
      <c r="AM766" s="88"/>
      <c r="AN766" s="88"/>
      <c r="AO766" s="88"/>
      <c r="AP766" s="88"/>
      <c r="AQ766" s="86"/>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c r="KB766" s="1"/>
      <c r="KC766" s="1"/>
      <c r="KD766" s="1"/>
      <c r="KE766" s="1"/>
      <c r="KF766" s="1"/>
      <c r="KG766" s="1"/>
      <c r="KH766" s="1"/>
      <c r="KI766" s="1"/>
      <c r="KJ766" s="1"/>
      <c r="KK766" s="1"/>
      <c r="KL766" s="1"/>
      <c r="KM766" s="1"/>
      <c r="KN766" s="1"/>
      <c r="KO766" s="1"/>
      <c r="KP766" s="1"/>
      <c r="KQ766" s="1"/>
      <c r="KR766" s="1"/>
      <c r="KS766" s="1"/>
      <c r="KT766" s="1"/>
      <c r="KU766" s="1"/>
      <c r="KV766" s="1"/>
      <c r="KW766" s="1"/>
      <c r="KX766" s="1"/>
      <c r="KY766" s="1"/>
      <c r="KZ766" s="1"/>
      <c r="LA766" s="1"/>
      <c r="LB766" s="1"/>
      <c r="LC766" s="1"/>
      <c r="LD766" s="1"/>
      <c r="LE766" s="1"/>
    </row>
    <row r="767" spans="1:317" s="2" customFormat="1" x14ac:dyDescent="0.25">
      <c r="A767" s="1"/>
      <c r="B767" s="11"/>
      <c r="C767" s="11"/>
      <c r="D767" s="11"/>
      <c r="E767" s="11"/>
      <c r="F767" s="11"/>
      <c r="G767" s="11"/>
      <c r="H767" s="1"/>
      <c r="I767" s="4"/>
      <c r="J767" s="1"/>
      <c r="K767" s="1"/>
      <c r="L767" s="1"/>
      <c r="M767" s="86"/>
      <c r="N767" s="86"/>
      <c r="O767" s="86"/>
      <c r="P767" s="12"/>
      <c r="Q767" s="4"/>
      <c r="R767" s="4"/>
      <c r="S767" s="84"/>
      <c r="T767" s="5"/>
      <c r="U767" s="12"/>
      <c r="V767" s="88"/>
      <c r="W767" s="88"/>
      <c r="X767" s="88"/>
      <c r="Y767" s="88"/>
      <c r="Z767" s="88"/>
      <c r="AA767" s="88"/>
      <c r="AB767" s="93"/>
      <c r="AC767" s="93"/>
      <c r="AD767" s="93"/>
      <c r="AE767" s="6"/>
      <c r="AF767" s="6"/>
      <c r="AG767" s="6"/>
      <c r="AH767" s="6"/>
      <c r="AI767" s="6"/>
      <c r="AJ767" s="6"/>
      <c r="AK767" s="89"/>
      <c r="AL767" s="84"/>
      <c r="AM767" s="88"/>
      <c r="AN767" s="88"/>
      <c r="AO767" s="88"/>
      <c r="AP767" s="88"/>
      <c r="AQ767" s="86"/>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c r="KB767" s="1"/>
      <c r="KC767" s="1"/>
      <c r="KD767" s="1"/>
      <c r="KE767" s="1"/>
      <c r="KF767" s="1"/>
      <c r="KG767" s="1"/>
      <c r="KH767" s="1"/>
      <c r="KI767" s="1"/>
      <c r="KJ767" s="1"/>
      <c r="KK767" s="1"/>
      <c r="KL767" s="1"/>
      <c r="KM767" s="1"/>
      <c r="KN767" s="1"/>
      <c r="KO767" s="1"/>
      <c r="KP767" s="1"/>
      <c r="KQ767" s="1"/>
      <c r="KR767" s="1"/>
      <c r="KS767" s="1"/>
      <c r="KT767" s="1"/>
      <c r="KU767" s="1"/>
      <c r="KV767" s="1"/>
      <c r="KW767" s="1"/>
      <c r="KX767" s="1"/>
      <c r="KY767" s="1"/>
      <c r="KZ767" s="1"/>
      <c r="LA767" s="1"/>
      <c r="LB767" s="1"/>
      <c r="LC767" s="1"/>
      <c r="LD767" s="1"/>
      <c r="LE767" s="1"/>
    </row>
    <row r="768" spans="1:317" s="2" customFormat="1" x14ac:dyDescent="0.25">
      <c r="A768" s="1"/>
      <c r="B768" s="11"/>
      <c r="C768" s="11"/>
      <c r="D768" s="11"/>
      <c r="E768" s="11"/>
      <c r="F768" s="11"/>
      <c r="G768" s="11"/>
      <c r="H768" s="1"/>
      <c r="I768" s="4"/>
      <c r="J768" s="1"/>
      <c r="K768" s="1"/>
      <c r="L768" s="1"/>
      <c r="M768" s="86"/>
      <c r="N768" s="86"/>
      <c r="O768" s="86"/>
      <c r="P768" s="12"/>
      <c r="Q768" s="4"/>
      <c r="R768" s="4"/>
      <c r="S768" s="84"/>
      <c r="T768" s="5"/>
      <c r="U768" s="12"/>
      <c r="V768" s="88"/>
      <c r="W768" s="88"/>
      <c r="X768" s="88"/>
      <c r="Y768" s="88"/>
      <c r="Z768" s="88"/>
      <c r="AA768" s="88"/>
      <c r="AB768" s="93"/>
      <c r="AC768" s="93"/>
      <c r="AD768" s="93"/>
      <c r="AE768" s="6"/>
      <c r="AF768" s="6"/>
      <c r="AG768" s="6"/>
      <c r="AH768" s="6"/>
      <c r="AI768" s="6"/>
      <c r="AJ768" s="6"/>
      <c r="AK768" s="89"/>
      <c r="AL768" s="84"/>
      <c r="AM768" s="88"/>
      <c r="AN768" s="88"/>
      <c r="AO768" s="88"/>
      <c r="AP768" s="88"/>
      <c r="AQ768" s="86"/>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c r="KB768" s="1"/>
      <c r="KC768" s="1"/>
      <c r="KD768" s="1"/>
      <c r="KE768" s="1"/>
      <c r="KF768" s="1"/>
      <c r="KG768" s="1"/>
      <c r="KH768" s="1"/>
      <c r="KI768" s="1"/>
      <c r="KJ768" s="1"/>
      <c r="KK768" s="1"/>
      <c r="KL768" s="1"/>
      <c r="KM768" s="1"/>
      <c r="KN768" s="1"/>
      <c r="KO768" s="1"/>
      <c r="KP768" s="1"/>
      <c r="KQ768" s="1"/>
      <c r="KR768" s="1"/>
      <c r="KS768" s="1"/>
      <c r="KT768" s="1"/>
      <c r="KU768" s="1"/>
      <c r="KV768" s="1"/>
      <c r="KW768" s="1"/>
      <c r="KX768" s="1"/>
      <c r="KY768" s="1"/>
      <c r="KZ768" s="1"/>
      <c r="LA768" s="1"/>
      <c r="LB768" s="1"/>
      <c r="LC768" s="1"/>
      <c r="LD768" s="1"/>
      <c r="LE768" s="1"/>
    </row>
    <row r="769" spans="1:317" s="2" customFormat="1" x14ac:dyDescent="0.25">
      <c r="A769" s="1"/>
      <c r="B769" s="11"/>
      <c r="C769" s="11"/>
      <c r="D769" s="11"/>
      <c r="E769" s="11"/>
      <c r="F769" s="11"/>
      <c r="G769" s="11"/>
      <c r="H769" s="1"/>
      <c r="I769" s="4"/>
      <c r="J769" s="1"/>
      <c r="K769" s="1"/>
      <c r="L769" s="1"/>
      <c r="M769" s="86"/>
      <c r="N769" s="86"/>
      <c r="O769" s="86"/>
      <c r="P769" s="12"/>
      <c r="Q769" s="4"/>
      <c r="R769" s="4"/>
      <c r="S769" s="84"/>
      <c r="T769" s="5"/>
      <c r="U769" s="12"/>
      <c r="V769" s="88"/>
      <c r="W769" s="88"/>
      <c r="X769" s="88"/>
      <c r="Y769" s="88"/>
      <c r="Z769" s="88"/>
      <c r="AA769" s="88"/>
      <c r="AB769" s="93"/>
      <c r="AC769" s="93"/>
      <c r="AD769" s="93"/>
      <c r="AE769" s="6"/>
      <c r="AF769" s="6"/>
      <c r="AG769" s="6"/>
      <c r="AH769" s="6"/>
      <c r="AI769" s="6"/>
      <c r="AJ769" s="6"/>
      <c r="AK769" s="89"/>
      <c r="AL769" s="84"/>
      <c r="AM769" s="88"/>
      <c r="AN769" s="88"/>
      <c r="AO769" s="88"/>
      <c r="AP769" s="88"/>
      <c r="AQ769" s="86"/>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c r="KB769" s="1"/>
      <c r="KC769" s="1"/>
      <c r="KD769" s="1"/>
      <c r="KE769" s="1"/>
      <c r="KF769" s="1"/>
      <c r="KG769" s="1"/>
      <c r="KH769" s="1"/>
      <c r="KI769" s="1"/>
      <c r="KJ769" s="1"/>
      <c r="KK769" s="1"/>
      <c r="KL769" s="1"/>
      <c r="KM769" s="1"/>
      <c r="KN769" s="1"/>
      <c r="KO769" s="1"/>
      <c r="KP769" s="1"/>
      <c r="KQ769" s="1"/>
      <c r="KR769" s="1"/>
      <c r="KS769" s="1"/>
      <c r="KT769" s="1"/>
      <c r="KU769" s="1"/>
      <c r="KV769" s="1"/>
      <c r="KW769" s="1"/>
      <c r="KX769" s="1"/>
      <c r="KY769" s="1"/>
      <c r="KZ769" s="1"/>
      <c r="LA769" s="1"/>
      <c r="LB769" s="1"/>
      <c r="LC769" s="1"/>
      <c r="LD769" s="1"/>
      <c r="LE769" s="1"/>
    </row>
    <row r="770" spans="1:317" s="2" customFormat="1" x14ac:dyDescent="0.25">
      <c r="A770" s="1"/>
      <c r="B770" s="11"/>
      <c r="C770" s="11"/>
      <c r="D770" s="11"/>
      <c r="E770" s="11"/>
      <c r="F770" s="11"/>
      <c r="G770" s="11"/>
      <c r="H770" s="1"/>
      <c r="I770" s="4"/>
      <c r="J770" s="1"/>
      <c r="K770" s="1"/>
      <c r="L770" s="1"/>
      <c r="M770" s="86"/>
      <c r="N770" s="86"/>
      <c r="O770" s="86"/>
      <c r="P770" s="12"/>
      <c r="Q770" s="4"/>
      <c r="R770" s="4"/>
      <c r="S770" s="84"/>
      <c r="T770" s="5"/>
      <c r="U770" s="12"/>
      <c r="V770" s="88"/>
      <c r="W770" s="88"/>
      <c r="X770" s="88"/>
      <c r="Y770" s="88"/>
      <c r="Z770" s="88"/>
      <c r="AA770" s="88"/>
      <c r="AB770" s="93"/>
      <c r="AC770" s="93"/>
      <c r="AD770" s="93"/>
      <c r="AE770" s="6"/>
      <c r="AF770" s="6"/>
      <c r="AG770" s="6"/>
      <c r="AH770" s="6"/>
      <c r="AI770" s="6"/>
      <c r="AJ770" s="6"/>
      <c r="AK770" s="89"/>
      <c r="AL770" s="84"/>
      <c r="AM770" s="88"/>
      <c r="AN770" s="88"/>
      <c r="AO770" s="88"/>
      <c r="AP770" s="88"/>
      <c r="AQ770" s="86"/>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c r="KB770" s="1"/>
      <c r="KC770" s="1"/>
      <c r="KD770" s="1"/>
      <c r="KE770" s="1"/>
      <c r="KF770" s="1"/>
      <c r="KG770" s="1"/>
      <c r="KH770" s="1"/>
      <c r="KI770" s="1"/>
      <c r="KJ770" s="1"/>
      <c r="KK770" s="1"/>
      <c r="KL770" s="1"/>
      <c r="KM770" s="1"/>
      <c r="KN770" s="1"/>
      <c r="KO770" s="1"/>
      <c r="KP770" s="1"/>
      <c r="KQ770" s="1"/>
      <c r="KR770" s="1"/>
      <c r="KS770" s="1"/>
      <c r="KT770" s="1"/>
      <c r="KU770" s="1"/>
      <c r="KV770" s="1"/>
      <c r="KW770" s="1"/>
      <c r="KX770" s="1"/>
      <c r="KY770" s="1"/>
      <c r="KZ770" s="1"/>
      <c r="LA770" s="1"/>
      <c r="LB770" s="1"/>
      <c r="LC770" s="1"/>
      <c r="LD770" s="1"/>
      <c r="LE770" s="1"/>
    </row>
    <row r="771" spans="1:317" s="2" customFormat="1" x14ac:dyDescent="0.25">
      <c r="A771" s="1"/>
      <c r="B771" s="11"/>
      <c r="C771" s="11"/>
      <c r="D771" s="11"/>
      <c r="E771" s="11"/>
      <c r="F771" s="11"/>
      <c r="G771" s="11"/>
      <c r="H771" s="1"/>
      <c r="I771" s="4"/>
      <c r="J771" s="1"/>
      <c r="K771" s="1"/>
      <c r="L771" s="1"/>
      <c r="M771" s="86"/>
      <c r="N771" s="86"/>
      <c r="O771" s="86"/>
      <c r="P771" s="12"/>
      <c r="Q771" s="4"/>
      <c r="R771" s="4"/>
      <c r="S771" s="84"/>
      <c r="T771" s="5"/>
      <c r="U771" s="12"/>
      <c r="V771" s="88"/>
      <c r="W771" s="88"/>
      <c r="X771" s="88"/>
      <c r="Y771" s="88"/>
      <c r="Z771" s="88"/>
      <c r="AA771" s="88"/>
      <c r="AB771" s="93"/>
      <c r="AC771" s="93"/>
      <c r="AD771" s="93"/>
      <c r="AE771" s="6"/>
      <c r="AF771" s="6"/>
      <c r="AG771" s="6"/>
      <c r="AH771" s="6"/>
      <c r="AI771" s="6"/>
      <c r="AJ771" s="6"/>
      <c r="AK771" s="89"/>
      <c r="AL771" s="84"/>
      <c r="AM771" s="88"/>
      <c r="AN771" s="88"/>
      <c r="AO771" s="88"/>
      <c r="AP771" s="88"/>
      <c r="AQ771" s="86"/>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c r="KB771" s="1"/>
      <c r="KC771" s="1"/>
      <c r="KD771" s="1"/>
      <c r="KE771" s="1"/>
      <c r="KF771" s="1"/>
      <c r="KG771" s="1"/>
      <c r="KH771" s="1"/>
      <c r="KI771" s="1"/>
      <c r="KJ771" s="1"/>
      <c r="KK771" s="1"/>
      <c r="KL771" s="1"/>
      <c r="KM771" s="1"/>
      <c r="KN771" s="1"/>
      <c r="KO771" s="1"/>
      <c r="KP771" s="1"/>
      <c r="KQ771" s="1"/>
      <c r="KR771" s="1"/>
      <c r="KS771" s="1"/>
      <c r="KT771" s="1"/>
      <c r="KU771" s="1"/>
      <c r="KV771" s="1"/>
      <c r="KW771" s="1"/>
      <c r="KX771" s="1"/>
      <c r="KY771" s="1"/>
      <c r="KZ771" s="1"/>
      <c r="LA771" s="1"/>
      <c r="LB771" s="1"/>
      <c r="LC771" s="1"/>
      <c r="LD771" s="1"/>
      <c r="LE771" s="1"/>
    </row>
    <row r="772" spans="1:317" s="2" customFormat="1" x14ac:dyDescent="0.25">
      <c r="A772" s="1"/>
      <c r="B772" s="11"/>
      <c r="C772" s="11"/>
      <c r="D772" s="11"/>
      <c r="E772" s="11"/>
      <c r="F772" s="11"/>
      <c r="G772" s="11"/>
      <c r="H772" s="1"/>
      <c r="I772" s="4"/>
      <c r="J772" s="1"/>
      <c r="K772" s="1"/>
      <c r="L772" s="1"/>
      <c r="M772" s="86"/>
      <c r="N772" s="86"/>
      <c r="O772" s="86"/>
      <c r="P772" s="12"/>
      <c r="Q772" s="4"/>
      <c r="R772" s="4"/>
      <c r="S772" s="84"/>
      <c r="T772" s="5"/>
      <c r="U772" s="12"/>
      <c r="V772" s="88"/>
      <c r="W772" s="88"/>
      <c r="X772" s="88"/>
      <c r="Y772" s="88"/>
      <c r="Z772" s="88"/>
      <c r="AA772" s="88"/>
      <c r="AB772" s="93"/>
      <c r="AC772" s="93"/>
      <c r="AD772" s="93"/>
      <c r="AE772" s="6"/>
      <c r="AF772" s="6"/>
      <c r="AG772" s="6"/>
      <c r="AH772" s="6"/>
      <c r="AI772" s="6"/>
      <c r="AJ772" s="6"/>
      <c r="AK772" s="89"/>
      <c r="AL772" s="84"/>
      <c r="AM772" s="88"/>
      <c r="AN772" s="88"/>
      <c r="AO772" s="88"/>
      <c r="AP772" s="88"/>
      <c r="AQ772" s="86"/>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c r="KB772" s="1"/>
      <c r="KC772" s="1"/>
      <c r="KD772" s="1"/>
      <c r="KE772" s="1"/>
      <c r="KF772" s="1"/>
      <c r="KG772" s="1"/>
      <c r="KH772" s="1"/>
      <c r="KI772" s="1"/>
      <c r="KJ772" s="1"/>
      <c r="KK772" s="1"/>
      <c r="KL772" s="1"/>
      <c r="KM772" s="1"/>
      <c r="KN772" s="1"/>
      <c r="KO772" s="1"/>
      <c r="KP772" s="1"/>
      <c r="KQ772" s="1"/>
      <c r="KR772" s="1"/>
      <c r="KS772" s="1"/>
      <c r="KT772" s="1"/>
      <c r="KU772" s="1"/>
      <c r="KV772" s="1"/>
      <c r="KW772" s="1"/>
      <c r="KX772" s="1"/>
      <c r="KY772" s="1"/>
      <c r="KZ772" s="1"/>
      <c r="LA772" s="1"/>
      <c r="LB772" s="1"/>
      <c r="LC772" s="1"/>
      <c r="LD772" s="1"/>
      <c r="LE772" s="1"/>
    </row>
    <row r="773" spans="1:317" s="2" customFormat="1" x14ac:dyDescent="0.25">
      <c r="A773" s="1"/>
      <c r="B773" s="11"/>
      <c r="C773" s="11"/>
      <c r="D773" s="11"/>
      <c r="E773" s="11"/>
      <c r="F773" s="11"/>
      <c r="G773" s="11"/>
      <c r="H773" s="1"/>
      <c r="I773" s="4"/>
      <c r="J773" s="1"/>
      <c r="K773" s="1"/>
      <c r="L773" s="1"/>
      <c r="M773" s="86"/>
      <c r="N773" s="86"/>
      <c r="O773" s="86"/>
      <c r="P773" s="12"/>
      <c r="Q773" s="4"/>
      <c r="R773" s="4"/>
      <c r="S773" s="84"/>
      <c r="T773" s="5"/>
      <c r="U773" s="12"/>
      <c r="V773" s="88"/>
      <c r="W773" s="88"/>
      <c r="X773" s="88"/>
      <c r="Y773" s="88"/>
      <c r="Z773" s="88"/>
      <c r="AA773" s="88"/>
      <c r="AB773" s="93"/>
      <c r="AC773" s="93"/>
      <c r="AD773" s="93"/>
      <c r="AE773" s="6"/>
      <c r="AF773" s="6"/>
      <c r="AG773" s="6"/>
      <c r="AH773" s="6"/>
      <c r="AI773" s="6"/>
      <c r="AJ773" s="6"/>
      <c r="AK773" s="89"/>
      <c r="AL773" s="84"/>
      <c r="AM773" s="88"/>
      <c r="AN773" s="88"/>
      <c r="AO773" s="88"/>
      <c r="AP773" s="88"/>
      <c r="AQ773" s="86"/>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c r="KB773" s="1"/>
      <c r="KC773" s="1"/>
      <c r="KD773" s="1"/>
      <c r="KE773" s="1"/>
      <c r="KF773" s="1"/>
      <c r="KG773" s="1"/>
      <c r="KH773" s="1"/>
      <c r="KI773" s="1"/>
      <c r="KJ773" s="1"/>
      <c r="KK773" s="1"/>
      <c r="KL773" s="1"/>
      <c r="KM773" s="1"/>
      <c r="KN773" s="1"/>
      <c r="KO773" s="1"/>
      <c r="KP773" s="1"/>
      <c r="KQ773" s="1"/>
      <c r="KR773" s="1"/>
      <c r="KS773" s="1"/>
      <c r="KT773" s="1"/>
      <c r="KU773" s="1"/>
      <c r="KV773" s="1"/>
      <c r="KW773" s="1"/>
      <c r="KX773" s="1"/>
      <c r="KY773" s="1"/>
      <c r="KZ773" s="1"/>
      <c r="LA773" s="1"/>
      <c r="LB773" s="1"/>
      <c r="LC773" s="1"/>
      <c r="LD773" s="1"/>
      <c r="LE773" s="1"/>
    </row>
    <row r="774" spans="1:317" s="2" customFormat="1" x14ac:dyDescent="0.25">
      <c r="A774" s="1"/>
      <c r="B774" s="11"/>
      <c r="C774" s="11"/>
      <c r="D774" s="11"/>
      <c r="E774" s="11"/>
      <c r="F774" s="11"/>
      <c r="G774" s="11"/>
      <c r="H774" s="1"/>
      <c r="I774" s="4"/>
      <c r="J774" s="1"/>
      <c r="K774" s="1"/>
      <c r="L774" s="1"/>
      <c r="M774" s="86"/>
      <c r="N774" s="86"/>
      <c r="O774" s="86"/>
      <c r="P774" s="12"/>
      <c r="Q774" s="4"/>
      <c r="R774" s="4"/>
      <c r="S774" s="84"/>
      <c r="T774" s="5"/>
      <c r="U774" s="12"/>
      <c r="V774" s="88"/>
      <c r="W774" s="88"/>
      <c r="X774" s="88"/>
      <c r="Y774" s="88"/>
      <c r="Z774" s="88"/>
      <c r="AA774" s="88"/>
      <c r="AB774" s="93"/>
      <c r="AC774" s="93"/>
      <c r="AD774" s="93"/>
      <c r="AE774" s="6"/>
      <c r="AF774" s="6"/>
      <c r="AG774" s="6"/>
      <c r="AH774" s="6"/>
      <c r="AI774" s="6"/>
      <c r="AJ774" s="6"/>
      <c r="AK774" s="89"/>
      <c r="AL774" s="84"/>
      <c r="AM774" s="88"/>
      <c r="AN774" s="88"/>
      <c r="AO774" s="88"/>
      <c r="AP774" s="88"/>
      <c r="AQ774" s="86"/>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c r="KB774" s="1"/>
      <c r="KC774" s="1"/>
      <c r="KD774" s="1"/>
      <c r="KE774" s="1"/>
      <c r="KF774" s="1"/>
      <c r="KG774" s="1"/>
      <c r="KH774" s="1"/>
      <c r="KI774" s="1"/>
      <c r="KJ774" s="1"/>
      <c r="KK774" s="1"/>
      <c r="KL774" s="1"/>
      <c r="KM774" s="1"/>
      <c r="KN774" s="1"/>
      <c r="KO774" s="1"/>
      <c r="KP774" s="1"/>
      <c r="KQ774" s="1"/>
      <c r="KR774" s="1"/>
      <c r="KS774" s="1"/>
      <c r="KT774" s="1"/>
      <c r="KU774" s="1"/>
      <c r="KV774" s="1"/>
      <c r="KW774" s="1"/>
      <c r="KX774" s="1"/>
      <c r="KY774" s="1"/>
      <c r="KZ774" s="1"/>
      <c r="LA774" s="1"/>
      <c r="LB774" s="1"/>
      <c r="LC774" s="1"/>
      <c r="LD774" s="1"/>
      <c r="LE774" s="1"/>
    </row>
    <row r="775" spans="1:317" s="2" customFormat="1" x14ac:dyDescent="0.25">
      <c r="A775" s="1"/>
      <c r="B775" s="11"/>
      <c r="C775" s="11"/>
      <c r="D775" s="11"/>
      <c r="E775" s="11"/>
      <c r="F775" s="11"/>
      <c r="G775" s="11"/>
      <c r="H775" s="1"/>
      <c r="I775" s="4"/>
      <c r="J775" s="1"/>
      <c r="K775" s="1"/>
      <c r="L775" s="1"/>
      <c r="M775" s="86"/>
      <c r="N775" s="86"/>
      <c r="O775" s="86"/>
      <c r="P775" s="12"/>
      <c r="Q775" s="4"/>
      <c r="R775" s="4"/>
      <c r="S775" s="84"/>
      <c r="T775" s="5"/>
      <c r="U775" s="12"/>
      <c r="V775" s="88"/>
      <c r="W775" s="88"/>
      <c r="X775" s="88"/>
      <c r="Y775" s="88"/>
      <c r="Z775" s="88"/>
      <c r="AA775" s="88"/>
      <c r="AB775" s="93"/>
      <c r="AC775" s="93"/>
      <c r="AD775" s="93"/>
      <c r="AE775" s="6"/>
      <c r="AF775" s="6"/>
      <c r="AG775" s="6"/>
      <c r="AH775" s="6"/>
      <c r="AI775" s="6"/>
      <c r="AJ775" s="6"/>
      <c r="AK775" s="89"/>
      <c r="AL775" s="84"/>
      <c r="AM775" s="88"/>
      <c r="AN775" s="88"/>
      <c r="AO775" s="88"/>
      <c r="AP775" s="88"/>
      <c r="AQ775" s="86"/>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c r="KB775" s="1"/>
      <c r="KC775" s="1"/>
      <c r="KD775" s="1"/>
      <c r="KE775" s="1"/>
      <c r="KF775" s="1"/>
      <c r="KG775" s="1"/>
      <c r="KH775" s="1"/>
      <c r="KI775" s="1"/>
      <c r="KJ775" s="1"/>
      <c r="KK775" s="1"/>
      <c r="KL775" s="1"/>
      <c r="KM775" s="1"/>
      <c r="KN775" s="1"/>
      <c r="KO775" s="1"/>
      <c r="KP775" s="1"/>
      <c r="KQ775" s="1"/>
      <c r="KR775" s="1"/>
      <c r="KS775" s="1"/>
      <c r="KT775" s="1"/>
      <c r="KU775" s="1"/>
      <c r="KV775" s="1"/>
      <c r="KW775" s="1"/>
      <c r="KX775" s="1"/>
      <c r="KY775" s="1"/>
      <c r="KZ775" s="1"/>
      <c r="LA775" s="1"/>
      <c r="LB775" s="1"/>
      <c r="LC775" s="1"/>
      <c r="LD775" s="1"/>
      <c r="LE775" s="1"/>
    </row>
    <row r="776" spans="1:317" s="2" customFormat="1" x14ac:dyDescent="0.25">
      <c r="A776" s="1"/>
      <c r="B776" s="11"/>
      <c r="C776" s="11"/>
      <c r="D776" s="11"/>
      <c r="E776" s="11"/>
      <c r="F776" s="11"/>
      <c r="G776" s="11"/>
      <c r="H776" s="1"/>
      <c r="I776" s="4"/>
      <c r="J776" s="1"/>
      <c r="K776" s="1"/>
      <c r="L776" s="1"/>
      <c r="M776" s="86"/>
      <c r="N776" s="86"/>
      <c r="O776" s="86"/>
      <c r="P776" s="12"/>
      <c r="Q776" s="4"/>
      <c r="R776" s="4"/>
      <c r="S776" s="84"/>
      <c r="T776" s="5"/>
      <c r="U776" s="12"/>
      <c r="V776" s="88"/>
      <c r="W776" s="88"/>
      <c r="X776" s="88"/>
      <c r="Y776" s="88"/>
      <c r="Z776" s="88"/>
      <c r="AA776" s="88"/>
      <c r="AB776" s="93"/>
      <c r="AC776" s="93"/>
      <c r="AD776" s="93"/>
      <c r="AE776" s="6"/>
      <c r="AF776" s="6"/>
      <c r="AG776" s="6"/>
      <c r="AH776" s="6"/>
      <c r="AI776" s="6"/>
      <c r="AJ776" s="6"/>
      <c r="AK776" s="89"/>
      <c r="AL776" s="84"/>
      <c r="AM776" s="88"/>
      <c r="AN776" s="88"/>
      <c r="AO776" s="88"/>
      <c r="AP776" s="88"/>
      <c r="AQ776" s="86"/>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c r="KB776" s="1"/>
      <c r="KC776" s="1"/>
      <c r="KD776" s="1"/>
      <c r="KE776" s="1"/>
      <c r="KF776" s="1"/>
      <c r="KG776" s="1"/>
      <c r="KH776" s="1"/>
      <c r="KI776" s="1"/>
      <c r="KJ776" s="1"/>
      <c r="KK776" s="1"/>
      <c r="KL776" s="1"/>
      <c r="KM776" s="1"/>
      <c r="KN776" s="1"/>
      <c r="KO776" s="1"/>
      <c r="KP776" s="1"/>
      <c r="KQ776" s="1"/>
      <c r="KR776" s="1"/>
      <c r="KS776" s="1"/>
      <c r="KT776" s="1"/>
      <c r="KU776" s="1"/>
      <c r="KV776" s="1"/>
      <c r="KW776" s="1"/>
      <c r="KX776" s="1"/>
      <c r="KY776" s="1"/>
      <c r="KZ776" s="1"/>
      <c r="LA776" s="1"/>
      <c r="LB776" s="1"/>
      <c r="LC776" s="1"/>
      <c r="LD776" s="1"/>
      <c r="LE776" s="1"/>
    </row>
    <row r="777" spans="1:317" s="2" customFormat="1" x14ac:dyDescent="0.25">
      <c r="A777" s="1"/>
      <c r="B777" s="11"/>
      <c r="C777" s="11"/>
      <c r="D777" s="11"/>
      <c r="E777" s="11"/>
      <c r="F777" s="11"/>
      <c r="G777" s="11"/>
      <c r="H777" s="1"/>
      <c r="I777" s="4"/>
      <c r="J777" s="1"/>
      <c r="K777" s="1"/>
      <c r="L777" s="1"/>
      <c r="M777" s="86"/>
      <c r="N777" s="86"/>
      <c r="O777" s="86"/>
      <c r="P777" s="12"/>
      <c r="Q777" s="4"/>
      <c r="R777" s="4"/>
      <c r="S777" s="84"/>
      <c r="T777" s="5"/>
      <c r="U777" s="12"/>
      <c r="V777" s="88"/>
      <c r="W777" s="88"/>
      <c r="X777" s="88"/>
      <c r="Y777" s="88"/>
      <c r="Z777" s="88"/>
      <c r="AA777" s="88"/>
      <c r="AB777" s="93"/>
      <c r="AC777" s="93"/>
      <c r="AD777" s="93"/>
      <c r="AE777" s="6"/>
      <c r="AF777" s="6"/>
      <c r="AG777" s="6"/>
      <c r="AH777" s="6"/>
      <c r="AI777" s="6"/>
      <c r="AJ777" s="6"/>
      <c r="AK777" s="89"/>
      <c r="AL777" s="84"/>
      <c r="AM777" s="88"/>
      <c r="AN777" s="88"/>
      <c r="AO777" s="88"/>
      <c r="AP777" s="88"/>
      <c r="AQ777" s="86"/>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c r="KB777" s="1"/>
      <c r="KC777" s="1"/>
      <c r="KD777" s="1"/>
      <c r="KE777" s="1"/>
      <c r="KF777" s="1"/>
      <c r="KG777" s="1"/>
      <c r="KH777" s="1"/>
      <c r="KI777" s="1"/>
      <c r="KJ777" s="1"/>
      <c r="KK777" s="1"/>
      <c r="KL777" s="1"/>
      <c r="KM777" s="1"/>
      <c r="KN777" s="1"/>
      <c r="KO777" s="1"/>
      <c r="KP777" s="1"/>
      <c r="KQ777" s="1"/>
      <c r="KR777" s="1"/>
      <c r="KS777" s="1"/>
      <c r="KT777" s="1"/>
      <c r="KU777" s="1"/>
      <c r="KV777" s="1"/>
      <c r="KW777" s="1"/>
      <c r="KX777" s="1"/>
      <c r="KY777" s="1"/>
      <c r="KZ777" s="1"/>
      <c r="LA777" s="1"/>
      <c r="LB777" s="1"/>
      <c r="LC777" s="1"/>
      <c r="LD777" s="1"/>
      <c r="LE777" s="1"/>
    </row>
    <row r="778" spans="1:317" s="2" customFormat="1" x14ac:dyDescent="0.25">
      <c r="A778" s="1"/>
      <c r="B778" s="11"/>
      <c r="C778" s="11"/>
      <c r="D778" s="11"/>
      <c r="E778" s="11"/>
      <c r="F778" s="11"/>
      <c r="G778" s="11"/>
      <c r="H778" s="1"/>
      <c r="I778" s="4"/>
      <c r="J778" s="1"/>
      <c r="K778" s="1"/>
      <c r="L778" s="1"/>
      <c r="M778" s="86"/>
      <c r="N778" s="86"/>
      <c r="O778" s="86"/>
      <c r="P778" s="12"/>
      <c r="Q778" s="4"/>
      <c r="R778" s="4"/>
      <c r="S778" s="84"/>
      <c r="T778" s="5"/>
      <c r="U778" s="12"/>
      <c r="V778" s="88"/>
      <c r="W778" s="88"/>
      <c r="X778" s="88"/>
      <c r="Y778" s="88"/>
      <c r="Z778" s="88"/>
      <c r="AA778" s="88"/>
      <c r="AB778" s="93"/>
      <c r="AC778" s="93"/>
      <c r="AD778" s="93"/>
      <c r="AE778" s="6"/>
      <c r="AF778" s="6"/>
      <c r="AG778" s="6"/>
      <c r="AH778" s="6"/>
      <c r="AI778" s="6"/>
      <c r="AJ778" s="6"/>
      <c r="AK778" s="89"/>
      <c r="AL778" s="84"/>
      <c r="AM778" s="88"/>
      <c r="AN778" s="88"/>
      <c r="AO778" s="88"/>
      <c r="AP778" s="88"/>
      <c r="AQ778" s="86"/>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c r="KB778" s="1"/>
      <c r="KC778" s="1"/>
      <c r="KD778" s="1"/>
      <c r="KE778" s="1"/>
      <c r="KF778" s="1"/>
      <c r="KG778" s="1"/>
      <c r="KH778" s="1"/>
      <c r="KI778" s="1"/>
      <c r="KJ778" s="1"/>
      <c r="KK778" s="1"/>
      <c r="KL778" s="1"/>
      <c r="KM778" s="1"/>
      <c r="KN778" s="1"/>
      <c r="KO778" s="1"/>
      <c r="KP778" s="1"/>
      <c r="KQ778" s="1"/>
      <c r="KR778" s="1"/>
      <c r="KS778" s="1"/>
      <c r="KT778" s="1"/>
      <c r="KU778" s="1"/>
      <c r="KV778" s="1"/>
      <c r="KW778" s="1"/>
      <c r="KX778" s="1"/>
      <c r="KY778" s="1"/>
      <c r="KZ778" s="1"/>
      <c r="LA778" s="1"/>
      <c r="LB778" s="1"/>
      <c r="LC778" s="1"/>
      <c r="LD778" s="1"/>
      <c r="LE778" s="1"/>
    </row>
    <row r="779" spans="1:317" s="2" customFormat="1" x14ac:dyDescent="0.25">
      <c r="A779" s="1"/>
      <c r="B779" s="11"/>
      <c r="C779" s="11"/>
      <c r="D779" s="11"/>
      <c r="E779" s="11"/>
      <c r="F779" s="11"/>
      <c r="G779" s="11"/>
      <c r="H779" s="1"/>
      <c r="I779" s="4"/>
      <c r="J779" s="1"/>
      <c r="K779" s="1"/>
      <c r="L779" s="1"/>
      <c r="M779" s="86"/>
      <c r="N779" s="86"/>
      <c r="O779" s="86"/>
      <c r="P779" s="12"/>
      <c r="Q779" s="4"/>
      <c r="R779" s="4"/>
      <c r="S779" s="84"/>
      <c r="T779" s="5"/>
      <c r="U779" s="12"/>
      <c r="V779" s="88"/>
      <c r="W779" s="88"/>
      <c r="X779" s="88"/>
      <c r="Y779" s="88"/>
      <c r="Z779" s="88"/>
      <c r="AA779" s="88"/>
      <c r="AB779" s="93"/>
      <c r="AC779" s="93"/>
      <c r="AD779" s="93"/>
      <c r="AE779" s="6"/>
      <c r="AF779" s="6"/>
      <c r="AG779" s="6"/>
      <c r="AH779" s="6"/>
      <c r="AI779" s="6"/>
      <c r="AJ779" s="6"/>
      <c r="AK779" s="89"/>
      <c r="AL779" s="84"/>
      <c r="AM779" s="88"/>
      <c r="AN779" s="88"/>
      <c r="AO779" s="88"/>
      <c r="AP779" s="88"/>
      <c r="AQ779" s="86"/>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c r="KB779" s="1"/>
      <c r="KC779" s="1"/>
      <c r="KD779" s="1"/>
      <c r="KE779" s="1"/>
      <c r="KF779" s="1"/>
      <c r="KG779" s="1"/>
      <c r="KH779" s="1"/>
      <c r="KI779" s="1"/>
      <c r="KJ779" s="1"/>
      <c r="KK779" s="1"/>
      <c r="KL779" s="1"/>
      <c r="KM779" s="1"/>
      <c r="KN779" s="1"/>
      <c r="KO779" s="1"/>
      <c r="KP779" s="1"/>
      <c r="KQ779" s="1"/>
      <c r="KR779" s="1"/>
      <c r="KS779" s="1"/>
      <c r="KT779" s="1"/>
      <c r="KU779" s="1"/>
      <c r="KV779" s="1"/>
      <c r="KW779" s="1"/>
      <c r="KX779" s="1"/>
      <c r="KY779" s="1"/>
      <c r="KZ779" s="1"/>
      <c r="LA779" s="1"/>
      <c r="LB779" s="1"/>
      <c r="LC779" s="1"/>
      <c r="LD779" s="1"/>
      <c r="LE779" s="1"/>
    </row>
    <row r="780" spans="1:317" s="2" customFormat="1" x14ac:dyDescent="0.25">
      <c r="A780" s="1"/>
      <c r="B780" s="11"/>
      <c r="C780" s="11"/>
      <c r="D780" s="11"/>
      <c r="E780" s="11"/>
      <c r="F780" s="11"/>
      <c r="G780" s="11"/>
      <c r="H780" s="1"/>
      <c r="I780" s="4"/>
      <c r="J780" s="1"/>
      <c r="K780" s="1"/>
      <c r="L780" s="1"/>
      <c r="M780" s="86"/>
      <c r="N780" s="86"/>
      <c r="O780" s="86"/>
      <c r="P780" s="12"/>
      <c r="Q780" s="4"/>
      <c r="R780" s="4"/>
      <c r="S780" s="84"/>
      <c r="T780" s="5"/>
      <c r="U780" s="12"/>
      <c r="V780" s="88"/>
      <c r="W780" s="88"/>
      <c r="X780" s="88"/>
      <c r="Y780" s="88"/>
      <c r="Z780" s="88"/>
      <c r="AA780" s="88"/>
      <c r="AB780" s="93"/>
      <c r="AC780" s="93"/>
      <c r="AD780" s="93"/>
      <c r="AE780" s="6"/>
      <c r="AF780" s="6"/>
      <c r="AG780" s="6"/>
      <c r="AH780" s="6"/>
      <c r="AI780" s="6"/>
      <c r="AJ780" s="6"/>
      <c r="AK780" s="89"/>
      <c r="AL780" s="84"/>
      <c r="AM780" s="88"/>
      <c r="AN780" s="88"/>
      <c r="AO780" s="88"/>
      <c r="AP780" s="88"/>
      <c r="AQ780" s="86"/>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c r="KB780" s="1"/>
      <c r="KC780" s="1"/>
      <c r="KD780" s="1"/>
      <c r="KE780" s="1"/>
      <c r="KF780" s="1"/>
      <c r="KG780" s="1"/>
      <c r="KH780" s="1"/>
      <c r="KI780" s="1"/>
      <c r="KJ780" s="1"/>
      <c r="KK780" s="1"/>
      <c r="KL780" s="1"/>
      <c r="KM780" s="1"/>
      <c r="KN780" s="1"/>
      <c r="KO780" s="1"/>
      <c r="KP780" s="1"/>
      <c r="KQ780" s="1"/>
      <c r="KR780" s="1"/>
      <c r="KS780" s="1"/>
      <c r="KT780" s="1"/>
      <c r="KU780" s="1"/>
      <c r="KV780" s="1"/>
      <c r="KW780" s="1"/>
      <c r="KX780" s="1"/>
      <c r="KY780" s="1"/>
      <c r="KZ780" s="1"/>
      <c r="LA780" s="1"/>
      <c r="LB780" s="1"/>
      <c r="LC780" s="1"/>
      <c r="LD780" s="1"/>
      <c r="LE780" s="1"/>
    </row>
    <row r="781" spans="1:317" s="2" customFormat="1" x14ac:dyDescent="0.25">
      <c r="A781" s="1"/>
      <c r="B781" s="11"/>
      <c r="C781" s="11"/>
      <c r="D781" s="11"/>
      <c r="E781" s="11"/>
      <c r="F781" s="11"/>
      <c r="G781" s="11"/>
      <c r="H781" s="1"/>
      <c r="I781" s="4"/>
      <c r="J781" s="1"/>
      <c r="K781" s="1"/>
      <c r="L781" s="1"/>
      <c r="M781" s="86"/>
      <c r="N781" s="86"/>
      <c r="O781" s="86"/>
      <c r="P781" s="12"/>
      <c r="Q781" s="4"/>
      <c r="R781" s="4"/>
      <c r="S781" s="84"/>
      <c r="T781" s="5"/>
      <c r="U781" s="12"/>
      <c r="V781" s="88"/>
      <c r="W781" s="88"/>
      <c r="X781" s="88"/>
      <c r="Y781" s="88"/>
      <c r="Z781" s="88"/>
      <c r="AA781" s="88"/>
      <c r="AB781" s="93"/>
      <c r="AC781" s="93"/>
      <c r="AD781" s="93"/>
      <c r="AE781" s="6"/>
      <c r="AF781" s="6"/>
      <c r="AG781" s="6"/>
      <c r="AH781" s="6"/>
      <c r="AI781" s="6"/>
      <c r="AJ781" s="6"/>
      <c r="AK781" s="89"/>
      <c r="AL781" s="84"/>
      <c r="AM781" s="88"/>
      <c r="AN781" s="88"/>
      <c r="AO781" s="88"/>
      <c r="AP781" s="88"/>
      <c r="AQ781" s="86"/>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c r="KB781" s="1"/>
      <c r="KC781" s="1"/>
      <c r="KD781" s="1"/>
      <c r="KE781" s="1"/>
      <c r="KF781" s="1"/>
      <c r="KG781" s="1"/>
      <c r="KH781" s="1"/>
      <c r="KI781" s="1"/>
      <c r="KJ781" s="1"/>
      <c r="KK781" s="1"/>
      <c r="KL781" s="1"/>
      <c r="KM781" s="1"/>
      <c r="KN781" s="1"/>
      <c r="KO781" s="1"/>
      <c r="KP781" s="1"/>
      <c r="KQ781" s="1"/>
      <c r="KR781" s="1"/>
      <c r="KS781" s="1"/>
      <c r="KT781" s="1"/>
      <c r="KU781" s="1"/>
      <c r="KV781" s="1"/>
      <c r="KW781" s="1"/>
      <c r="KX781" s="1"/>
      <c r="KY781" s="1"/>
      <c r="KZ781" s="1"/>
      <c r="LA781" s="1"/>
      <c r="LB781" s="1"/>
      <c r="LC781" s="1"/>
      <c r="LD781" s="1"/>
      <c r="LE781" s="1"/>
    </row>
    <row r="782" spans="1:317" s="2" customFormat="1" x14ac:dyDescent="0.25">
      <c r="A782" s="1"/>
      <c r="B782" s="11"/>
      <c r="C782" s="11"/>
      <c r="D782" s="11"/>
      <c r="E782" s="11"/>
      <c r="F782" s="11"/>
      <c r="G782" s="11"/>
      <c r="H782" s="1"/>
      <c r="I782" s="4"/>
      <c r="J782" s="1"/>
      <c r="K782" s="1"/>
      <c r="L782" s="1"/>
      <c r="M782" s="86"/>
      <c r="N782" s="86"/>
      <c r="O782" s="86"/>
      <c r="P782" s="12"/>
      <c r="Q782" s="4"/>
      <c r="R782" s="4"/>
      <c r="S782" s="84"/>
      <c r="T782" s="5"/>
      <c r="U782" s="12"/>
      <c r="V782" s="88"/>
      <c r="W782" s="88"/>
      <c r="X782" s="88"/>
      <c r="Y782" s="88"/>
      <c r="Z782" s="88"/>
      <c r="AA782" s="88"/>
      <c r="AB782" s="93"/>
      <c r="AC782" s="93"/>
      <c r="AD782" s="93"/>
      <c r="AE782" s="6"/>
      <c r="AF782" s="6"/>
      <c r="AG782" s="6"/>
      <c r="AH782" s="6"/>
      <c r="AI782" s="6"/>
      <c r="AJ782" s="6"/>
      <c r="AK782" s="89"/>
      <c r="AL782" s="84"/>
      <c r="AM782" s="88"/>
      <c r="AN782" s="88"/>
      <c r="AO782" s="88"/>
      <c r="AP782" s="88"/>
      <c r="AQ782" s="86"/>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c r="KB782" s="1"/>
      <c r="KC782" s="1"/>
      <c r="KD782" s="1"/>
      <c r="KE782" s="1"/>
      <c r="KF782" s="1"/>
      <c r="KG782" s="1"/>
      <c r="KH782" s="1"/>
      <c r="KI782" s="1"/>
      <c r="KJ782" s="1"/>
      <c r="KK782" s="1"/>
      <c r="KL782" s="1"/>
      <c r="KM782" s="1"/>
      <c r="KN782" s="1"/>
      <c r="KO782" s="1"/>
      <c r="KP782" s="1"/>
      <c r="KQ782" s="1"/>
      <c r="KR782" s="1"/>
      <c r="KS782" s="1"/>
      <c r="KT782" s="1"/>
      <c r="KU782" s="1"/>
      <c r="KV782" s="1"/>
      <c r="KW782" s="1"/>
      <c r="KX782" s="1"/>
      <c r="KY782" s="1"/>
      <c r="KZ782" s="1"/>
      <c r="LA782" s="1"/>
      <c r="LB782" s="1"/>
      <c r="LC782" s="1"/>
      <c r="LD782" s="1"/>
      <c r="LE782" s="1"/>
    </row>
    <row r="783" spans="1:317" s="2" customFormat="1" x14ac:dyDescent="0.25">
      <c r="A783" s="1"/>
      <c r="B783" s="11"/>
      <c r="C783" s="11"/>
      <c r="D783" s="11"/>
      <c r="E783" s="11"/>
      <c r="F783" s="11"/>
      <c r="G783" s="11"/>
      <c r="H783" s="1"/>
      <c r="I783" s="4"/>
      <c r="J783" s="1"/>
      <c r="K783" s="1"/>
      <c r="L783" s="1"/>
      <c r="M783" s="86"/>
      <c r="N783" s="86"/>
      <c r="O783" s="86"/>
      <c r="P783" s="12"/>
      <c r="Q783" s="4"/>
      <c r="R783" s="4"/>
      <c r="S783" s="84"/>
      <c r="T783" s="5"/>
      <c r="U783" s="12"/>
      <c r="V783" s="88"/>
      <c r="W783" s="88"/>
      <c r="X783" s="88"/>
      <c r="Y783" s="88"/>
      <c r="Z783" s="88"/>
      <c r="AA783" s="88"/>
      <c r="AB783" s="93"/>
      <c r="AC783" s="93"/>
      <c r="AD783" s="93"/>
      <c r="AE783" s="6"/>
      <c r="AF783" s="6"/>
      <c r="AG783" s="6"/>
      <c r="AH783" s="6"/>
      <c r="AI783" s="6"/>
      <c r="AJ783" s="6"/>
      <c r="AK783" s="89"/>
      <c r="AL783" s="84"/>
      <c r="AM783" s="88"/>
      <c r="AN783" s="88"/>
      <c r="AO783" s="88"/>
      <c r="AP783" s="88"/>
      <c r="AQ783" s="86"/>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c r="KB783" s="1"/>
      <c r="KC783" s="1"/>
      <c r="KD783" s="1"/>
      <c r="KE783" s="1"/>
      <c r="KF783" s="1"/>
      <c r="KG783" s="1"/>
      <c r="KH783" s="1"/>
      <c r="KI783" s="1"/>
      <c r="KJ783" s="1"/>
      <c r="KK783" s="1"/>
      <c r="KL783" s="1"/>
      <c r="KM783" s="1"/>
      <c r="KN783" s="1"/>
      <c r="KO783" s="1"/>
      <c r="KP783" s="1"/>
      <c r="KQ783" s="1"/>
      <c r="KR783" s="1"/>
      <c r="KS783" s="1"/>
      <c r="KT783" s="1"/>
      <c r="KU783" s="1"/>
      <c r="KV783" s="1"/>
      <c r="KW783" s="1"/>
      <c r="KX783" s="1"/>
      <c r="KY783" s="1"/>
      <c r="KZ783" s="1"/>
      <c r="LA783" s="1"/>
      <c r="LB783" s="1"/>
      <c r="LC783" s="1"/>
      <c r="LD783" s="1"/>
      <c r="LE783" s="1"/>
    </row>
    <row r="784" spans="1:317" s="2" customFormat="1" x14ac:dyDescent="0.25">
      <c r="A784" s="1"/>
      <c r="B784" s="11"/>
      <c r="C784" s="11"/>
      <c r="D784" s="11"/>
      <c r="E784" s="11"/>
      <c r="F784" s="11"/>
      <c r="G784" s="11"/>
      <c r="H784" s="1"/>
      <c r="I784" s="4"/>
      <c r="J784" s="1"/>
      <c r="K784" s="1"/>
      <c r="L784" s="1"/>
      <c r="M784" s="86"/>
      <c r="N784" s="86"/>
      <c r="O784" s="86"/>
      <c r="P784" s="12"/>
      <c r="Q784" s="4"/>
      <c r="R784" s="4"/>
      <c r="S784" s="84"/>
      <c r="T784" s="5"/>
      <c r="U784" s="12"/>
      <c r="V784" s="88"/>
      <c r="W784" s="88"/>
      <c r="X784" s="88"/>
      <c r="Y784" s="88"/>
      <c r="Z784" s="88"/>
      <c r="AA784" s="88"/>
      <c r="AB784" s="93"/>
      <c r="AC784" s="93"/>
      <c r="AD784" s="93"/>
      <c r="AE784" s="6"/>
      <c r="AF784" s="6"/>
      <c r="AG784" s="6"/>
      <c r="AH784" s="6"/>
      <c r="AI784" s="6"/>
      <c r="AJ784" s="6"/>
      <c r="AK784" s="89"/>
      <c r="AL784" s="84"/>
      <c r="AM784" s="88"/>
      <c r="AN784" s="88"/>
      <c r="AO784" s="88"/>
      <c r="AP784" s="88"/>
      <c r="AQ784" s="86"/>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c r="KB784" s="1"/>
      <c r="KC784" s="1"/>
      <c r="KD784" s="1"/>
      <c r="KE784" s="1"/>
      <c r="KF784" s="1"/>
      <c r="KG784" s="1"/>
      <c r="KH784" s="1"/>
      <c r="KI784" s="1"/>
      <c r="KJ784" s="1"/>
      <c r="KK784" s="1"/>
      <c r="KL784" s="1"/>
      <c r="KM784" s="1"/>
      <c r="KN784" s="1"/>
      <c r="KO784" s="1"/>
      <c r="KP784" s="1"/>
      <c r="KQ784" s="1"/>
      <c r="KR784" s="1"/>
      <c r="KS784" s="1"/>
      <c r="KT784" s="1"/>
      <c r="KU784" s="1"/>
      <c r="KV784" s="1"/>
      <c r="KW784" s="1"/>
      <c r="KX784" s="1"/>
      <c r="KY784" s="1"/>
      <c r="KZ784" s="1"/>
      <c r="LA784" s="1"/>
      <c r="LB784" s="1"/>
      <c r="LC784" s="1"/>
      <c r="LD784" s="1"/>
      <c r="LE784" s="1"/>
    </row>
    <row r="785" spans="1:317" s="2" customFormat="1" x14ac:dyDescent="0.25">
      <c r="A785" s="1"/>
      <c r="B785" s="11"/>
      <c r="C785" s="11"/>
      <c r="D785" s="11"/>
      <c r="E785" s="11"/>
      <c r="F785" s="11"/>
      <c r="G785" s="11"/>
      <c r="H785" s="1"/>
      <c r="I785" s="4"/>
      <c r="J785" s="1"/>
      <c r="K785" s="1"/>
      <c r="L785" s="1"/>
      <c r="M785" s="86"/>
      <c r="N785" s="86"/>
      <c r="O785" s="86"/>
      <c r="P785" s="12"/>
      <c r="Q785" s="4"/>
      <c r="R785" s="4"/>
      <c r="S785" s="84"/>
      <c r="T785" s="5"/>
      <c r="U785" s="12"/>
      <c r="V785" s="88"/>
      <c r="W785" s="88"/>
      <c r="X785" s="88"/>
      <c r="Y785" s="88"/>
      <c r="Z785" s="88"/>
      <c r="AA785" s="88"/>
      <c r="AB785" s="93"/>
      <c r="AC785" s="93"/>
      <c r="AD785" s="93"/>
      <c r="AE785" s="6"/>
      <c r="AF785" s="6"/>
      <c r="AG785" s="6"/>
      <c r="AH785" s="6"/>
      <c r="AI785" s="6"/>
      <c r="AJ785" s="6"/>
      <c r="AK785" s="89"/>
      <c r="AL785" s="84"/>
      <c r="AM785" s="88"/>
      <c r="AN785" s="88"/>
      <c r="AO785" s="88"/>
      <c r="AP785" s="88"/>
      <c r="AQ785" s="86"/>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c r="KB785" s="1"/>
      <c r="KC785" s="1"/>
      <c r="KD785" s="1"/>
      <c r="KE785" s="1"/>
      <c r="KF785" s="1"/>
      <c r="KG785" s="1"/>
      <c r="KH785" s="1"/>
      <c r="KI785" s="1"/>
      <c r="KJ785" s="1"/>
      <c r="KK785" s="1"/>
      <c r="KL785" s="1"/>
      <c r="KM785" s="1"/>
      <c r="KN785" s="1"/>
      <c r="KO785" s="1"/>
      <c r="KP785" s="1"/>
      <c r="KQ785" s="1"/>
      <c r="KR785" s="1"/>
      <c r="KS785" s="1"/>
      <c r="KT785" s="1"/>
      <c r="KU785" s="1"/>
      <c r="KV785" s="1"/>
      <c r="KW785" s="1"/>
      <c r="KX785" s="1"/>
      <c r="KY785" s="1"/>
      <c r="KZ785" s="1"/>
      <c r="LA785" s="1"/>
      <c r="LB785" s="1"/>
      <c r="LC785" s="1"/>
      <c r="LD785" s="1"/>
      <c r="LE785" s="1"/>
    </row>
    <row r="786" spans="1:317" s="2" customFormat="1" x14ac:dyDescent="0.25">
      <c r="A786" s="1"/>
      <c r="B786" s="11"/>
      <c r="C786" s="11"/>
      <c r="D786" s="11"/>
      <c r="E786" s="11"/>
      <c r="F786" s="11"/>
      <c r="G786" s="11"/>
      <c r="H786" s="1"/>
      <c r="I786" s="4"/>
      <c r="J786" s="1"/>
      <c r="K786" s="1"/>
      <c r="L786" s="1"/>
      <c r="M786" s="86"/>
      <c r="N786" s="86"/>
      <c r="O786" s="86"/>
      <c r="P786" s="12"/>
      <c r="Q786" s="4"/>
      <c r="R786" s="4"/>
      <c r="S786" s="84"/>
      <c r="T786" s="5"/>
      <c r="U786" s="12"/>
      <c r="V786" s="88"/>
      <c r="W786" s="88"/>
      <c r="X786" s="88"/>
      <c r="Y786" s="88"/>
      <c r="Z786" s="88"/>
      <c r="AA786" s="88"/>
      <c r="AB786" s="93"/>
      <c r="AC786" s="93"/>
      <c r="AD786" s="93"/>
      <c r="AE786" s="6"/>
      <c r="AF786" s="6"/>
      <c r="AG786" s="6"/>
      <c r="AH786" s="6"/>
      <c r="AI786" s="6"/>
      <c r="AJ786" s="6"/>
      <c r="AK786" s="89"/>
      <c r="AL786" s="84"/>
      <c r="AM786" s="88"/>
      <c r="AN786" s="88"/>
      <c r="AO786" s="88"/>
      <c r="AP786" s="88"/>
      <c r="AQ786" s="86"/>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c r="KB786" s="1"/>
      <c r="KC786" s="1"/>
      <c r="KD786" s="1"/>
      <c r="KE786" s="1"/>
      <c r="KF786" s="1"/>
      <c r="KG786" s="1"/>
      <c r="KH786" s="1"/>
      <c r="KI786" s="1"/>
      <c r="KJ786" s="1"/>
      <c r="KK786" s="1"/>
      <c r="KL786" s="1"/>
      <c r="KM786" s="1"/>
      <c r="KN786" s="1"/>
      <c r="KO786" s="1"/>
      <c r="KP786" s="1"/>
      <c r="KQ786" s="1"/>
      <c r="KR786" s="1"/>
      <c r="KS786" s="1"/>
      <c r="KT786" s="1"/>
      <c r="KU786" s="1"/>
      <c r="KV786" s="1"/>
      <c r="KW786" s="1"/>
      <c r="KX786" s="1"/>
      <c r="KY786" s="1"/>
      <c r="KZ786" s="1"/>
      <c r="LA786" s="1"/>
      <c r="LB786" s="1"/>
      <c r="LC786" s="1"/>
      <c r="LD786" s="1"/>
      <c r="LE786" s="1"/>
    </row>
    <row r="787" spans="1:317" s="2" customFormat="1" x14ac:dyDescent="0.25">
      <c r="A787" s="1"/>
      <c r="B787" s="11"/>
      <c r="C787" s="11"/>
      <c r="D787" s="11"/>
      <c r="E787" s="11"/>
      <c r="F787" s="11"/>
      <c r="G787" s="11"/>
      <c r="H787" s="1"/>
      <c r="I787" s="4"/>
      <c r="J787" s="1"/>
      <c r="K787" s="1"/>
      <c r="L787" s="1"/>
      <c r="M787" s="86"/>
      <c r="N787" s="86"/>
      <c r="O787" s="86"/>
      <c r="P787" s="12"/>
      <c r="Q787" s="4"/>
      <c r="R787" s="4"/>
      <c r="S787" s="84"/>
      <c r="T787" s="5"/>
      <c r="U787" s="12"/>
      <c r="V787" s="88"/>
      <c r="W787" s="88"/>
      <c r="X787" s="88"/>
      <c r="Y787" s="88"/>
      <c r="Z787" s="88"/>
      <c r="AA787" s="88"/>
      <c r="AB787" s="93"/>
      <c r="AC787" s="93"/>
      <c r="AD787" s="93"/>
      <c r="AE787" s="6"/>
      <c r="AF787" s="6"/>
      <c r="AG787" s="6"/>
      <c r="AH787" s="6"/>
      <c r="AI787" s="6"/>
      <c r="AJ787" s="6"/>
      <c r="AK787" s="89"/>
      <c r="AL787" s="84"/>
      <c r="AM787" s="88"/>
      <c r="AN787" s="88"/>
      <c r="AO787" s="88"/>
      <c r="AP787" s="88"/>
      <c r="AQ787" s="86"/>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c r="KB787" s="1"/>
      <c r="KC787" s="1"/>
      <c r="KD787" s="1"/>
      <c r="KE787" s="1"/>
      <c r="KF787" s="1"/>
      <c r="KG787" s="1"/>
      <c r="KH787" s="1"/>
      <c r="KI787" s="1"/>
      <c r="KJ787" s="1"/>
      <c r="KK787" s="1"/>
      <c r="KL787" s="1"/>
      <c r="KM787" s="1"/>
      <c r="KN787" s="1"/>
      <c r="KO787" s="1"/>
      <c r="KP787" s="1"/>
      <c r="KQ787" s="1"/>
      <c r="KR787" s="1"/>
      <c r="KS787" s="1"/>
      <c r="KT787" s="1"/>
      <c r="KU787" s="1"/>
      <c r="KV787" s="1"/>
      <c r="KW787" s="1"/>
      <c r="KX787" s="1"/>
      <c r="KY787" s="1"/>
      <c r="KZ787" s="1"/>
      <c r="LA787" s="1"/>
      <c r="LB787" s="1"/>
      <c r="LC787" s="1"/>
      <c r="LD787" s="1"/>
      <c r="LE787" s="1"/>
    </row>
    <row r="788" spans="1:317" s="2" customFormat="1" x14ac:dyDescent="0.25">
      <c r="A788" s="1"/>
      <c r="B788" s="11"/>
      <c r="C788" s="11"/>
      <c r="D788" s="11"/>
      <c r="E788" s="11"/>
      <c r="F788" s="11"/>
      <c r="G788" s="11"/>
      <c r="H788" s="1"/>
      <c r="I788" s="4"/>
      <c r="J788" s="1"/>
      <c r="K788" s="1"/>
      <c r="L788" s="1"/>
      <c r="M788" s="86"/>
      <c r="N788" s="86"/>
      <c r="O788" s="86"/>
      <c r="P788" s="12"/>
      <c r="Q788" s="4"/>
      <c r="R788" s="4"/>
      <c r="S788" s="84"/>
      <c r="T788" s="5"/>
      <c r="U788" s="12"/>
      <c r="V788" s="88"/>
      <c r="W788" s="88"/>
      <c r="X788" s="88"/>
      <c r="Y788" s="88"/>
      <c r="Z788" s="88"/>
      <c r="AA788" s="88"/>
      <c r="AB788" s="93"/>
      <c r="AC788" s="93"/>
      <c r="AD788" s="93"/>
      <c r="AE788" s="6"/>
      <c r="AF788" s="6"/>
      <c r="AG788" s="6"/>
      <c r="AH788" s="6"/>
      <c r="AI788" s="6"/>
      <c r="AJ788" s="6"/>
      <c r="AK788" s="89"/>
      <c r="AL788" s="84"/>
      <c r="AM788" s="88"/>
      <c r="AN788" s="88"/>
      <c r="AO788" s="88"/>
      <c r="AP788" s="88"/>
      <c r="AQ788" s="86"/>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c r="KB788" s="1"/>
      <c r="KC788" s="1"/>
      <c r="KD788" s="1"/>
      <c r="KE788" s="1"/>
      <c r="KF788" s="1"/>
      <c r="KG788" s="1"/>
      <c r="KH788" s="1"/>
      <c r="KI788" s="1"/>
      <c r="KJ788" s="1"/>
      <c r="KK788" s="1"/>
      <c r="KL788" s="1"/>
      <c r="KM788" s="1"/>
      <c r="KN788" s="1"/>
      <c r="KO788" s="1"/>
      <c r="KP788" s="1"/>
      <c r="KQ788" s="1"/>
      <c r="KR788" s="1"/>
      <c r="KS788" s="1"/>
      <c r="KT788" s="1"/>
      <c r="KU788" s="1"/>
      <c r="KV788" s="1"/>
      <c r="KW788" s="1"/>
      <c r="KX788" s="1"/>
      <c r="KY788" s="1"/>
      <c r="KZ788" s="1"/>
      <c r="LA788" s="1"/>
      <c r="LB788" s="1"/>
      <c r="LC788" s="1"/>
      <c r="LD788" s="1"/>
      <c r="LE788" s="1"/>
    </row>
    <row r="789" spans="1:317" s="2" customFormat="1" x14ac:dyDescent="0.25">
      <c r="A789" s="1"/>
      <c r="B789" s="11"/>
      <c r="C789" s="11"/>
      <c r="D789" s="11"/>
      <c r="E789" s="11"/>
      <c r="F789" s="11"/>
      <c r="G789" s="11"/>
      <c r="H789" s="1"/>
      <c r="I789" s="4"/>
      <c r="J789" s="1"/>
      <c r="K789" s="1"/>
      <c r="L789" s="1"/>
      <c r="M789" s="86"/>
      <c r="N789" s="86"/>
      <c r="O789" s="86"/>
      <c r="P789" s="12"/>
      <c r="Q789" s="4"/>
      <c r="R789" s="4"/>
      <c r="S789" s="84"/>
      <c r="T789" s="5"/>
      <c r="U789" s="12"/>
      <c r="V789" s="88"/>
      <c r="W789" s="88"/>
      <c r="X789" s="88"/>
      <c r="Y789" s="88"/>
      <c r="Z789" s="88"/>
      <c r="AA789" s="88"/>
      <c r="AB789" s="93"/>
      <c r="AC789" s="93"/>
      <c r="AD789" s="93"/>
      <c r="AE789" s="6"/>
      <c r="AF789" s="6"/>
      <c r="AG789" s="6"/>
      <c r="AH789" s="6"/>
      <c r="AI789" s="6"/>
      <c r="AJ789" s="6"/>
      <c r="AK789" s="89"/>
      <c r="AL789" s="84"/>
      <c r="AM789" s="88"/>
      <c r="AN789" s="88"/>
      <c r="AO789" s="88"/>
      <c r="AP789" s="88"/>
      <c r="AQ789" s="86"/>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c r="KB789" s="1"/>
      <c r="KC789" s="1"/>
      <c r="KD789" s="1"/>
      <c r="KE789" s="1"/>
      <c r="KF789" s="1"/>
      <c r="KG789" s="1"/>
      <c r="KH789" s="1"/>
      <c r="KI789" s="1"/>
      <c r="KJ789" s="1"/>
      <c r="KK789" s="1"/>
      <c r="KL789" s="1"/>
      <c r="KM789" s="1"/>
      <c r="KN789" s="1"/>
      <c r="KO789" s="1"/>
      <c r="KP789" s="1"/>
      <c r="KQ789" s="1"/>
      <c r="KR789" s="1"/>
      <c r="KS789" s="1"/>
      <c r="KT789" s="1"/>
      <c r="KU789" s="1"/>
      <c r="KV789" s="1"/>
      <c r="KW789" s="1"/>
      <c r="KX789" s="1"/>
      <c r="KY789" s="1"/>
      <c r="KZ789" s="1"/>
      <c r="LA789" s="1"/>
      <c r="LB789" s="1"/>
      <c r="LC789" s="1"/>
      <c r="LD789" s="1"/>
      <c r="LE789" s="1"/>
    </row>
    <row r="790" spans="1:317" s="2" customFormat="1" x14ac:dyDescent="0.25">
      <c r="A790" s="1"/>
      <c r="B790" s="11"/>
      <c r="C790" s="11"/>
      <c r="D790" s="11"/>
      <c r="E790" s="11"/>
      <c r="F790" s="11"/>
      <c r="G790" s="11"/>
      <c r="H790" s="1"/>
      <c r="I790" s="4"/>
      <c r="J790" s="1"/>
      <c r="K790" s="1"/>
      <c r="L790" s="1"/>
      <c r="M790" s="86"/>
      <c r="N790" s="86"/>
      <c r="O790" s="86"/>
      <c r="P790" s="12"/>
      <c r="Q790" s="4"/>
      <c r="R790" s="4"/>
      <c r="S790" s="84"/>
      <c r="T790" s="5"/>
      <c r="U790" s="12"/>
      <c r="V790" s="88"/>
      <c r="W790" s="88"/>
      <c r="X790" s="88"/>
      <c r="Y790" s="88"/>
      <c r="Z790" s="88"/>
      <c r="AA790" s="88"/>
      <c r="AB790" s="93"/>
      <c r="AC790" s="93"/>
      <c r="AD790" s="93"/>
      <c r="AE790" s="6"/>
      <c r="AF790" s="6"/>
      <c r="AG790" s="6"/>
      <c r="AH790" s="6"/>
      <c r="AI790" s="6"/>
      <c r="AJ790" s="6"/>
      <c r="AK790" s="89"/>
      <c r="AL790" s="84"/>
      <c r="AM790" s="88"/>
      <c r="AN790" s="88"/>
      <c r="AO790" s="88"/>
      <c r="AP790" s="88"/>
      <c r="AQ790" s="86"/>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c r="KB790" s="1"/>
      <c r="KC790" s="1"/>
      <c r="KD790" s="1"/>
      <c r="KE790" s="1"/>
      <c r="KF790" s="1"/>
      <c r="KG790" s="1"/>
      <c r="KH790" s="1"/>
      <c r="KI790" s="1"/>
      <c r="KJ790" s="1"/>
      <c r="KK790" s="1"/>
      <c r="KL790" s="1"/>
      <c r="KM790" s="1"/>
      <c r="KN790" s="1"/>
      <c r="KO790" s="1"/>
      <c r="KP790" s="1"/>
      <c r="KQ790" s="1"/>
      <c r="KR790" s="1"/>
      <c r="KS790" s="1"/>
      <c r="KT790" s="1"/>
      <c r="KU790" s="1"/>
      <c r="KV790" s="1"/>
      <c r="KW790" s="1"/>
      <c r="KX790" s="1"/>
      <c r="KY790" s="1"/>
      <c r="KZ790" s="1"/>
      <c r="LA790" s="1"/>
      <c r="LB790" s="1"/>
      <c r="LC790" s="1"/>
      <c r="LD790" s="1"/>
      <c r="LE790" s="1"/>
    </row>
    <row r="791" spans="1:317" s="2" customFormat="1" x14ac:dyDescent="0.25">
      <c r="A791" s="1"/>
      <c r="B791" s="11"/>
      <c r="C791" s="11"/>
      <c r="D791" s="11"/>
      <c r="E791" s="11"/>
      <c r="F791" s="11"/>
      <c r="G791" s="11"/>
      <c r="H791" s="1"/>
      <c r="I791" s="4"/>
      <c r="J791" s="1"/>
      <c r="K791" s="1"/>
      <c r="L791" s="1"/>
      <c r="M791" s="86"/>
      <c r="N791" s="86"/>
      <c r="O791" s="86"/>
      <c r="P791" s="12"/>
      <c r="Q791" s="4"/>
      <c r="R791" s="4"/>
      <c r="S791" s="84"/>
      <c r="T791" s="5"/>
      <c r="U791" s="12"/>
      <c r="V791" s="88"/>
      <c r="W791" s="88"/>
      <c r="X791" s="88"/>
      <c r="Y791" s="88"/>
      <c r="Z791" s="88"/>
      <c r="AA791" s="88"/>
      <c r="AB791" s="93"/>
      <c r="AC791" s="93"/>
      <c r="AD791" s="93"/>
      <c r="AE791" s="6"/>
      <c r="AF791" s="6"/>
      <c r="AG791" s="6"/>
      <c r="AH791" s="6"/>
      <c r="AI791" s="6"/>
      <c r="AJ791" s="6"/>
      <c r="AK791" s="89"/>
      <c r="AL791" s="84"/>
      <c r="AM791" s="88"/>
      <c r="AN791" s="88"/>
      <c r="AO791" s="88"/>
      <c r="AP791" s="88"/>
      <c r="AQ791" s="86"/>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c r="KB791" s="1"/>
      <c r="KC791" s="1"/>
      <c r="KD791" s="1"/>
      <c r="KE791" s="1"/>
      <c r="KF791" s="1"/>
      <c r="KG791" s="1"/>
      <c r="KH791" s="1"/>
      <c r="KI791" s="1"/>
      <c r="KJ791" s="1"/>
      <c r="KK791" s="1"/>
      <c r="KL791" s="1"/>
      <c r="KM791" s="1"/>
      <c r="KN791" s="1"/>
      <c r="KO791" s="1"/>
      <c r="KP791" s="1"/>
      <c r="KQ791" s="1"/>
      <c r="KR791" s="1"/>
      <c r="KS791" s="1"/>
      <c r="KT791" s="1"/>
      <c r="KU791" s="1"/>
      <c r="KV791" s="1"/>
      <c r="KW791" s="1"/>
      <c r="KX791" s="1"/>
      <c r="KY791" s="1"/>
      <c r="KZ791" s="1"/>
      <c r="LA791" s="1"/>
      <c r="LB791" s="1"/>
      <c r="LC791" s="1"/>
      <c r="LD791" s="1"/>
      <c r="LE791" s="1"/>
    </row>
    <row r="792" spans="1:317" s="2" customFormat="1" x14ac:dyDescent="0.25">
      <c r="A792" s="1"/>
      <c r="B792" s="11"/>
      <c r="C792" s="11"/>
      <c r="D792" s="11"/>
      <c r="E792" s="11"/>
      <c r="F792" s="11"/>
      <c r="G792" s="11"/>
      <c r="H792" s="1"/>
      <c r="I792" s="4"/>
      <c r="J792" s="1"/>
      <c r="K792" s="1"/>
      <c r="L792" s="1"/>
      <c r="M792" s="86"/>
      <c r="N792" s="86"/>
      <c r="O792" s="86"/>
      <c r="P792" s="12"/>
      <c r="Q792" s="4"/>
      <c r="R792" s="4"/>
      <c r="S792" s="84"/>
      <c r="T792" s="5"/>
      <c r="U792" s="12"/>
      <c r="V792" s="88"/>
      <c r="W792" s="88"/>
      <c r="X792" s="88"/>
      <c r="Y792" s="88"/>
      <c r="Z792" s="88"/>
      <c r="AA792" s="88"/>
      <c r="AB792" s="93"/>
      <c r="AC792" s="93"/>
      <c r="AD792" s="93"/>
      <c r="AE792" s="6"/>
      <c r="AF792" s="6"/>
      <c r="AG792" s="6"/>
      <c r="AH792" s="6"/>
      <c r="AI792" s="6"/>
      <c r="AJ792" s="6"/>
      <c r="AK792" s="89"/>
      <c r="AL792" s="84"/>
      <c r="AM792" s="88"/>
      <c r="AN792" s="88"/>
      <c r="AO792" s="88"/>
      <c r="AP792" s="88"/>
      <c r="AQ792" s="86"/>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c r="KB792" s="1"/>
      <c r="KC792" s="1"/>
      <c r="KD792" s="1"/>
      <c r="KE792" s="1"/>
      <c r="KF792" s="1"/>
      <c r="KG792" s="1"/>
      <c r="KH792" s="1"/>
      <c r="KI792" s="1"/>
      <c r="KJ792" s="1"/>
      <c r="KK792" s="1"/>
      <c r="KL792" s="1"/>
      <c r="KM792" s="1"/>
      <c r="KN792" s="1"/>
      <c r="KO792" s="1"/>
      <c r="KP792" s="1"/>
      <c r="KQ792" s="1"/>
      <c r="KR792" s="1"/>
      <c r="KS792" s="1"/>
      <c r="KT792" s="1"/>
      <c r="KU792" s="1"/>
      <c r="KV792" s="1"/>
      <c r="KW792" s="1"/>
      <c r="KX792" s="1"/>
      <c r="KY792" s="1"/>
      <c r="KZ792" s="1"/>
      <c r="LA792" s="1"/>
      <c r="LB792" s="1"/>
      <c r="LC792" s="1"/>
      <c r="LD792" s="1"/>
      <c r="LE792" s="1"/>
    </row>
    <row r="793" spans="1:317" s="2" customFormat="1" x14ac:dyDescent="0.25">
      <c r="A793" s="1"/>
      <c r="B793" s="11"/>
      <c r="C793" s="11"/>
      <c r="D793" s="11"/>
      <c r="E793" s="11"/>
      <c r="F793" s="11"/>
      <c r="G793" s="11"/>
      <c r="H793" s="1"/>
      <c r="I793" s="4"/>
      <c r="J793" s="1"/>
      <c r="K793" s="1"/>
      <c r="L793" s="1"/>
      <c r="M793" s="86"/>
      <c r="N793" s="86"/>
      <c r="O793" s="86"/>
      <c r="P793" s="12"/>
      <c r="Q793" s="4"/>
      <c r="R793" s="4"/>
      <c r="S793" s="84"/>
      <c r="T793" s="5"/>
      <c r="U793" s="12"/>
      <c r="V793" s="88"/>
      <c r="W793" s="88"/>
      <c r="X793" s="88"/>
      <c r="Y793" s="88"/>
      <c r="Z793" s="88"/>
      <c r="AA793" s="88"/>
      <c r="AB793" s="93"/>
      <c r="AC793" s="93"/>
      <c r="AD793" s="93"/>
      <c r="AE793" s="6"/>
      <c r="AF793" s="6"/>
      <c r="AG793" s="6"/>
      <c r="AH793" s="6"/>
      <c r="AI793" s="6"/>
      <c r="AJ793" s="6"/>
      <c r="AK793" s="89"/>
      <c r="AL793" s="84"/>
      <c r="AM793" s="88"/>
      <c r="AN793" s="88"/>
      <c r="AO793" s="88"/>
      <c r="AP793" s="88"/>
      <c r="AQ793" s="86"/>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c r="KB793" s="1"/>
      <c r="KC793" s="1"/>
      <c r="KD793" s="1"/>
      <c r="KE793" s="1"/>
      <c r="KF793" s="1"/>
      <c r="KG793" s="1"/>
      <c r="KH793" s="1"/>
      <c r="KI793" s="1"/>
      <c r="KJ793" s="1"/>
      <c r="KK793" s="1"/>
      <c r="KL793" s="1"/>
      <c r="KM793" s="1"/>
      <c r="KN793" s="1"/>
      <c r="KO793" s="1"/>
      <c r="KP793" s="1"/>
      <c r="KQ793" s="1"/>
      <c r="KR793" s="1"/>
      <c r="KS793" s="1"/>
      <c r="KT793" s="1"/>
      <c r="KU793" s="1"/>
      <c r="KV793" s="1"/>
      <c r="KW793" s="1"/>
      <c r="KX793" s="1"/>
      <c r="KY793" s="1"/>
      <c r="KZ793" s="1"/>
      <c r="LA793" s="1"/>
      <c r="LB793" s="1"/>
      <c r="LC793" s="1"/>
      <c r="LD793" s="1"/>
      <c r="LE793" s="1"/>
    </row>
    <row r="794" spans="1:317" s="2" customFormat="1" x14ac:dyDescent="0.25">
      <c r="A794" s="1"/>
      <c r="B794" s="11"/>
      <c r="C794" s="11"/>
      <c r="D794" s="11"/>
      <c r="E794" s="11"/>
      <c r="F794" s="11"/>
      <c r="G794" s="11"/>
      <c r="H794" s="1"/>
      <c r="I794" s="4"/>
      <c r="J794" s="1"/>
      <c r="K794" s="1"/>
      <c r="L794" s="1"/>
      <c r="M794" s="86"/>
      <c r="N794" s="86"/>
      <c r="O794" s="86"/>
      <c r="P794" s="12"/>
      <c r="Q794" s="4"/>
      <c r="R794" s="4"/>
      <c r="S794" s="84"/>
      <c r="T794" s="5"/>
      <c r="U794" s="12"/>
      <c r="V794" s="88"/>
      <c r="W794" s="88"/>
      <c r="X794" s="88"/>
      <c r="Y794" s="88"/>
      <c r="Z794" s="88"/>
      <c r="AA794" s="88"/>
      <c r="AB794" s="93"/>
      <c r="AC794" s="93"/>
      <c r="AD794" s="93"/>
      <c r="AE794" s="6"/>
      <c r="AF794" s="6"/>
      <c r="AG794" s="6"/>
      <c r="AH794" s="6"/>
      <c r="AI794" s="6"/>
      <c r="AJ794" s="6"/>
      <c r="AK794" s="89"/>
      <c r="AL794" s="84"/>
      <c r="AM794" s="88"/>
      <c r="AN794" s="88"/>
      <c r="AO794" s="88"/>
      <c r="AP794" s="88"/>
      <c r="AQ794" s="86"/>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c r="KB794" s="1"/>
      <c r="KC794" s="1"/>
      <c r="KD794" s="1"/>
      <c r="KE794" s="1"/>
      <c r="KF794" s="1"/>
      <c r="KG794" s="1"/>
      <c r="KH794" s="1"/>
      <c r="KI794" s="1"/>
      <c r="KJ794" s="1"/>
      <c r="KK794" s="1"/>
      <c r="KL794" s="1"/>
      <c r="KM794" s="1"/>
      <c r="KN794" s="1"/>
      <c r="KO794" s="1"/>
      <c r="KP794" s="1"/>
      <c r="KQ794" s="1"/>
      <c r="KR794" s="1"/>
      <c r="KS794" s="1"/>
      <c r="KT794" s="1"/>
      <c r="KU794" s="1"/>
      <c r="KV794" s="1"/>
      <c r="KW794" s="1"/>
      <c r="KX794" s="1"/>
      <c r="KY794" s="1"/>
      <c r="KZ794" s="1"/>
      <c r="LA794" s="1"/>
      <c r="LB794" s="1"/>
      <c r="LC794" s="1"/>
      <c r="LD794" s="1"/>
      <c r="LE794" s="1"/>
    </row>
    <row r="795" spans="1:317" s="2" customFormat="1" x14ac:dyDescent="0.25">
      <c r="A795" s="1"/>
      <c r="B795" s="11"/>
      <c r="C795" s="11"/>
      <c r="D795" s="11"/>
      <c r="E795" s="11"/>
      <c r="F795" s="11"/>
      <c r="G795" s="11"/>
      <c r="H795" s="1"/>
      <c r="I795" s="4"/>
      <c r="J795" s="1"/>
      <c r="K795" s="1"/>
      <c r="L795" s="1"/>
      <c r="M795" s="86"/>
      <c r="N795" s="86"/>
      <c r="O795" s="86"/>
      <c r="P795" s="12"/>
      <c r="Q795" s="4"/>
      <c r="R795" s="4"/>
      <c r="S795" s="84"/>
      <c r="T795" s="5"/>
      <c r="U795" s="12"/>
      <c r="V795" s="88"/>
      <c r="W795" s="88"/>
      <c r="X795" s="88"/>
      <c r="Y795" s="88"/>
      <c r="Z795" s="88"/>
      <c r="AA795" s="88"/>
      <c r="AB795" s="93"/>
      <c r="AC795" s="93"/>
      <c r="AD795" s="93"/>
      <c r="AE795" s="6"/>
      <c r="AF795" s="6"/>
      <c r="AG795" s="6"/>
      <c r="AH795" s="6"/>
      <c r="AI795" s="6"/>
      <c r="AJ795" s="6"/>
      <c r="AK795" s="89"/>
      <c r="AL795" s="84"/>
      <c r="AM795" s="88"/>
      <c r="AN795" s="88"/>
      <c r="AO795" s="88"/>
      <c r="AP795" s="88"/>
      <c r="AQ795" s="86"/>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c r="KB795" s="1"/>
      <c r="KC795" s="1"/>
      <c r="KD795" s="1"/>
      <c r="KE795" s="1"/>
      <c r="KF795" s="1"/>
      <c r="KG795" s="1"/>
      <c r="KH795" s="1"/>
      <c r="KI795" s="1"/>
      <c r="KJ795" s="1"/>
      <c r="KK795" s="1"/>
      <c r="KL795" s="1"/>
      <c r="KM795" s="1"/>
      <c r="KN795" s="1"/>
      <c r="KO795" s="1"/>
      <c r="KP795" s="1"/>
      <c r="KQ795" s="1"/>
      <c r="KR795" s="1"/>
      <c r="KS795" s="1"/>
      <c r="KT795" s="1"/>
      <c r="KU795" s="1"/>
      <c r="KV795" s="1"/>
      <c r="KW795" s="1"/>
      <c r="KX795" s="1"/>
      <c r="KY795" s="1"/>
      <c r="KZ795" s="1"/>
      <c r="LA795" s="1"/>
      <c r="LB795" s="1"/>
      <c r="LC795" s="1"/>
      <c r="LD795" s="1"/>
      <c r="LE795" s="1"/>
    </row>
    <row r="796" spans="1:317" s="2" customFormat="1" x14ac:dyDescent="0.25">
      <c r="A796" s="1"/>
      <c r="B796" s="11"/>
      <c r="C796" s="11"/>
      <c r="D796" s="11"/>
      <c r="E796" s="11"/>
      <c r="F796" s="11"/>
      <c r="G796" s="11"/>
      <c r="H796" s="1"/>
      <c r="I796" s="4"/>
      <c r="J796" s="1"/>
      <c r="K796" s="1"/>
      <c r="L796" s="1"/>
      <c r="M796" s="86"/>
      <c r="N796" s="86"/>
      <c r="O796" s="86"/>
      <c r="P796" s="12"/>
      <c r="Q796" s="4"/>
      <c r="R796" s="4"/>
      <c r="S796" s="84"/>
      <c r="T796" s="5"/>
      <c r="U796" s="12"/>
      <c r="V796" s="88"/>
      <c r="W796" s="88"/>
      <c r="X796" s="88"/>
      <c r="Y796" s="88"/>
      <c r="Z796" s="88"/>
      <c r="AA796" s="88"/>
      <c r="AB796" s="93"/>
      <c r="AC796" s="93"/>
      <c r="AD796" s="93"/>
      <c r="AE796" s="6"/>
      <c r="AF796" s="6"/>
      <c r="AG796" s="6"/>
      <c r="AH796" s="6"/>
      <c r="AI796" s="6"/>
      <c r="AJ796" s="6"/>
      <c r="AK796" s="89"/>
      <c r="AL796" s="84"/>
      <c r="AM796" s="88"/>
      <c r="AN796" s="88"/>
      <c r="AO796" s="88"/>
      <c r="AP796" s="88"/>
      <c r="AQ796" s="86"/>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c r="KB796" s="1"/>
      <c r="KC796" s="1"/>
      <c r="KD796" s="1"/>
      <c r="KE796" s="1"/>
      <c r="KF796" s="1"/>
      <c r="KG796" s="1"/>
      <c r="KH796" s="1"/>
      <c r="KI796" s="1"/>
      <c r="KJ796" s="1"/>
      <c r="KK796" s="1"/>
      <c r="KL796" s="1"/>
      <c r="KM796" s="1"/>
      <c r="KN796" s="1"/>
      <c r="KO796" s="1"/>
      <c r="KP796" s="1"/>
      <c r="KQ796" s="1"/>
      <c r="KR796" s="1"/>
      <c r="KS796" s="1"/>
      <c r="KT796" s="1"/>
      <c r="KU796" s="1"/>
      <c r="KV796" s="1"/>
      <c r="KW796" s="1"/>
      <c r="KX796" s="1"/>
      <c r="KY796" s="1"/>
      <c r="KZ796" s="1"/>
      <c r="LA796" s="1"/>
      <c r="LB796" s="1"/>
      <c r="LC796" s="1"/>
      <c r="LD796" s="1"/>
      <c r="LE796" s="1"/>
    </row>
    <row r="797" spans="1:317" s="2" customFormat="1" x14ac:dyDescent="0.25">
      <c r="A797" s="1"/>
      <c r="B797" s="11"/>
      <c r="C797" s="11"/>
      <c r="D797" s="11"/>
      <c r="E797" s="11"/>
      <c r="F797" s="11"/>
      <c r="G797" s="11"/>
      <c r="H797" s="1"/>
      <c r="I797" s="4"/>
      <c r="J797" s="1"/>
      <c r="K797" s="1"/>
      <c r="L797" s="1"/>
      <c r="M797" s="86"/>
      <c r="N797" s="86"/>
      <c r="O797" s="86"/>
      <c r="P797" s="12"/>
      <c r="Q797" s="4"/>
      <c r="R797" s="4"/>
      <c r="S797" s="84"/>
      <c r="T797" s="5"/>
      <c r="U797" s="12"/>
      <c r="V797" s="88"/>
      <c r="W797" s="88"/>
      <c r="X797" s="88"/>
      <c r="Y797" s="88"/>
      <c r="Z797" s="88"/>
      <c r="AA797" s="88"/>
      <c r="AB797" s="93"/>
      <c r="AC797" s="93"/>
      <c r="AD797" s="93"/>
      <c r="AE797" s="6"/>
      <c r="AF797" s="6"/>
      <c r="AG797" s="6"/>
      <c r="AH797" s="6"/>
      <c r="AI797" s="6"/>
      <c r="AJ797" s="6"/>
      <c r="AK797" s="89"/>
      <c r="AL797" s="84"/>
      <c r="AM797" s="88"/>
      <c r="AN797" s="88"/>
      <c r="AO797" s="88"/>
      <c r="AP797" s="88"/>
      <c r="AQ797" s="86"/>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c r="KB797" s="1"/>
      <c r="KC797" s="1"/>
      <c r="KD797" s="1"/>
      <c r="KE797" s="1"/>
      <c r="KF797" s="1"/>
      <c r="KG797" s="1"/>
      <c r="KH797" s="1"/>
      <c r="KI797" s="1"/>
      <c r="KJ797" s="1"/>
      <c r="KK797" s="1"/>
      <c r="KL797" s="1"/>
      <c r="KM797" s="1"/>
      <c r="KN797" s="1"/>
      <c r="KO797" s="1"/>
      <c r="KP797" s="1"/>
      <c r="KQ797" s="1"/>
      <c r="KR797" s="1"/>
      <c r="KS797" s="1"/>
      <c r="KT797" s="1"/>
      <c r="KU797" s="1"/>
      <c r="KV797" s="1"/>
      <c r="KW797" s="1"/>
      <c r="KX797" s="1"/>
      <c r="KY797" s="1"/>
      <c r="KZ797" s="1"/>
      <c r="LA797" s="1"/>
      <c r="LB797" s="1"/>
      <c r="LC797" s="1"/>
      <c r="LD797" s="1"/>
      <c r="LE797" s="1"/>
    </row>
    <row r="798" spans="1:317" s="2" customFormat="1" x14ac:dyDescent="0.25">
      <c r="A798" s="1"/>
      <c r="B798" s="11"/>
      <c r="C798" s="11"/>
      <c r="D798" s="11"/>
      <c r="E798" s="11"/>
      <c r="F798" s="11"/>
      <c r="G798" s="11"/>
      <c r="H798" s="1"/>
      <c r="I798" s="4"/>
      <c r="J798" s="1"/>
      <c r="K798" s="1"/>
      <c r="L798" s="1"/>
      <c r="M798" s="86"/>
      <c r="N798" s="86"/>
      <c r="O798" s="86"/>
      <c r="P798" s="12"/>
      <c r="Q798" s="4"/>
      <c r="R798" s="4"/>
      <c r="S798" s="84"/>
      <c r="T798" s="5"/>
      <c r="U798" s="12"/>
      <c r="V798" s="88"/>
      <c r="W798" s="88"/>
      <c r="X798" s="88"/>
      <c r="Y798" s="88"/>
      <c r="Z798" s="88"/>
      <c r="AA798" s="88"/>
      <c r="AB798" s="93"/>
      <c r="AC798" s="93"/>
      <c r="AD798" s="93"/>
      <c r="AE798" s="6"/>
      <c r="AF798" s="6"/>
      <c r="AG798" s="6"/>
      <c r="AH798" s="6"/>
      <c r="AI798" s="6"/>
      <c r="AJ798" s="6"/>
      <c r="AK798" s="89"/>
      <c r="AL798" s="84"/>
      <c r="AM798" s="88"/>
      <c r="AN798" s="88"/>
      <c r="AO798" s="88"/>
      <c r="AP798" s="88"/>
      <c r="AQ798" s="86"/>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c r="KB798" s="1"/>
      <c r="KC798" s="1"/>
      <c r="KD798" s="1"/>
      <c r="KE798" s="1"/>
      <c r="KF798" s="1"/>
      <c r="KG798" s="1"/>
      <c r="KH798" s="1"/>
      <c r="KI798" s="1"/>
      <c r="KJ798" s="1"/>
      <c r="KK798" s="1"/>
      <c r="KL798" s="1"/>
      <c r="KM798" s="1"/>
      <c r="KN798" s="1"/>
      <c r="KO798" s="1"/>
      <c r="KP798" s="1"/>
      <c r="KQ798" s="1"/>
      <c r="KR798" s="1"/>
      <c r="KS798" s="1"/>
      <c r="KT798" s="1"/>
      <c r="KU798" s="1"/>
      <c r="KV798" s="1"/>
      <c r="KW798" s="1"/>
      <c r="KX798" s="1"/>
      <c r="KY798" s="1"/>
      <c r="KZ798" s="1"/>
      <c r="LA798" s="1"/>
      <c r="LB798" s="1"/>
      <c r="LC798" s="1"/>
      <c r="LD798" s="1"/>
      <c r="LE798" s="1"/>
    </row>
    <row r="799" spans="1:317" s="2" customFormat="1" x14ac:dyDescent="0.25">
      <c r="A799" s="1"/>
      <c r="B799" s="11"/>
      <c r="C799" s="11"/>
      <c r="D799" s="11"/>
      <c r="E799" s="11"/>
      <c r="F799" s="11"/>
      <c r="G799" s="11"/>
      <c r="H799" s="1"/>
      <c r="I799" s="4"/>
      <c r="J799" s="1"/>
      <c r="K799" s="1"/>
      <c r="L799" s="1"/>
      <c r="M799" s="86"/>
      <c r="N799" s="86"/>
      <c r="O799" s="86"/>
      <c r="P799" s="12"/>
      <c r="Q799" s="4"/>
      <c r="R799" s="4"/>
      <c r="S799" s="84"/>
      <c r="T799" s="5"/>
      <c r="U799" s="12"/>
      <c r="V799" s="88"/>
      <c r="W799" s="88"/>
      <c r="X799" s="88"/>
      <c r="Y799" s="88"/>
      <c r="Z799" s="88"/>
      <c r="AA799" s="88"/>
      <c r="AB799" s="93"/>
      <c r="AC799" s="93"/>
      <c r="AD799" s="93"/>
      <c r="AE799" s="6"/>
      <c r="AF799" s="6"/>
      <c r="AG799" s="6"/>
      <c r="AH799" s="6"/>
      <c r="AI799" s="6"/>
      <c r="AJ799" s="6"/>
      <c r="AK799" s="89"/>
      <c r="AL799" s="84"/>
      <c r="AM799" s="88"/>
      <c r="AN799" s="88"/>
      <c r="AO799" s="88"/>
      <c r="AP799" s="88"/>
      <c r="AQ799" s="86"/>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c r="KB799" s="1"/>
      <c r="KC799" s="1"/>
      <c r="KD799" s="1"/>
      <c r="KE799" s="1"/>
      <c r="KF799" s="1"/>
      <c r="KG799" s="1"/>
      <c r="KH799" s="1"/>
      <c r="KI799" s="1"/>
      <c r="KJ799" s="1"/>
      <c r="KK799" s="1"/>
      <c r="KL799" s="1"/>
      <c r="KM799" s="1"/>
      <c r="KN799" s="1"/>
      <c r="KO799" s="1"/>
      <c r="KP799" s="1"/>
      <c r="KQ799" s="1"/>
      <c r="KR799" s="1"/>
      <c r="KS799" s="1"/>
      <c r="KT799" s="1"/>
      <c r="KU799" s="1"/>
      <c r="KV799" s="1"/>
      <c r="KW799" s="1"/>
      <c r="KX799" s="1"/>
      <c r="KY799" s="1"/>
      <c r="KZ799" s="1"/>
      <c r="LA799" s="1"/>
      <c r="LB799" s="1"/>
      <c r="LC799" s="1"/>
      <c r="LD799" s="1"/>
      <c r="LE799" s="1"/>
    </row>
    <row r="800" spans="1:317" s="2" customFormat="1" x14ac:dyDescent="0.25">
      <c r="A800" s="1"/>
      <c r="B800" s="11"/>
      <c r="C800" s="11"/>
      <c r="D800" s="11"/>
      <c r="E800" s="11"/>
      <c r="F800" s="11"/>
      <c r="G800" s="11"/>
      <c r="H800" s="1"/>
      <c r="I800" s="4"/>
      <c r="J800" s="1"/>
      <c r="K800" s="1"/>
      <c r="L800" s="1"/>
      <c r="M800" s="86"/>
      <c r="N800" s="86"/>
      <c r="O800" s="86"/>
      <c r="P800" s="12"/>
      <c r="Q800" s="4"/>
      <c r="R800" s="4"/>
      <c r="S800" s="84"/>
      <c r="T800" s="5"/>
      <c r="U800" s="12"/>
      <c r="V800" s="88"/>
      <c r="W800" s="88"/>
      <c r="X800" s="88"/>
      <c r="Y800" s="88"/>
      <c r="Z800" s="88"/>
      <c r="AA800" s="88"/>
      <c r="AB800" s="93"/>
      <c r="AC800" s="93"/>
      <c r="AD800" s="93"/>
      <c r="AE800" s="6"/>
      <c r="AF800" s="6"/>
      <c r="AG800" s="6"/>
      <c r="AH800" s="6"/>
      <c r="AI800" s="6"/>
      <c r="AJ800" s="6"/>
      <c r="AK800" s="89"/>
      <c r="AL800" s="84"/>
      <c r="AM800" s="88"/>
      <c r="AN800" s="88"/>
      <c r="AO800" s="88"/>
      <c r="AP800" s="88"/>
      <c r="AQ800" s="86"/>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c r="KB800" s="1"/>
      <c r="KC800" s="1"/>
      <c r="KD800" s="1"/>
      <c r="KE800" s="1"/>
      <c r="KF800" s="1"/>
      <c r="KG800" s="1"/>
      <c r="KH800" s="1"/>
      <c r="KI800" s="1"/>
      <c r="KJ800" s="1"/>
      <c r="KK800" s="1"/>
      <c r="KL800" s="1"/>
      <c r="KM800" s="1"/>
      <c r="KN800" s="1"/>
      <c r="KO800" s="1"/>
      <c r="KP800" s="1"/>
      <c r="KQ800" s="1"/>
      <c r="KR800" s="1"/>
      <c r="KS800" s="1"/>
      <c r="KT800" s="1"/>
      <c r="KU800" s="1"/>
      <c r="KV800" s="1"/>
      <c r="KW800" s="1"/>
      <c r="KX800" s="1"/>
      <c r="KY800" s="1"/>
      <c r="KZ800" s="1"/>
      <c r="LA800" s="1"/>
      <c r="LB800" s="1"/>
      <c r="LC800" s="1"/>
      <c r="LD800" s="1"/>
      <c r="LE800" s="1"/>
    </row>
    <row r="801" spans="1:317" s="2" customFormat="1" x14ac:dyDescent="0.25">
      <c r="A801" s="1"/>
      <c r="B801" s="11"/>
      <c r="C801" s="11"/>
      <c r="D801" s="11"/>
      <c r="E801" s="11"/>
      <c r="F801" s="11"/>
      <c r="G801" s="11"/>
      <c r="H801" s="1"/>
      <c r="I801" s="4"/>
      <c r="J801" s="1"/>
      <c r="K801" s="1"/>
      <c r="L801" s="1"/>
      <c r="M801" s="86"/>
      <c r="N801" s="86"/>
      <c r="O801" s="86"/>
      <c r="P801" s="12"/>
      <c r="Q801" s="4"/>
      <c r="R801" s="4"/>
      <c r="S801" s="84"/>
      <c r="T801" s="5"/>
      <c r="U801" s="12"/>
      <c r="V801" s="88"/>
      <c r="W801" s="88"/>
      <c r="X801" s="88"/>
      <c r="Y801" s="88"/>
      <c r="Z801" s="88"/>
      <c r="AA801" s="88"/>
      <c r="AB801" s="93"/>
      <c r="AC801" s="93"/>
      <c r="AD801" s="93"/>
      <c r="AE801" s="6"/>
      <c r="AF801" s="6"/>
      <c r="AG801" s="6"/>
      <c r="AH801" s="6"/>
      <c r="AI801" s="6"/>
      <c r="AJ801" s="6"/>
      <c r="AK801" s="89"/>
      <c r="AL801" s="84"/>
      <c r="AM801" s="88"/>
      <c r="AN801" s="88"/>
      <c r="AO801" s="88"/>
      <c r="AP801" s="88"/>
      <c r="AQ801" s="86"/>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c r="KB801" s="1"/>
      <c r="KC801" s="1"/>
      <c r="KD801" s="1"/>
      <c r="KE801" s="1"/>
      <c r="KF801" s="1"/>
      <c r="KG801" s="1"/>
      <c r="KH801" s="1"/>
      <c r="KI801" s="1"/>
      <c r="KJ801" s="1"/>
      <c r="KK801" s="1"/>
      <c r="KL801" s="1"/>
      <c r="KM801" s="1"/>
      <c r="KN801" s="1"/>
      <c r="KO801" s="1"/>
      <c r="KP801" s="1"/>
      <c r="KQ801" s="1"/>
      <c r="KR801" s="1"/>
      <c r="KS801" s="1"/>
      <c r="KT801" s="1"/>
      <c r="KU801" s="1"/>
      <c r="KV801" s="1"/>
      <c r="KW801" s="1"/>
      <c r="KX801" s="1"/>
      <c r="KY801" s="1"/>
      <c r="KZ801" s="1"/>
      <c r="LA801" s="1"/>
      <c r="LB801" s="1"/>
      <c r="LC801" s="1"/>
      <c r="LD801" s="1"/>
      <c r="LE801" s="1"/>
    </row>
    <row r="802" spans="1:317" s="2" customFormat="1" x14ac:dyDescent="0.25">
      <c r="A802" s="1"/>
      <c r="B802" s="11"/>
      <c r="C802" s="11"/>
      <c r="D802" s="11"/>
      <c r="E802" s="11"/>
      <c r="F802" s="11"/>
      <c r="G802" s="11"/>
      <c r="H802" s="1"/>
      <c r="I802" s="4"/>
      <c r="J802" s="1"/>
      <c r="K802" s="1"/>
      <c r="L802" s="1"/>
      <c r="M802" s="86"/>
      <c r="N802" s="86"/>
      <c r="O802" s="86"/>
      <c r="P802" s="12"/>
      <c r="Q802" s="4"/>
      <c r="R802" s="4"/>
      <c r="S802" s="84"/>
      <c r="T802" s="5"/>
      <c r="U802" s="12"/>
      <c r="V802" s="88"/>
      <c r="W802" s="88"/>
      <c r="X802" s="88"/>
      <c r="Y802" s="88"/>
      <c r="Z802" s="88"/>
      <c r="AA802" s="88"/>
      <c r="AB802" s="93"/>
      <c r="AC802" s="93"/>
      <c r="AD802" s="93"/>
      <c r="AE802" s="6"/>
      <c r="AF802" s="6"/>
      <c r="AG802" s="6"/>
      <c r="AH802" s="6"/>
      <c r="AI802" s="6"/>
      <c r="AJ802" s="6"/>
      <c r="AK802" s="89"/>
      <c r="AL802" s="84"/>
      <c r="AM802" s="88"/>
      <c r="AN802" s="88"/>
      <c r="AO802" s="88"/>
      <c r="AP802" s="88"/>
      <c r="AQ802" s="86"/>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c r="KB802" s="1"/>
      <c r="KC802" s="1"/>
      <c r="KD802" s="1"/>
      <c r="KE802" s="1"/>
      <c r="KF802" s="1"/>
      <c r="KG802" s="1"/>
      <c r="KH802" s="1"/>
      <c r="KI802" s="1"/>
      <c r="KJ802" s="1"/>
      <c r="KK802" s="1"/>
      <c r="KL802" s="1"/>
      <c r="KM802" s="1"/>
      <c r="KN802" s="1"/>
      <c r="KO802" s="1"/>
      <c r="KP802" s="1"/>
      <c r="KQ802" s="1"/>
      <c r="KR802" s="1"/>
      <c r="KS802" s="1"/>
      <c r="KT802" s="1"/>
      <c r="KU802" s="1"/>
      <c r="KV802" s="1"/>
      <c r="KW802" s="1"/>
      <c r="KX802" s="1"/>
      <c r="KY802" s="1"/>
      <c r="KZ802" s="1"/>
      <c r="LA802" s="1"/>
      <c r="LB802" s="1"/>
      <c r="LC802" s="1"/>
      <c r="LD802" s="1"/>
      <c r="LE802" s="1"/>
    </row>
    <row r="803" spans="1:317" s="2" customFormat="1" x14ac:dyDescent="0.25">
      <c r="A803" s="1"/>
      <c r="B803" s="11"/>
      <c r="C803" s="11"/>
      <c r="D803" s="11"/>
      <c r="E803" s="11"/>
      <c r="F803" s="11"/>
      <c r="G803" s="11"/>
      <c r="H803" s="1"/>
      <c r="I803" s="4"/>
      <c r="J803" s="1"/>
      <c r="K803" s="1"/>
      <c r="L803" s="1"/>
      <c r="M803" s="86"/>
      <c r="N803" s="86"/>
      <c r="O803" s="86"/>
      <c r="P803" s="12"/>
      <c r="Q803" s="4"/>
      <c r="R803" s="4"/>
      <c r="S803" s="84"/>
      <c r="T803" s="5"/>
      <c r="U803" s="12"/>
      <c r="V803" s="88"/>
      <c r="W803" s="88"/>
      <c r="X803" s="88"/>
      <c r="Y803" s="88"/>
      <c r="Z803" s="88"/>
      <c r="AA803" s="88"/>
      <c r="AB803" s="93"/>
      <c r="AC803" s="93"/>
      <c r="AD803" s="93"/>
      <c r="AE803" s="6"/>
      <c r="AF803" s="6"/>
      <c r="AG803" s="6"/>
      <c r="AH803" s="6"/>
      <c r="AI803" s="6"/>
      <c r="AJ803" s="6"/>
      <c r="AK803" s="89"/>
      <c r="AL803" s="84"/>
      <c r="AM803" s="88"/>
      <c r="AN803" s="88"/>
      <c r="AO803" s="88"/>
      <c r="AP803" s="88"/>
      <c r="AQ803" s="86"/>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c r="KB803" s="1"/>
      <c r="KC803" s="1"/>
      <c r="KD803" s="1"/>
      <c r="KE803" s="1"/>
      <c r="KF803" s="1"/>
      <c r="KG803" s="1"/>
      <c r="KH803" s="1"/>
      <c r="KI803" s="1"/>
      <c r="KJ803" s="1"/>
      <c r="KK803" s="1"/>
      <c r="KL803" s="1"/>
      <c r="KM803" s="1"/>
      <c r="KN803" s="1"/>
      <c r="KO803" s="1"/>
      <c r="KP803" s="1"/>
      <c r="KQ803" s="1"/>
      <c r="KR803" s="1"/>
      <c r="KS803" s="1"/>
      <c r="KT803" s="1"/>
      <c r="KU803" s="1"/>
      <c r="KV803" s="1"/>
      <c r="KW803" s="1"/>
      <c r="KX803" s="1"/>
      <c r="KY803" s="1"/>
      <c r="KZ803" s="1"/>
      <c r="LA803" s="1"/>
      <c r="LB803" s="1"/>
      <c r="LC803" s="1"/>
      <c r="LD803" s="1"/>
      <c r="LE803" s="1"/>
    </row>
    <row r="804" spans="1:317" s="2" customFormat="1" x14ac:dyDescent="0.25">
      <c r="A804" s="1"/>
      <c r="B804" s="11"/>
      <c r="C804" s="11"/>
      <c r="D804" s="11"/>
      <c r="E804" s="11"/>
      <c r="F804" s="11"/>
      <c r="G804" s="11"/>
      <c r="H804" s="1"/>
      <c r="I804" s="4"/>
      <c r="J804" s="1"/>
      <c r="K804" s="1"/>
      <c r="L804" s="1"/>
      <c r="M804" s="86"/>
      <c r="N804" s="86"/>
      <c r="O804" s="86"/>
      <c r="P804" s="12"/>
      <c r="Q804" s="4"/>
      <c r="R804" s="4"/>
      <c r="S804" s="84"/>
      <c r="T804" s="5"/>
      <c r="U804" s="12"/>
      <c r="V804" s="88"/>
      <c r="W804" s="88"/>
      <c r="X804" s="88"/>
      <c r="Y804" s="88"/>
      <c r="Z804" s="88"/>
      <c r="AA804" s="88"/>
      <c r="AB804" s="93"/>
      <c r="AC804" s="93"/>
      <c r="AD804" s="93"/>
      <c r="AE804" s="6"/>
      <c r="AF804" s="6"/>
      <c r="AG804" s="6"/>
      <c r="AH804" s="6"/>
      <c r="AI804" s="6"/>
      <c r="AJ804" s="6"/>
      <c r="AK804" s="89"/>
      <c r="AL804" s="84"/>
      <c r="AM804" s="88"/>
      <c r="AN804" s="88"/>
      <c r="AO804" s="88"/>
      <c r="AP804" s="88"/>
      <c r="AQ804" s="86"/>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c r="KB804" s="1"/>
      <c r="KC804" s="1"/>
      <c r="KD804" s="1"/>
      <c r="KE804" s="1"/>
      <c r="KF804" s="1"/>
      <c r="KG804" s="1"/>
      <c r="KH804" s="1"/>
      <c r="KI804" s="1"/>
      <c r="KJ804" s="1"/>
      <c r="KK804" s="1"/>
      <c r="KL804" s="1"/>
      <c r="KM804" s="1"/>
      <c r="KN804" s="1"/>
      <c r="KO804" s="1"/>
      <c r="KP804" s="1"/>
      <c r="KQ804" s="1"/>
      <c r="KR804" s="1"/>
      <c r="KS804" s="1"/>
      <c r="KT804" s="1"/>
      <c r="KU804" s="1"/>
      <c r="KV804" s="1"/>
      <c r="KW804" s="1"/>
      <c r="KX804" s="1"/>
      <c r="KY804" s="1"/>
      <c r="KZ804" s="1"/>
      <c r="LA804" s="1"/>
      <c r="LB804" s="1"/>
      <c r="LC804" s="1"/>
      <c r="LD804" s="1"/>
      <c r="LE804" s="1"/>
    </row>
    <row r="805" spans="1:317" s="2" customFormat="1" x14ac:dyDescent="0.25">
      <c r="A805" s="1"/>
      <c r="B805" s="11"/>
      <c r="C805" s="11"/>
      <c r="D805" s="11"/>
      <c r="E805" s="11"/>
      <c r="F805" s="11"/>
      <c r="G805" s="11"/>
      <c r="H805" s="1"/>
      <c r="I805" s="4"/>
      <c r="J805" s="1"/>
      <c r="K805" s="1"/>
      <c r="L805" s="1"/>
      <c r="M805" s="86"/>
      <c r="N805" s="86"/>
      <c r="O805" s="86"/>
      <c r="P805" s="12"/>
      <c r="Q805" s="4"/>
      <c r="R805" s="4"/>
      <c r="S805" s="84"/>
      <c r="T805" s="5"/>
      <c r="U805" s="12"/>
      <c r="V805" s="88"/>
      <c r="W805" s="88"/>
      <c r="X805" s="88"/>
      <c r="Y805" s="88"/>
      <c r="Z805" s="88"/>
      <c r="AA805" s="88"/>
      <c r="AB805" s="93"/>
      <c r="AC805" s="93"/>
      <c r="AD805" s="93"/>
      <c r="AE805" s="6"/>
      <c r="AF805" s="6"/>
      <c r="AG805" s="6"/>
      <c r="AH805" s="6"/>
      <c r="AI805" s="6"/>
      <c r="AJ805" s="6"/>
      <c r="AK805" s="89"/>
      <c r="AL805" s="84"/>
      <c r="AM805" s="88"/>
      <c r="AN805" s="88"/>
      <c r="AO805" s="88"/>
      <c r="AP805" s="88"/>
      <c r="AQ805" s="86"/>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c r="KB805" s="1"/>
      <c r="KC805" s="1"/>
      <c r="KD805" s="1"/>
      <c r="KE805" s="1"/>
      <c r="KF805" s="1"/>
      <c r="KG805" s="1"/>
      <c r="KH805" s="1"/>
      <c r="KI805" s="1"/>
      <c r="KJ805" s="1"/>
      <c r="KK805" s="1"/>
      <c r="KL805" s="1"/>
      <c r="KM805" s="1"/>
      <c r="KN805" s="1"/>
      <c r="KO805" s="1"/>
      <c r="KP805" s="1"/>
      <c r="KQ805" s="1"/>
      <c r="KR805" s="1"/>
      <c r="KS805" s="1"/>
      <c r="KT805" s="1"/>
      <c r="KU805" s="1"/>
      <c r="KV805" s="1"/>
      <c r="KW805" s="1"/>
      <c r="KX805" s="1"/>
      <c r="KY805" s="1"/>
      <c r="KZ805" s="1"/>
      <c r="LA805" s="1"/>
      <c r="LB805" s="1"/>
      <c r="LC805" s="1"/>
      <c r="LD805" s="1"/>
      <c r="LE805" s="1"/>
    </row>
    <row r="806" spans="1:317" s="2" customFormat="1" x14ac:dyDescent="0.25">
      <c r="A806" s="1"/>
      <c r="B806" s="11"/>
      <c r="C806" s="11"/>
      <c r="D806" s="11"/>
      <c r="E806" s="11"/>
      <c r="F806" s="11"/>
      <c r="G806" s="11"/>
      <c r="H806" s="1"/>
      <c r="I806" s="4"/>
      <c r="J806" s="1"/>
      <c r="K806" s="1"/>
      <c r="L806" s="1"/>
      <c r="M806" s="86"/>
      <c r="N806" s="86"/>
      <c r="O806" s="86"/>
      <c r="P806" s="12"/>
      <c r="Q806" s="4"/>
      <c r="R806" s="4"/>
      <c r="S806" s="84"/>
      <c r="T806" s="5"/>
      <c r="U806" s="12"/>
      <c r="V806" s="88"/>
      <c r="W806" s="88"/>
      <c r="X806" s="88"/>
      <c r="Y806" s="88"/>
      <c r="Z806" s="88"/>
      <c r="AA806" s="88"/>
      <c r="AB806" s="93"/>
      <c r="AC806" s="93"/>
      <c r="AD806" s="93"/>
      <c r="AE806" s="6"/>
      <c r="AF806" s="6"/>
      <c r="AG806" s="6"/>
      <c r="AH806" s="6"/>
      <c r="AI806" s="6"/>
      <c r="AJ806" s="6"/>
      <c r="AK806" s="89"/>
      <c r="AL806" s="84"/>
      <c r="AM806" s="88"/>
      <c r="AN806" s="88"/>
      <c r="AO806" s="88"/>
      <c r="AP806" s="88"/>
      <c r="AQ806" s="86"/>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c r="KB806" s="1"/>
      <c r="KC806" s="1"/>
      <c r="KD806" s="1"/>
      <c r="KE806" s="1"/>
      <c r="KF806" s="1"/>
      <c r="KG806" s="1"/>
      <c r="KH806" s="1"/>
      <c r="KI806" s="1"/>
      <c r="KJ806" s="1"/>
      <c r="KK806" s="1"/>
      <c r="KL806" s="1"/>
      <c r="KM806" s="1"/>
      <c r="KN806" s="1"/>
      <c r="KO806" s="1"/>
      <c r="KP806" s="1"/>
      <c r="KQ806" s="1"/>
      <c r="KR806" s="1"/>
      <c r="KS806" s="1"/>
      <c r="KT806" s="1"/>
      <c r="KU806" s="1"/>
      <c r="KV806" s="1"/>
      <c r="KW806" s="1"/>
      <c r="KX806" s="1"/>
      <c r="KY806" s="1"/>
      <c r="KZ806" s="1"/>
      <c r="LA806" s="1"/>
      <c r="LB806" s="1"/>
      <c r="LC806" s="1"/>
      <c r="LD806" s="1"/>
      <c r="LE806" s="1"/>
    </row>
    <row r="807" spans="1:317" s="2" customFormat="1" x14ac:dyDescent="0.25">
      <c r="A807" s="1"/>
      <c r="B807" s="11"/>
      <c r="C807" s="11"/>
      <c r="D807" s="11"/>
      <c r="E807" s="11"/>
      <c r="F807" s="11"/>
      <c r="G807" s="11"/>
      <c r="H807" s="1"/>
      <c r="I807" s="4"/>
      <c r="J807" s="1"/>
      <c r="K807" s="1"/>
      <c r="L807" s="1"/>
      <c r="M807" s="86"/>
      <c r="N807" s="86"/>
      <c r="O807" s="86"/>
      <c r="P807" s="12"/>
      <c r="Q807" s="4"/>
      <c r="R807" s="4"/>
      <c r="S807" s="84"/>
      <c r="T807" s="5"/>
      <c r="U807" s="12"/>
      <c r="V807" s="88"/>
      <c r="W807" s="88"/>
      <c r="X807" s="88"/>
      <c r="Y807" s="88"/>
      <c r="Z807" s="88"/>
      <c r="AA807" s="88"/>
      <c r="AB807" s="93"/>
      <c r="AC807" s="93"/>
      <c r="AD807" s="93"/>
      <c r="AE807" s="6"/>
      <c r="AF807" s="6"/>
      <c r="AG807" s="6"/>
      <c r="AH807" s="6"/>
      <c r="AI807" s="6"/>
      <c r="AJ807" s="6"/>
      <c r="AK807" s="89"/>
      <c r="AL807" s="84"/>
      <c r="AM807" s="88"/>
      <c r="AN807" s="88"/>
      <c r="AO807" s="88"/>
      <c r="AP807" s="88"/>
      <c r="AQ807" s="86"/>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c r="KB807" s="1"/>
      <c r="KC807" s="1"/>
      <c r="KD807" s="1"/>
      <c r="KE807" s="1"/>
      <c r="KF807" s="1"/>
      <c r="KG807" s="1"/>
      <c r="KH807" s="1"/>
      <c r="KI807" s="1"/>
      <c r="KJ807" s="1"/>
      <c r="KK807" s="1"/>
      <c r="KL807" s="1"/>
      <c r="KM807" s="1"/>
      <c r="KN807" s="1"/>
      <c r="KO807" s="1"/>
      <c r="KP807" s="1"/>
      <c r="KQ807" s="1"/>
      <c r="KR807" s="1"/>
      <c r="KS807" s="1"/>
      <c r="KT807" s="1"/>
      <c r="KU807" s="1"/>
      <c r="KV807" s="1"/>
      <c r="KW807" s="1"/>
      <c r="KX807" s="1"/>
      <c r="KY807" s="1"/>
      <c r="KZ807" s="1"/>
      <c r="LA807" s="1"/>
      <c r="LB807" s="1"/>
      <c r="LC807" s="1"/>
      <c r="LD807" s="1"/>
      <c r="LE807" s="1"/>
    </row>
    <row r="808" spans="1:317" s="2" customFormat="1" x14ac:dyDescent="0.25">
      <c r="A808" s="1"/>
      <c r="B808" s="11"/>
      <c r="C808" s="11"/>
      <c r="D808" s="11"/>
      <c r="E808" s="11"/>
      <c r="F808" s="11"/>
      <c r="G808" s="11"/>
      <c r="H808" s="1"/>
      <c r="I808" s="4"/>
      <c r="J808" s="1"/>
      <c r="K808" s="1"/>
      <c r="L808" s="1"/>
      <c r="M808" s="86"/>
      <c r="N808" s="86"/>
      <c r="O808" s="86"/>
      <c r="P808" s="12"/>
      <c r="Q808" s="4"/>
      <c r="R808" s="4"/>
      <c r="S808" s="84"/>
      <c r="T808" s="5"/>
      <c r="U808" s="12"/>
      <c r="V808" s="88"/>
      <c r="W808" s="88"/>
      <c r="X808" s="88"/>
      <c r="Y808" s="88"/>
      <c r="Z808" s="88"/>
      <c r="AA808" s="88"/>
      <c r="AB808" s="93"/>
      <c r="AC808" s="93"/>
      <c r="AD808" s="93"/>
      <c r="AE808" s="6"/>
      <c r="AF808" s="6"/>
      <c r="AG808" s="6"/>
      <c r="AH808" s="6"/>
      <c r="AI808" s="6"/>
      <c r="AJ808" s="6"/>
      <c r="AK808" s="89"/>
      <c r="AL808" s="84"/>
      <c r="AM808" s="88"/>
      <c r="AN808" s="88"/>
      <c r="AO808" s="88"/>
      <c r="AP808" s="88"/>
      <c r="AQ808" s="86"/>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c r="KB808" s="1"/>
      <c r="KC808" s="1"/>
      <c r="KD808" s="1"/>
      <c r="KE808" s="1"/>
      <c r="KF808" s="1"/>
      <c r="KG808" s="1"/>
      <c r="KH808" s="1"/>
      <c r="KI808" s="1"/>
      <c r="KJ808" s="1"/>
      <c r="KK808" s="1"/>
      <c r="KL808" s="1"/>
      <c r="KM808" s="1"/>
      <c r="KN808" s="1"/>
      <c r="KO808" s="1"/>
      <c r="KP808" s="1"/>
      <c r="KQ808" s="1"/>
      <c r="KR808" s="1"/>
      <c r="KS808" s="1"/>
      <c r="KT808" s="1"/>
      <c r="KU808" s="1"/>
      <c r="KV808" s="1"/>
      <c r="KW808" s="1"/>
      <c r="KX808" s="1"/>
      <c r="KY808" s="1"/>
      <c r="KZ808" s="1"/>
      <c r="LA808" s="1"/>
      <c r="LB808" s="1"/>
      <c r="LC808" s="1"/>
      <c r="LD808" s="1"/>
      <c r="LE808" s="1"/>
    </row>
    <row r="809" spans="1:317" s="2" customFormat="1" x14ac:dyDescent="0.25">
      <c r="A809" s="1"/>
      <c r="B809" s="11"/>
      <c r="C809" s="11"/>
      <c r="D809" s="11"/>
      <c r="E809" s="11"/>
      <c r="F809" s="11"/>
      <c r="G809" s="11"/>
      <c r="H809" s="1"/>
      <c r="I809" s="4"/>
      <c r="J809" s="1"/>
      <c r="K809" s="1"/>
      <c r="L809" s="1"/>
      <c r="M809" s="86"/>
      <c r="N809" s="86"/>
      <c r="O809" s="86"/>
      <c r="P809" s="12"/>
      <c r="Q809" s="4"/>
      <c r="R809" s="4"/>
      <c r="S809" s="84"/>
      <c r="T809" s="5"/>
      <c r="U809" s="12"/>
      <c r="V809" s="88"/>
      <c r="W809" s="88"/>
      <c r="X809" s="88"/>
      <c r="Y809" s="88"/>
      <c r="Z809" s="88"/>
      <c r="AA809" s="88"/>
      <c r="AB809" s="93"/>
      <c r="AC809" s="93"/>
      <c r="AD809" s="93"/>
      <c r="AE809" s="6"/>
      <c r="AF809" s="6"/>
      <c r="AG809" s="6"/>
      <c r="AH809" s="6"/>
      <c r="AI809" s="6"/>
      <c r="AJ809" s="6"/>
      <c r="AK809" s="89"/>
      <c r="AL809" s="84"/>
      <c r="AM809" s="88"/>
      <c r="AN809" s="88"/>
      <c r="AO809" s="88"/>
      <c r="AP809" s="88"/>
      <c r="AQ809" s="86"/>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c r="KB809" s="1"/>
      <c r="KC809" s="1"/>
      <c r="KD809" s="1"/>
      <c r="KE809" s="1"/>
      <c r="KF809" s="1"/>
      <c r="KG809" s="1"/>
      <c r="KH809" s="1"/>
      <c r="KI809" s="1"/>
      <c r="KJ809" s="1"/>
      <c r="KK809" s="1"/>
      <c r="KL809" s="1"/>
      <c r="KM809" s="1"/>
      <c r="KN809" s="1"/>
      <c r="KO809" s="1"/>
      <c r="KP809" s="1"/>
      <c r="KQ809" s="1"/>
      <c r="KR809" s="1"/>
      <c r="KS809" s="1"/>
      <c r="KT809" s="1"/>
      <c r="KU809" s="1"/>
      <c r="KV809" s="1"/>
      <c r="KW809" s="1"/>
      <c r="KX809" s="1"/>
      <c r="KY809" s="1"/>
      <c r="KZ809" s="1"/>
      <c r="LA809" s="1"/>
      <c r="LB809" s="1"/>
      <c r="LC809" s="1"/>
      <c r="LD809" s="1"/>
      <c r="LE809" s="1"/>
    </row>
    <row r="810" spans="1:317" s="2" customFormat="1" x14ac:dyDescent="0.25">
      <c r="A810" s="1"/>
      <c r="B810" s="11"/>
      <c r="C810" s="11"/>
      <c r="D810" s="11"/>
      <c r="E810" s="11"/>
      <c r="F810" s="11"/>
      <c r="G810" s="11"/>
      <c r="H810" s="1"/>
      <c r="I810" s="4"/>
      <c r="J810" s="1"/>
      <c r="K810" s="1"/>
      <c r="L810" s="1"/>
      <c r="M810" s="86"/>
      <c r="N810" s="86"/>
      <c r="O810" s="86"/>
      <c r="P810" s="12"/>
      <c r="Q810" s="4"/>
      <c r="R810" s="4"/>
      <c r="S810" s="84"/>
      <c r="T810" s="5"/>
      <c r="U810" s="12"/>
      <c r="V810" s="88"/>
      <c r="W810" s="88"/>
      <c r="X810" s="88"/>
      <c r="Y810" s="88"/>
      <c r="Z810" s="88"/>
      <c r="AA810" s="88"/>
      <c r="AB810" s="93"/>
      <c r="AC810" s="93"/>
      <c r="AD810" s="93"/>
      <c r="AE810" s="6"/>
      <c r="AF810" s="6"/>
      <c r="AG810" s="6"/>
      <c r="AH810" s="6"/>
      <c r="AI810" s="6"/>
      <c r="AJ810" s="6"/>
      <c r="AK810" s="89"/>
      <c r="AL810" s="84"/>
      <c r="AM810" s="88"/>
      <c r="AN810" s="88"/>
      <c r="AO810" s="88"/>
      <c r="AP810" s="88"/>
      <c r="AQ810" s="86"/>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c r="KB810" s="1"/>
      <c r="KC810" s="1"/>
      <c r="KD810" s="1"/>
      <c r="KE810" s="1"/>
      <c r="KF810" s="1"/>
      <c r="KG810" s="1"/>
      <c r="KH810" s="1"/>
      <c r="KI810" s="1"/>
      <c r="KJ810" s="1"/>
      <c r="KK810" s="1"/>
      <c r="KL810" s="1"/>
      <c r="KM810" s="1"/>
      <c r="KN810" s="1"/>
      <c r="KO810" s="1"/>
      <c r="KP810" s="1"/>
      <c r="KQ810" s="1"/>
      <c r="KR810" s="1"/>
      <c r="KS810" s="1"/>
      <c r="KT810" s="1"/>
      <c r="KU810" s="1"/>
      <c r="KV810" s="1"/>
      <c r="KW810" s="1"/>
      <c r="KX810" s="1"/>
      <c r="KY810" s="1"/>
      <c r="KZ810" s="1"/>
      <c r="LA810" s="1"/>
      <c r="LB810" s="1"/>
      <c r="LC810" s="1"/>
      <c r="LD810" s="1"/>
      <c r="LE810" s="1"/>
    </row>
    <row r="811" spans="1:317" s="2" customFormat="1" x14ac:dyDescent="0.25">
      <c r="A811" s="1"/>
      <c r="B811" s="11"/>
      <c r="C811" s="11"/>
      <c r="D811" s="11"/>
      <c r="E811" s="11"/>
      <c r="F811" s="11"/>
      <c r="G811" s="11"/>
      <c r="H811" s="1"/>
      <c r="I811" s="4"/>
      <c r="J811" s="1"/>
      <c r="K811" s="1"/>
      <c r="L811" s="1"/>
      <c r="M811" s="86"/>
      <c r="N811" s="86"/>
      <c r="O811" s="86"/>
      <c r="P811" s="12"/>
      <c r="Q811" s="4"/>
      <c r="R811" s="4"/>
      <c r="S811" s="84"/>
      <c r="T811" s="5"/>
      <c r="U811" s="12"/>
      <c r="V811" s="88"/>
      <c r="W811" s="88"/>
      <c r="X811" s="88"/>
      <c r="Y811" s="88"/>
      <c r="Z811" s="88"/>
      <c r="AA811" s="88"/>
      <c r="AB811" s="93"/>
      <c r="AC811" s="93"/>
      <c r="AD811" s="93"/>
      <c r="AE811" s="6"/>
      <c r="AF811" s="6"/>
      <c r="AG811" s="6"/>
      <c r="AH811" s="6"/>
      <c r="AI811" s="6"/>
      <c r="AJ811" s="6"/>
      <c r="AK811" s="89"/>
      <c r="AL811" s="84"/>
      <c r="AM811" s="88"/>
      <c r="AN811" s="88"/>
      <c r="AO811" s="88"/>
      <c r="AP811" s="88"/>
      <c r="AQ811" s="86"/>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c r="KB811" s="1"/>
      <c r="KC811" s="1"/>
      <c r="KD811" s="1"/>
      <c r="KE811" s="1"/>
      <c r="KF811" s="1"/>
      <c r="KG811" s="1"/>
      <c r="KH811" s="1"/>
      <c r="KI811" s="1"/>
      <c r="KJ811" s="1"/>
      <c r="KK811" s="1"/>
      <c r="KL811" s="1"/>
      <c r="KM811" s="1"/>
      <c r="KN811" s="1"/>
      <c r="KO811" s="1"/>
      <c r="KP811" s="1"/>
      <c r="KQ811" s="1"/>
      <c r="KR811" s="1"/>
      <c r="KS811" s="1"/>
      <c r="KT811" s="1"/>
      <c r="KU811" s="1"/>
      <c r="KV811" s="1"/>
      <c r="KW811" s="1"/>
      <c r="KX811" s="1"/>
      <c r="KY811" s="1"/>
      <c r="KZ811" s="1"/>
      <c r="LA811" s="1"/>
      <c r="LB811" s="1"/>
      <c r="LC811" s="1"/>
      <c r="LD811" s="1"/>
      <c r="LE811" s="1"/>
    </row>
    <row r="812" spans="1:317" s="2" customFormat="1" x14ac:dyDescent="0.25">
      <c r="A812" s="1"/>
      <c r="B812" s="11"/>
      <c r="C812" s="11"/>
      <c r="D812" s="11"/>
      <c r="E812" s="11"/>
      <c r="F812" s="11"/>
      <c r="G812" s="11"/>
      <c r="H812" s="1"/>
      <c r="I812" s="4"/>
      <c r="J812" s="1"/>
      <c r="K812" s="1"/>
      <c r="L812" s="1"/>
      <c r="M812" s="86"/>
      <c r="N812" s="86"/>
      <c r="O812" s="86"/>
      <c r="P812" s="12"/>
      <c r="Q812" s="4"/>
      <c r="R812" s="4"/>
      <c r="S812" s="84"/>
      <c r="T812" s="5"/>
      <c r="U812" s="12"/>
      <c r="V812" s="88"/>
      <c r="W812" s="88"/>
      <c r="X812" s="88"/>
      <c r="Y812" s="88"/>
      <c r="Z812" s="88"/>
      <c r="AA812" s="88"/>
      <c r="AB812" s="93"/>
      <c r="AC812" s="93"/>
      <c r="AD812" s="93"/>
      <c r="AE812" s="6"/>
      <c r="AF812" s="6"/>
      <c r="AG812" s="6"/>
      <c r="AH812" s="6"/>
      <c r="AI812" s="6"/>
      <c r="AJ812" s="6"/>
      <c r="AK812" s="89"/>
      <c r="AL812" s="84"/>
      <c r="AM812" s="88"/>
      <c r="AN812" s="88"/>
      <c r="AO812" s="88"/>
      <c r="AP812" s="88"/>
      <c r="AQ812" s="86"/>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c r="KB812" s="1"/>
      <c r="KC812" s="1"/>
      <c r="KD812" s="1"/>
      <c r="KE812" s="1"/>
      <c r="KF812" s="1"/>
      <c r="KG812" s="1"/>
      <c r="KH812" s="1"/>
      <c r="KI812" s="1"/>
      <c r="KJ812" s="1"/>
      <c r="KK812" s="1"/>
      <c r="KL812" s="1"/>
      <c r="KM812" s="1"/>
      <c r="KN812" s="1"/>
      <c r="KO812" s="1"/>
      <c r="KP812" s="1"/>
      <c r="KQ812" s="1"/>
      <c r="KR812" s="1"/>
      <c r="KS812" s="1"/>
      <c r="KT812" s="1"/>
      <c r="KU812" s="1"/>
      <c r="KV812" s="1"/>
      <c r="KW812" s="1"/>
      <c r="KX812" s="1"/>
      <c r="KY812" s="1"/>
      <c r="KZ812" s="1"/>
      <c r="LA812" s="1"/>
      <c r="LB812" s="1"/>
      <c r="LC812" s="1"/>
      <c r="LD812" s="1"/>
      <c r="LE812" s="1"/>
    </row>
    <row r="813" spans="1:317" s="2" customFormat="1" x14ac:dyDescent="0.25">
      <c r="A813" s="1"/>
      <c r="B813" s="11"/>
      <c r="C813" s="11"/>
      <c r="D813" s="11"/>
      <c r="E813" s="11"/>
      <c r="F813" s="11"/>
      <c r="G813" s="11"/>
      <c r="H813" s="1"/>
      <c r="I813" s="4"/>
      <c r="J813" s="1"/>
      <c r="K813" s="1"/>
      <c r="L813" s="1"/>
      <c r="M813" s="86"/>
      <c r="N813" s="86"/>
      <c r="O813" s="86"/>
      <c r="P813" s="12"/>
      <c r="Q813" s="4"/>
      <c r="R813" s="4"/>
      <c r="S813" s="84"/>
      <c r="T813" s="5"/>
      <c r="U813" s="12"/>
      <c r="V813" s="88"/>
      <c r="W813" s="88"/>
      <c r="X813" s="88"/>
      <c r="Y813" s="88"/>
      <c r="Z813" s="88"/>
      <c r="AA813" s="88"/>
      <c r="AB813" s="93"/>
      <c r="AC813" s="93"/>
      <c r="AD813" s="93"/>
      <c r="AE813" s="6"/>
      <c r="AF813" s="6"/>
      <c r="AG813" s="6"/>
      <c r="AH813" s="6"/>
      <c r="AI813" s="6"/>
      <c r="AJ813" s="6"/>
      <c r="AK813" s="89"/>
      <c r="AL813" s="84"/>
      <c r="AM813" s="88"/>
      <c r="AN813" s="88"/>
      <c r="AO813" s="88"/>
      <c r="AP813" s="88"/>
      <c r="AQ813" s="86"/>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c r="KB813" s="1"/>
      <c r="KC813" s="1"/>
      <c r="KD813" s="1"/>
      <c r="KE813" s="1"/>
      <c r="KF813" s="1"/>
      <c r="KG813" s="1"/>
      <c r="KH813" s="1"/>
      <c r="KI813" s="1"/>
      <c r="KJ813" s="1"/>
      <c r="KK813" s="1"/>
      <c r="KL813" s="1"/>
      <c r="KM813" s="1"/>
      <c r="KN813" s="1"/>
      <c r="KO813" s="1"/>
      <c r="KP813" s="1"/>
      <c r="KQ813" s="1"/>
      <c r="KR813" s="1"/>
      <c r="KS813" s="1"/>
      <c r="KT813" s="1"/>
      <c r="KU813" s="1"/>
      <c r="KV813" s="1"/>
      <c r="KW813" s="1"/>
      <c r="KX813" s="1"/>
      <c r="KY813" s="1"/>
      <c r="KZ813" s="1"/>
      <c r="LA813" s="1"/>
      <c r="LB813" s="1"/>
      <c r="LC813" s="1"/>
      <c r="LD813" s="1"/>
      <c r="LE813" s="1"/>
    </row>
    <row r="814" spans="1:317" s="2" customFormat="1" x14ac:dyDescent="0.25">
      <c r="A814" s="1"/>
      <c r="B814" s="11"/>
      <c r="C814" s="11"/>
      <c r="D814" s="11"/>
      <c r="E814" s="11"/>
      <c r="F814" s="11"/>
      <c r="G814" s="11"/>
      <c r="H814" s="1"/>
      <c r="I814" s="4"/>
      <c r="J814" s="1"/>
      <c r="K814" s="1"/>
      <c r="L814" s="1"/>
      <c r="M814" s="86"/>
      <c r="N814" s="86"/>
      <c r="O814" s="86"/>
      <c r="P814" s="12"/>
      <c r="Q814" s="4"/>
      <c r="R814" s="4"/>
      <c r="S814" s="84"/>
      <c r="T814" s="5"/>
      <c r="U814" s="12"/>
      <c r="V814" s="88"/>
      <c r="W814" s="88"/>
      <c r="X814" s="88"/>
      <c r="Y814" s="88"/>
      <c r="Z814" s="88"/>
      <c r="AA814" s="88"/>
      <c r="AB814" s="93"/>
      <c r="AC814" s="93"/>
      <c r="AD814" s="93"/>
      <c r="AE814" s="6"/>
      <c r="AF814" s="6"/>
      <c r="AG814" s="6"/>
      <c r="AH814" s="6"/>
      <c r="AI814" s="6"/>
      <c r="AJ814" s="6"/>
      <c r="AK814" s="89"/>
      <c r="AL814" s="84"/>
      <c r="AM814" s="88"/>
      <c r="AN814" s="88"/>
      <c r="AO814" s="88"/>
      <c r="AP814" s="88"/>
      <c r="AQ814" s="86"/>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c r="KB814" s="1"/>
      <c r="KC814" s="1"/>
      <c r="KD814" s="1"/>
      <c r="KE814" s="1"/>
      <c r="KF814" s="1"/>
      <c r="KG814" s="1"/>
      <c r="KH814" s="1"/>
      <c r="KI814" s="1"/>
      <c r="KJ814" s="1"/>
      <c r="KK814" s="1"/>
      <c r="KL814" s="1"/>
      <c r="KM814" s="1"/>
      <c r="KN814" s="1"/>
      <c r="KO814" s="1"/>
      <c r="KP814" s="1"/>
      <c r="KQ814" s="1"/>
      <c r="KR814" s="1"/>
      <c r="KS814" s="1"/>
      <c r="KT814" s="1"/>
      <c r="KU814" s="1"/>
      <c r="KV814" s="1"/>
      <c r="KW814" s="1"/>
      <c r="KX814" s="1"/>
      <c r="KY814" s="1"/>
      <c r="KZ814" s="1"/>
      <c r="LA814" s="1"/>
      <c r="LB814" s="1"/>
      <c r="LC814" s="1"/>
      <c r="LD814" s="1"/>
      <c r="LE814" s="1"/>
    </row>
    <row r="815" spans="1:317" s="2" customFormat="1" x14ac:dyDescent="0.25">
      <c r="A815" s="1"/>
      <c r="B815" s="11"/>
      <c r="C815" s="11"/>
      <c r="D815" s="11"/>
      <c r="E815" s="11"/>
      <c r="F815" s="11"/>
      <c r="G815" s="11"/>
      <c r="H815" s="1"/>
      <c r="I815" s="4"/>
      <c r="J815" s="1"/>
      <c r="K815" s="1"/>
      <c r="L815" s="1"/>
      <c r="M815" s="86"/>
      <c r="N815" s="86"/>
      <c r="O815" s="86"/>
      <c r="P815" s="12"/>
      <c r="Q815" s="4"/>
      <c r="R815" s="4"/>
      <c r="S815" s="84"/>
      <c r="T815" s="5"/>
      <c r="U815" s="12"/>
      <c r="V815" s="88"/>
      <c r="W815" s="88"/>
      <c r="X815" s="88"/>
      <c r="Y815" s="88"/>
      <c r="Z815" s="88"/>
      <c r="AA815" s="88"/>
      <c r="AB815" s="93"/>
      <c r="AC815" s="93"/>
      <c r="AD815" s="93"/>
      <c r="AE815" s="6"/>
      <c r="AF815" s="6"/>
      <c r="AG815" s="6"/>
      <c r="AH815" s="6"/>
      <c r="AI815" s="6"/>
      <c r="AJ815" s="6"/>
      <c r="AK815" s="89"/>
      <c r="AL815" s="84"/>
      <c r="AM815" s="88"/>
      <c r="AN815" s="88"/>
      <c r="AO815" s="88"/>
      <c r="AP815" s="88"/>
      <c r="AQ815" s="86"/>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c r="KB815" s="1"/>
      <c r="KC815" s="1"/>
      <c r="KD815" s="1"/>
      <c r="KE815" s="1"/>
      <c r="KF815" s="1"/>
      <c r="KG815" s="1"/>
      <c r="KH815" s="1"/>
      <c r="KI815" s="1"/>
      <c r="KJ815" s="1"/>
      <c r="KK815" s="1"/>
      <c r="KL815" s="1"/>
      <c r="KM815" s="1"/>
      <c r="KN815" s="1"/>
      <c r="KO815" s="1"/>
      <c r="KP815" s="1"/>
      <c r="KQ815" s="1"/>
      <c r="KR815" s="1"/>
      <c r="KS815" s="1"/>
      <c r="KT815" s="1"/>
      <c r="KU815" s="1"/>
      <c r="KV815" s="1"/>
      <c r="KW815" s="1"/>
      <c r="KX815" s="1"/>
      <c r="KY815" s="1"/>
      <c r="KZ815" s="1"/>
      <c r="LA815" s="1"/>
      <c r="LB815" s="1"/>
      <c r="LC815" s="1"/>
      <c r="LD815" s="1"/>
      <c r="LE815" s="1"/>
    </row>
    <row r="816" spans="1:317" s="2" customFormat="1" x14ac:dyDescent="0.25">
      <c r="A816" s="1"/>
      <c r="B816" s="11"/>
      <c r="C816" s="11"/>
      <c r="D816" s="11"/>
      <c r="E816" s="11"/>
      <c r="F816" s="11"/>
      <c r="G816" s="11"/>
      <c r="H816" s="1"/>
      <c r="I816" s="4"/>
      <c r="J816" s="1"/>
      <c r="K816" s="1"/>
      <c r="L816" s="1"/>
      <c r="M816" s="86"/>
      <c r="N816" s="86"/>
      <c r="O816" s="86"/>
      <c r="P816" s="12"/>
      <c r="Q816" s="4"/>
      <c r="R816" s="4"/>
      <c r="S816" s="84"/>
      <c r="T816" s="5"/>
      <c r="U816" s="12"/>
      <c r="V816" s="88"/>
      <c r="W816" s="88"/>
      <c r="X816" s="88"/>
      <c r="Y816" s="88"/>
      <c r="Z816" s="88"/>
      <c r="AA816" s="88"/>
      <c r="AB816" s="93"/>
      <c r="AC816" s="93"/>
      <c r="AD816" s="93"/>
      <c r="AE816" s="6"/>
      <c r="AF816" s="6"/>
      <c r="AG816" s="6"/>
      <c r="AH816" s="6"/>
      <c r="AI816" s="6"/>
      <c r="AJ816" s="6"/>
      <c r="AK816" s="89"/>
      <c r="AL816" s="84"/>
      <c r="AM816" s="88"/>
      <c r="AN816" s="88"/>
      <c r="AO816" s="88"/>
      <c r="AP816" s="88"/>
      <c r="AQ816" s="86"/>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c r="KB816" s="1"/>
      <c r="KC816" s="1"/>
      <c r="KD816" s="1"/>
      <c r="KE816" s="1"/>
      <c r="KF816" s="1"/>
      <c r="KG816" s="1"/>
      <c r="KH816" s="1"/>
      <c r="KI816" s="1"/>
      <c r="KJ816" s="1"/>
      <c r="KK816" s="1"/>
      <c r="KL816" s="1"/>
      <c r="KM816" s="1"/>
      <c r="KN816" s="1"/>
      <c r="KO816" s="1"/>
      <c r="KP816" s="1"/>
      <c r="KQ816" s="1"/>
      <c r="KR816" s="1"/>
      <c r="KS816" s="1"/>
      <c r="KT816" s="1"/>
      <c r="KU816" s="1"/>
      <c r="KV816" s="1"/>
      <c r="KW816" s="1"/>
      <c r="KX816" s="1"/>
      <c r="KY816" s="1"/>
      <c r="KZ816" s="1"/>
      <c r="LA816" s="1"/>
      <c r="LB816" s="1"/>
      <c r="LC816" s="1"/>
      <c r="LD816" s="1"/>
      <c r="LE816" s="1"/>
    </row>
    <row r="817" spans="1:317" s="2" customFormat="1" x14ac:dyDescent="0.25">
      <c r="A817" s="1"/>
      <c r="B817" s="11"/>
      <c r="C817" s="11"/>
      <c r="D817" s="11"/>
      <c r="E817" s="11"/>
      <c r="F817" s="11"/>
      <c r="G817" s="11"/>
      <c r="H817" s="1"/>
      <c r="I817" s="4"/>
      <c r="J817" s="1"/>
      <c r="K817" s="1"/>
      <c r="L817" s="1"/>
      <c r="M817" s="86"/>
      <c r="N817" s="86"/>
      <c r="O817" s="86"/>
      <c r="P817" s="12"/>
      <c r="Q817" s="4"/>
      <c r="R817" s="4"/>
      <c r="S817" s="84"/>
      <c r="T817" s="5"/>
      <c r="U817" s="12"/>
      <c r="V817" s="88"/>
      <c r="W817" s="88"/>
      <c r="X817" s="88"/>
      <c r="Y817" s="88"/>
      <c r="Z817" s="88"/>
      <c r="AA817" s="88"/>
      <c r="AB817" s="93"/>
      <c r="AC817" s="93"/>
      <c r="AD817" s="93"/>
      <c r="AE817" s="6"/>
      <c r="AF817" s="6"/>
      <c r="AG817" s="6"/>
      <c r="AH817" s="6"/>
      <c r="AI817" s="6"/>
      <c r="AJ817" s="6"/>
      <c r="AK817" s="89"/>
      <c r="AL817" s="84"/>
      <c r="AM817" s="88"/>
      <c r="AN817" s="88"/>
      <c r="AO817" s="88"/>
      <c r="AP817" s="88"/>
      <c r="AQ817" s="86"/>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c r="KB817" s="1"/>
      <c r="KC817" s="1"/>
      <c r="KD817" s="1"/>
      <c r="KE817" s="1"/>
      <c r="KF817" s="1"/>
      <c r="KG817" s="1"/>
      <c r="KH817" s="1"/>
      <c r="KI817" s="1"/>
      <c r="KJ817" s="1"/>
      <c r="KK817" s="1"/>
      <c r="KL817" s="1"/>
      <c r="KM817" s="1"/>
      <c r="KN817" s="1"/>
      <c r="KO817" s="1"/>
      <c r="KP817" s="1"/>
      <c r="KQ817" s="1"/>
      <c r="KR817" s="1"/>
      <c r="KS817" s="1"/>
      <c r="KT817" s="1"/>
      <c r="KU817" s="1"/>
      <c r="KV817" s="1"/>
      <c r="KW817" s="1"/>
      <c r="KX817" s="1"/>
      <c r="KY817" s="1"/>
      <c r="KZ817" s="1"/>
      <c r="LA817" s="1"/>
      <c r="LB817" s="1"/>
      <c r="LC817" s="1"/>
      <c r="LD817" s="1"/>
      <c r="LE817" s="1"/>
    </row>
    <row r="818" spans="1:317" s="2" customFormat="1" x14ac:dyDescent="0.25">
      <c r="A818" s="1"/>
      <c r="B818" s="11"/>
      <c r="C818" s="11"/>
      <c r="D818" s="11"/>
      <c r="E818" s="11"/>
      <c r="F818" s="11"/>
      <c r="G818" s="11"/>
      <c r="H818" s="1"/>
      <c r="I818" s="4"/>
      <c r="J818" s="1"/>
      <c r="K818" s="1"/>
      <c r="L818" s="1"/>
      <c r="M818" s="86"/>
      <c r="N818" s="86"/>
      <c r="O818" s="86"/>
      <c r="P818" s="12"/>
      <c r="Q818" s="4"/>
      <c r="R818" s="4"/>
      <c r="S818" s="84"/>
      <c r="T818" s="5"/>
      <c r="U818" s="12"/>
      <c r="V818" s="88"/>
      <c r="W818" s="88"/>
      <c r="X818" s="88"/>
      <c r="Y818" s="88"/>
      <c r="Z818" s="88"/>
      <c r="AA818" s="88"/>
      <c r="AB818" s="93"/>
      <c r="AC818" s="93"/>
      <c r="AD818" s="93"/>
      <c r="AE818" s="6"/>
      <c r="AF818" s="6"/>
      <c r="AG818" s="6"/>
      <c r="AH818" s="6"/>
      <c r="AI818" s="6"/>
      <c r="AJ818" s="6"/>
      <c r="AK818" s="89"/>
      <c r="AL818" s="84"/>
      <c r="AM818" s="88"/>
      <c r="AN818" s="88"/>
      <c r="AO818" s="88"/>
      <c r="AP818" s="88"/>
      <c r="AQ818" s="86"/>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c r="KB818" s="1"/>
      <c r="KC818" s="1"/>
      <c r="KD818" s="1"/>
      <c r="KE818" s="1"/>
      <c r="KF818" s="1"/>
      <c r="KG818" s="1"/>
      <c r="KH818" s="1"/>
      <c r="KI818" s="1"/>
      <c r="KJ818" s="1"/>
      <c r="KK818" s="1"/>
      <c r="KL818" s="1"/>
      <c r="KM818" s="1"/>
      <c r="KN818" s="1"/>
      <c r="KO818" s="1"/>
      <c r="KP818" s="1"/>
      <c r="KQ818" s="1"/>
      <c r="KR818" s="1"/>
      <c r="KS818" s="1"/>
      <c r="KT818" s="1"/>
      <c r="KU818" s="1"/>
      <c r="KV818" s="1"/>
      <c r="KW818" s="1"/>
      <c r="KX818" s="1"/>
      <c r="KY818" s="1"/>
      <c r="KZ818" s="1"/>
      <c r="LA818" s="1"/>
      <c r="LB818" s="1"/>
      <c r="LC818" s="1"/>
      <c r="LD818" s="1"/>
      <c r="LE818" s="1"/>
    </row>
    <row r="819" spans="1:317" s="2" customFormat="1" x14ac:dyDescent="0.25">
      <c r="A819" s="1"/>
      <c r="B819" s="11"/>
      <c r="C819" s="11"/>
      <c r="D819" s="11"/>
      <c r="E819" s="11"/>
      <c r="F819" s="11"/>
      <c r="G819" s="11"/>
      <c r="H819" s="1"/>
      <c r="I819" s="4"/>
      <c r="J819" s="1"/>
      <c r="K819" s="1"/>
      <c r="L819" s="1"/>
      <c r="M819" s="86"/>
      <c r="N819" s="86"/>
      <c r="O819" s="86"/>
      <c r="P819" s="12"/>
      <c r="Q819" s="4"/>
      <c r="R819" s="4"/>
      <c r="S819" s="84"/>
      <c r="T819" s="5"/>
      <c r="U819" s="12"/>
      <c r="V819" s="88"/>
      <c r="W819" s="88"/>
      <c r="X819" s="88"/>
      <c r="Y819" s="88"/>
      <c r="Z819" s="88"/>
      <c r="AA819" s="88"/>
      <c r="AB819" s="93"/>
      <c r="AC819" s="93"/>
      <c r="AD819" s="93"/>
      <c r="AE819" s="6"/>
      <c r="AF819" s="6"/>
      <c r="AG819" s="6"/>
      <c r="AH819" s="6"/>
      <c r="AI819" s="6"/>
      <c r="AJ819" s="6"/>
      <c r="AK819" s="89"/>
      <c r="AL819" s="84"/>
      <c r="AM819" s="88"/>
      <c r="AN819" s="88"/>
      <c r="AO819" s="88"/>
      <c r="AP819" s="88"/>
      <c r="AQ819" s="86"/>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c r="KB819" s="1"/>
      <c r="KC819" s="1"/>
      <c r="KD819" s="1"/>
      <c r="KE819" s="1"/>
      <c r="KF819" s="1"/>
      <c r="KG819" s="1"/>
      <c r="KH819" s="1"/>
      <c r="KI819" s="1"/>
      <c r="KJ819" s="1"/>
      <c r="KK819" s="1"/>
      <c r="KL819" s="1"/>
      <c r="KM819" s="1"/>
      <c r="KN819" s="1"/>
      <c r="KO819" s="1"/>
      <c r="KP819" s="1"/>
      <c r="KQ819" s="1"/>
      <c r="KR819" s="1"/>
      <c r="KS819" s="1"/>
      <c r="KT819" s="1"/>
      <c r="KU819" s="1"/>
      <c r="KV819" s="1"/>
      <c r="KW819" s="1"/>
      <c r="KX819" s="1"/>
      <c r="KY819" s="1"/>
      <c r="KZ819" s="1"/>
      <c r="LA819" s="1"/>
      <c r="LB819" s="1"/>
      <c r="LC819" s="1"/>
      <c r="LD819" s="1"/>
      <c r="LE819" s="1"/>
    </row>
    <row r="820" spans="1:317" s="2" customFormat="1" x14ac:dyDescent="0.25">
      <c r="A820" s="1"/>
      <c r="B820" s="11"/>
      <c r="C820" s="11"/>
      <c r="D820" s="11"/>
      <c r="E820" s="11"/>
      <c r="F820" s="11"/>
      <c r="G820" s="11"/>
      <c r="H820" s="1"/>
      <c r="I820" s="4"/>
      <c r="J820" s="1"/>
      <c r="K820" s="1"/>
      <c r="L820" s="1"/>
      <c r="M820" s="86"/>
      <c r="N820" s="86"/>
      <c r="O820" s="86"/>
      <c r="P820" s="12"/>
      <c r="Q820" s="4"/>
      <c r="R820" s="4"/>
      <c r="S820" s="84"/>
      <c r="T820" s="5"/>
      <c r="U820" s="12"/>
      <c r="V820" s="88"/>
      <c r="W820" s="88"/>
      <c r="X820" s="88"/>
      <c r="Y820" s="88"/>
      <c r="Z820" s="88"/>
      <c r="AA820" s="88"/>
      <c r="AB820" s="93"/>
      <c r="AC820" s="93"/>
      <c r="AD820" s="93"/>
      <c r="AE820" s="6"/>
      <c r="AF820" s="6"/>
      <c r="AG820" s="6"/>
      <c r="AH820" s="6"/>
      <c r="AI820" s="6"/>
      <c r="AJ820" s="6"/>
      <c r="AK820" s="89"/>
      <c r="AL820" s="84"/>
      <c r="AM820" s="88"/>
      <c r="AN820" s="88"/>
      <c r="AO820" s="88"/>
      <c r="AP820" s="88"/>
      <c r="AQ820" s="86"/>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c r="KB820" s="1"/>
      <c r="KC820" s="1"/>
      <c r="KD820" s="1"/>
      <c r="KE820" s="1"/>
      <c r="KF820" s="1"/>
      <c r="KG820" s="1"/>
      <c r="KH820" s="1"/>
      <c r="KI820" s="1"/>
      <c r="KJ820" s="1"/>
      <c r="KK820" s="1"/>
      <c r="KL820" s="1"/>
      <c r="KM820" s="1"/>
      <c r="KN820" s="1"/>
      <c r="KO820" s="1"/>
      <c r="KP820" s="1"/>
      <c r="KQ820" s="1"/>
      <c r="KR820" s="1"/>
      <c r="KS820" s="1"/>
      <c r="KT820" s="1"/>
      <c r="KU820" s="1"/>
      <c r="KV820" s="1"/>
      <c r="KW820" s="1"/>
      <c r="KX820" s="1"/>
      <c r="KY820" s="1"/>
      <c r="KZ820" s="1"/>
      <c r="LA820" s="1"/>
      <c r="LB820" s="1"/>
      <c r="LC820" s="1"/>
      <c r="LD820" s="1"/>
      <c r="LE820" s="1"/>
    </row>
    <row r="821" spans="1:317" s="2" customFormat="1" x14ac:dyDescent="0.25">
      <c r="A821" s="1"/>
      <c r="B821" s="11"/>
      <c r="C821" s="11"/>
      <c r="D821" s="11"/>
      <c r="E821" s="11"/>
      <c r="F821" s="11"/>
      <c r="G821" s="11"/>
      <c r="H821" s="1"/>
      <c r="I821" s="4"/>
      <c r="J821" s="1"/>
      <c r="K821" s="1"/>
      <c r="L821" s="1"/>
      <c r="M821" s="86"/>
      <c r="N821" s="86"/>
      <c r="O821" s="86"/>
      <c r="P821" s="12"/>
      <c r="Q821" s="4"/>
      <c r="R821" s="4"/>
      <c r="S821" s="84"/>
      <c r="T821" s="5"/>
      <c r="U821" s="12"/>
      <c r="V821" s="88"/>
      <c r="W821" s="88"/>
      <c r="X821" s="88"/>
      <c r="Y821" s="88"/>
      <c r="Z821" s="88"/>
      <c r="AA821" s="88"/>
      <c r="AB821" s="93"/>
      <c r="AC821" s="93"/>
      <c r="AD821" s="93"/>
      <c r="AE821" s="6"/>
      <c r="AF821" s="6"/>
      <c r="AG821" s="6"/>
      <c r="AH821" s="6"/>
      <c r="AI821" s="6"/>
      <c r="AJ821" s="6"/>
      <c r="AK821" s="89"/>
      <c r="AL821" s="84"/>
      <c r="AM821" s="88"/>
      <c r="AN821" s="88"/>
      <c r="AO821" s="88"/>
      <c r="AP821" s="88"/>
      <c r="AQ821" s="86"/>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c r="KB821" s="1"/>
      <c r="KC821" s="1"/>
      <c r="KD821" s="1"/>
      <c r="KE821" s="1"/>
      <c r="KF821" s="1"/>
      <c r="KG821" s="1"/>
      <c r="KH821" s="1"/>
      <c r="KI821" s="1"/>
      <c r="KJ821" s="1"/>
      <c r="KK821" s="1"/>
      <c r="KL821" s="1"/>
      <c r="KM821" s="1"/>
      <c r="KN821" s="1"/>
      <c r="KO821" s="1"/>
      <c r="KP821" s="1"/>
      <c r="KQ821" s="1"/>
      <c r="KR821" s="1"/>
      <c r="KS821" s="1"/>
      <c r="KT821" s="1"/>
      <c r="KU821" s="1"/>
      <c r="KV821" s="1"/>
      <c r="KW821" s="1"/>
      <c r="KX821" s="1"/>
      <c r="KY821" s="1"/>
      <c r="KZ821" s="1"/>
      <c r="LA821" s="1"/>
      <c r="LB821" s="1"/>
      <c r="LC821" s="1"/>
      <c r="LD821" s="1"/>
      <c r="LE821" s="1"/>
    </row>
    <row r="822" spans="1:317" s="2" customFormat="1" x14ac:dyDescent="0.25">
      <c r="A822" s="1"/>
      <c r="B822" s="11"/>
      <c r="C822" s="11"/>
      <c r="D822" s="11"/>
      <c r="E822" s="11"/>
      <c r="F822" s="11"/>
      <c r="G822" s="11"/>
      <c r="H822" s="1"/>
      <c r="I822" s="4"/>
      <c r="J822" s="1"/>
      <c r="K822" s="1"/>
      <c r="L822" s="1"/>
      <c r="M822" s="86"/>
      <c r="N822" s="86"/>
      <c r="O822" s="86"/>
      <c r="P822" s="12"/>
      <c r="Q822" s="4"/>
      <c r="R822" s="4"/>
      <c r="S822" s="84"/>
      <c r="T822" s="5"/>
      <c r="U822" s="12"/>
      <c r="V822" s="88"/>
      <c r="W822" s="88"/>
      <c r="X822" s="88"/>
      <c r="Y822" s="88"/>
      <c r="Z822" s="88"/>
      <c r="AA822" s="88"/>
      <c r="AB822" s="93"/>
      <c r="AC822" s="93"/>
      <c r="AD822" s="93"/>
      <c r="AE822" s="6"/>
      <c r="AF822" s="6"/>
      <c r="AG822" s="6"/>
      <c r="AH822" s="6"/>
      <c r="AI822" s="6"/>
      <c r="AJ822" s="6"/>
      <c r="AK822" s="89"/>
      <c r="AL822" s="84"/>
      <c r="AM822" s="88"/>
      <c r="AN822" s="88"/>
      <c r="AO822" s="88"/>
      <c r="AP822" s="88"/>
      <c r="AQ822" s="86"/>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c r="KB822" s="1"/>
      <c r="KC822" s="1"/>
      <c r="KD822" s="1"/>
      <c r="KE822" s="1"/>
      <c r="KF822" s="1"/>
      <c r="KG822" s="1"/>
      <c r="KH822" s="1"/>
      <c r="KI822" s="1"/>
      <c r="KJ822" s="1"/>
      <c r="KK822" s="1"/>
      <c r="KL822" s="1"/>
      <c r="KM822" s="1"/>
      <c r="KN822" s="1"/>
      <c r="KO822" s="1"/>
      <c r="KP822" s="1"/>
      <c r="KQ822" s="1"/>
      <c r="KR822" s="1"/>
      <c r="KS822" s="1"/>
      <c r="KT822" s="1"/>
      <c r="KU822" s="1"/>
      <c r="KV822" s="1"/>
      <c r="KW822" s="1"/>
      <c r="KX822" s="1"/>
      <c r="KY822" s="1"/>
      <c r="KZ822" s="1"/>
      <c r="LA822" s="1"/>
      <c r="LB822" s="1"/>
      <c r="LC822" s="1"/>
      <c r="LD822" s="1"/>
      <c r="LE822" s="1"/>
    </row>
    <row r="823" spans="1:317" s="2" customFormat="1" x14ac:dyDescent="0.25">
      <c r="A823" s="1"/>
      <c r="B823" s="11"/>
      <c r="C823" s="11"/>
      <c r="D823" s="11"/>
      <c r="E823" s="11"/>
      <c r="F823" s="11"/>
      <c r="G823" s="11"/>
      <c r="H823" s="1"/>
      <c r="I823" s="4"/>
      <c r="J823" s="1"/>
      <c r="K823" s="1"/>
      <c r="L823" s="1"/>
      <c r="M823" s="86"/>
      <c r="N823" s="86"/>
      <c r="O823" s="86"/>
      <c r="P823" s="12"/>
      <c r="Q823" s="4"/>
      <c r="R823" s="4"/>
      <c r="S823" s="84"/>
      <c r="T823" s="5"/>
      <c r="U823" s="12"/>
      <c r="V823" s="88"/>
      <c r="W823" s="88"/>
      <c r="X823" s="88"/>
      <c r="Y823" s="88"/>
      <c r="Z823" s="88"/>
      <c r="AA823" s="88"/>
      <c r="AB823" s="93"/>
      <c r="AC823" s="93"/>
      <c r="AD823" s="93"/>
      <c r="AE823" s="6"/>
      <c r="AF823" s="6"/>
      <c r="AG823" s="6"/>
      <c r="AH823" s="6"/>
      <c r="AI823" s="6"/>
      <c r="AJ823" s="6"/>
      <c r="AK823" s="89"/>
      <c r="AL823" s="84"/>
      <c r="AM823" s="88"/>
      <c r="AN823" s="88"/>
      <c r="AO823" s="88"/>
      <c r="AP823" s="88"/>
      <c r="AQ823" s="86"/>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c r="KB823" s="1"/>
      <c r="KC823" s="1"/>
      <c r="KD823" s="1"/>
      <c r="KE823" s="1"/>
      <c r="KF823" s="1"/>
      <c r="KG823" s="1"/>
      <c r="KH823" s="1"/>
      <c r="KI823" s="1"/>
      <c r="KJ823" s="1"/>
      <c r="KK823" s="1"/>
      <c r="KL823" s="1"/>
      <c r="KM823" s="1"/>
      <c r="KN823" s="1"/>
      <c r="KO823" s="1"/>
      <c r="KP823" s="1"/>
      <c r="KQ823" s="1"/>
      <c r="KR823" s="1"/>
      <c r="KS823" s="1"/>
      <c r="KT823" s="1"/>
      <c r="KU823" s="1"/>
      <c r="KV823" s="1"/>
      <c r="KW823" s="1"/>
      <c r="KX823" s="1"/>
      <c r="KY823" s="1"/>
      <c r="KZ823" s="1"/>
      <c r="LA823" s="1"/>
      <c r="LB823" s="1"/>
      <c r="LC823" s="1"/>
      <c r="LD823" s="1"/>
      <c r="LE823" s="1"/>
    </row>
    <row r="824" spans="1:317" s="2" customFormat="1" x14ac:dyDescent="0.25">
      <c r="A824" s="1"/>
      <c r="B824" s="11"/>
      <c r="C824" s="11"/>
      <c r="D824" s="11"/>
      <c r="E824" s="11"/>
      <c r="F824" s="11"/>
      <c r="G824" s="11"/>
      <c r="H824" s="1"/>
      <c r="I824" s="4"/>
      <c r="J824" s="1"/>
      <c r="K824" s="1"/>
      <c r="L824" s="1"/>
      <c r="M824" s="86"/>
      <c r="N824" s="86"/>
      <c r="O824" s="86"/>
      <c r="P824" s="12"/>
      <c r="Q824" s="4"/>
      <c r="R824" s="4"/>
      <c r="S824" s="84"/>
      <c r="T824" s="5"/>
      <c r="U824" s="12"/>
      <c r="V824" s="88"/>
      <c r="W824" s="88"/>
      <c r="X824" s="88"/>
      <c r="Y824" s="88"/>
      <c r="Z824" s="88"/>
      <c r="AA824" s="88"/>
      <c r="AB824" s="93"/>
      <c r="AC824" s="93"/>
      <c r="AD824" s="93"/>
      <c r="AE824" s="6"/>
      <c r="AF824" s="6"/>
      <c r="AG824" s="6"/>
      <c r="AH824" s="6"/>
      <c r="AI824" s="6"/>
      <c r="AJ824" s="6"/>
      <c r="AK824" s="89"/>
      <c r="AL824" s="84"/>
      <c r="AM824" s="88"/>
      <c r="AN824" s="88"/>
      <c r="AO824" s="88"/>
      <c r="AP824" s="88"/>
      <c r="AQ824" s="86"/>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c r="KB824" s="1"/>
      <c r="KC824" s="1"/>
      <c r="KD824" s="1"/>
      <c r="KE824" s="1"/>
      <c r="KF824" s="1"/>
      <c r="KG824" s="1"/>
      <c r="KH824" s="1"/>
      <c r="KI824" s="1"/>
      <c r="KJ824" s="1"/>
      <c r="KK824" s="1"/>
      <c r="KL824" s="1"/>
      <c r="KM824" s="1"/>
      <c r="KN824" s="1"/>
      <c r="KO824" s="1"/>
      <c r="KP824" s="1"/>
      <c r="KQ824" s="1"/>
      <c r="KR824" s="1"/>
      <c r="KS824" s="1"/>
      <c r="KT824" s="1"/>
      <c r="KU824" s="1"/>
      <c r="KV824" s="1"/>
      <c r="KW824" s="1"/>
      <c r="KX824" s="1"/>
      <c r="KY824" s="1"/>
      <c r="KZ824" s="1"/>
      <c r="LA824" s="1"/>
      <c r="LB824" s="1"/>
      <c r="LC824" s="1"/>
      <c r="LD824" s="1"/>
      <c r="LE824" s="1"/>
    </row>
    <row r="825" spans="1:317" s="2" customFormat="1" x14ac:dyDescent="0.25">
      <c r="A825" s="1"/>
      <c r="B825" s="11"/>
      <c r="C825" s="11"/>
      <c r="D825" s="11"/>
      <c r="E825" s="11"/>
      <c r="F825" s="11"/>
      <c r="G825" s="11"/>
      <c r="H825" s="1"/>
      <c r="I825" s="4"/>
      <c r="J825" s="1"/>
      <c r="K825" s="1"/>
      <c r="L825" s="1"/>
      <c r="M825" s="86"/>
      <c r="N825" s="86"/>
      <c r="O825" s="86"/>
      <c r="P825" s="12"/>
      <c r="Q825" s="4"/>
      <c r="R825" s="4"/>
      <c r="S825" s="84"/>
      <c r="T825" s="5"/>
      <c r="U825" s="12"/>
      <c r="V825" s="88"/>
      <c r="W825" s="88"/>
      <c r="X825" s="88"/>
      <c r="Y825" s="88"/>
      <c r="Z825" s="88"/>
      <c r="AA825" s="88"/>
      <c r="AB825" s="93"/>
      <c r="AC825" s="93"/>
      <c r="AD825" s="93"/>
      <c r="AE825" s="6"/>
      <c r="AF825" s="6"/>
      <c r="AG825" s="6"/>
      <c r="AH825" s="6"/>
      <c r="AI825" s="6"/>
      <c r="AJ825" s="6"/>
      <c r="AK825" s="89"/>
      <c r="AL825" s="84"/>
      <c r="AM825" s="88"/>
      <c r="AN825" s="88"/>
      <c r="AO825" s="88"/>
      <c r="AP825" s="88"/>
      <c r="AQ825" s="86"/>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c r="KB825" s="1"/>
      <c r="KC825" s="1"/>
      <c r="KD825" s="1"/>
      <c r="KE825" s="1"/>
      <c r="KF825" s="1"/>
      <c r="KG825" s="1"/>
      <c r="KH825" s="1"/>
      <c r="KI825" s="1"/>
      <c r="KJ825" s="1"/>
      <c r="KK825" s="1"/>
      <c r="KL825" s="1"/>
      <c r="KM825" s="1"/>
      <c r="KN825" s="1"/>
      <c r="KO825" s="1"/>
      <c r="KP825" s="1"/>
      <c r="KQ825" s="1"/>
      <c r="KR825" s="1"/>
      <c r="KS825" s="1"/>
      <c r="KT825" s="1"/>
      <c r="KU825" s="1"/>
      <c r="KV825" s="1"/>
      <c r="KW825" s="1"/>
      <c r="KX825" s="1"/>
      <c r="KY825" s="1"/>
      <c r="KZ825" s="1"/>
      <c r="LA825" s="1"/>
      <c r="LB825" s="1"/>
      <c r="LC825" s="1"/>
      <c r="LD825" s="1"/>
      <c r="LE825" s="1"/>
    </row>
    <row r="826" spans="1:317" s="2" customFormat="1" x14ac:dyDescent="0.25">
      <c r="A826" s="1"/>
      <c r="B826" s="11"/>
      <c r="C826" s="11"/>
      <c r="D826" s="11"/>
      <c r="E826" s="11"/>
      <c r="F826" s="11"/>
      <c r="G826" s="11"/>
      <c r="H826" s="1"/>
      <c r="I826" s="4"/>
      <c r="J826" s="1"/>
      <c r="K826" s="1"/>
      <c r="L826" s="1"/>
      <c r="M826" s="86"/>
      <c r="N826" s="86"/>
      <c r="O826" s="86"/>
      <c r="P826" s="12"/>
      <c r="Q826" s="4"/>
      <c r="R826" s="4"/>
      <c r="S826" s="84"/>
      <c r="T826" s="5"/>
      <c r="U826" s="12"/>
      <c r="V826" s="88"/>
      <c r="W826" s="88"/>
      <c r="X826" s="88"/>
      <c r="Y826" s="88"/>
      <c r="Z826" s="88"/>
      <c r="AA826" s="88"/>
      <c r="AB826" s="93"/>
      <c r="AC826" s="93"/>
      <c r="AD826" s="93"/>
      <c r="AE826" s="6"/>
      <c r="AF826" s="6"/>
      <c r="AG826" s="6"/>
      <c r="AH826" s="6"/>
      <c r="AI826" s="6"/>
      <c r="AJ826" s="6"/>
      <c r="AK826" s="89"/>
      <c r="AL826" s="84"/>
      <c r="AM826" s="88"/>
      <c r="AN826" s="88"/>
      <c r="AO826" s="88"/>
      <c r="AP826" s="88"/>
      <c r="AQ826" s="86"/>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c r="KB826" s="1"/>
      <c r="KC826" s="1"/>
      <c r="KD826" s="1"/>
      <c r="KE826" s="1"/>
      <c r="KF826" s="1"/>
      <c r="KG826" s="1"/>
      <c r="KH826" s="1"/>
      <c r="KI826" s="1"/>
      <c r="KJ826" s="1"/>
      <c r="KK826" s="1"/>
      <c r="KL826" s="1"/>
      <c r="KM826" s="1"/>
      <c r="KN826" s="1"/>
      <c r="KO826" s="1"/>
      <c r="KP826" s="1"/>
      <c r="KQ826" s="1"/>
      <c r="KR826" s="1"/>
      <c r="KS826" s="1"/>
      <c r="KT826" s="1"/>
      <c r="KU826" s="1"/>
      <c r="KV826" s="1"/>
      <c r="KW826" s="1"/>
      <c r="KX826" s="1"/>
      <c r="KY826" s="1"/>
      <c r="KZ826" s="1"/>
      <c r="LA826" s="1"/>
      <c r="LB826" s="1"/>
      <c r="LC826" s="1"/>
      <c r="LD826" s="1"/>
      <c r="LE826" s="1"/>
    </row>
    <row r="827" spans="1:317" s="2" customFormat="1" x14ac:dyDescent="0.25">
      <c r="A827" s="1"/>
      <c r="B827" s="11"/>
      <c r="C827" s="11"/>
      <c r="D827" s="11"/>
      <c r="E827" s="11"/>
      <c r="F827" s="11"/>
      <c r="G827" s="11"/>
      <c r="H827" s="1"/>
      <c r="I827" s="4"/>
      <c r="J827" s="1"/>
      <c r="K827" s="1"/>
      <c r="L827" s="1"/>
      <c r="M827" s="86"/>
      <c r="N827" s="86"/>
      <c r="O827" s="86"/>
      <c r="P827" s="12"/>
      <c r="Q827" s="4"/>
      <c r="R827" s="4"/>
      <c r="S827" s="84"/>
      <c r="T827" s="5"/>
      <c r="U827" s="12"/>
      <c r="V827" s="88"/>
      <c r="W827" s="88"/>
      <c r="X827" s="88"/>
      <c r="Y827" s="88"/>
      <c r="Z827" s="88"/>
      <c r="AA827" s="88"/>
      <c r="AB827" s="93"/>
      <c r="AC827" s="93"/>
      <c r="AD827" s="93"/>
      <c r="AE827" s="6"/>
      <c r="AF827" s="6"/>
      <c r="AG827" s="6"/>
      <c r="AH827" s="6"/>
      <c r="AI827" s="6"/>
      <c r="AJ827" s="6"/>
      <c r="AK827" s="89"/>
      <c r="AL827" s="84"/>
      <c r="AM827" s="88"/>
      <c r="AN827" s="88"/>
      <c r="AO827" s="88"/>
      <c r="AP827" s="88"/>
      <c r="AQ827" s="86"/>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c r="KB827" s="1"/>
      <c r="KC827" s="1"/>
      <c r="KD827" s="1"/>
      <c r="KE827" s="1"/>
      <c r="KF827" s="1"/>
      <c r="KG827" s="1"/>
      <c r="KH827" s="1"/>
      <c r="KI827" s="1"/>
      <c r="KJ827" s="1"/>
      <c r="KK827" s="1"/>
      <c r="KL827" s="1"/>
      <c r="KM827" s="1"/>
      <c r="KN827" s="1"/>
      <c r="KO827" s="1"/>
      <c r="KP827" s="1"/>
      <c r="KQ827" s="1"/>
      <c r="KR827" s="1"/>
      <c r="KS827" s="1"/>
      <c r="KT827" s="1"/>
      <c r="KU827" s="1"/>
      <c r="KV827" s="1"/>
      <c r="KW827" s="1"/>
      <c r="KX827" s="1"/>
      <c r="KY827" s="1"/>
      <c r="KZ827" s="1"/>
      <c r="LA827" s="1"/>
      <c r="LB827" s="1"/>
      <c r="LC827" s="1"/>
      <c r="LD827" s="1"/>
      <c r="LE827" s="1"/>
    </row>
    <row r="828" spans="1:317" s="2" customFormat="1" x14ac:dyDescent="0.25">
      <c r="A828" s="1"/>
      <c r="B828" s="11"/>
      <c r="C828" s="11"/>
      <c r="D828" s="11"/>
      <c r="E828" s="11"/>
      <c r="F828" s="11"/>
      <c r="G828" s="11"/>
      <c r="H828" s="1"/>
      <c r="I828" s="4"/>
      <c r="J828" s="1"/>
      <c r="K828" s="1"/>
      <c r="L828" s="1"/>
      <c r="M828" s="86"/>
      <c r="N828" s="86"/>
      <c r="O828" s="86"/>
      <c r="P828" s="12"/>
      <c r="Q828" s="4"/>
      <c r="R828" s="4"/>
      <c r="S828" s="84"/>
      <c r="T828" s="5"/>
      <c r="U828" s="12"/>
      <c r="V828" s="88"/>
      <c r="W828" s="88"/>
      <c r="X828" s="88"/>
      <c r="Y828" s="88"/>
      <c r="Z828" s="88"/>
      <c r="AA828" s="88"/>
      <c r="AB828" s="93"/>
      <c r="AC828" s="93"/>
      <c r="AD828" s="93"/>
      <c r="AE828" s="6"/>
      <c r="AF828" s="6"/>
      <c r="AG828" s="6"/>
      <c r="AH828" s="6"/>
      <c r="AI828" s="6"/>
      <c r="AJ828" s="6"/>
      <c r="AK828" s="89"/>
      <c r="AL828" s="84"/>
      <c r="AM828" s="88"/>
      <c r="AN828" s="88"/>
      <c r="AO828" s="88"/>
      <c r="AP828" s="88"/>
      <c r="AQ828" s="86"/>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c r="KB828" s="1"/>
      <c r="KC828" s="1"/>
      <c r="KD828" s="1"/>
      <c r="KE828" s="1"/>
      <c r="KF828" s="1"/>
      <c r="KG828" s="1"/>
      <c r="KH828" s="1"/>
      <c r="KI828" s="1"/>
      <c r="KJ828" s="1"/>
      <c r="KK828" s="1"/>
      <c r="KL828" s="1"/>
      <c r="KM828" s="1"/>
      <c r="KN828" s="1"/>
      <c r="KO828" s="1"/>
      <c r="KP828" s="1"/>
      <c r="KQ828" s="1"/>
      <c r="KR828" s="1"/>
      <c r="KS828" s="1"/>
      <c r="KT828" s="1"/>
      <c r="KU828" s="1"/>
      <c r="KV828" s="1"/>
      <c r="KW828" s="1"/>
      <c r="KX828" s="1"/>
      <c r="KY828" s="1"/>
      <c r="KZ828" s="1"/>
      <c r="LA828" s="1"/>
      <c r="LB828" s="1"/>
      <c r="LC828" s="1"/>
      <c r="LD828" s="1"/>
      <c r="LE828" s="1"/>
    </row>
    <row r="829" spans="1:317" s="2" customFormat="1" x14ac:dyDescent="0.25">
      <c r="A829" s="1"/>
      <c r="B829" s="11"/>
      <c r="C829" s="11"/>
      <c r="D829" s="11"/>
      <c r="E829" s="11"/>
      <c r="F829" s="11"/>
      <c r="G829" s="11"/>
      <c r="H829" s="1"/>
      <c r="I829" s="4"/>
      <c r="J829" s="1"/>
      <c r="K829" s="1"/>
      <c r="L829" s="1"/>
      <c r="M829" s="86"/>
      <c r="N829" s="86"/>
      <c r="O829" s="86"/>
      <c r="P829" s="12"/>
      <c r="Q829" s="4"/>
      <c r="R829" s="4"/>
      <c r="S829" s="84"/>
      <c r="T829" s="5"/>
      <c r="U829" s="12"/>
      <c r="V829" s="88"/>
      <c r="W829" s="88"/>
      <c r="X829" s="88"/>
      <c r="Y829" s="88"/>
      <c r="Z829" s="88"/>
      <c r="AA829" s="88"/>
      <c r="AB829" s="93"/>
      <c r="AC829" s="93"/>
      <c r="AD829" s="93"/>
      <c r="AE829" s="6"/>
      <c r="AF829" s="6"/>
      <c r="AG829" s="6"/>
      <c r="AH829" s="6"/>
      <c r="AI829" s="6"/>
      <c r="AJ829" s="6"/>
      <c r="AK829" s="89"/>
      <c r="AL829" s="84"/>
      <c r="AM829" s="88"/>
      <c r="AN829" s="88"/>
      <c r="AO829" s="88"/>
      <c r="AP829" s="88"/>
      <c r="AQ829" s="86"/>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c r="KB829" s="1"/>
      <c r="KC829" s="1"/>
      <c r="KD829" s="1"/>
      <c r="KE829" s="1"/>
      <c r="KF829" s="1"/>
      <c r="KG829" s="1"/>
      <c r="KH829" s="1"/>
      <c r="KI829" s="1"/>
      <c r="KJ829" s="1"/>
      <c r="KK829" s="1"/>
      <c r="KL829" s="1"/>
      <c r="KM829" s="1"/>
      <c r="KN829" s="1"/>
      <c r="KO829" s="1"/>
      <c r="KP829" s="1"/>
      <c r="KQ829" s="1"/>
      <c r="KR829" s="1"/>
      <c r="KS829" s="1"/>
      <c r="KT829" s="1"/>
      <c r="KU829" s="1"/>
      <c r="KV829" s="1"/>
      <c r="KW829" s="1"/>
      <c r="KX829" s="1"/>
      <c r="KY829" s="1"/>
      <c r="KZ829" s="1"/>
      <c r="LA829" s="1"/>
      <c r="LB829" s="1"/>
      <c r="LC829" s="1"/>
      <c r="LD829" s="1"/>
      <c r="LE829" s="1"/>
    </row>
    <row r="830" spans="1:317" s="2" customFormat="1" x14ac:dyDescent="0.25">
      <c r="A830" s="1"/>
      <c r="B830" s="11"/>
      <c r="C830" s="11"/>
      <c r="D830" s="11"/>
      <c r="E830" s="11"/>
      <c r="F830" s="11"/>
      <c r="G830" s="11"/>
      <c r="H830" s="1"/>
      <c r="I830" s="4"/>
      <c r="J830" s="1"/>
      <c r="K830" s="1"/>
      <c r="L830" s="1"/>
      <c r="M830" s="86"/>
      <c r="N830" s="86"/>
      <c r="O830" s="86"/>
      <c r="P830" s="12"/>
      <c r="Q830" s="4"/>
      <c r="R830" s="4"/>
      <c r="S830" s="84"/>
      <c r="T830" s="5"/>
      <c r="U830" s="12"/>
      <c r="V830" s="88"/>
      <c r="W830" s="88"/>
      <c r="X830" s="88"/>
      <c r="Y830" s="88"/>
      <c r="Z830" s="88"/>
      <c r="AA830" s="88"/>
      <c r="AB830" s="93"/>
      <c r="AC830" s="93"/>
      <c r="AD830" s="93"/>
      <c r="AE830" s="6"/>
      <c r="AF830" s="6"/>
      <c r="AG830" s="6"/>
      <c r="AH830" s="6"/>
      <c r="AI830" s="6"/>
      <c r="AJ830" s="6"/>
      <c r="AK830" s="89"/>
      <c r="AL830" s="84"/>
      <c r="AM830" s="88"/>
      <c r="AN830" s="88"/>
      <c r="AO830" s="88"/>
      <c r="AP830" s="88"/>
      <c r="AQ830" s="86"/>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c r="KB830" s="1"/>
      <c r="KC830" s="1"/>
      <c r="KD830" s="1"/>
      <c r="KE830" s="1"/>
      <c r="KF830" s="1"/>
      <c r="KG830" s="1"/>
      <c r="KH830" s="1"/>
      <c r="KI830" s="1"/>
      <c r="KJ830" s="1"/>
      <c r="KK830" s="1"/>
      <c r="KL830" s="1"/>
      <c r="KM830" s="1"/>
      <c r="KN830" s="1"/>
      <c r="KO830" s="1"/>
      <c r="KP830" s="1"/>
      <c r="KQ830" s="1"/>
      <c r="KR830" s="1"/>
      <c r="KS830" s="1"/>
      <c r="KT830" s="1"/>
      <c r="KU830" s="1"/>
      <c r="KV830" s="1"/>
      <c r="KW830" s="1"/>
      <c r="KX830" s="1"/>
      <c r="KY830" s="1"/>
      <c r="KZ830" s="1"/>
      <c r="LA830" s="1"/>
      <c r="LB830" s="1"/>
      <c r="LC830" s="1"/>
      <c r="LD830" s="1"/>
      <c r="LE830" s="1"/>
    </row>
    <row r="831" spans="1:317" s="2" customFormat="1" x14ac:dyDescent="0.25">
      <c r="A831" s="1"/>
      <c r="B831" s="11"/>
      <c r="C831" s="11"/>
      <c r="D831" s="11"/>
      <c r="E831" s="11"/>
      <c r="F831" s="11"/>
      <c r="G831" s="11"/>
      <c r="H831" s="1"/>
      <c r="I831" s="4"/>
      <c r="J831" s="1"/>
      <c r="K831" s="1"/>
      <c r="L831" s="1"/>
      <c r="M831" s="86"/>
      <c r="N831" s="86"/>
      <c r="O831" s="86"/>
      <c r="P831" s="12"/>
      <c r="Q831" s="4"/>
      <c r="R831" s="4"/>
      <c r="S831" s="84"/>
      <c r="T831" s="5"/>
      <c r="U831" s="12"/>
      <c r="V831" s="88"/>
      <c r="W831" s="88"/>
      <c r="X831" s="88"/>
      <c r="Y831" s="88"/>
      <c r="Z831" s="88"/>
      <c r="AA831" s="88"/>
      <c r="AB831" s="93"/>
      <c r="AC831" s="93"/>
      <c r="AD831" s="93"/>
      <c r="AE831" s="6"/>
      <c r="AF831" s="6"/>
      <c r="AG831" s="6"/>
      <c r="AH831" s="6"/>
      <c r="AI831" s="6"/>
      <c r="AJ831" s="6"/>
      <c r="AK831" s="89"/>
      <c r="AL831" s="84"/>
      <c r="AM831" s="88"/>
      <c r="AN831" s="88"/>
      <c r="AO831" s="88"/>
      <c r="AP831" s="88"/>
      <c r="AQ831" s="86"/>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c r="KB831" s="1"/>
      <c r="KC831" s="1"/>
      <c r="KD831" s="1"/>
      <c r="KE831" s="1"/>
      <c r="KF831" s="1"/>
      <c r="KG831" s="1"/>
      <c r="KH831" s="1"/>
      <c r="KI831" s="1"/>
      <c r="KJ831" s="1"/>
      <c r="KK831" s="1"/>
      <c r="KL831" s="1"/>
      <c r="KM831" s="1"/>
      <c r="KN831" s="1"/>
      <c r="KO831" s="1"/>
      <c r="KP831" s="1"/>
      <c r="KQ831" s="1"/>
      <c r="KR831" s="1"/>
      <c r="KS831" s="1"/>
      <c r="KT831" s="1"/>
      <c r="KU831" s="1"/>
      <c r="KV831" s="1"/>
      <c r="KW831" s="1"/>
      <c r="KX831" s="1"/>
      <c r="KY831" s="1"/>
      <c r="KZ831" s="1"/>
      <c r="LA831" s="1"/>
      <c r="LB831" s="1"/>
      <c r="LC831" s="1"/>
      <c r="LD831" s="1"/>
      <c r="LE831" s="1"/>
    </row>
    <row r="832" spans="1:317" s="2" customFormat="1" x14ac:dyDescent="0.25">
      <c r="A832" s="1"/>
      <c r="B832" s="11"/>
      <c r="C832" s="11"/>
      <c r="D832" s="11"/>
      <c r="E832" s="11"/>
      <c r="F832" s="11"/>
      <c r="G832" s="11"/>
      <c r="H832" s="1"/>
      <c r="I832" s="4"/>
      <c r="J832" s="1"/>
      <c r="K832" s="1"/>
      <c r="L832" s="1"/>
      <c r="M832" s="86"/>
      <c r="N832" s="86"/>
      <c r="O832" s="86"/>
      <c r="P832" s="12"/>
      <c r="Q832" s="4"/>
      <c r="R832" s="4"/>
      <c r="S832" s="84"/>
      <c r="T832" s="5"/>
      <c r="U832" s="12"/>
      <c r="V832" s="88"/>
      <c r="W832" s="88"/>
      <c r="X832" s="88"/>
      <c r="Y832" s="88"/>
      <c r="Z832" s="88"/>
      <c r="AA832" s="88"/>
      <c r="AB832" s="93"/>
      <c r="AC832" s="93"/>
      <c r="AD832" s="93"/>
      <c r="AE832" s="6"/>
      <c r="AF832" s="6"/>
      <c r="AG832" s="6"/>
      <c r="AH832" s="6"/>
      <c r="AI832" s="6"/>
      <c r="AJ832" s="6"/>
      <c r="AK832" s="89"/>
      <c r="AL832" s="84"/>
      <c r="AM832" s="88"/>
      <c r="AN832" s="88"/>
      <c r="AO832" s="88"/>
      <c r="AP832" s="88"/>
      <c r="AQ832" s="86"/>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c r="KB832" s="1"/>
      <c r="KC832" s="1"/>
      <c r="KD832" s="1"/>
      <c r="KE832" s="1"/>
      <c r="KF832" s="1"/>
      <c r="KG832" s="1"/>
      <c r="KH832" s="1"/>
      <c r="KI832" s="1"/>
      <c r="KJ832" s="1"/>
      <c r="KK832" s="1"/>
      <c r="KL832" s="1"/>
      <c r="KM832" s="1"/>
      <c r="KN832" s="1"/>
      <c r="KO832" s="1"/>
      <c r="KP832" s="1"/>
      <c r="KQ832" s="1"/>
      <c r="KR832" s="1"/>
      <c r="KS832" s="1"/>
      <c r="KT832" s="1"/>
      <c r="KU832" s="1"/>
      <c r="KV832" s="1"/>
      <c r="KW832" s="1"/>
      <c r="KX832" s="1"/>
      <c r="KY832" s="1"/>
      <c r="KZ832" s="1"/>
      <c r="LA832" s="1"/>
      <c r="LB832" s="1"/>
      <c r="LC832" s="1"/>
      <c r="LD832" s="1"/>
      <c r="LE832" s="1"/>
    </row>
    <row r="833" spans="1:317" s="2" customFormat="1" x14ac:dyDescent="0.25">
      <c r="A833" s="1"/>
      <c r="B833" s="11"/>
      <c r="C833" s="11"/>
      <c r="D833" s="11"/>
      <c r="E833" s="11"/>
      <c r="F833" s="11"/>
      <c r="G833" s="11"/>
      <c r="H833" s="1"/>
      <c r="I833" s="4"/>
      <c r="J833" s="1"/>
      <c r="K833" s="1"/>
      <c r="L833" s="1"/>
      <c r="M833" s="86"/>
      <c r="N833" s="86"/>
      <c r="O833" s="86"/>
      <c r="P833" s="12"/>
      <c r="Q833" s="4"/>
      <c r="R833" s="4"/>
      <c r="S833" s="84"/>
      <c r="T833" s="5"/>
      <c r="U833" s="12"/>
      <c r="V833" s="88"/>
      <c r="W833" s="88"/>
      <c r="X833" s="88"/>
      <c r="Y833" s="88"/>
      <c r="Z833" s="88"/>
      <c r="AA833" s="88"/>
      <c r="AB833" s="93"/>
      <c r="AC833" s="93"/>
      <c r="AD833" s="93"/>
      <c r="AE833" s="6"/>
      <c r="AF833" s="6"/>
      <c r="AG833" s="6"/>
      <c r="AH833" s="6"/>
      <c r="AI833" s="6"/>
      <c r="AJ833" s="6"/>
      <c r="AK833" s="89"/>
      <c r="AL833" s="84"/>
      <c r="AM833" s="88"/>
      <c r="AN833" s="88"/>
      <c r="AO833" s="88"/>
      <c r="AP833" s="88"/>
      <c r="AQ833" s="86"/>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c r="KB833" s="1"/>
      <c r="KC833" s="1"/>
      <c r="KD833" s="1"/>
      <c r="KE833" s="1"/>
      <c r="KF833" s="1"/>
      <c r="KG833" s="1"/>
      <c r="KH833" s="1"/>
      <c r="KI833" s="1"/>
      <c r="KJ833" s="1"/>
      <c r="KK833" s="1"/>
      <c r="KL833" s="1"/>
      <c r="KM833" s="1"/>
      <c r="KN833" s="1"/>
      <c r="KO833" s="1"/>
      <c r="KP833" s="1"/>
      <c r="KQ833" s="1"/>
      <c r="KR833" s="1"/>
      <c r="KS833" s="1"/>
      <c r="KT833" s="1"/>
      <c r="KU833" s="1"/>
      <c r="KV833" s="1"/>
      <c r="KW833" s="1"/>
      <c r="KX833" s="1"/>
      <c r="KY833" s="1"/>
      <c r="KZ833" s="1"/>
      <c r="LA833" s="1"/>
      <c r="LB833" s="1"/>
      <c r="LC833" s="1"/>
      <c r="LD833" s="1"/>
      <c r="LE833" s="1"/>
    </row>
    <row r="834" spans="1:317" s="2" customFormat="1" x14ac:dyDescent="0.25">
      <c r="A834" s="1"/>
      <c r="B834" s="11"/>
      <c r="C834" s="11"/>
      <c r="D834" s="11"/>
      <c r="E834" s="11"/>
      <c r="F834" s="11"/>
      <c r="G834" s="11"/>
      <c r="H834" s="1"/>
      <c r="I834" s="4"/>
      <c r="J834" s="1"/>
      <c r="K834" s="1"/>
      <c r="L834" s="1"/>
      <c r="M834" s="86"/>
      <c r="N834" s="86"/>
      <c r="O834" s="86"/>
      <c r="P834" s="12"/>
      <c r="Q834" s="4"/>
      <c r="R834" s="4"/>
      <c r="S834" s="84"/>
      <c r="T834" s="5"/>
      <c r="U834" s="12"/>
      <c r="V834" s="88"/>
      <c r="W834" s="88"/>
      <c r="X834" s="88"/>
      <c r="Y834" s="88"/>
      <c r="Z834" s="88"/>
      <c r="AA834" s="88"/>
      <c r="AB834" s="93"/>
      <c r="AC834" s="93"/>
      <c r="AD834" s="93"/>
      <c r="AE834" s="6"/>
      <c r="AF834" s="6"/>
      <c r="AG834" s="6"/>
      <c r="AH834" s="6"/>
      <c r="AI834" s="6"/>
      <c r="AJ834" s="6"/>
      <c r="AK834" s="89"/>
      <c r="AL834" s="84"/>
      <c r="AM834" s="88"/>
      <c r="AN834" s="88"/>
      <c r="AO834" s="88"/>
      <c r="AP834" s="88"/>
      <c r="AQ834" s="86"/>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c r="KB834" s="1"/>
      <c r="KC834" s="1"/>
      <c r="KD834" s="1"/>
      <c r="KE834" s="1"/>
      <c r="KF834" s="1"/>
      <c r="KG834" s="1"/>
      <c r="KH834" s="1"/>
      <c r="KI834" s="1"/>
      <c r="KJ834" s="1"/>
      <c r="KK834" s="1"/>
      <c r="KL834" s="1"/>
      <c r="KM834" s="1"/>
      <c r="KN834" s="1"/>
      <c r="KO834" s="1"/>
      <c r="KP834" s="1"/>
      <c r="KQ834" s="1"/>
      <c r="KR834" s="1"/>
      <c r="KS834" s="1"/>
      <c r="KT834" s="1"/>
      <c r="KU834" s="1"/>
      <c r="KV834" s="1"/>
      <c r="KW834" s="1"/>
      <c r="KX834" s="1"/>
      <c r="KY834" s="1"/>
      <c r="KZ834" s="1"/>
      <c r="LA834" s="1"/>
      <c r="LB834" s="1"/>
      <c r="LC834" s="1"/>
      <c r="LD834" s="1"/>
      <c r="LE834" s="1"/>
    </row>
    <row r="835" spans="1:317" s="2" customFormat="1" x14ac:dyDescent="0.25">
      <c r="A835" s="1"/>
      <c r="B835" s="11"/>
      <c r="C835" s="11"/>
      <c r="D835" s="11"/>
      <c r="E835" s="11"/>
      <c r="F835" s="11"/>
      <c r="G835" s="11"/>
      <c r="H835" s="1"/>
      <c r="I835" s="4"/>
      <c r="J835" s="1"/>
      <c r="K835" s="1"/>
      <c r="L835" s="1"/>
      <c r="M835" s="86"/>
      <c r="N835" s="86"/>
      <c r="O835" s="86"/>
      <c r="P835" s="12"/>
      <c r="Q835" s="4"/>
      <c r="R835" s="4"/>
      <c r="S835" s="84"/>
      <c r="T835" s="5"/>
      <c r="U835" s="12"/>
      <c r="V835" s="88"/>
      <c r="W835" s="88"/>
      <c r="X835" s="88"/>
      <c r="Y835" s="88"/>
      <c r="Z835" s="88"/>
      <c r="AA835" s="88"/>
      <c r="AB835" s="93"/>
      <c r="AC835" s="93"/>
      <c r="AD835" s="93"/>
      <c r="AE835" s="6"/>
      <c r="AF835" s="6"/>
      <c r="AG835" s="6"/>
      <c r="AH835" s="6"/>
      <c r="AI835" s="6"/>
      <c r="AJ835" s="6"/>
      <c r="AK835" s="89"/>
      <c r="AL835" s="84"/>
      <c r="AM835" s="88"/>
      <c r="AN835" s="88"/>
      <c r="AO835" s="88"/>
      <c r="AP835" s="88"/>
      <c r="AQ835" s="86"/>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c r="KB835" s="1"/>
      <c r="KC835" s="1"/>
      <c r="KD835" s="1"/>
      <c r="KE835" s="1"/>
      <c r="KF835" s="1"/>
      <c r="KG835" s="1"/>
      <c r="KH835" s="1"/>
      <c r="KI835" s="1"/>
      <c r="KJ835" s="1"/>
      <c r="KK835" s="1"/>
      <c r="KL835" s="1"/>
      <c r="KM835" s="1"/>
      <c r="KN835" s="1"/>
      <c r="KO835" s="1"/>
      <c r="KP835" s="1"/>
      <c r="KQ835" s="1"/>
      <c r="KR835" s="1"/>
      <c r="KS835" s="1"/>
      <c r="KT835" s="1"/>
      <c r="KU835" s="1"/>
      <c r="KV835" s="1"/>
      <c r="KW835" s="1"/>
      <c r="KX835" s="1"/>
      <c r="KY835" s="1"/>
      <c r="KZ835" s="1"/>
      <c r="LA835" s="1"/>
      <c r="LB835" s="1"/>
      <c r="LC835" s="1"/>
      <c r="LD835" s="1"/>
      <c r="LE835" s="1"/>
    </row>
    <row r="836" spans="1:317" s="2" customFormat="1" x14ac:dyDescent="0.25">
      <c r="A836" s="1"/>
      <c r="B836" s="11"/>
      <c r="C836" s="11"/>
      <c r="D836" s="11"/>
      <c r="E836" s="11"/>
      <c r="F836" s="11"/>
      <c r="G836" s="11"/>
      <c r="H836" s="1"/>
      <c r="I836" s="4"/>
      <c r="J836" s="1"/>
      <c r="K836" s="1"/>
      <c r="L836" s="1"/>
      <c r="M836" s="86"/>
      <c r="N836" s="86"/>
      <c r="O836" s="86"/>
      <c r="P836" s="12"/>
      <c r="Q836" s="4"/>
      <c r="R836" s="4"/>
      <c r="S836" s="84"/>
      <c r="T836" s="5"/>
      <c r="U836" s="12"/>
      <c r="V836" s="88"/>
      <c r="W836" s="88"/>
      <c r="X836" s="88"/>
      <c r="Y836" s="88"/>
      <c r="Z836" s="88"/>
      <c r="AA836" s="88"/>
      <c r="AB836" s="93"/>
      <c r="AC836" s="93"/>
      <c r="AD836" s="93"/>
      <c r="AE836" s="6"/>
      <c r="AF836" s="6"/>
      <c r="AG836" s="6"/>
      <c r="AH836" s="6"/>
      <c r="AI836" s="6"/>
      <c r="AJ836" s="6"/>
      <c r="AK836" s="89"/>
      <c r="AL836" s="84"/>
      <c r="AM836" s="88"/>
      <c r="AN836" s="88"/>
      <c r="AO836" s="88"/>
      <c r="AP836" s="88"/>
      <c r="AQ836" s="86"/>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c r="KB836" s="1"/>
      <c r="KC836" s="1"/>
      <c r="KD836" s="1"/>
      <c r="KE836" s="1"/>
      <c r="KF836" s="1"/>
      <c r="KG836" s="1"/>
      <c r="KH836" s="1"/>
      <c r="KI836" s="1"/>
      <c r="KJ836" s="1"/>
      <c r="KK836" s="1"/>
      <c r="KL836" s="1"/>
      <c r="KM836" s="1"/>
      <c r="KN836" s="1"/>
      <c r="KO836" s="1"/>
      <c r="KP836" s="1"/>
      <c r="KQ836" s="1"/>
      <c r="KR836" s="1"/>
      <c r="KS836" s="1"/>
      <c r="KT836" s="1"/>
      <c r="KU836" s="1"/>
      <c r="KV836" s="1"/>
      <c r="KW836" s="1"/>
      <c r="KX836" s="1"/>
      <c r="KY836" s="1"/>
      <c r="KZ836" s="1"/>
      <c r="LA836" s="1"/>
      <c r="LB836" s="1"/>
      <c r="LC836" s="1"/>
      <c r="LD836" s="1"/>
      <c r="LE836" s="1"/>
    </row>
    <row r="837" spans="1:317" s="2" customFormat="1" x14ac:dyDescent="0.25">
      <c r="A837" s="1"/>
      <c r="B837" s="11"/>
      <c r="C837" s="11"/>
      <c r="D837" s="11"/>
      <c r="E837" s="11"/>
      <c r="F837" s="11"/>
      <c r="G837" s="11"/>
      <c r="H837" s="1"/>
      <c r="I837" s="4"/>
      <c r="J837" s="1"/>
      <c r="K837" s="1"/>
      <c r="L837" s="1"/>
      <c r="M837" s="86"/>
      <c r="N837" s="86"/>
      <c r="O837" s="86"/>
      <c r="P837" s="12"/>
      <c r="Q837" s="4"/>
      <c r="R837" s="4"/>
      <c r="S837" s="84"/>
      <c r="T837" s="5"/>
      <c r="U837" s="12"/>
      <c r="V837" s="88"/>
      <c r="W837" s="88"/>
      <c r="X837" s="88"/>
      <c r="Y837" s="88"/>
      <c r="Z837" s="88"/>
      <c r="AA837" s="88"/>
      <c r="AB837" s="93"/>
      <c r="AC837" s="93"/>
      <c r="AD837" s="93"/>
      <c r="AE837" s="6"/>
      <c r="AF837" s="6"/>
      <c r="AG837" s="6"/>
      <c r="AH837" s="6"/>
      <c r="AI837" s="6"/>
      <c r="AJ837" s="6"/>
      <c r="AK837" s="89"/>
      <c r="AL837" s="84"/>
      <c r="AM837" s="88"/>
      <c r="AN837" s="88"/>
      <c r="AO837" s="88"/>
      <c r="AP837" s="88"/>
      <c r="AQ837" s="86"/>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c r="KB837" s="1"/>
      <c r="KC837" s="1"/>
      <c r="KD837" s="1"/>
      <c r="KE837" s="1"/>
      <c r="KF837" s="1"/>
      <c r="KG837" s="1"/>
      <c r="KH837" s="1"/>
      <c r="KI837" s="1"/>
      <c r="KJ837" s="1"/>
      <c r="KK837" s="1"/>
      <c r="KL837" s="1"/>
      <c r="KM837" s="1"/>
      <c r="KN837" s="1"/>
      <c r="KO837" s="1"/>
      <c r="KP837" s="1"/>
      <c r="KQ837" s="1"/>
      <c r="KR837" s="1"/>
      <c r="KS837" s="1"/>
      <c r="KT837" s="1"/>
      <c r="KU837" s="1"/>
      <c r="KV837" s="1"/>
      <c r="KW837" s="1"/>
      <c r="KX837" s="1"/>
      <c r="KY837" s="1"/>
      <c r="KZ837" s="1"/>
      <c r="LA837" s="1"/>
      <c r="LB837" s="1"/>
      <c r="LC837" s="1"/>
      <c r="LD837" s="1"/>
      <c r="LE837" s="1"/>
    </row>
    <row r="838" spans="1:317" s="2" customFormat="1" x14ac:dyDescent="0.25">
      <c r="A838" s="1"/>
      <c r="B838" s="11"/>
      <c r="C838" s="11"/>
      <c r="D838" s="11"/>
      <c r="E838" s="11"/>
      <c r="F838" s="11"/>
      <c r="G838" s="11"/>
      <c r="H838" s="1"/>
      <c r="I838" s="4"/>
      <c r="J838" s="1"/>
      <c r="K838" s="1"/>
      <c r="L838" s="1"/>
      <c r="M838" s="86"/>
      <c r="N838" s="86"/>
      <c r="O838" s="86"/>
      <c r="P838" s="12"/>
      <c r="Q838" s="4"/>
      <c r="R838" s="4"/>
      <c r="S838" s="84"/>
      <c r="T838" s="5"/>
      <c r="U838" s="12"/>
      <c r="V838" s="88"/>
      <c r="W838" s="88"/>
      <c r="X838" s="88"/>
      <c r="Y838" s="88"/>
      <c r="Z838" s="88"/>
      <c r="AA838" s="88"/>
      <c r="AB838" s="93"/>
      <c r="AC838" s="93"/>
      <c r="AD838" s="93"/>
      <c r="AE838" s="6"/>
      <c r="AF838" s="6"/>
      <c r="AG838" s="6"/>
      <c r="AH838" s="6"/>
      <c r="AI838" s="6"/>
      <c r="AJ838" s="6"/>
      <c r="AK838" s="89"/>
      <c r="AL838" s="84"/>
      <c r="AM838" s="88"/>
      <c r="AN838" s="88"/>
      <c r="AO838" s="88"/>
      <c r="AP838" s="88"/>
      <c r="AQ838" s="86"/>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c r="KB838" s="1"/>
      <c r="KC838" s="1"/>
      <c r="KD838" s="1"/>
      <c r="KE838" s="1"/>
      <c r="KF838" s="1"/>
      <c r="KG838" s="1"/>
      <c r="KH838" s="1"/>
      <c r="KI838" s="1"/>
      <c r="KJ838" s="1"/>
      <c r="KK838" s="1"/>
      <c r="KL838" s="1"/>
      <c r="KM838" s="1"/>
      <c r="KN838" s="1"/>
      <c r="KO838" s="1"/>
      <c r="KP838" s="1"/>
      <c r="KQ838" s="1"/>
      <c r="KR838" s="1"/>
      <c r="KS838" s="1"/>
      <c r="KT838" s="1"/>
      <c r="KU838" s="1"/>
      <c r="KV838" s="1"/>
      <c r="KW838" s="1"/>
      <c r="KX838" s="1"/>
      <c r="KY838" s="1"/>
      <c r="KZ838" s="1"/>
      <c r="LA838" s="1"/>
      <c r="LB838" s="1"/>
      <c r="LC838" s="1"/>
      <c r="LD838" s="1"/>
      <c r="LE838" s="1"/>
    </row>
    <row r="839" spans="1:317" s="2" customFormat="1" x14ac:dyDescent="0.25">
      <c r="A839" s="1"/>
      <c r="B839" s="11"/>
      <c r="C839" s="11"/>
      <c r="D839" s="11"/>
      <c r="E839" s="11"/>
      <c r="F839" s="11"/>
      <c r="G839" s="11"/>
      <c r="H839" s="1"/>
      <c r="I839" s="4"/>
      <c r="J839" s="1"/>
      <c r="K839" s="1"/>
      <c r="L839" s="1"/>
      <c r="M839" s="86"/>
      <c r="N839" s="86"/>
      <c r="O839" s="86"/>
      <c r="P839" s="12"/>
      <c r="Q839" s="4"/>
      <c r="R839" s="4"/>
      <c r="S839" s="84"/>
      <c r="T839" s="5"/>
      <c r="U839" s="12"/>
      <c r="V839" s="88"/>
      <c r="W839" s="88"/>
      <c r="X839" s="88"/>
      <c r="Y839" s="88"/>
      <c r="Z839" s="88"/>
      <c r="AA839" s="88"/>
      <c r="AB839" s="93"/>
      <c r="AC839" s="93"/>
      <c r="AD839" s="93"/>
      <c r="AE839" s="6"/>
      <c r="AF839" s="6"/>
      <c r="AG839" s="6"/>
      <c r="AH839" s="6"/>
      <c r="AI839" s="6"/>
      <c r="AJ839" s="6"/>
      <c r="AK839" s="89"/>
      <c r="AL839" s="84"/>
      <c r="AM839" s="88"/>
      <c r="AN839" s="88"/>
      <c r="AO839" s="88"/>
      <c r="AP839" s="88"/>
      <c r="AQ839" s="86"/>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c r="KB839" s="1"/>
      <c r="KC839" s="1"/>
      <c r="KD839" s="1"/>
      <c r="KE839" s="1"/>
      <c r="KF839" s="1"/>
      <c r="KG839" s="1"/>
      <c r="KH839" s="1"/>
      <c r="KI839" s="1"/>
      <c r="KJ839" s="1"/>
      <c r="KK839" s="1"/>
      <c r="KL839" s="1"/>
      <c r="KM839" s="1"/>
      <c r="KN839" s="1"/>
      <c r="KO839" s="1"/>
      <c r="KP839" s="1"/>
      <c r="KQ839" s="1"/>
      <c r="KR839" s="1"/>
      <c r="KS839" s="1"/>
      <c r="KT839" s="1"/>
      <c r="KU839" s="1"/>
      <c r="KV839" s="1"/>
      <c r="KW839" s="1"/>
      <c r="KX839" s="1"/>
      <c r="KY839" s="1"/>
      <c r="KZ839" s="1"/>
      <c r="LA839" s="1"/>
      <c r="LB839" s="1"/>
      <c r="LC839" s="1"/>
      <c r="LD839" s="1"/>
      <c r="LE839" s="1"/>
    </row>
    <row r="840" spans="1:317" s="2" customFormat="1" x14ac:dyDescent="0.25">
      <c r="A840" s="1"/>
      <c r="B840" s="11"/>
      <c r="C840" s="11"/>
      <c r="D840" s="11"/>
      <c r="E840" s="11"/>
      <c r="F840" s="11"/>
      <c r="G840" s="11"/>
      <c r="H840" s="1"/>
      <c r="I840" s="4"/>
      <c r="J840" s="1"/>
      <c r="K840" s="1"/>
      <c r="L840" s="1"/>
      <c r="M840" s="86"/>
      <c r="N840" s="86"/>
      <c r="O840" s="86"/>
      <c r="P840" s="12"/>
      <c r="Q840" s="4"/>
      <c r="R840" s="4"/>
      <c r="S840" s="84"/>
      <c r="T840" s="5"/>
      <c r="U840" s="12"/>
      <c r="V840" s="88"/>
      <c r="W840" s="88"/>
      <c r="X840" s="88"/>
      <c r="Y840" s="88"/>
      <c r="Z840" s="88"/>
      <c r="AA840" s="88"/>
      <c r="AB840" s="93"/>
      <c r="AC840" s="93"/>
      <c r="AD840" s="93"/>
      <c r="AE840" s="6"/>
      <c r="AF840" s="6"/>
      <c r="AG840" s="6"/>
      <c r="AH840" s="6"/>
      <c r="AI840" s="6"/>
      <c r="AJ840" s="6"/>
      <c r="AK840" s="89"/>
      <c r="AL840" s="84"/>
      <c r="AM840" s="88"/>
      <c r="AN840" s="88"/>
      <c r="AO840" s="88"/>
      <c r="AP840" s="88"/>
      <c r="AQ840" s="86"/>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c r="KB840" s="1"/>
      <c r="KC840" s="1"/>
      <c r="KD840" s="1"/>
      <c r="KE840" s="1"/>
      <c r="KF840" s="1"/>
      <c r="KG840" s="1"/>
      <c r="KH840" s="1"/>
      <c r="KI840" s="1"/>
      <c r="KJ840" s="1"/>
      <c r="KK840" s="1"/>
      <c r="KL840" s="1"/>
      <c r="KM840" s="1"/>
      <c r="KN840" s="1"/>
      <c r="KO840" s="1"/>
      <c r="KP840" s="1"/>
      <c r="KQ840" s="1"/>
      <c r="KR840" s="1"/>
      <c r="KS840" s="1"/>
      <c r="KT840" s="1"/>
      <c r="KU840" s="1"/>
      <c r="KV840" s="1"/>
      <c r="KW840" s="1"/>
      <c r="KX840" s="1"/>
      <c r="KY840" s="1"/>
      <c r="KZ840" s="1"/>
      <c r="LA840" s="1"/>
      <c r="LB840" s="1"/>
      <c r="LC840" s="1"/>
      <c r="LD840" s="1"/>
      <c r="LE840" s="1"/>
    </row>
    <row r="841" spans="1:317" s="2" customFormat="1" x14ac:dyDescent="0.25">
      <c r="A841" s="1"/>
      <c r="B841" s="11"/>
      <c r="C841" s="11"/>
      <c r="D841" s="11"/>
      <c r="E841" s="11"/>
      <c r="F841" s="11"/>
      <c r="G841" s="11"/>
      <c r="H841" s="1"/>
      <c r="I841" s="4"/>
      <c r="J841" s="1"/>
      <c r="K841" s="1"/>
      <c r="L841" s="1"/>
      <c r="M841" s="86"/>
      <c r="N841" s="86"/>
      <c r="O841" s="86"/>
      <c r="P841" s="12"/>
      <c r="Q841" s="4"/>
      <c r="R841" s="4"/>
      <c r="S841" s="84"/>
      <c r="T841" s="5"/>
      <c r="U841" s="12"/>
      <c r="V841" s="88"/>
      <c r="W841" s="88"/>
      <c r="X841" s="88"/>
      <c r="Y841" s="88"/>
      <c r="Z841" s="88"/>
      <c r="AA841" s="88"/>
      <c r="AB841" s="93"/>
      <c r="AC841" s="93"/>
      <c r="AD841" s="93"/>
      <c r="AE841" s="6"/>
      <c r="AF841" s="6"/>
      <c r="AG841" s="6"/>
      <c r="AH841" s="6"/>
      <c r="AI841" s="6"/>
      <c r="AJ841" s="6"/>
      <c r="AK841" s="89"/>
      <c r="AL841" s="84"/>
      <c r="AM841" s="88"/>
      <c r="AN841" s="88"/>
      <c r="AO841" s="88"/>
      <c r="AP841" s="88"/>
      <c r="AQ841" s="86"/>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c r="KB841" s="1"/>
      <c r="KC841" s="1"/>
      <c r="KD841" s="1"/>
      <c r="KE841" s="1"/>
      <c r="KF841" s="1"/>
      <c r="KG841" s="1"/>
      <c r="KH841" s="1"/>
      <c r="KI841" s="1"/>
      <c r="KJ841" s="1"/>
      <c r="KK841" s="1"/>
      <c r="KL841" s="1"/>
      <c r="KM841" s="1"/>
      <c r="KN841" s="1"/>
      <c r="KO841" s="1"/>
      <c r="KP841" s="1"/>
      <c r="KQ841" s="1"/>
      <c r="KR841" s="1"/>
      <c r="KS841" s="1"/>
      <c r="KT841" s="1"/>
      <c r="KU841" s="1"/>
      <c r="KV841" s="1"/>
      <c r="KW841" s="1"/>
      <c r="KX841" s="1"/>
      <c r="KY841" s="1"/>
      <c r="KZ841" s="1"/>
      <c r="LA841" s="1"/>
      <c r="LB841" s="1"/>
      <c r="LC841" s="1"/>
      <c r="LD841" s="1"/>
      <c r="LE841" s="1"/>
    </row>
    <row r="842" spans="1:317" s="2" customFormat="1" x14ac:dyDescent="0.25">
      <c r="A842" s="1"/>
      <c r="B842" s="11"/>
      <c r="C842" s="11"/>
      <c r="D842" s="11"/>
      <c r="E842" s="11"/>
      <c r="F842" s="11"/>
      <c r="G842" s="11"/>
      <c r="H842" s="1"/>
      <c r="I842" s="4"/>
      <c r="J842" s="1"/>
      <c r="K842" s="1"/>
      <c r="L842" s="1"/>
      <c r="M842" s="86"/>
      <c r="N842" s="86"/>
      <c r="O842" s="86"/>
      <c r="P842" s="12"/>
      <c r="Q842" s="4"/>
      <c r="R842" s="4"/>
      <c r="S842" s="84"/>
      <c r="T842" s="5"/>
      <c r="U842" s="12"/>
      <c r="V842" s="88"/>
      <c r="W842" s="88"/>
      <c r="X842" s="88"/>
      <c r="Y842" s="88"/>
      <c r="Z842" s="88"/>
      <c r="AA842" s="88"/>
      <c r="AB842" s="93"/>
      <c r="AC842" s="93"/>
      <c r="AD842" s="93"/>
      <c r="AE842" s="6"/>
      <c r="AF842" s="6"/>
      <c r="AG842" s="6"/>
      <c r="AH842" s="6"/>
      <c r="AI842" s="6"/>
      <c r="AJ842" s="6"/>
      <c r="AK842" s="89"/>
      <c r="AL842" s="84"/>
      <c r="AM842" s="88"/>
      <c r="AN842" s="88"/>
      <c r="AO842" s="88"/>
      <c r="AP842" s="88"/>
      <c r="AQ842" s="86"/>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c r="KB842" s="1"/>
      <c r="KC842" s="1"/>
      <c r="KD842" s="1"/>
      <c r="KE842" s="1"/>
      <c r="KF842" s="1"/>
      <c r="KG842" s="1"/>
      <c r="KH842" s="1"/>
      <c r="KI842" s="1"/>
      <c r="KJ842" s="1"/>
      <c r="KK842" s="1"/>
      <c r="KL842" s="1"/>
      <c r="KM842" s="1"/>
      <c r="KN842" s="1"/>
      <c r="KO842" s="1"/>
      <c r="KP842" s="1"/>
      <c r="KQ842" s="1"/>
      <c r="KR842" s="1"/>
      <c r="KS842" s="1"/>
      <c r="KT842" s="1"/>
      <c r="KU842" s="1"/>
      <c r="KV842" s="1"/>
      <c r="KW842" s="1"/>
      <c r="KX842" s="1"/>
      <c r="KY842" s="1"/>
      <c r="KZ842" s="1"/>
      <c r="LA842" s="1"/>
      <c r="LB842" s="1"/>
      <c r="LC842" s="1"/>
      <c r="LD842" s="1"/>
      <c r="LE842" s="1"/>
    </row>
    <row r="843" spans="1:317" s="2" customFormat="1" x14ac:dyDescent="0.25">
      <c r="A843" s="1"/>
      <c r="B843" s="11"/>
      <c r="C843" s="11"/>
      <c r="D843" s="11"/>
      <c r="E843" s="11"/>
      <c r="F843" s="11"/>
      <c r="G843" s="11"/>
      <c r="H843" s="1"/>
      <c r="I843" s="4"/>
      <c r="J843" s="1"/>
      <c r="K843" s="1"/>
      <c r="L843" s="1"/>
      <c r="M843" s="86"/>
      <c r="N843" s="86"/>
      <c r="O843" s="86"/>
      <c r="P843" s="12"/>
      <c r="Q843" s="4"/>
      <c r="R843" s="4"/>
      <c r="S843" s="84"/>
      <c r="T843" s="5"/>
      <c r="U843" s="12"/>
      <c r="V843" s="88"/>
      <c r="W843" s="88"/>
      <c r="X843" s="88"/>
      <c r="Y843" s="88"/>
      <c r="Z843" s="88"/>
      <c r="AA843" s="88"/>
      <c r="AB843" s="93"/>
      <c r="AC843" s="93"/>
      <c r="AD843" s="93"/>
      <c r="AE843" s="6"/>
      <c r="AF843" s="6"/>
      <c r="AG843" s="6"/>
      <c r="AH843" s="6"/>
      <c r="AI843" s="6"/>
      <c r="AJ843" s="6"/>
      <c r="AK843" s="89"/>
      <c r="AL843" s="84"/>
      <c r="AM843" s="88"/>
      <c r="AN843" s="88"/>
      <c r="AO843" s="88"/>
      <c r="AP843" s="88"/>
      <c r="AQ843" s="86"/>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c r="KB843" s="1"/>
      <c r="KC843" s="1"/>
      <c r="KD843" s="1"/>
      <c r="KE843" s="1"/>
      <c r="KF843" s="1"/>
      <c r="KG843" s="1"/>
      <c r="KH843" s="1"/>
      <c r="KI843" s="1"/>
      <c r="KJ843" s="1"/>
      <c r="KK843" s="1"/>
      <c r="KL843" s="1"/>
      <c r="KM843" s="1"/>
      <c r="KN843" s="1"/>
      <c r="KO843" s="1"/>
      <c r="KP843" s="1"/>
      <c r="KQ843" s="1"/>
      <c r="KR843" s="1"/>
      <c r="KS843" s="1"/>
      <c r="KT843" s="1"/>
      <c r="KU843" s="1"/>
      <c r="KV843" s="1"/>
      <c r="KW843" s="1"/>
      <c r="KX843" s="1"/>
      <c r="KY843" s="1"/>
      <c r="KZ843" s="1"/>
      <c r="LA843" s="1"/>
      <c r="LB843" s="1"/>
      <c r="LC843" s="1"/>
      <c r="LD843" s="1"/>
      <c r="LE843" s="1"/>
    </row>
    <row r="844" spans="1:317" s="2" customFormat="1" x14ac:dyDescent="0.25">
      <c r="A844" s="1"/>
      <c r="B844" s="11"/>
      <c r="C844" s="11"/>
      <c r="D844" s="11"/>
      <c r="E844" s="11"/>
      <c r="F844" s="11"/>
      <c r="G844" s="11"/>
      <c r="H844" s="1"/>
      <c r="I844" s="4"/>
      <c r="J844" s="1"/>
      <c r="K844" s="1"/>
      <c r="L844" s="1"/>
      <c r="M844" s="86"/>
      <c r="N844" s="86"/>
      <c r="O844" s="86"/>
      <c r="P844" s="12"/>
      <c r="Q844" s="4"/>
      <c r="R844" s="4"/>
      <c r="S844" s="84"/>
      <c r="T844" s="5"/>
      <c r="U844" s="12"/>
      <c r="V844" s="88"/>
      <c r="W844" s="88"/>
      <c r="X844" s="88"/>
      <c r="Y844" s="88"/>
      <c r="Z844" s="88"/>
      <c r="AA844" s="88"/>
      <c r="AB844" s="93"/>
      <c r="AC844" s="93"/>
      <c r="AD844" s="93"/>
      <c r="AE844" s="6"/>
      <c r="AF844" s="6"/>
      <c r="AG844" s="6"/>
      <c r="AH844" s="6"/>
      <c r="AI844" s="6"/>
      <c r="AJ844" s="6"/>
      <c r="AK844" s="89"/>
      <c r="AL844" s="84"/>
      <c r="AM844" s="88"/>
      <c r="AN844" s="88"/>
      <c r="AO844" s="88"/>
      <c r="AP844" s="88"/>
      <c r="AQ844" s="86"/>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c r="KB844" s="1"/>
      <c r="KC844" s="1"/>
      <c r="KD844" s="1"/>
      <c r="KE844" s="1"/>
      <c r="KF844" s="1"/>
      <c r="KG844" s="1"/>
      <c r="KH844" s="1"/>
      <c r="KI844" s="1"/>
      <c r="KJ844" s="1"/>
      <c r="KK844" s="1"/>
      <c r="KL844" s="1"/>
      <c r="KM844" s="1"/>
      <c r="KN844" s="1"/>
      <c r="KO844" s="1"/>
      <c r="KP844" s="1"/>
      <c r="KQ844" s="1"/>
      <c r="KR844" s="1"/>
      <c r="KS844" s="1"/>
      <c r="KT844" s="1"/>
      <c r="KU844" s="1"/>
      <c r="KV844" s="1"/>
      <c r="KW844" s="1"/>
      <c r="KX844" s="1"/>
      <c r="KY844" s="1"/>
      <c r="KZ844" s="1"/>
      <c r="LA844" s="1"/>
      <c r="LB844" s="1"/>
      <c r="LC844" s="1"/>
      <c r="LD844" s="1"/>
      <c r="LE844" s="1"/>
    </row>
    <row r="845" spans="1:317" s="2" customFormat="1" x14ac:dyDescent="0.25">
      <c r="A845" s="1"/>
      <c r="B845" s="11"/>
      <c r="C845" s="11"/>
      <c r="D845" s="11"/>
      <c r="E845" s="11"/>
      <c r="F845" s="11"/>
      <c r="G845" s="11"/>
      <c r="H845" s="1"/>
      <c r="I845" s="4"/>
      <c r="J845" s="1"/>
      <c r="K845" s="1"/>
      <c r="L845" s="1"/>
      <c r="M845" s="86"/>
      <c r="N845" s="86"/>
      <c r="O845" s="86"/>
      <c r="P845" s="12"/>
      <c r="Q845" s="4"/>
      <c r="R845" s="4"/>
      <c r="S845" s="84"/>
      <c r="T845" s="5"/>
      <c r="U845" s="12"/>
      <c r="V845" s="88"/>
      <c r="W845" s="88"/>
      <c r="X845" s="88"/>
      <c r="Y845" s="88"/>
      <c r="Z845" s="88"/>
      <c r="AA845" s="88"/>
      <c r="AB845" s="93"/>
      <c r="AC845" s="93"/>
      <c r="AD845" s="93"/>
      <c r="AE845" s="6"/>
      <c r="AF845" s="6"/>
      <c r="AG845" s="6"/>
      <c r="AH845" s="6"/>
      <c r="AI845" s="6"/>
      <c r="AJ845" s="6"/>
      <c r="AK845" s="89"/>
      <c r="AL845" s="84"/>
      <c r="AM845" s="88"/>
      <c r="AN845" s="88"/>
      <c r="AO845" s="88"/>
      <c r="AP845" s="88"/>
      <c r="AQ845" s="86"/>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c r="KB845" s="1"/>
      <c r="KC845" s="1"/>
      <c r="KD845" s="1"/>
      <c r="KE845" s="1"/>
      <c r="KF845" s="1"/>
      <c r="KG845" s="1"/>
      <c r="KH845" s="1"/>
      <c r="KI845" s="1"/>
      <c r="KJ845" s="1"/>
      <c r="KK845" s="1"/>
      <c r="KL845" s="1"/>
      <c r="KM845" s="1"/>
      <c r="KN845" s="1"/>
      <c r="KO845" s="1"/>
      <c r="KP845" s="1"/>
      <c r="KQ845" s="1"/>
      <c r="KR845" s="1"/>
      <c r="KS845" s="1"/>
      <c r="KT845" s="1"/>
      <c r="KU845" s="1"/>
      <c r="KV845" s="1"/>
      <c r="KW845" s="1"/>
      <c r="KX845" s="1"/>
      <c r="KY845" s="1"/>
      <c r="KZ845" s="1"/>
      <c r="LA845" s="1"/>
      <c r="LB845" s="1"/>
      <c r="LC845" s="1"/>
      <c r="LD845" s="1"/>
      <c r="LE845" s="1"/>
    </row>
    <row r="846" spans="1:317" s="2" customFormat="1" x14ac:dyDescent="0.25">
      <c r="A846" s="1"/>
      <c r="B846" s="11"/>
      <c r="C846" s="11"/>
      <c r="D846" s="11"/>
      <c r="E846" s="11"/>
      <c r="F846" s="11"/>
      <c r="G846" s="11"/>
      <c r="H846" s="1"/>
      <c r="I846" s="4"/>
      <c r="J846" s="1"/>
      <c r="K846" s="1"/>
      <c r="L846" s="1"/>
      <c r="M846" s="86"/>
      <c r="N846" s="86"/>
      <c r="O846" s="86"/>
      <c r="P846" s="12"/>
      <c r="Q846" s="4"/>
      <c r="R846" s="4"/>
      <c r="S846" s="84"/>
      <c r="T846" s="5"/>
      <c r="U846" s="12"/>
      <c r="V846" s="88"/>
      <c r="W846" s="88"/>
      <c r="X846" s="88"/>
      <c r="Y846" s="88"/>
      <c r="Z846" s="88"/>
      <c r="AA846" s="88"/>
      <c r="AB846" s="93"/>
      <c r="AC846" s="93"/>
      <c r="AD846" s="93"/>
      <c r="AE846" s="6"/>
      <c r="AF846" s="6"/>
      <c r="AG846" s="6"/>
      <c r="AH846" s="6"/>
      <c r="AI846" s="6"/>
      <c r="AJ846" s="6"/>
      <c r="AK846" s="89"/>
      <c r="AL846" s="84"/>
      <c r="AM846" s="88"/>
      <c r="AN846" s="88"/>
      <c r="AO846" s="88"/>
      <c r="AP846" s="88"/>
      <c r="AQ846" s="86"/>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c r="KB846" s="1"/>
      <c r="KC846" s="1"/>
      <c r="KD846" s="1"/>
      <c r="KE846" s="1"/>
      <c r="KF846" s="1"/>
      <c r="KG846" s="1"/>
      <c r="KH846" s="1"/>
      <c r="KI846" s="1"/>
      <c r="KJ846" s="1"/>
      <c r="KK846" s="1"/>
      <c r="KL846" s="1"/>
      <c r="KM846" s="1"/>
      <c r="KN846" s="1"/>
      <c r="KO846" s="1"/>
      <c r="KP846" s="1"/>
      <c r="KQ846" s="1"/>
      <c r="KR846" s="1"/>
      <c r="KS846" s="1"/>
      <c r="KT846" s="1"/>
      <c r="KU846" s="1"/>
      <c r="KV846" s="1"/>
      <c r="KW846" s="1"/>
      <c r="KX846" s="1"/>
      <c r="KY846" s="1"/>
      <c r="KZ846" s="1"/>
      <c r="LA846" s="1"/>
      <c r="LB846" s="1"/>
      <c r="LC846" s="1"/>
      <c r="LD846" s="1"/>
      <c r="LE846" s="1"/>
    </row>
    <row r="847" spans="1:317" s="2" customFormat="1" x14ac:dyDescent="0.25">
      <c r="A847" s="1"/>
      <c r="B847" s="11"/>
      <c r="C847" s="11"/>
      <c r="D847" s="11"/>
      <c r="E847" s="11"/>
      <c r="F847" s="11"/>
      <c r="G847" s="11"/>
      <c r="H847" s="1"/>
      <c r="I847" s="4"/>
      <c r="J847" s="1"/>
      <c r="K847" s="1"/>
      <c r="L847" s="1"/>
      <c r="M847" s="86"/>
      <c r="N847" s="86"/>
      <c r="O847" s="86"/>
      <c r="P847" s="12"/>
      <c r="Q847" s="4"/>
      <c r="R847" s="4"/>
      <c r="S847" s="84"/>
      <c r="T847" s="5"/>
      <c r="U847" s="12"/>
      <c r="V847" s="88"/>
      <c r="W847" s="88"/>
      <c r="X847" s="88"/>
      <c r="Y847" s="88"/>
      <c r="Z847" s="88"/>
      <c r="AA847" s="88"/>
      <c r="AB847" s="93"/>
      <c r="AC847" s="93"/>
      <c r="AD847" s="93"/>
      <c r="AE847" s="6"/>
      <c r="AF847" s="6"/>
      <c r="AG847" s="6"/>
      <c r="AH847" s="6"/>
      <c r="AI847" s="6"/>
      <c r="AJ847" s="6"/>
      <c r="AK847" s="89"/>
      <c r="AL847" s="84"/>
      <c r="AM847" s="88"/>
      <c r="AN847" s="88"/>
      <c r="AO847" s="88"/>
      <c r="AP847" s="88"/>
      <c r="AQ847" s="86"/>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c r="KB847" s="1"/>
      <c r="KC847" s="1"/>
      <c r="KD847" s="1"/>
      <c r="KE847" s="1"/>
      <c r="KF847" s="1"/>
      <c r="KG847" s="1"/>
      <c r="KH847" s="1"/>
      <c r="KI847" s="1"/>
      <c r="KJ847" s="1"/>
      <c r="KK847" s="1"/>
      <c r="KL847" s="1"/>
      <c r="KM847" s="1"/>
      <c r="KN847" s="1"/>
      <c r="KO847" s="1"/>
      <c r="KP847" s="1"/>
      <c r="KQ847" s="1"/>
      <c r="KR847" s="1"/>
      <c r="KS847" s="1"/>
      <c r="KT847" s="1"/>
      <c r="KU847" s="1"/>
      <c r="KV847" s="1"/>
      <c r="KW847" s="1"/>
      <c r="KX847" s="1"/>
      <c r="KY847" s="1"/>
      <c r="KZ847" s="1"/>
      <c r="LA847" s="1"/>
      <c r="LB847" s="1"/>
      <c r="LC847" s="1"/>
      <c r="LD847" s="1"/>
      <c r="LE847" s="1"/>
    </row>
    <row r="848" spans="1:317" s="2" customFormat="1" x14ac:dyDescent="0.25">
      <c r="A848" s="1"/>
      <c r="B848" s="11"/>
      <c r="C848" s="11"/>
      <c r="D848" s="11"/>
      <c r="E848" s="11"/>
      <c r="F848" s="11"/>
      <c r="G848" s="11"/>
      <c r="H848" s="1"/>
      <c r="I848" s="4"/>
      <c r="J848" s="1"/>
      <c r="K848" s="1"/>
      <c r="L848" s="1"/>
      <c r="M848" s="86"/>
      <c r="N848" s="86"/>
      <c r="O848" s="86"/>
      <c r="P848" s="12"/>
      <c r="Q848" s="4"/>
      <c r="R848" s="4"/>
      <c r="S848" s="84"/>
      <c r="T848" s="5"/>
      <c r="U848" s="12"/>
      <c r="V848" s="88"/>
      <c r="W848" s="88"/>
      <c r="X848" s="88"/>
      <c r="Y848" s="88"/>
      <c r="Z848" s="88"/>
      <c r="AA848" s="88"/>
      <c r="AB848" s="93"/>
      <c r="AC848" s="93"/>
      <c r="AD848" s="93"/>
      <c r="AE848" s="6"/>
      <c r="AF848" s="6"/>
      <c r="AG848" s="6"/>
      <c r="AH848" s="6"/>
      <c r="AI848" s="6"/>
      <c r="AJ848" s="6"/>
      <c r="AK848" s="89"/>
      <c r="AL848" s="84"/>
      <c r="AM848" s="88"/>
      <c r="AN848" s="88"/>
      <c r="AO848" s="88"/>
      <c r="AP848" s="88"/>
      <c r="AQ848" s="86"/>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c r="KB848" s="1"/>
      <c r="KC848" s="1"/>
      <c r="KD848" s="1"/>
      <c r="KE848" s="1"/>
      <c r="KF848" s="1"/>
      <c r="KG848" s="1"/>
      <c r="KH848" s="1"/>
      <c r="KI848" s="1"/>
      <c r="KJ848" s="1"/>
      <c r="KK848" s="1"/>
      <c r="KL848" s="1"/>
      <c r="KM848" s="1"/>
      <c r="KN848" s="1"/>
      <c r="KO848" s="1"/>
      <c r="KP848" s="1"/>
      <c r="KQ848" s="1"/>
      <c r="KR848" s="1"/>
      <c r="KS848" s="1"/>
      <c r="KT848" s="1"/>
      <c r="KU848" s="1"/>
      <c r="KV848" s="1"/>
      <c r="KW848" s="1"/>
      <c r="KX848" s="1"/>
      <c r="KY848" s="1"/>
      <c r="KZ848" s="1"/>
      <c r="LA848" s="1"/>
      <c r="LB848" s="1"/>
      <c r="LC848" s="1"/>
      <c r="LD848" s="1"/>
      <c r="LE848" s="1"/>
    </row>
    <row r="849" spans="1:317" s="2" customFormat="1" x14ac:dyDescent="0.25">
      <c r="A849" s="1"/>
      <c r="B849" s="11"/>
      <c r="C849" s="11"/>
      <c r="D849" s="11"/>
      <c r="E849" s="11"/>
      <c r="F849" s="11"/>
      <c r="G849" s="11"/>
      <c r="H849" s="1"/>
      <c r="I849" s="4"/>
      <c r="J849" s="1"/>
      <c r="K849" s="1"/>
      <c r="L849" s="1"/>
      <c r="M849" s="86"/>
      <c r="N849" s="86"/>
      <c r="O849" s="86"/>
      <c r="P849" s="12"/>
      <c r="Q849" s="4"/>
      <c r="R849" s="4"/>
      <c r="S849" s="84"/>
      <c r="T849" s="5"/>
      <c r="U849" s="12"/>
      <c r="V849" s="88"/>
      <c r="W849" s="88"/>
      <c r="X849" s="88"/>
      <c r="Y849" s="88"/>
      <c r="Z849" s="88"/>
      <c r="AA849" s="88"/>
      <c r="AB849" s="93"/>
      <c r="AC849" s="93"/>
      <c r="AD849" s="93"/>
      <c r="AE849" s="6"/>
      <c r="AF849" s="6"/>
      <c r="AG849" s="6"/>
      <c r="AH849" s="6"/>
      <c r="AI849" s="6"/>
      <c r="AJ849" s="6"/>
      <c r="AK849" s="89"/>
      <c r="AL849" s="84"/>
      <c r="AM849" s="88"/>
      <c r="AN849" s="88"/>
      <c r="AO849" s="88"/>
      <c r="AP849" s="88"/>
      <c r="AQ849" s="86"/>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c r="KB849" s="1"/>
      <c r="KC849" s="1"/>
      <c r="KD849" s="1"/>
      <c r="KE849" s="1"/>
      <c r="KF849" s="1"/>
      <c r="KG849" s="1"/>
      <c r="KH849" s="1"/>
      <c r="KI849" s="1"/>
      <c r="KJ849" s="1"/>
      <c r="KK849" s="1"/>
      <c r="KL849" s="1"/>
      <c r="KM849" s="1"/>
      <c r="KN849" s="1"/>
      <c r="KO849" s="1"/>
      <c r="KP849" s="1"/>
      <c r="KQ849" s="1"/>
      <c r="KR849" s="1"/>
      <c r="KS849" s="1"/>
      <c r="KT849" s="1"/>
      <c r="KU849" s="1"/>
      <c r="KV849" s="1"/>
      <c r="KW849" s="1"/>
      <c r="KX849" s="1"/>
      <c r="KY849" s="1"/>
      <c r="KZ849" s="1"/>
      <c r="LA849" s="1"/>
      <c r="LB849" s="1"/>
      <c r="LC849" s="1"/>
      <c r="LD849" s="1"/>
      <c r="LE849" s="1"/>
    </row>
    <row r="850" spans="1:317" s="2" customFormat="1" x14ac:dyDescent="0.25">
      <c r="A850" s="1"/>
      <c r="B850" s="11"/>
      <c r="C850" s="11"/>
      <c r="D850" s="11"/>
      <c r="E850" s="11"/>
      <c r="F850" s="11"/>
      <c r="G850" s="11"/>
      <c r="H850" s="1"/>
      <c r="I850" s="4"/>
      <c r="J850" s="1"/>
      <c r="K850" s="1"/>
      <c r="L850" s="1"/>
      <c r="M850" s="86"/>
      <c r="N850" s="86"/>
      <c r="O850" s="86"/>
      <c r="P850" s="12"/>
      <c r="Q850" s="4"/>
      <c r="R850" s="4"/>
      <c r="S850" s="84"/>
      <c r="T850" s="5"/>
      <c r="U850" s="12"/>
      <c r="V850" s="88"/>
      <c r="W850" s="88"/>
      <c r="X850" s="88"/>
      <c r="Y850" s="88"/>
      <c r="Z850" s="88"/>
      <c r="AA850" s="88"/>
      <c r="AB850" s="93"/>
      <c r="AC850" s="93"/>
      <c r="AD850" s="93"/>
      <c r="AE850" s="6"/>
      <c r="AF850" s="6"/>
      <c r="AG850" s="6"/>
      <c r="AH850" s="6"/>
      <c r="AI850" s="6"/>
      <c r="AJ850" s="6"/>
      <c r="AK850" s="89"/>
      <c r="AL850" s="84"/>
      <c r="AM850" s="88"/>
      <c r="AN850" s="88"/>
      <c r="AO850" s="88"/>
      <c r="AP850" s="88"/>
      <c r="AQ850" s="86"/>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c r="KB850" s="1"/>
      <c r="KC850" s="1"/>
      <c r="KD850" s="1"/>
      <c r="KE850" s="1"/>
      <c r="KF850" s="1"/>
      <c r="KG850" s="1"/>
      <c r="KH850" s="1"/>
      <c r="KI850" s="1"/>
      <c r="KJ850" s="1"/>
      <c r="KK850" s="1"/>
      <c r="KL850" s="1"/>
      <c r="KM850" s="1"/>
      <c r="KN850" s="1"/>
      <c r="KO850" s="1"/>
      <c r="KP850" s="1"/>
      <c r="KQ850" s="1"/>
      <c r="KR850" s="1"/>
      <c r="KS850" s="1"/>
      <c r="KT850" s="1"/>
      <c r="KU850" s="1"/>
      <c r="KV850" s="1"/>
      <c r="KW850" s="1"/>
      <c r="KX850" s="1"/>
      <c r="KY850" s="1"/>
      <c r="KZ850" s="1"/>
      <c r="LA850" s="1"/>
      <c r="LB850" s="1"/>
      <c r="LC850" s="1"/>
      <c r="LD850" s="1"/>
      <c r="LE850" s="1"/>
    </row>
    <row r="851" spans="1:317" s="2" customFormat="1" x14ac:dyDescent="0.25">
      <c r="A851" s="1"/>
      <c r="B851" s="11"/>
      <c r="C851" s="11"/>
      <c r="D851" s="11"/>
      <c r="E851" s="11"/>
      <c r="F851" s="11"/>
      <c r="G851" s="11"/>
      <c r="H851" s="1"/>
      <c r="I851" s="4"/>
      <c r="J851" s="1"/>
      <c r="K851" s="1"/>
      <c r="L851" s="1"/>
      <c r="M851" s="86"/>
      <c r="N851" s="86"/>
      <c r="O851" s="86"/>
      <c r="P851" s="12"/>
      <c r="Q851" s="4"/>
      <c r="R851" s="4"/>
      <c r="S851" s="84"/>
      <c r="T851" s="5"/>
      <c r="U851" s="12"/>
      <c r="V851" s="88"/>
      <c r="W851" s="88"/>
      <c r="X851" s="88"/>
      <c r="Y851" s="88"/>
      <c r="Z851" s="88"/>
      <c r="AA851" s="88"/>
      <c r="AB851" s="93"/>
      <c r="AC851" s="93"/>
      <c r="AD851" s="93"/>
      <c r="AE851" s="6"/>
      <c r="AF851" s="6"/>
      <c r="AG851" s="6"/>
      <c r="AH851" s="6"/>
      <c r="AI851" s="6"/>
      <c r="AJ851" s="6"/>
      <c r="AK851" s="89"/>
      <c r="AL851" s="84"/>
      <c r="AM851" s="88"/>
      <c r="AN851" s="88"/>
      <c r="AO851" s="88"/>
      <c r="AP851" s="88"/>
      <c r="AQ851" s="86"/>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c r="KB851" s="1"/>
      <c r="KC851" s="1"/>
      <c r="KD851" s="1"/>
      <c r="KE851" s="1"/>
      <c r="KF851" s="1"/>
      <c r="KG851" s="1"/>
      <c r="KH851" s="1"/>
      <c r="KI851" s="1"/>
      <c r="KJ851" s="1"/>
      <c r="KK851" s="1"/>
      <c r="KL851" s="1"/>
      <c r="KM851" s="1"/>
      <c r="KN851" s="1"/>
      <c r="KO851" s="1"/>
      <c r="KP851" s="1"/>
      <c r="KQ851" s="1"/>
      <c r="KR851" s="1"/>
      <c r="KS851" s="1"/>
      <c r="KT851" s="1"/>
      <c r="KU851" s="1"/>
      <c r="KV851" s="1"/>
      <c r="KW851" s="1"/>
      <c r="KX851" s="1"/>
      <c r="KY851" s="1"/>
      <c r="KZ851" s="1"/>
      <c r="LA851" s="1"/>
      <c r="LB851" s="1"/>
      <c r="LC851" s="1"/>
      <c r="LD851" s="1"/>
      <c r="LE851" s="1"/>
    </row>
    <row r="852" spans="1:317" s="2" customFormat="1" x14ac:dyDescent="0.25">
      <c r="A852" s="1"/>
      <c r="B852" s="11"/>
      <c r="C852" s="11"/>
      <c r="D852" s="11"/>
      <c r="E852" s="11"/>
      <c r="F852" s="11"/>
      <c r="G852" s="11"/>
      <c r="H852" s="1"/>
      <c r="I852" s="4"/>
      <c r="J852" s="1"/>
      <c r="K852" s="1"/>
      <c r="L852" s="1"/>
      <c r="M852" s="86"/>
      <c r="N852" s="86"/>
      <c r="O852" s="86"/>
      <c r="P852" s="12"/>
      <c r="Q852" s="4"/>
      <c r="R852" s="4"/>
      <c r="S852" s="84"/>
      <c r="T852" s="5"/>
      <c r="U852" s="12"/>
      <c r="V852" s="88"/>
      <c r="W852" s="88"/>
      <c r="X852" s="88"/>
      <c r="Y852" s="88"/>
      <c r="Z852" s="88"/>
      <c r="AA852" s="88"/>
      <c r="AB852" s="93"/>
      <c r="AC852" s="93"/>
      <c r="AD852" s="93"/>
      <c r="AE852" s="6"/>
      <c r="AF852" s="6"/>
      <c r="AG852" s="6"/>
      <c r="AH852" s="6"/>
      <c r="AI852" s="6"/>
      <c r="AJ852" s="6"/>
      <c r="AK852" s="89"/>
      <c r="AL852" s="84"/>
      <c r="AM852" s="88"/>
      <c r="AN852" s="88"/>
      <c r="AO852" s="88"/>
      <c r="AP852" s="88"/>
      <c r="AQ852" s="86"/>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c r="KB852" s="1"/>
      <c r="KC852" s="1"/>
      <c r="KD852" s="1"/>
      <c r="KE852" s="1"/>
      <c r="KF852" s="1"/>
      <c r="KG852" s="1"/>
      <c r="KH852" s="1"/>
      <c r="KI852" s="1"/>
      <c r="KJ852" s="1"/>
      <c r="KK852" s="1"/>
      <c r="KL852" s="1"/>
      <c r="KM852" s="1"/>
      <c r="KN852" s="1"/>
      <c r="KO852" s="1"/>
      <c r="KP852" s="1"/>
      <c r="KQ852" s="1"/>
      <c r="KR852" s="1"/>
      <c r="KS852" s="1"/>
      <c r="KT852" s="1"/>
      <c r="KU852" s="1"/>
      <c r="KV852" s="1"/>
      <c r="KW852" s="1"/>
      <c r="KX852" s="1"/>
      <c r="KY852" s="1"/>
      <c r="KZ852" s="1"/>
      <c r="LA852" s="1"/>
      <c r="LB852" s="1"/>
      <c r="LC852" s="1"/>
      <c r="LD852" s="1"/>
      <c r="LE852" s="1"/>
    </row>
    <row r="853" spans="1:317" s="2" customFormat="1" x14ac:dyDescent="0.25">
      <c r="A853" s="1"/>
      <c r="B853" s="11"/>
      <c r="C853" s="11"/>
      <c r="D853" s="11"/>
      <c r="E853" s="11"/>
      <c r="F853" s="11"/>
      <c r="G853" s="11"/>
      <c r="H853" s="1"/>
      <c r="I853" s="4"/>
      <c r="J853" s="1"/>
      <c r="K853" s="1"/>
      <c r="L853" s="1"/>
      <c r="M853" s="86"/>
      <c r="N853" s="86"/>
      <c r="O853" s="86"/>
      <c r="P853" s="12"/>
      <c r="Q853" s="4"/>
      <c r="R853" s="4"/>
      <c r="S853" s="84"/>
      <c r="T853" s="5"/>
      <c r="U853" s="12"/>
      <c r="V853" s="88"/>
      <c r="W853" s="88"/>
      <c r="X853" s="88"/>
      <c r="Y853" s="88"/>
      <c r="Z853" s="88"/>
      <c r="AA853" s="88"/>
      <c r="AB853" s="93"/>
      <c r="AC853" s="93"/>
      <c r="AD853" s="93"/>
      <c r="AE853" s="6"/>
      <c r="AF853" s="6"/>
      <c r="AG853" s="6"/>
      <c r="AH853" s="6"/>
      <c r="AI853" s="6"/>
      <c r="AJ853" s="6"/>
      <c r="AK853" s="89"/>
      <c r="AL853" s="84"/>
      <c r="AM853" s="88"/>
      <c r="AN853" s="88"/>
      <c r="AO853" s="88"/>
      <c r="AP853" s="88"/>
      <c r="AQ853" s="86"/>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c r="KB853" s="1"/>
      <c r="KC853" s="1"/>
      <c r="KD853" s="1"/>
      <c r="KE853" s="1"/>
      <c r="KF853" s="1"/>
      <c r="KG853" s="1"/>
      <c r="KH853" s="1"/>
      <c r="KI853" s="1"/>
      <c r="KJ853" s="1"/>
      <c r="KK853" s="1"/>
      <c r="KL853" s="1"/>
      <c r="KM853" s="1"/>
      <c r="KN853" s="1"/>
      <c r="KO853" s="1"/>
      <c r="KP853" s="1"/>
      <c r="KQ853" s="1"/>
      <c r="KR853" s="1"/>
      <c r="KS853" s="1"/>
      <c r="KT853" s="1"/>
      <c r="KU853" s="1"/>
      <c r="KV853" s="1"/>
      <c r="KW853" s="1"/>
      <c r="KX853" s="1"/>
      <c r="KY853" s="1"/>
      <c r="KZ853" s="1"/>
      <c r="LA853" s="1"/>
      <c r="LB853" s="1"/>
      <c r="LC853" s="1"/>
      <c r="LD853" s="1"/>
      <c r="LE853" s="1"/>
    </row>
  </sheetData>
  <autoFilter ref="A2:AQ308" xr:uid="{A85875DB-FE54-4C73-9F04-B5ECAA08B68D}"/>
  <mergeCells count="1">
    <mergeCell ref="AS3:AW3"/>
  </mergeCells>
  <pageMargins left="0.25" right="0.25" top="0.25" bottom="0.25" header="0.3" footer="0.3"/>
  <pageSetup paperSize="9" scale="67" orientation="landscape" r:id="rId1"/>
  <headerFooter>
    <oddFooter>&amp;R Witkowski &amp;P</oddFooter>
  </headerFooter>
  <rowBreaks count="3" manualBreakCount="3">
    <brk id="17" min="3" max="44" man="1"/>
    <brk id="53" min="3" max="44" man="1"/>
    <brk id="108" min="3" max="44"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49D6-D8AB-4B15-A32E-127E9FF1E678}">
  <dimension ref="A1:N307"/>
  <sheetViews>
    <sheetView topLeftCell="C280" workbookViewId="0">
      <selection activeCell="G303" sqref="G303"/>
    </sheetView>
  </sheetViews>
  <sheetFormatPr defaultRowHeight="14.4" x14ac:dyDescent="0.3"/>
  <cols>
    <col min="1" max="1" width="18.44140625" customWidth="1"/>
    <col min="2" max="2" width="19.77734375" customWidth="1"/>
    <col min="3" max="3" width="19.88671875" customWidth="1"/>
    <col min="8" max="8" width="36" customWidth="1"/>
    <col min="9" max="9" width="36.109375" bestFit="1" customWidth="1"/>
    <col min="13" max="13" width="46.6640625" bestFit="1" customWidth="1"/>
  </cols>
  <sheetData>
    <row r="1" spans="1:14" x14ac:dyDescent="0.3">
      <c r="A1" t="s">
        <v>615</v>
      </c>
      <c r="B1" t="s">
        <v>672</v>
      </c>
      <c r="C1" t="s">
        <v>616</v>
      </c>
      <c r="D1" t="s">
        <v>673</v>
      </c>
      <c r="F1" t="s">
        <v>674</v>
      </c>
      <c r="G1" t="s">
        <v>726</v>
      </c>
      <c r="H1" t="s">
        <v>727</v>
      </c>
    </row>
    <row r="2" spans="1:14" x14ac:dyDescent="0.3">
      <c r="A2" s="4" t="s">
        <v>293</v>
      </c>
      <c r="B2" t="str">
        <f>_xlfn.CONCAT(VLOOKUP(A2, $I$2:$J$33, 2, FALSE), " (phytane)")</f>
        <v>Witkowski et al. 2018 (phytane)</v>
      </c>
      <c r="C2" s="4" t="s">
        <v>445</v>
      </c>
      <c r="D2" t="str">
        <f>_xlfn.CONCAT(VLOOKUP(C2, $M$2:$N$29, 2, FALSE), " (carbonate)")</f>
        <v>Tipple et al. 2010 (carbonate)</v>
      </c>
      <c r="F2" t="s">
        <v>675</v>
      </c>
      <c r="G2" t="s">
        <v>728</v>
      </c>
      <c r="I2" t="s">
        <v>293</v>
      </c>
      <c r="J2" t="s">
        <v>617</v>
      </c>
      <c r="M2" t="s">
        <v>445</v>
      </c>
      <c r="N2" t="s">
        <v>649</v>
      </c>
    </row>
    <row r="3" spans="1:14" x14ac:dyDescent="0.3">
      <c r="A3" s="4" t="s">
        <v>293</v>
      </c>
      <c r="B3" t="str">
        <f t="shared" ref="B3:B66" si="0">_xlfn.CONCAT(VLOOKUP(A3, $I$2:$J$33, 2, FALSE), " (phytane)")</f>
        <v>Witkowski et al. 2018 (phytane)</v>
      </c>
      <c r="C3" s="4" t="s">
        <v>445</v>
      </c>
      <c r="D3" t="str">
        <f t="shared" ref="D3:D66" si="1">_xlfn.CONCAT(VLOOKUP(C3, $M$2:$N$29, 2, FALSE), " (carbonate)")</f>
        <v>Tipple et al. 2010 (carbonate)</v>
      </c>
      <c r="F3" t="s">
        <v>675</v>
      </c>
      <c r="G3" t="s">
        <v>728</v>
      </c>
      <c r="I3" t="s">
        <v>25</v>
      </c>
      <c r="J3" t="s">
        <v>618</v>
      </c>
      <c r="M3" t="s">
        <v>2</v>
      </c>
      <c r="N3" t="s">
        <v>650</v>
      </c>
    </row>
    <row r="4" spans="1:14" x14ac:dyDescent="0.3">
      <c r="A4" s="4" t="s">
        <v>293</v>
      </c>
      <c r="B4" t="str">
        <f t="shared" si="0"/>
        <v>Witkowski et al. 2018 (phytane)</v>
      </c>
      <c r="C4" s="4" t="s">
        <v>445</v>
      </c>
      <c r="D4" t="str">
        <f t="shared" si="1"/>
        <v>Tipple et al. 2010 (carbonate)</v>
      </c>
      <c r="F4" t="s">
        <v>675</v>
      </c>
      <c r="G4" t="s">
        <v>728</v>
      </c>
      <c r="I4" t="s">
        <v>143</v>
      </c>
      <c r="J4" t="s">
        <v>619</v>
      </c>
      <c r="M4" t="s">
        <v>347</v>
      </c>
      <c r="N4" t="s">
        <v>661</v>
      </c>
    </row>
    <row r="5" spans="1:14" x14ac:dyDescent="0.3">
      <c r="A5" s="4" t="s">
        <v>293</v>
      </c>
      <c r="B5" t="str">
        <f t="shared" si="0"/>
        <v>Witkowski et al. 2018 (phytane)</v>
      </c>
      <c r="C5" s="4" t="s">
        <v>445</v>
      </c>
      <c r="D5" t="str">
        <f t="shared" si="1"/>
        <v>Tipple et al. 2010 (carbonate)</v>
      </c>
      <c r="F5" t="s">
        <v>675</v>
      </c>
      <c r="G5" t="s">
        <v>728</v>
      </c>
      <c r="I5" t="s">
        <v>134</v>
      </c>
      <c r="J5" t="s">
        <v>620</v>
      </c>
      <c r="M5" t="s">
        <v>295</v>
      </c>
      <c r="N5" t="s">
        <v>651</v>
      </c>
    </row>
    <row r="6" spans="1:14" x14ac:dyDescent="0.3">
      <c r="A6" s="4" t="s">
        <v>293</v>
      </c>
      <c r="B6" t="str">
        <f t="shared" si="0"/>
        <v>Witkowski et al. 2018 (phytane)</v>
      </c>
      <c r="C6" s="4" t="s">
        <v>445</v>
      </c>
      <c r="D6" t="str">
        <f t="shared" si="1"/>
        <v>Tipple et al. 2010 (carbonate)</v>
      </c>
      <c r="F6" t="s">
        <v>675</v>
      </c>
      <c r="G6" t="s">
        <v>728</v>
      </c>
      <c r="I6" t="s">
        <v>139</v>
      </c>
      <c r="J6" t="s">
        <v>636</v>
      </c>
      <c r="M6" t="s">
        <v>348</v>
      </c>
      <c r="N6" t="s">
        <v>662</v>
      </c>
    </row>
    <row r="7" spans="1:14" x14ac:dyDescent="0.3">
      <c r="A7" s="4" t="s">
        <v>293</v>
      </c>
      <c r="B7" t="str">
        <f t="shared" si="0"/>
        <v>Witkowski et al. 2018 (phytane)</v>
      </c>
      <c r="C7" s="4" t="s">
        <v>445</v>
      </c>
      <c r="D7" t="str">
        <f t="shared" si="1"/>
        <v>Tipple et al. 2010 (carbonate)</v>
      </c>
      <c r="F7" t="s">
        <v>675</v>
      </c>
      <c r="G7" t="s">
        <v>728</v>
      </c>
      <c r="I7" t="s">
        <v>141</v>
      </c>
      <c r="J7" t="s">
        <v>637</v>
      </c>
      <c r="M7" t="s">
        <v>349</v>
      </c>
      <c r="N7" t="s">
        <v>663</v>
      </c>
    </row>
    <row r="8" spans="1:14" x14ac:dyDescent="0.3">
      <c r="A8" s="4" t="s">
        <v>293</v>
      </c>
      <c r="B8" t="str">
        <f t="shared" si="0"/>
        <v>Witkowski et al. 2018 (phytane)</v>
      </c>
      <c r="C8" s="4" t="s">
        <v>445</v>
      </c>
      <c r="D8" t="str">
        <f t="shared" si="1"/>
        <v>Tipple et al. 2010 (carbonate)</v>
      </c>
      <c r="F8" t="s">
        <v>675</v>
      </c>
      <c r="G8" t="s">
        <v>728</v>
      </c>
      <c r="I8" t="s">
        <v>151</v>
      </c>
      <c r="J8" t="s">
        <v>621</v>
      </c>
      <c r="M8" t="s">
        <v>350</v>
      </c>
      <c r="N8" t="s">
        <v>664</v>
      </c>
    </row>
    <row r="9" spans="1:14" x14ac:dyDescent="0.3">
      <c r="A9" s="4" t="s">
        <v>293</v>
      </c>
      <c r="B9" t="str">
        <f t="shared" si="0"/>
        <v>Witkowski et al. 2018 (phytane)</v>
      </c>
      <c r="C9" s="4" t="s">
        <v>445</v>
      </c>
      <c r="D9" t="str">
        <f t="shared" si="1"/>
        <v>Tipple et al. 2010 (carbonate)</v>
      </c>
      <c r="F9" t="s">
        <v>675</v>
      </c>
      <c r="G9" t="s">
        <v>728</v>
      </c>
      <c r="I9" t="s">
        <v>118</v>
      </c>
      <c r="J9" t="s">
        <v>622</v>
      </c>
      <c r="M9" t="s">
        <v>351</v>
      </c>
      <c r="N9" t="s">
        <v>665</v>
      </c>
    </row>
    <row r="10" spans="1:14" x14ac:dyDescent="0.3">
      <c r="A10" s="4" t="s">
        <v>293</v>
      </c>
      <c r="B10" t="str">
        <f t="shared" si="0"/>
        <v>Witkowski et al. 2018 (phytane)</v>
      </c>
      <c r="C10" s="4" t="s">
        <v>445</v>
      </c>
      <c r="D10" t="str">
        <f t="shared" si="1"/>
        <v>Tipple et al. 2010 (carbonate)</v>
      </c>
      <c r="F10" t="s">
        <v>675</v>
      </c>
      <c r="G10" t="s">
        <v>728</v>
      </c>
      <c r="I10" t="s">
        <v>115</v>
      </c>
      <c r="J10" t="s">
        <v>623</v>
      </c>
      <c r="M10" t="s">
        <v>366</v>
      </c>
      <c r="N10" t="s">
        <v>666</v>
      </c>
    </row>
    <row r="11" spans="1:14" x14ac:dyDescent="0.3">
      <c r="A11" s="4" t="s">
        <v>293</v>
      </c>
      <c r="B11" t="str">
        <f t="shared" si="0"/>
        <v>Witkowski et al. 2018 (phytane)</v>
      </c>
      <c r="C11" s="4" t="s">
        <v>445</v>
      </c>
      <c r="D11" t="str">
        <f t="shared" si="1"/>
        <v>Tipple et al. 2010 (carbonate)</v>
      </c>
      <c r="F11" t="s">
        <v>675</v>
      </c>
      <c r="G11" t="s">
        <v>728</v>
      </c>
      <c r="I11" t="s">
        <v>206</v>
      </c>
      <c r="J11" t="s">
        <v>624</v>
      </c>
      <c r="M11" t="s">
        <v>352</v>
      </c>
      <c r="N11" t="s">
        <v>667</v>
      </c>
    </row>
    <row r="12" spans="1:14" x14ac:dyDescent="0.3">
      <c r="A12" s="4" t="s">
        <v>293</v>
      </c>
      <c r="B12" t="str">
        <f t="shared" si="0"/>
        <v>Witkowski et al. 2018 (phytane)</v>
      </c>
      <c r="C12" s="4" t="s">
        <v>445</v>
      </c>
      <c r="D12" t="str">
        <f t="shared" si="1"/>
        <v>Tipple et al. 2010 (carbonate)</v>
      </c>
      <c r="F12" t="s">
        <v>675</v>
      </c>
      <c r="G12" t="s">
        <v>728</v>
      </c>
      <c r="I12" t="s">
        <v>286</v>
      </c>
      <c r="J12" t="s">
        <v>625</v>
      </c>
      <c r="M12" t="s">
        <v>115</v>
      </c>
      <c r="N12" t="s">
        <v>623</v>
      </c>
    </row>
    <row r="13" spans="1:14" x14ac:dyDescent="0.3">
      <c r="A13" s="4" t="s">
        <v>293</v>
      </c>
      <c r="B13" t="str">
        <f t="shared" si="0"/>
        <v>Witkowski et al. 2018 (phytane)</v>
      </c>
      <c r="C13" s="4" t="s">
        <v>445</v>
      </c>
      <c r="D13" t="str">
        <f t="shared" si="1"/>
        <v>Tipple et al. 2010 (carbonate)</v>
      </c>
      <c r="F13" t="s">
        <v>675</v>
      </c>
      <c r="G13" t="s">
        <v>728</v>
      </c>
      <c r="I13" t="s">
        <v>88</v>
      </c>
      <c r="J13" t="s">
        <v>642</v>
      </c>
      <c r="M13" t="s">
        <v>379</v>
      </c>
      <c r="N13" t="s">
        <v>652</v>
      </c>
    </row>
    <row r="14" spans="1:14" x14ac:dyDescent="0.3">
      <c r="A14" s="4" t="s">
        <v>293</v>
      </c>
      <c r="B14" t="str">
        <f t="shared" si="0"/>
        <v>Witkowski et al. 2018 (phytane)</v>
      </c>
      <c r="C14" s="4" t="s">
        <v>445</v>
      </c>
      <c r="D14" t="str">
        <f t="shared" si="1"/>
        <v>Tipple et al. 2010 (carbonate)</v>
      </c>
      <c r="F14" t="s">
        <v>675</v>
      </c>
      <c r="G14" t="s">
        <v>728</v>
      </c>
      <c r="I14" t="s">
        <v>89</v>
      </c>
      <c r="J14" t="s">
        <v>643</v>
      </c>
      <c r="M14" t="s">
        <v>286</v>
      </c>
      <c r="N14" t="s">
        <v>625</v>
      </c>
    </row>
    <row r="15" spans="1:14" x14ac:dyDescent="0.3">
      <c r="A15" s="4" t="s">
        <v>293</v>
      </c>
      <c r="B15" t="str">
        <f t="shared" si="0"/>
        <v>Witkowski et al. 2018 (phytane)</v>
      </c>
      <c r="C15" s="4" t="s">
        <v>445</v>
      </c>
      <c r="D15" t="str">
        <f t="shared" si="1"/>
        <v>Tipple et al. 2010 (carbonate)</v>
      </c>
      <c r="F15" t="s">
        <v>675</v>
      </c>
      <c r="G15" t="s">
        <v>728</v>
      </c>
      <c r="I15" t="s">
        <v>71</v>
      </c>
      <c r="J15" t="s">
        <v>644</v>
      </c>
      <c r="M15" t="s">
        <v>388</v>
      </c>
      <c r="N15" t="s">
        <v>652</v>
      </c>
    </row>
    <row r="16" spans="1:14" x14ac:dyDescent="0.3">
      <c r="A16" s="4" t="s">
        <v>293</v>
      </c>
      <c r="B16" t="str">
        <f t="shared" si="0"/>
        <v>Witkowski et al. 2018 (phytane)</v>
      </c>
      <c r="C16" s="4" t="s">
        <v>445</v>
      </c>
      <c r="D16" t="str">
        <f t="shared" si="1"/>
        <v>Tipple et al. 2010 (carbonate)</v>
      </c>
      <c r="F16" t="s">
        <v>675</v>
      </c>
      <c r="G16" t="s">
        <v>728</v>
      </c>
      <c r="I16" t="s">
        <v>72</v>
      </c>
      <c r="J16" t="s">
        <v>626</v>
      </c>
      <c r="M16" t="s">
        <v>71</v>
      </c>
      <c r="N16" t="s">
        <v>668</v>
      </c>
    </row>
    <row r="17" spans="1:14" x14ac:dyDescent="0.3">
      <c r="A17" s="4" t="s">
        <v>293</v>
      </c>
      <c r="B17" t="str">
        <f t="shared" si="0"/>
        <v>Witkowski et al. 2018 (phytane)</v>
      </c>
      <c r="C17" s="4" t="s">
        <v>2</v>
      </c>
      <c r="D17" t="str">
        <f t="shared" si="1"/>
        <v>Hayes et al. 1999 (carbonate)</v>
      </c>
      <c r="F17" t="s">
        <v>676</v>
      </c>
      <c r="G17" t="s">
        <v>728</v>
      </c>
      <c r="I17" t="s">
        <v>93</v>
      </c>
      <c r="J17" t="s">
        <v>627</v>
      </c>
      <c r="M17" t="s">
        <v>72</v>
      </c>
      <c r="N17" t="s">
        <v>626</v>
      </c>
    </row>
    <row r="18" spans="1:14" x14ac:dyDescent="0.3">
      <c r="A18" s="4" t="s">
        <v>25</v>
      </c>
      <c r="B18" t="str">
        <f t="shared" si="0"/>
        <v>Hayes et al. 1995 unpublished (phytane)</v>
      </c>
      <c r="C18" s="4" t="s">
        <v>2</v>
      </c>
      <c r="D18" t="str">
        <f t="shared" si="1"/>
        <v>Hayes et al. 1999 (carbonate)</v>
      </c>
      <c r="F18" t="s">
        <v>677</v>
      </c>
      <c r="G18" t="s">
        <v>728</v>
      </c>
      <c r="I18" t="s">
        <v>74</v>
      </c>
      <c r="J18" t="s">
        <v>628</v>
      </c>
      <c r="M18" t="s">
        <v>387</v>
      </c>
      <c r="N18" t="s">
        <v>652</v>
      </c>
    </row>
    <row r="19" spans="1:14" x14ac:dyDescent="0.3">
      <c r="A19" s="4" t="s">
        <v>293</v>
      </c>
      <c r="B19" t="str">
        <f t="shared" si="0"/>
        <v>Witkowski et al. 2018 (phytane)</v>
      </c>
      <c r="C19" s="4" t="s">
        <v>2</v>
      </c>
      <c r="D19" t="str">
        <f t="shared" si="1"/>
        <v>Hayes et al. 1999 (carbonate)</v>
      </c>
      <c r="F19" t="s">
        <v>676</v>
      </c>
      <c r="G19" t="s">
        <v>728</v>
      </c>
      <c r="I19" t="s">
        <v>80</v>
      </c>
      <c r="J19" t="s">
        <v>629</v>
      </c>
      <c r="M19" t="s">
        <v>339</v>
      </c>
      <c r="N19" t="s">
        <v>669</v>
      </c>
    </row>
    <row r="20" spans="1:14" x14ac:dyDescent="0.3">
      <c r="A20" s="4" t="s">
        <v>293</v>
      </c>
      <c r="B20" t="str">
        <f t="shared" si="0"/>
        <v>Witkowski et al. 2018 (phytane)</v>
      </c>
      <c r="C20" s="4" t="s">
        <v>445</v>
      </c>
      <c r="D20" t="str">
        <f t="shared" si="1"/>
        <v>Tipple et al. 2010 (carbonate)</v>
      </c>
      <c r="F20" t="s">
        <v>675</v>
      </c>
      <c r="G20" t="s">
        <v>728</v>
      </c>
      <c r="I20" t="s">
        <v>317</v>
      </c>
      <c r="J20" t="s">
        <v>630</v>
      </c>
      <c r="M20" t="s">
        <v>396</v>
      </c>
      <c r="N20" t="s">
        <v>653</v>
      </c>
    </row>
    <row r="21" spans="1:14" x14ac:dyDescent="0.3">
      <c r="A21" s="4" t="s">
        <v>293</v>
      </c>
      <c r="B21" t="str">
        <f t="shared" si="0"/>
        <v>Witkowski et al. 2018 (phytane)</v>
      </c>
      <c r="C21" s="4" t="s">
        <v>2</v>
      </c>
      <c r="D21" t="str">
        <f t="shared" si="1"/>
        <v>Hayes et al. 1999 (carbonate)</v>
      </c>
      <c r="F21" t="s">
        <v>676</v>
      </c>
      <c r="G21" t="s">
        <v>728</v>
      </c>
      <c r="I21" t="s">
        <v>67</v>
      </c>
      <c r="J21" t="s">
        <v>646</v>
      </c>
      <c r="M21" t="s">
        <v>402</v>
      </c>
      <c r="N21" t="s">
        <v>654</v>
      </c>
    </row>
    <row r="22" spans="1:14" x14ac:dyDescent="0.3">
      <c r="A22" s="4" t="s">
        <v>293</v>
      </c>
      <c r="B22" t="str">
        <f t="shared" si="0"/>
        <v>Witkowski et al. 2018 (phytane)</v>
      </c>
      <c r="C22" s="4" t="s">
        <v>445</v>
      </c>
      <c r="D22" t="str">
        <f t="shared" si="1"/>
        <v>Tipple et al. 2010 (carbonate)</v>
      </c>
      <c r="F22" t="s">
        <v>675</v>
      </c>
      <c r="G22" t="s">
        <v>728</v>
      </c>
      <c r="I22" t="s">
        <v>59</v>
      </c>
      <c r="J22" t="s">
        <v>645</v>
      </c>
      <c r="M22" t="s">
        <v>481</v>
      </c>
      <c r="N22" t="s">
        <v>655</v>
      </c>
    </row>
    <row r="23" spans="1:14" x14ac:dyDescent="0.3">
      <c r="A23" s="25" t="s">
        <v>293</v>
      </c>
      <c r="B23" t="str">
        <f t="shared" si="0"/>
        <v>Witkowski et al. 2018 (phytane)</v>
      </c>
      <c r="C23" s="4" t="s">
        <v>2</v>
      </c>
      <c r="D23" t="str">
        <f t="shared" si="1"/>
        <v>Hayes et al. 1999 (carbonate)</v>
      </c>
      <c r="F23" t="s">
        <v>676</v>
      </c>
      <c r="G23" t="s">
        <v>728</v>
      </c>
      <c r="I23" t="s">
        <v>21</v>
      </c>
      <c r="J23" t="s">
        <v>631</v>
      </c>
      <c r="M23" t="s">
        <v>407</v>
      </c>
      <c r="N23" t="s">
        <v>656</v>
      </c>
    </row>
    <row r="24" spans="1:14" x14ac:dyDescent="0.3">
      <c r="A24" s="25" t="s">
        <v>293</v>
      </c>
      <c r="B24" t="str">
        <f t="shared" si="0"/>
        <v>Witkowski et al. 2018 (phytane)</v>
      </c>
      <c r="C24" s="4" t="s">
        <v>2</v>
      </c>
      <c r="D24" t="str">
        <f t="shared" si="1"/>
        <v>Hayes et al. 1999 (carbonate)</v>
      </c>
      <c r="F24" t="s">
        <v>676</v>
      </c>
      <c r="G24" t="s">
        <v>728</v>
      </c>
      <c r="I24" t="s">
        <v>42</v>
      </c>
      <c r="J24" t="s">
        <v>632</v>
      </c>
      <c r="M24" t="s">
        <v>405</v>
      </c>
      <c r="N24" t="s">
        <v>670</v>
      </c>
    </row>
    <row r="25" spans="1:14" x14ac:dyDescent="0.3">
      <c r="A25" s="4" t="s">
        <v>143</v>
      </c>
      <c r="B25" t="str">
        <f t="shared" si="0"/>
        <v>Schouten et al. 1997a (phytane)</v>
      </c>
      <c r="C25" s="4" t="s">
        <v>2</v>
      </c>
      <c r="D25" t="str">
        <f t="shared" si="1"/>
        <v>Hayes et al. 1999 (carbonate)</v>
      </c>
      <c r="F25" t="s">
        <v>678</v>
      </c>
      <c r="G25" t="s">
        <v>728</v>
      </c>
      <c r="I25" t="s">
        <v>49</v>
      </c>
      <c r="J25" t="s">
        <v>633</v>
      </c>
      <c r="M25" t="s">
        <v>536</v>
      </c>
      <c r="N25" t="s">
        <v>657</v>
      </c>
    </row>
    <row r="26" spans="1:14" x14ac:dyDescent="0.3">
      <c r="A26" s="4" t="s">
        <v>143</v>
      </c>
      <c r="B26" t="str">
        <f t="shared" si="0"/>
        <v>Schouten et al. 1997a (phytane)</v>
      </c>
      <c r="C26" s="4" t="s">
        <v>2</v>
      </c>
      <c r="D26" t="str">
        <f t="shared" si="1"/>
        <v>Hayes et al. 1999 (carbonate)</v>
      </c>
      <c r="F26" t="s">
        <v>678</v>
      </c>
      <c r="G26" t="s">
        <v>728</v>
      </c>
      <c r="I26" t="s">
        <v>34</v>
      </c>
      <c r="J26" t="s">
        <v>634</v>
      </c>
      <c r="M26" t="s">
        <v>404</v>
      </c>
      <c r="N26" t="s">
        <v>658</v>
      </c>
    </row>
    <row r="27" spans="1:14" x14ac:dyDescent="0.3">
      <c r="A27" s="4" t="s">
        <v>293</v>
      </c>
      <c r="B27" t="str">
        <f t="shared" si="0"/>
        <v>Witkowski et al. 2018 (phytane)</v>
      </c>
      <c r="C27" s="4" t="s">
        <v>445</v>
      </c>
      <c r="D27" t="str">
        <f t="shared" si="1"/>
        <v>Tipple et al. 2010 (carbonate)</v>
      </c>
      <c r="F27" t="s">
        <v>675</v>
      </c>
      <c r="G27" t="s">
        <v>728</v>
      </c>
      <c r="I27" t="s">
        <v>36</v>
      </c>
      <c r="J27" t="s">
        <v>638</v>
      </c>
      <c r="M27" t="s">
        <v>412</v>
      </c>
      <c r="N27" t="s">
        <v>671</v>
      </c>
    </row>
    <row r="28" spans="1:14" x14ac:dyDescent="0.3">
      <c r="A28" s="4" t="s">
        <v>293</v>
      </c>
      <c r="B28" t="str">
        <f t="shared" si="0"/>
        <v>Witkowski et al. 2018 (phytane)</v>
      </c>
      <c r="C28" s="4" t="s">
        <v>445</v>
      </c>
      <c r="D28" t="str">
        <f t="shared" si="1"/>
        <v>Tipple et al. 2010 (carbonate)</v>
      </c>
      <c r="F28" t="s">
        <v>675</v>
      </c>
      <c r="G28" t="s">
        <v>728</v>
      </c>
      <c r="I28" t="s">
        <v>31</v>
      </c>
      <c r="J28" t="s">
        <v>635</v>
      </c>
      <c r="M28" t="s">
        <v>409</v>
      </c>
      <c r="N28" t="s">
        <v>659</v>
      </c>
    </row>
    <row r="29" spans="1:14" x14ac:dyDescent="0.3">
      <c r="A29" s="4" t="s">
        <v>293</v>
      </c>
      <c r="B29" t="str">
        <f t="shared" si="0"/>
        <v>Witkowski et al. 2018 (phytane)</v>
      </c>
      <c r="C29" s="4" t="s">
        <v>445</v>
      </c>
      <c r="D29" t="str">
        <f t="shared" si="1"/>
        <v>Tipple et al. 2010 (carbonate)</v>
      </c>
      <c r="F29" t="s">
        <v>675</v>
      </c>
      <c r="G29" t="s">
        <v>728</v>
      </c>
      <c r="I29" t="s">
        <v>28</v>
      </c>
      <c r="J29" t="s">
        <v>647</v>
      </c>
      <c r="M29" t="s">
        <v>410</v>
      </c>
      <c r="N29" t="s">
        <v>660</v>
      </c>
    </row>
    <row r="30" spans="1:14" x14ac:dyDescent="0.3">
      <c r="A30" s="4" t="s">
        <v>143</v>
      </c>
      <c r="B30" t="str">
        <f t="shared" si="0"/>
        <v>Schouten et al. 1997a (phytane)</v>
      </c>
      <c r="C30" s="4" t="s">
        <v>347</v>
      </c>
      <c r="D30" t="str">
        <f t="shared" si="1"/>
        <v>Kochhann et al. 2016, sites U1338, 1337 (carbonate)</v>
      </c>
      <c r="F30" t="s">
        <v>679</v>
      </c>
      <c r="G30" t="s">
        <v>728</v>
      </c>
      <c r="I30" t="s">
        <v>22</v>
      </c>
      <c r="J30" t="s">
        <v>639</v>
      </c>
    </row>
    <row r="31" spans="1:14" x14ac:dyDescent="0.3">
      <c r="A31" s="4" t="s">
        <v>134</v>
      </c>
      <c r="B31" t="str">
        <f t="shared" si="0"/>
        <v>Pagani et al. 2000 (phytane)</v>
      </c>
      <c r="C31" s="4" t="s">
        <v>295</v>
      </c>
      <c r="D31" t="str">
        <f t="shared" si="1"/>
        <v>Ennyu et al. 2002 (carbonate)</v>
      </c>
      <c r="F31" t="s">
        <v>680</v>
      </c>
      <c r="G31" t="s">
        <v>593</v>
      </c>
      <c r="H31" t="s">
        <v>729</v>
      </c>
      <c r="I31" t="s">
        <v>207</v>
      </c>
      <c r="J31" t="s">
        <v>640</v>
      </c>
    </row>
    <row r="32" spans="1:14" x14ac:dyDescent="0.3">
      <c r="A32" s="4" t="s">
        <v>293</v>
      </c>
      <c r="B32" t="str">
        <f t="shared" si="0"/>
        <v>Witkowski et al. 2018 (phytane)</v>
      </c>
      <c r="C32" s="4" t="s">
        <v>445</v>
      </c>
      <c r="D32" t="str">
        <f t="shared" si="1"/>
        <v>Tipple et al. 2010 (carbonate)</v>
      </c>
      <c r="F32" t="s">
        <v>675</v>
      </c>
      <c r="G32" t="s">
        <v>728</v>
      </c>
      <c r="I32" t="s">
        <v>6</v>
      </c>
      <c r="J32" t="s">
        <v>648</v>
      </c>
    </row>
    <row r="33" spans="1:10" x14ac:dyDescent="0.3">
      <c r="A33" s="25" t="s">
        <v>293</v>
      </c>
      <c r="B33" t="str">
        <f t="shared" si="0"/>
        <v>Witkowski et al. 2018 (phytane)</v>
      </c>
      <c r="C33" s="4" t="s">
        <v>2</v>
      </c>
      <c r="D33" t="str">
        <f t="shared" si="1"/>
        <v>Hayes et al. 1999 (carbonate)</v>
      </c>
      <c r="F33" t="s">
        <v>676</v>
      </c>
      <c r="G33" t="s">
        <v>728</v>
      </c>
      <c r="I33" t="s">
        <v>3</v>
      </c>
      <c r="J33" t="s">
        <v>641</v>
      </c>
    </row>
    <row r="34" spans="1:10" x14ac:dyDescent="0.3">
      <c r="A34" s="4" t="s">
        <v>134</v>
      </c>
      <c r="B34" t="str">
        <f t="shared" si="0"/>
        <v>Pagani et al. 2000 (phytane)</v>
      </c>
      <c r="C34" s="4" t="s">
        <v>295</v>
      </c>
      <c r="D34" t="str">
        <f t="shared" si="1"/>
        <v>Ennyu et al. 2002 (carbonate)</v>
      </c>
      <c r="F34" t="s">
        <v>680</v>
      </c>
      <c r="G34" t="s">
        <v>593</v>
      </c>
      <c r="H34" t="s">
        <v>729</v>
      </c>
    </row>
    <row r="35" spans="1:10" x14ac:dyDescent="0.3">
      <c r="A35" s="4" t="s">
        <v>134</v>
      </c>
      <c r="B35" t="str">
        <f t="shared" si="0"/>
        <v>Pagani et al. 2000 (phytane)</v>
      </c>
      <c r="C35" s="4" t="s">
        <v>295</v>
      </c>
      <c r="D35" t="str">
        <f t="shared" si="1"/>
        <v>Ennyu et al. 2002 (carbonate)</v>
      </c>
      <c r="F35" t="s">
        <v>680</v>
      </c>
      <c r="G35" t="s">
        <v>593</v>
      </c>
      <c r="H35" t="s">
        <v>729</v>
      </c>
    </row>
    <row r="36" spans="1:10" x14ac:dyDescent="0.3">
      <c r="A36" s="4" t="s">
        <v>134</v>
      </c>
      <c r="B36" t="str">
        <f t="shared" si="0"/>
        <v>Pagani et al. 2000 (phytane)</v>
      </c>
      <c r="C36" s="4" t="s">
        <v>295</v>
      </c>
      <c r="D36" t="str">
        <f t="shared" si="1"/>
        <v>Ennyu et al. 2002 (carbonate)</v>
      </c>
      <c r="F36" t="s">
        <v>680</v>
      </c>
      <c r="G36" t="s">
        <v>593</v>
      </c>
      <c r="H36" t="s">
        <v>729</v>
      </c>
    </row>
    <row r="37" spans="1:10" x14ac:dyDescent="0.3">
      <c r="A37" s="4" t="s">
        <v>143</v>
      </c>
      <c r="B37" t="str">
        <f t="shared" si="0"/>
        <v>Schouten et al. 1997a (phytane)</v>
      </c>
      <c r="C37" s="4" t="s">
        <v>348</v>
      </c>
      <c r="D37" t="str">
        <f t="shared" si="1"/>
        <v>Kochhann et al. 2016, sites U1338, 1338 (carbonate)</v>
      </c>
      <c r="F37" t="s">
        <v>681</v>
      </c>
      <c r="G37" t="s">
        <v>728</v>
      </c>
    </row>
    <row r="38" spans="1:10" x14ac:dyDescent="0.3">
      <c r="A38" s="4" t="s">
        <v>143</v>
      </c>
      <c r="B38" t="str">
        <f t="shared" si="0"/>
        <v>Schouten et al. 1997a (phytane)</v>
      </c>
      <c r="C38" s="4" t="s">
        <v>349</v>
      </c>
      <c r="D38" t="str">
        <f t="shared" si="1"/>
        <v>Kochhann et al. 2016, sites U1338, 1339 (carbonate)</v>
      </c>
      <c r="F38" t="s">
        <v>682</v>
      </c>
      <c r="G38" t="s">
        <v>728</v>
      </c>
    </row>
    <row r="39" spans="1:10" x14ac:dyDescent="0.3">
      <c r="A39" s="4" t="s">
        <v>293</v>
      </c>
      <c r="B39" t="str">
        <f t="shared" si="0"/>
        <v>Witkowski et al. 2018 (phytane)</v>
      </c>
      <c r="C39" s="4" t="s">
        <v>445</v>
      </c>
      <c r="D39" t="str">
        <f t="shared" si="1"/>
        <v>Tipple et al. 2010 (carbonate)</v>
      </c>
      <c r="F39" t="s">
        <v>675</v>
      </c>
      <c r="G39" t="s">
        <v>728</v>
      </c>
    </row>
    <row r="40" spans="1:10" x14ac:dyDescent="0.3">
      <c r="A40" s="4" t="s">
        <v>134</v>
      </c>
      <c r="B40" t="str">
        <f t="shared" si="0"/>
        <v>Pagani et al. 2000 (phytane)</v>
      </c>
      <c r="C40" s="4" t="s">
        <v>295</v>
      </c>
      <c r="D40" t="str">
        <f t="shared" si="1"/>
        <v>Ennyu et al. 2002 (carbonate)</v>
      </c>
      <c r="F40" t="s">
        <v>680</v>
      </c>
      <c r="G40" t="s">
        <v>593</v>
      </c>
      <c r="H40" t="s">
        <v>729</v>
      </c>
    </row>
    <row r="41" spans="1:10" x14ac:dyDescent="0.3">
      <c r="A41" s="4" t="s">
        <v>293</v>
      </c>
      <c r="B41" t="str">
        <f t="shared" si="0"/>
        <v>Witkowski et al. 2018 (phytane)</v>
      </c>
      <c r="C41" s="4" t="s">
        <v>445</v>
      </c>
      <c r="D41" t="str">
        <f t="shared" si="1"/>
        <v>Tipple et al. 2010 (carbonate)</v>
      </c>
      <c r="F41" t="s">
        <v>675</v>
      </c>
      <c r="G41" t="s">
        <v>728</v>
      </c>
    </row>
    <row r="42" spans="1:10" x14ac:dyDescent="0.3">
      <c r="A42" s="4" t="s">
        <v>143</v>
      </c>
      <c r="B42" t="str">
        <f t="shared" si="0"/>
        <v>Schouten et al. 1997a (phytane)</v>
      </c>
      <c r="C42" s="4" t="s">
        <v>350</v>
      </c>
      <c r="D42" t="str">
        <f t="shared" si="1"/>
        <v>Kochhann et al. 2016, sites U1338, 1340 (carbonate)</v>
      </c>
      <c r="F42" t="s">
        <v>683</v>
      </c>
      <c r="G42" t="s">
        <v>728</v>
      </c>
    </row>
    <row r="43" spans="1:10" x14ac:dyDescent="0.3">
      <c r="A43" s="4" t="s">
        <v>139</v>
      </c>
      <c r="B43" t="str">
        <f t="shared" si="0"/>
        <v>Curiale et al. 1985 in Hughes et al. 1995 (phytane)</v>
      </c>
      <c r="C43" s="4" t="s">
        <v>351</v>
      </c>
      <c r="D43" t="str">
        <f t="shared" si="1"/>
        <v>Kochhann et al. 2016, sites U1338, 1341 (carbonate)</v>
      </c>
      <c r="F43" t="s">
        <v>684</v>
      </c>
      <c r="G43" t="s">
        <v>728</v>
      </c>
    </row>
    <row r="44" spans="1:10" x14ac:dyDescent="0.3">
      <c r="A44" s="4" t="s">
        <v>141</v>
      </c>
      <c r="B44" t="str">
        <f t="shared" si="0"/>
        <v>Meissner et al. 1984 in Hughes et al. 1995 (phytane)</v>
      </c>
      <c r="C44" s="4" t="s">
        <v>366</v>
      </c>
      <c r="D44" t="str">
        <f t="shared" si="1"/>
        <v>Kochhann et al. 2016, sites U1338, 1343 (carbonate)</v>
      </c>
      <c r="F44" t="s">
        <v>685</v>
      </c>
      <c r="G44" t="s">
        <v>728</v>
      </c>
    </row>
    <row r="45" spans="1:10" x14ac:dyDescent="0.3">
      <c r="A45" s="4" t="s">
        <v>134</v>
      </c>
      <c r="B45" t="str">
        <f t="shared" si="0"/>
        <v>Pagani et al. 2000 (phytane)</v>
      </c>
      <c r="C45" s="4" t="s">
        <v>295</v>
      </c>
      <c r="D45" t="str">
        <f t="shared" si="1"/>
        <v>Ennyu et al. 2002 (carbonate)</v>
      </c>
      <c r="F45" t="s">
        <v>680</v>
      </c>
      <c r="G45" t="s">
        <v>593</v>
      </c>
      <c r="H45" t="s">
        <v>729</v>
      </c>
    </row>
    <row r="46" spans="1:10" x14ac:dyDescent="0.3">
      <c r="A46" s="4" t="s">
        <v>134</v>
      </c>
      <c r="B46" t="str">
        <f t="shared" si="0"/>
        <v>Pagani et al. 2000 (phytane)</v>
      </c>
      <c r="C46" s="4" t="s">
        <v>295</v>
      </c>
      <c r="D46" t="str">
        <f t="shared" si="1"/>
        <v>Ennyu et al. 2002 (carbonate)</v>
      </c>
      <c r="F46" t="s">
        <v>680</v>
      </c>
      <c r="G46" t="s">
        <v>593</v>
      </c>
      <c r="H46" t="s">
        <v>729</v>
      </c>
    </row>
    <row r="47" spans="1:10" x14ac:dyDescent="0.3">
      <c r="A47" s="4" t="s">
        <v>134</v>
      </c>
      <c r="B47" t="str">
        <f t="shared" si="0"/>
        <v>Pagani et al. 2000 (phytane)</v>
      </c>
      <c r="C47" s="4" t="s">
        <v>295</v>
      </c>
      <c r="D47" t="str">
        <f t="shared" si="1"/>
        <v>Ennyu et al. 2002 (carbonate)</v>
      </c>
      <c r="F47" t="s">
        <v>680</v>
      </c>
      <c r="G47" t="s">
        <v>593</v>
      </c>
      <c r="H47" t="s">
        <v>729</v>
      </c>
    </row>
    <row r="48" spans="1:10" x14ac:dyDescent="0.3">
      <c r="A48" s="4" t="s">
        <v>293</v>
      </c>
      <c r="B48" t="str">
        <f t="shared" si="0"/>
        <v>Witkowski et al. 2018 (phytane)</v>
      </c>
      <c r="C48" s="4" t="s">
        <v>445</v>
      </c>
      <c r="D48" t="str">
        <f t="shared" si="1"/>
        <v>Tipple et al. 2010 (carbonate)</v>
      </c>
      <c r="F48" t="s">
        <v>675</v>
      </c>
      <c r="G48" t="s">
        <v>728</v>
      </c>
    </row>
    <row r="49" spans="1:8" x14ac:dyDescent="0.3">
      <c r="A49" s="4" t="s">
        <v>134</v>
      </c>
      <c r="B49" t="str">
        <f t="shared" si="0"/>
        <v>Pagani et al. 2000 (phytane)</v>
      </c>
      <c r="C49" s="4" t="s">
        <v>295</v>
      </c>
      <c r="D49" t="str">
        <f t="shared" si="1"/>
        <v>Ennyu et al. 2002 (carbonate)</v>
      </c>
      <c r="F49" t="s">
        <v>680</v>
      </c>
      <c r="G49" t="s">
        <v>593</v>
      </c>
      <c r="H49" t="s">
        <v>729</v>
      </c>
    </row>
    <row r="50" spans="1:8" x14ac:dyDescent="0.3">
      <c r="A50" s="4" t="s">
        <v>134</v>
      </c>
      <c r="B50" t="str">
        <f t="shared" si="0"/>
        <v>Pagani et al. 2000 (phytane)</v>
      </c>
      <c r="C50" s="4" t="s">
        <v>295</v>
      </c>
      <c r="D50" t="str">
        <f t="shared" si="1"/>
        <v>Ennyu et al. 2002 (carbonate)</v>
      </c>
      <c r="F50" t="s">
        <v>680</v>
      </c>
      <c r="G50" t="s">
        <v>593</v>
      </c>
      <c r="H50" t="s">
        <v>729</v>
      </c>
    </row>
    <row r="51" spans="1:8" x14ac:dyDescent="0.3">
      <c r="A51" s="4" t="s">
        <v>293</v>
      </c>
      <c r="B51" t="str">
        <f t="shared" si="0"/>
        <v>Witkowski et al. 2018 (phytane)</v>
      </c>
      <c r="C51" s="4" t="s">
        <v>445</v>
      </c>
      <c r="D51" t="str">
        <f t="shared" si="1"/>
        <v>Tipple et al. 2010 (carbonate)</v>
      </c>
      <c r="F51" t="s">
        <v>675</v>
      </c>
      <c r="G51" t="s">
        <v>728</v>
      </c>
    </row>
    <row r="52" spans="1:8" x14ac:dyDescent="0.3">
      <c r="A52" s="4" t="s">
        <v>134</v>
      </c>
      <c r="B52" t="str">
        <f t="shared" si="0"/>
        <v>Pagani et al. 2000 (phytane)</v>
      </c>
      <c r="C52" s="4" t="s">
        <v>295</v>
      </c>
      <c r="D52" t="str">
        <f t="shared" si="1"/>
        <v>Ennyu et al. 2002 (carbonate)</v>
      </c>
      <c r="F52" t="s">
        <v>680</v>
      </c>
      <c r="G52" t="s">
        <v>593</v>
      </c>
      <c r="H52" t="s">
        <v>729</v>
      </c>
    </row>
    <row r="53" spans="1:8" x14ac:dyDescent="0.3">
      <c r="A53" s="4" t="s">
        <v>134</v>
      </c>
      <c r="B53" t="str">
        <f t="shared" si="0"/>
        <v>Pagani et al. 2000 (phytane)</v>
      </c>
      <c r="C53" s="4" t="s">
        <v>295</v>
      </c>
      <c r="D53" t="str">
        <f t="shared" si="1"/>
        <v>Ennyu et al. 2002 (carbonate)</v>
      </c>
      <c r="F53" t="s">
        <v>680</v>
      </c>
      <c r="G53" t="s">
        <v>593</v>
      </c>
      <c r="H53" t="s">
        <v>729</v>
      </c>
    </row>
    <row r="54" spans="1:8" x14ac:dyDescent="0.3">
      <c r="A54" s="4" t="s">
        <v>134</v>
      </c>
      <c r="B54" t="str">
        <f t="shared" si="0"/>
        <v>Pagani et al. 2000 (phytane)</v>
      </c>
      <c r="C54" s="4" t="s">
        <v>295</v>
      </c>
      <c r="D54" t="str">
        <f t="shared" si="1"/>
        <v>Ennyu et al. 2002 (carbonate)</v>
      </c>
      <c r="F54" t="s">
        <v>680</v>
      </c>
      <c r="G54" t="s">
        <v>593</v>
      </c>
      <c r="H54" t="s">
        <v>729</v>
      </c>
    </row>
    <row r="55" spans="1:8" x14ac:dyDescent="0.3">
      <c r="A55" s="4" t="s">
        <v>293</v>
      </c>
      <c r="B55" t="str">
        <f t="shared" si="0"/>
        <v>Witkowski et al. 2018 (phytane)</v>
      </c>
      <c r="C55" s="4" t="s">
        <v>445</v>
      </c>
      <c r="D55" t="str">
        <f t="shared" si="1"/>
        <v>Tipple et al. 2010 (carbonate)</v>
      </c>
      <c r="F55" t="s">
        <v>675</v>
      </c>
      <c r="G55" t="s">
        <v>728</v>
      </c>
    </row>
    <row r="56" spans="1:8" x14ac:dyDescent="0.3">
      <c r="A56" s="4" t="s">
        <v>134</v>
      </c>
      <c r="B56" t="str">
        <f t="shared" si="0"/>
        <v>Pagani et al. 2000 (phytane)</v>
      </c>
      <c r="C56" s="4" t="s">
        <v>295</v>
      </c>
      <c r="D56" t="str">
        <f t="shared" si="1"/>
        <v>Ennyu et al. 2002 (carbonate)</v>
      </c>
      <c r="F56" t="s">
        <v>680</v>
      </c>
      <c r="G56" t="s">
        <v>593</v>
      </c>
      <c r="H56" t="s">
        <v>729</v>
      </c>
    </row>
    <row r="57" spans="1:8" x14ac:dyDescent="0.3">
      <c r="A57" s="4" t="s">
        <v>134</v>
      </c>
      <c r="B57" t="str">
        <f t="shared" si="0"/>
        <v>Pagani et al. 2000 (phytane)</v>
      </c>
      <c r="C57" s="4" t="s">
        <v>295</v>
      </c>
      <c r="D57" t="str">
        <f t="shared" si="1"/>
        <v>Ennyu et al. 2002 (carbonate)</v>
      </c>
      <c r="F57" t="s">
        <v>680</v>
      </c>
      <c r="G57" t="s">
        <v>593</v>
      </c>
      <c r="H57" t="s">
        <v>729</v>
      </c>
    </row>
    <row r="58" spans="1:8" x14ac:dyDescent="0.3">
      <c r="A58" s="4" t="s">
        <v>134</v>
      </c>
      <c r="B58" t="str">
        <f t="shared" si="0"/>
        <v>Pagani et al. 2000 (phytane)</v>
      </c>
      <c r="C58" s="4" t="s">
        <v>295</v>
      </c>
      <c r="D58" t="str">
        <f t="shared" si="1"/>
        <v>Ennyu et al. 2002 (carbonate)</v>
      </c>
      <c r="F58" t="s">
        <v>680</v>
      </c>
      <c r="G58" t="s">
        <v>593</v>
      </c>
      <c r="H58" t="s">
        <v>729</v>
      </c>
    </row>
    <row r="59" spans="1:8" x14ac:dyDescent="0.3">
      <c r="A59" s="4" t="s">
        <v>134</v>
      </c>
      <c r="B59" t="str">
        <f t="shared" si="0"/>
        <v>Pagani et al. 2000 (phytane)</v>
      </c>
      <c r="C59" s="4" t="s">
        <v>295</v>
      </c>
      <c r="D59" t="str">
        <f t="shared" si="1"/>
        <v>Ennyu et al. 2002 (carbonate)</v>
      </c>
      <c r="F59" t="s">
        <v>680</v>
      </c>
      <c r="G59" t="s">
        <v>593</v>
      </c>
      <c r="H59" t="s">
        <v>729</v>
      </c>
    </row>
    <row r="60" spans="1:8" x14ac:dyDescent="0.3">
      <c r="A60" s="4" t="s">
        <v>134</v>
      </c>
      <c r="B60" t="str">
        <f t="shared" si="0"/>
        <v>Pagani et al. 2000 (phytane)</v>
      </c>
      <c r="C60" s="4" t="s">
        <v>295</v>
      </c>
      <c r="D60" t="str">
        <f t="shared" si="1"/>
        <v>Ennyu et al. 2002 (carbonate)</v>
      </c>
      <c r="F60" t="s">
        <v>680</v>
      </c>
      <c r="G60" t="s">
        <v>593</v>
      </c>
      <c r="H60" t="s">
        <v>729</v>
      </c>
    </row>
    <row r="61" spans="1:8" x14ac:dyDescent="0.3">
      <c r="A61" s="4" t="s">
        <v>151</v>
      </c>
      <c r="B61" t="str">
        <f t="shared" si="0"/>
        <v>Yamamoto et al. 2005 (phytane)</v>
      </c>
      <c r="C61" s="4" t="s">
        <v>352</v>
      </c>
      <c r="D61" t="str">
        <f t="shared" si="1"/>
        <v>Kochhann et al. 2016, sites U1338, 1342 (carbonate)</v>
      </c>
      <c r="F61" t="s">
        <v>686</v>
      </c>
      <c r="G61" t="s">
        <v>728</v>
      </c>
    </row>
    <row r="62" spans="1:8" x14ac:dyDescent="0.3">
      <c r="A62" s="4" t="s">
        <v>134</v>
      </c>
      <c r="B62" t="str">
        <f t="shared" si="0"/>
        <v>Pagani et al. 2000 (phytane)</v>
      </c>
      <c r="C62" s="4" t="s">
        <v>295</v>
      </c>
      <c r="D62" t="str">
        <f t="shared" si="1"/>
        <v>Ennyu et al. 2002 (carbonate)</v>
      </c>
      <c r="F62" t="s">
        <v>680</v>
      </c>
      <c r="G62" t="s">
        <v>593</v>
      </c>
      <c r="H62" t="s">
        <v>729</v>
      </c>
    </row>
    <row r="63" spans="1:8" x14ac:dyDescent="0.3">
      <c r="A63" s="4" t="s">
        <v>134</v>
      </c>
      <c r="B63" t="str">
        <f t="shared" si="0"/>
        <v>Pagani et al. 2000 (phytane)</v>
      </c>
      <c r="C63" s="4" t="s">
        <v>295</v>
      </c>
      <c r="D63" t="str">
        <f t="shared" si="1"/>
        <v>Ennyu et al. 2002 (carbonate)</v>
      </c>
      <c r="F63" t="s">
        <v>680</v>
      </c>
      <c r="G63" t="s">
        <v>593</v>
      </c>
      <c r="H63" t="s">
        <v>729</v>
      </c>
    </row>
    <row r="64" spans="1:8" x14ac:dyDescent="0.3">
      <c r="A64" s="4" t="s">
        <v>134</v>
      </c>
      <c r="B64" t="str">
        <f t="shared" si="0"/>
        <v>Pagani et al. 2000 (phytane)</v>
      </c>
      <c r="C64" s="4" t="s">
        <v>295</v>
      </c>
      <c r="D64" t="str">
        <f t="shared" si="1"/>
        <v>Ennyu et al. 2002 (carbonate)</v>
      </c>
      <c r="F64" t="s">
        <v>680</v>
      </c>
      <c r="G64" t="s">
        <v>593</v>
      </c>
      <c r="H64" t="s">
        <v>729</v>
      </c>
    </row>
    <row r="65" spans="1:8" x14ac:dyDescent="0.3">
      <c r="A65" s="4" t="s">
        <v>134</v>
      </c>
      <c r="B65" t="str">
        <f t="shared" si="0"/>
        <v>Pagani et al. 2000 (phytane)</v>
      </c>
      <c r="C65" s="4" t="s">
        <v>295</v>
      </c>
      <c r="D65" t="str">
        <f t="shared" si="1"/>
        <v>Ennyu et al. 2002 (carbonate)</v>
      </c>
      <c r="F65" t="s">
        <v>680</v>
      </c>
      <c r="G65" t="s">
        <v>593</v>
      </c>
      <c r="H65" t="s">
        <v>729</v>
      </c>
    </row>
    <row r="66" spans="1:8" x14ac:dyDescent="0.3">
      <c r="A66" s="4" t="s">
        <v>134</v>
      </c>
      <c r="B66" t="str">
        <f t="shared" si="0"/>
        <v>Pagani et al. 2000 (phytane)</v>
      </c>
      <c r="C66" s="4" t="s">
        <v>295</v>
      </c>
      <c r="D66" t="str">
        <f t="shared" si="1"/>
        <v>Ennyu et al. 2002 (carbonate)</v>
      </c>
      <c r="F66" t="s">
        <v>680</v>
      </c>
      <c r="G66" t="s">
        <v>593</v>
      </c>
      <c r="H66" t="s">
        <v>729</v>
      </c>
    </row>
    <row r="67" spans="1:8" x14ac:dyDescent="0.3">
      <c r="A67" s="4" t="s">
        <v>134</v>
      </c>
      <c r="B67" t="str">
        <f t="shared" ref="B67:B130" si="2">_xlfn.CONCAT(VLOOKUP(A67, $I$2:$J$33, 2, FALSE), " (phytane)")</f>
        <v>Pagani et al. 2000 (phytane)</v>
      </c>
      <c r="C67" s="4" t="s">
        <v>295</v>
      </c>
      <c r="D67" t="str">
        <f t="shared" ref="D67:D130" si="3">_xlfn.CONCAT(VLOOKUP(C67, $M$2:$N$29, 2, FALSE), " (carbonate)")</f>
        <v>Ennyu et al. 2002 (carbonate)</v>
      </c>
      <c r="F67" t="s">
        <v>680</v>
      </c>
      <c r="G67" t="s">
        <v>593</v>
      </c>
      <c r="H67" t="s">
        <v>729</v>
      </c>
    </row>
    <row r="68" spans="1:8" x14ac:dyDescent="0.3">
      <c r="A68" s="4" t="s">
        <v>134</v>
      </c>
      <c r="B68" t="str">
        <f t="shared" si="2"/>
        <v>Pagani et al. 2000 (phytane)</v>
      </c>
      <c r="C68" s="4" t="s">
        <v>295</v>
      </c>
      <c r="D68" t="str">
        <f t="shared" si="3"/>
        <v>Ennyu et al. 2002 (carbonate)</v>
      </c>
      <c r="F68" t="s">
        <v>680</v>
      </c>
      <c r="G68" t="s">
        <v>593</v>
      </c>
      <c r="H68" t="s">
        <v>729</v>
      </c>
    </row>
    <row r="69" spans="1:8" x14ac:dyDescent="0.3">
      <c r="A69" s="4" t="s">
        <v>134</v>
      </c>
      <c r="B69" t="str">
        <f t="shared" si="2"/>
        <v>Pagani et al. 2000 (phytane)</v>
      </c>
      <c r="C69" s="4" t="s">
        <v>295</v>
      </c>
      <c r="D69" t="str">
        <f t="shared" si="3"/>
        <v>Ennyu et al. 2002 (carbonate)</v>
      </c>
      <c r="F69" t="s">
        <v>680</v>
      </c>
      <c r="G69" t="s">
        <v>593</v>
      </c>
      <c r="H69" t="s">
        <v>729</v>
      </c>
    </row>
    <row r="70" spans="1:8" x14ac:dyDescent="0.3">
      <c r="A70" s="4" t="s">
        <v>134</v>
      </c>
      <c r="B70" t="str">
        <f t="shared" si="2"/>
        <v>Pagani et al. 2000 (phytane)</v>
      </c>
      <c r="C70" s="4" t="s">
        <v>295</v>
      </c>
      <c r="D70" t="str">
        <f t="shared" si="3"/>
        <v>Ennyu et al. 2002 (carbonate)</v>
      </c>
      <c r="F70" t="s">
        <v>680</v>
      </c>
      <c r="G70" t="s">
        <v>593</v>
      </c>
      <c r="H70" t="s">
        <v>729</v>
      </c>
    </row>
    <row r="71" spans="1:8" x14ac:dyDescent="0.3">
      <c r="A71" s="4" t="s">
        <v>134</v>
      </c>
      <c r="B71" t="str">
        <f t="shared" si="2"/>
        <v>Pagani et al. 2000 (phytane)</v>
      </c>
      <c r="C71" s="4" t="s">
        <v>295</v>
      </c>
      <c r="D71" t="str">
        <f t="shared" si="3"/>
        <v>Ennyu et al. 2002 (carbonate)</v>
      </c>
      <c r="F71" t="s">
        <v>680</v>
      </c>
      <c r="G71" t="s">
        <v>593</v>
      </c>
      <c r="H71" t="s">
        <v>729</v>
      </c>
    </row>
    <row r="72" spans="1:8" x14ac:dyDescent="0.3">
      <c r="A72" s="4" t="s">
        <v>134</v>
      </c>
      <c r="B72" t="str">
        <f t="shared" si="2"/>
        <v>Pagani et al. 2000 (phytane)</v>
      </c>
      <c r="C72" s="4" t="s">
        <v>295</v>
      </c>
      <c r="D72" t="str">
        <f t="shared" si="3"/>
        <v>Ennyu et al. 2002 (carbonate)</v>
      </c>
      <c r="F72" t="s">
        <v>680</v>
      </c>
      <c r="G72" t="s">
        <v>593</v>
      </c>
      <c r="H72" t="s">
        <v>729</v>
      </c>
    </row>
    <row r="73" spans="1:8" x14ac:dyDescent="0.3">
      <c r="A73" s="4" t="s">
        <v>134</v>
      </c>
      <c r="B73" t="str">
        <f t="shared" si="2"/>
        <v>Pagani et al. 2000 (phytane)</v>
      </c>
      <c r="C73" s="4" t="s">
        <v>295</v>
      </c>
      <c r="D73" t="str">
        <f t="shared" si="3"/>
        <v>Ennyu et al. 2002 (carbonate)</v>
      </c>
      <c r="F73" t="s">
        <v>680</v>
      </c>
      <c r="G73" t="s">
        <v>593</v>
      </c>
      <c r="H73" t="s">
        <v>729</v>
      </c>
    </row>
    <row r="74" spans="1:8" x14ac:dyDescent="0.3">
      <c r="A74" s="4" t="s">
        <v>134</v>
      </c>
      <c r="B74" t="str">
        <f t="shared" si="2"/>
        <v>Pagani et al. 2000 (phytane)</v>
      </c>
      <c r="C74" s="4" t="s">
        <v>295</v>
      </c>
      <c r="D74" t="str">
        <f t="shared" si="3"/>
        <v>Ennyu et al. 2002 (carbonate)</v>
      </c>
      <c r="F74" t="s">
        <v>680</v>
      </c>
      <c r="G74" t="s">
        <v>593</v>
      </c>
      <c r="H74" t="s">
        <v>729</v>
      </c>
    </row>
    <row r="75" spans="1:8" x14ac:dyDescent="0.3">
      <c r="A75" s="4" t="s">
        <v>118</v>
      </c>
      <c r="B75" t="str">
        <f t="shared" si="2"/>
        <v>Bechtel et al. 2013 (phytane)</v>
      </c>
      <c r="C75" s="4" t="s">
        <v>2</v>
      </c>
      <c r="D75" t="str">
        <f t="shared" si="3"/>
        <v>Hayes et al. 1999 (carbonate)</v>
      </c>
      <c r="F75" t="s">
        <v>687</v>
      </c>
      <c r="G75" t="s">
        <v>593</v>
      </c>
      <c r="H75" t="s">
        <v>729</v>
      </c>
    </row>
    <row r="76" spans="1:8" x14ac:dyDescent="0.3">
      <c r="A76" s="4" t="s">
        <v>118</v>
      </c>
      <c r="B76" t="str">
        <f t="shared" si="2"/>
        <v>Bechtel et al. 2013 (phytane)</v>
      </c>
      <c r="C76" s="4" t="s">
        <v>2</v>
      </c>
      <c r="D76" t="str">
        <f t="shared" si="3"/>
        <v>Hayes et al. 1999 (carbonate)</v>
      </c>
      <c r="F76" t="s">
        <v>687</v>
      </c>
      <c r="G76" t="s">
        <v>593</v>
      </c>
      <c r="H76" t="s">
        <v>729</v>
      </c>
    </row>
    <row r="77" spans="1:8" x14ac:dyDescent="0.3">
      <c r="A77" s="4" t="s">
        <v>118</v>
      </c>
      <c r="B77" t="str">
        <f t="shared" si="2"/>
        <v>Bechtel et al. 2013 (phytane)</v>
      </c>
      <c r="C77" s="4" t="s">
        <v>2</v>
      </c>
      <c r="D77" t="str">
        <f t="shared" si="3"/>
        <v>Hayes et al. 1999 (carbonate)</v>
      </c>
      <c r="F77" t="s">
        <v>687</v>
      </c>
      <c r="G77" t="s">
        <v>593</v>
      </c>
      <c r="H77" t="s">
        <v>729</v>
      </c>
    </row>
    <row r="78" spans="1:8" x14ac:dyDescent="0.3">
      <c r="A78" s="4" t="s">
        <v>118</v>
      </c>
      <c r="B78" t="str">
        <f t="shared" si="2"/>
        <v>Bechtel et al. 2013 (phytane)</v>
      </c>
      <c r="C78" s="4" t="s">
        <v>2</v>
      </c>
      <c r="D78" t="str">
        <f t="shared" si="3"/>
        <v>Hayes et al. 1999 (carbonate)</v>
      </c>
      <c r="F78" t="s">
        <v>687</v>
      </c>
      <c r="G78" t="s">
        <v>593</v>
      </c>
      <c r="H78" t="s">
        <v>729</v>
      </c>
    </row>
    <row r="79" spans="1:8" x14ac:dyDescent="0.3">
      <c r="A79" s="4" t="s">
        <v>118</v>
      </c>
      <c r="B79" t="str">
        <f t="shared" si="2"/>
        <v>Bechtel et al. 2013 (phytane)</v>
      </c>
      <c r="C79" s="4" t="s">
        <v>2</v>
      </c>
      <c r="D79" t="str">
        <f t="shared" si="3"/>
        <v>Hayes et al. 1999 (carbonate)</v>
      </c>
      <c r="F79" t="s">
        <v>687</v>
      </c>
      <c r="G79" t="s">
        <v>593</v>
      </c>
      <c r="H79" t="s">
        <v>729</v>
      </c>
    </row>
    <row r="80" spans="1:8" x14ac:dyDescent="0.3">
      <c r="A80" s="4" t="s">
        <v>118</v>
      </c>
      <c r="B80" t="str">
        <f t="shared" si="2"/>
        <v>Bechtel et al. 2013 (phytane)</v>
      </c>
      <c r="C80" s="4" t="s">
        <v>2</v>
      </c>
      <c r="D80" t="str">
        <f t="shared" si="3"/>
        <v>Hayes et al. 1999 (carbonate)</v>
      </c>
      <c r="F80" t="s">
        <v>687</v>
      </c>
      <c r="G80" t="s">
        <v>593</v>
      </c>
      <c r="H80" t="s">
        <v>729</v>
      </c>
    </row>
    <row r="81" spans="1:8" x14ac:dyDescent="0.3">
      <c r="A81" s="25" t="s">
        <v>293</v>
      </c>
      <c r="B81" t="str">
        <f t="shared" si="2"/>
        <v>Witkowski et al. 2018 (phytane)</v>
      </c>
      <c r="C81" s="4" t="s">
        <v>2</v>
      </c>
      <c r="D81" t="str">
        <f t="shared" si="3"/>
        <v>Hayes et al. 1999 (carbonate)</v>
      </c>
      <c r="F81" t="s">
        <v>676</v>
      </c>
      <c r="G81" t="s">
        <v>728</v>
      </c>
    </row>
    <row r="82" spans="1:8" x14ac:dyDescent="0.3">
      <c r="A82" s="4" t="s">
        <v>118</v>
      </c>
      <c r="B82" t="str">
        <f t="shared" si="2"/>
        <v>Bechtel et al. 2013 (phytane)</v>
      </c>
      <c r="C82" s="4" t="s">
        <v>2</v>
      </c>
      <c r="D82" t="str">
        <f t="shared" si="3"/>
        <v>Hayes et al. 1999 (carbonate)</v>
      </c>
      <c r="F82" t="s">
        <v>687</v>
      </c>
      <c r="G82" t="s">
        <v>593</v>
      </c>
      <c r="H82" t="s">
        <v>729</v>
      </c>
    </row>
    <row r="83" spans="1:8" x14ac:dyDescent="0.3">
      <c r="A83" s="4" t="s">
        <v>118</v>
      </c>
      <c r="B83" t="str">
        <f t="shared" si="2"/>
        <v>Bechtel et al. 2013 (phytane)</v>
      </c>
      <c r="C83" s="4" t="s">
        <v>2</v>
      </c>
      <c r="D83" t="str">
        <f t="shared" si="3"/>
        <v>Hayes et al. 1999 (carbonate)</v>
      </c>
      <c r="F83" t="s">
        <v>687</v>
      </c>
      <c r="G83" t="s">
        <v>593</v>
      </c>
      <c r="H83" t="s">
        <v>729</v>
      </c>
    </row>
    <row r="84" spans="1:8" x14ac:dyDescent="0.3">
      <c r="A84" s="4" t="s">
        <v>118</v>
      </c>
      <c r="B84" t="str">
        <f t="shared" si="2"/>
        <v>Bechtel et al. 2013 (phytane)</v>
      </c>
      <c r="C84" s="4" t="s">
        <v>2</v>
      </c>
      <c r="D84" t="str">
        <f t="shared" si="3"/>
        <v>Hayes et al. 1999 (carbonate)</v>
      </c>
      <c r="F84" t="s">
        <v>687</v>
      </c>
      <c r="G84" t="s">
        <v>593</v>
      </c>
      <c r="H84" t="s">
        <v>729</v>
      </c>
    </row>
    <row r="85" spans="1:8" x14ac:dyDescent="0.3">
      <c r="A85" s="25" t="s">
        <v>293</v>
      </c>
      <c r="B85" t="str">
        <f t="shared" si="2"/>
        <v>Witkowski et al. 2018 (phytane)</v>
      </c>
      <c r="C85" s="4" t="s">
        <v>2</v>
      </c>
      <c r="D85" t="str">
        <f t="shared" si="3"/>
        <v>Hayes et al. 1999 (carbonate)</v>
      </c>
      <c r="F85" t="s">
        <v>676</v>
      </c>
      <c r="G85" t="s">
        <v>728</v>
      </c>
    </row>
    <row r="86" spans="1:8" x14ac:dyDescent="0.3">
      <c r="A86" s="4" t="s">
        <v>118</v>
      </c>
      <c r="B86" t="str">
        <f t="shared" si="2"/>
        <v>Bechtel et al. 2013 (phytane)</v>
      </c>
      <c r="C86" s="4" t="s">
        <v>2</v>
      </c>
      <c r="D86" t="str">
        <f t="shared" si="3"/>
        <v>Hayes et al. 1999 (carbonate)</v>
      </c>
      <c r="F86" t="s">
        <v>687</v>
      </c>
      <c r="G86" t="s">
        <v>593</v>
      </c>
      <c r="H86" t="s">
        <v>729</v>
      </c>
    </row>
    <row r="87" spans="1:8" x14ac:dyDescent="0.3">
      <c r="A87" s="4" t="s">
        <v>118</v>
      </c>
      <c r="B87" t="str">
        <f t="shared" si="2"/>
        <v>Bechtel et al. 2013 (phytane)</v>
      </c>
      <c r="C87" s="4" t="s">
        <v>2</v>
      </c>
      <c r="D87" t="str">
        <f t="shared" si="3"/>
        <v>Hayes et al. 1999 (carbonate)</v>
      </c>
      <c r="F87" t="s">
        <v>687</v>
      </c>
      <c r="G87" t="s">
        <v>593</v>
      </c>
      <c r="H87" t="s">
        <v>729</v>
      </c>
    </row>
    <row r="88" spans="1:8" x14ac:dyDescent="0.3">
      <c r="A88" s="4" t="s">
        <v>118</v>
      </c>
      <c r="B88" t="str">
        <f t="shared" si="2"/>
        <v>Bechtel et al. 2013 (phytane)</v>
      </c>
      <c r="C88" s="4" t="s">
        <v>2</v>
      </c>
      <c r="D88" t="str">
        <f t="shared" si="3"/>
        <v>Hayes et al. 1999 (carbonate)</v>
      </c>
      <c r="F88" t="s">
        <v>687</v>
      </c>
      <c r="G88" t="s">
        <v>593</v>
      </c>
      <c r="H88" t="s">
        <v>729</v>
      </c>
    </row>
    <row r="89" spans="1:8" x14ac:dyDescent="0.3">
      <c r="A89" s="4" t="s">
        <v>118</v>
      </c>
      <c r="B89" t="str">
        <f t="shared" si="2"/>
        <v>Bechtel et al. 2013 (phytane)</v>
      </c>
      <c r="C89" s="4" t="s">
        <v>2</v>
      </c>
      <c r="D89" t="str">
        <f t="shared" si="3"/>
        <v>Hayes et al. 1999 (carbonate)</v>
      </c>
      <c r="F89" t="s">
        <v>687</v>
      </c>
      <c r="G89" t="s">
        <v>593</v>
      </c>
      <c r="H89" t="s">
        <v>729</v>
      </c>
    </row>
    <row r="90" spans="1:8" x14ac:dyDescent="0.3">
      <c r="A90" s="4" t="s">
        <v>118</v>
      </c>
      <c r="B90" t="str">
        <f t="shared" si="2"/>
        <v>Bechtel et al. 2013 (phytane)</v>
      </c>
      <c r="C90" s="4" t="s">
        <v>2</v>
      </c>
      <c r="D90" t="str">
        <f t="shared" si="3"/>
        <v>Hayes et al. 1999 (carbonate)</v>
      </c>
      <c r="F90" t="s">
        <v>687</v>
      </c>
      <c r="G90" t="s">
        <v>593</v>
      </c>
      <c r="H90" t="s">
        <v>729</v>
      </c>
    </row>
    <row r="91" spans="1:8" x14ac:dyDescent="0.3">
      <c r="A91" s="4" t="s">
        <v>115</v>
      </c>
      <c r="B91" t="str">
        <f t="shared" si="2"/>
        <v>Schoon et al. 2011 (phytane)</v>
      </c>
      <c r="C91" s="4" t="s">
        <v>115</v>
      </c>
      <c r="D91" t="str">
        <f t="shared" si="3"/>
        <v>Schoon et al. 2011 (carbonate)</v>
      </c>
      <c r="F91" t="s">
        <v>688</v>
      </c>
      <c r="G91" t="s">
        <v>728</v>
      </c>
    </row>
    <row r="92" spans="1:8" x14ac:dyDescent="0.3">
      <c r="A92" s="4" t="s">
        <v>115</v>
      </c>
      <c r="B92" t="str">
        <f t="shared" si="2"/>
        <v>Schoon et al. 2011 (phytane)</v>
      </c>
      <c r="C92" s="4" t="s">
        <v>115</v>
      </c>
      <c r="D92" t="str">
        <f t="shared" si="3"/>
        <v>Schoon et al. 2011 (carbonate)</v>
      </c>
      <c r="F92" t="s">
        <v>688</v>
      </c>
      <c r="G92" t="s">
        <v>728</v>
      </c>
    </row>
    <row r="93" spans="1:8" x14ac:dyDescent="0.3">
      <c r="A93" s="4" t="s">
        <v>115</v>
      </c>
      <c r="B93" t="str">
        <f t="shared" si="2"/>
        <v>Schoon et al. 2011 (phytane)</v>
      </c>
      <c r="C93" s="4" t="s">
        <v>115</v>
      </c>
      <c r="D93" t="str">
        <f t="shared" si="3"/>
        <v>Schoon et al. 2011 (carbonate)</v>
      </c>
      <c r="F93" t="s">
        <v>688</v>
      </c>
      <c r="G93" t="s">
        <v>728</v>
      </c>
    </row>
    <row r="94" spans="1:8" x14ac:dyDescent="0.3">
      <c r="A94" s="4" t="s">
        <v>115</v>
      </c>
      <c r="B94" t="str">
        <f t="shared" si="2"/>
        <v>Schoon et al. 2011 (phytane)</v>
      </c>
      <c r="C94" s="4" t="s">
        <v>115</v>
      </c>
      <c r="D94" t="str">
        <f t="shared" si="3"/>
        <v>Schoon et al. 2011 (carbonate)</v>
      </c>
      <c r="F94" t="s">
        <v>688</v>
      </c>
      <c r="G94" t="s">
        <v>728</v>
      </c>
    </row>
    <row r="95" spans="1:8" x14ac:dyDescent="0.3">
      <c r="A95" s="4" t="s">
        <v>115</v>
      </c>
      <c r="B95" t="str">
        <f t="shared" si="2"/>
        <v>Schoon et al. 2011 (phytane)</v>
      </c>
      <c r="C95" s="4" t="s">
        <v>115</v>
      </c>
      <c r="D95" t="str">
        <f t="shared" si="3"/>
        <v>Schoon et al. 2011 (carbonate)</v>
      </c>
      <c r="F95" t="s">
        <v>688</v>
      </c>
      <c r="G95" t="s">
        <v>728</v>
      </c>
    </row>
    <row r="96" spans="1:8" x14ac:dyDescent="0.3">
      <c r="A96" s="4" t="s">
        <v>115</v>
      </c>
      <c r="B96" t="str">
        <f t="shared" si="2"/>
        <v>Schoon et al. 2011 (phytane)</v>
      </c>
      <c r="C96" s="4" t="s">
        <v>115</v>
      </c>
      <c r="D96" t="str">
        <f t="shared" si="3"/>
        <v>Schoon et al. 2011 (carbonate)</v>
      </c>
      <c r="F96" t="s">
        <v>688</v>
      </c>
      <c r="G96" t="s">
        <v>728</v>
      </c>
    </row>
    <row r="97" spans="1:7" x14ac:dyDescent="0.3">
      <c r="A97" s="4" t="s">
        <v>115</v>
      </c>
      <c r="B97" t="str">
        <f t="shared" si="2"/>
        <v>Schoon et al. 2011 (phytane)</v>
      </c>
      <c r="C97" s="4" t="s">
        <v>115</v>
      </c>
      <c r="D97" t="str">
        <f t="shared" si="3"/>
        <v>Schoon et al. 2011 (carbonate)</v>
      </c>
      <c r="F97" t="s">
        <v>688</v>
      </c>
      <c r="G97" t="s">
        <v>728</v>
      </c>
    </row>
    <row r="98" spans="1:7" x14ac:dyDescent="0.3">
      <c r="A98" s="4" t="s">
        <v>115</v>
      </c>
      <c r="B98" t="str">
        <f t="shared" si="2"/>
        <v>Schoon et al. 2011 (phytane)</v>
      </c>
      <c r="C98" s="4" t="s">
        <v>115</v>
      </c>
      <c r="D98" t="str">
        <f t="shared" si="3"/>
        <v>Schoon et al. 2011 (carbonate)</v>
      </c>
      <c r="F98" t="s">
        <v>688</v>
      </c>
      <c r="G98" t="s">
        <v>728</v>
      </c>
    </row>
    <row r="99" spans="1:7" x14ac:dyDescent="0.3">
      <c r="A99" s="4" t="s">
        <v>115</v>
      </c>
      <c r="B99" t="str">
        <f t="shared" si="2"/>
        <v>Schoon et al. 2011 (phytane)</v>
      </c>
      <c r="C99" s="4" t="s">
        <v>115</v>
      </c>
      <c r="D99" t="str">
        <f t="shared" si="3"/>
        <v>Schoon et al. 2011 (carbonate)</v>
      </c>
      <c r="F99" t="s">
        <v>688</v>
      </c>
      <c r="G99" t="s">
        <v>728</v>
      </c>
    </row>
    <row r="100" spans="1:7" x14ac:dyDescent="0.3">
      <c r="A100" s="4" t="s">
        <v>115</v>
      </c>
      <c r="B100" t="str">
        <f t="shared" si="2"/>
        <v>Schoon et al. 2011 (phytane)</v>
      </c>
      <c r="C100" s="4" t="s">
        <v>115</v>
      </c>
      <c r="D100" t="str">
        <f t="shared" si="3"/>
        <v>Schoon et al. 2011 (carbonate)</v>
      </c>
      <c r="F100" t="s">
        <v>688</v>
      </c>
      <c r="G100" t="s">
        <v>728</v>
      </c>
    </row>
    <row r="101" spans="1:7" x14ac:dyDescent="0.3">
      <c r="A101" s="4" t="s">
        <v>115</v>
      </c>
      <c r="B101" t="str">
        <f t="shared" si="2"/>
        <v>Schoon et al. 2011 (phytane)</v>
      </c>
      <c r="C101" s="4" t="s">
        <v>115</v>
      </c>
      <c r="D101" t="str">
        <f t="shared" si="3"/>
        <v>Schoon et al. 2011 (carbonate)</v>
      </c>
      <c r="F101" t="s">
        <v>688</v>
      </c>
      <c r="G101" t="s">
        <v>728</v>
      </c>
    </row>
    <row r="102" spans="1:7" x14ac:dyDescent="0.3">
      <c r="A102" s="4" t="s">
        <v>115</v>
      </c>
      <c r="B102" t="str">
        <f t="shared" si="2"/>
        <v>Schoon et al. 2011 (phytane)</v>
      </c>
      <c r="C102" s="4" t="s">
        <v>115</v>
      </c>
      <c r="D102" t="str">
        <f t="shared" si="3"/>
        <v>Schoon et al. 2011 (carbonate)</v>
      </c>
      <c r="F102" t="s">
        <v>688</v>
      </c>
      <c r="G102" t="s">
        <v>728</v>
      </c>
    </row>
    <row r="103" spans="1:7" x14ac:dyDescent="0.3">
      <c r="A103" s="4" t="s">
        <v>115</v>
      </c>
      <c r="B103" t="str">
        <f t="shared" si="2"/>
        <v>Schoon et al. 2011 (phytane)</v>
      </c>
      <c r="C103" s="4" t="s">
        <v>115</v>
      </c>
      <c r="D103" t="str">
        <f t="shared" si="3"/>
        <v>Schoon et al. 2011 (carbonate)</v>
      </c>
      <c r="F103" t="s">
        <v>688</v>
      </c>
      <c r="G103" t="s">
        <v>728</v>
      </c>
    </row>
    <row r="104" spans="1:7" x14ac:dyDescent="0.3">
      <c r="A104" s="4" t="s">
        <v>115</v>
      </c>
      <c r="B104" t="str">
        <f t="shared" si="2"/>
        <v>Schoon et al. 2011 (phytane)</v>
      </c>
      <c r="C104" s="4" t="s">
        <v>115</v>
      </c>
      <c r="D104" t="str">
        <f t="shared" si="3"/>
        <v>Schoon et al. 2011 (carbonate)</v>
      </c>
      <c r="F104" t="s">
        <v>688</v>
      </c>
      <c r="G104" t="s">
        <v>728</v>
      </c>
    </row>
    <row r="105" spans="1:7" x14ac:dyDescent="0.3">
      <c r="A105" s="4" t="s">
        <v>115</v>
      </c>
      <c r="B105" t="str">
        <f t="shared" si="2"/>
        <v>Schoon et al. 2011 (phytane)</v>
      </c>
      <c r="C105" s="4" t="s">
        <v>115</v>
      </c>
      <c r="D105" t="str">
        <f t="shared" si="3"/>
        <v>Schoon et al. 2011 (carbonate)</v>
      </c>
      <c r="F105" t="s">
        <v>688</v>
      </c>
      <c r="G105" t="s">
        <v>728</v>
      </c>
    </row>
    <row r="106" spans="1:7" x14ac:dyDescent="0.3">
      <c r="A106" s="4" t="s">
        <v>115</v>
      </c>
      <c r="B106" t="str">
        <f t="shared" si="2"/>
        <v>Schoon et al. 2011 (phytane)</v>
      </c>
      <c r="C106" s="4" t="s">
        <v>115</v>
      </c>
      <c r="D106" t="str">
        <f t="shared" si="3"/>
        <v>Schoon et al. 2011 (carbonate)</v>
      </c>
      <c r="F106" t="s">
        <v>688</v>
      </c>
      <c r="G106" t="s">
        <v>728</v>
      </c>
    </row>
    <row r="107" spans="1:7" x14ac:dyDescent="0.3">
      <c r="A107" s="4" t="s">
        <v>115</v>
      </c>
      <c r="B107" t="str">
        <f t="shared" si="2"/>
        <v>Schoon et al. 2011 (phytane)</v>
      </c>
      <c r="C107" s="4" t="s">
        <v>115</v>
      </c>
      <c r="D107" t="str">
        <f t="shared" si="3"/>
        <v>Schoon et al. 2011 (carbonate)</v>
      </c>
      <c r="F107" t="s">
        <v>688</v>
      </c>
      <c r="G107" t="s">
        <v>728</v>
      </c>
    </row>
    <row r="108" spans="1:7" x14ac:dyDescent="0.3">
      <c r="A108" s="4" t="s">
        <v>115</v>
      </c>
      <c r="B108" t="str">
        <f t="shared" si="2"/>
        <v>Schoon et al. 2011 (phytane)</v>
      </c>
      <c r="C108" s="4" t="s">
        <v>115</v>
      </c>
      <c r="D108" t="str">
        <f t="shared" si="3"/>
        <v>Schoon et al. 2011 (carbonate)</v>
      </c>
      <c r="F108" t="s">
        <v>688</v>
      </c>
      <c r="G108" t="s">
        <v>728</v>
      </c>
    </row>
    <row r="109" spans="1:7" x14ac:dyDescent="0.3">
      <c r="A109" s="4" t="s">
        <v>115</v>
      </c>
      <c r="B109" t="str">
        <f t="shared" si="2"/>
        <v>Schoon et al. 2011 (phytane)</v>
      </c>
      <c r="C109" s="4" t="s">
        <v>115</v>
      </c>
      <c r="D109" t="str">
        <f t="shared" si="3"/>
        <v>Schoon et al. 2011 (carbonate)</v>
      </c>
      <c r="F109" t="s">
        <v>688</v>
      </c>
      <c r="G109" t="s">
        <v>728</v>
      </c>
    </row>
    <row r="110" spans="1:7" x14ac:dyDescent="0.3">
      <c r="A110" s="4" t="s">
        <v>115</v>
      </c>
      <c r="B110" t="str">
        <f t="shared" si="2"/>
        <v>Schoon et al. 2011 (phytane)</v>
      </c>
      <c r="C110" s="4" t="s">
        <v>115</v>
      </c>
      <c r="D110" t="str">
        <f t="shared" si="3"/>
        <v>Schoon et al. 2011 (carbonate)</v>
      </c>
      <c r="F110" t="s">
        <v>688</v>
      </c>
      <c r="G110" t="s">
        <v>728</v>
      </c>
    </row>
    <row r="111" spans="1:7" x14ac:dyDescent="0.3">
      <c r="A111" s="4" t="s">
        <v>206</v>
      </c>
      <c r="B111" t="str">
        <f t="shared" si="2"/>
        <v>Alizadah et al. 2015 (phytane)</v>
      </c>
      <c r="C111" s="4" t="s">
        <v>2</v>
      </c>
      <c r="D111" t="str">
        <f t="shared" si="3"/>
        <v>Hayes et al. 1999 (carbonate)</v>
      </c>
      <c r="F111" t="s">
        <v>689</v>
      </c>
      <c r="G111" t="s">
        <v>728</v>
      </c>
    </row>
    <row r="112" spans="1:7" x14ac:dyDescent="0.3">
      <c r="A112" s="25" t="s">
        <v>293</v>
      </c>
      <c r="B112" t="str">
        <f t="shared" si="2"/>
        <v>Witkowski et al. 2018 (phytane)</v>
      </c>
      <c r="C112" s="4" t="s">
        <v>379</v>
      </c>
      <c r="D112" t="str">
        <f t="shared" si="3"/>
        <v>Barral et al. 2017 (carbonate)</v>
      </c>
      <c r="F112" t="s">
        <v>690</v>
      </c>
      <c r="G112" t="s">
        <v>728</v>
      </c>
    </row>
    <row r="113" spans="1:7" x14ac:dyDescent="0.3">
      <c r="A113" s="4" t="s">
        <v>206</v>
      </c>
      <c r="B113" t="str">
        <f t="shared" si="2"/>
        <v>Alizadah et al. 2015 (phytane)</v>
      </c>
      <c r="C113" s="4" t="s">
        <v>2</v>
      </c>
      <c r="D113" t="str">
        <f t="shared" si="3"/>
        <v>Hayes et al. 1999 (carbonate)</v>
      </c>
      <c r="F113" t="s">
        <v>689</v>
      </c>
      <c r="G113" t="s">
        <v>728</v>
      </c>
    </row>
    <row r="114" spans="1:7" x14ac:dyDescent="0.3">
      <c r="A114" s="4" t="s">
        <v>286</v>
      </c>
      <c r="B114" t="str">
        <f t="shared" si="2"/>
        <v>Bice et al. 2006 (phytane)</v>
      </c>
      <c r="C114" s="4" t="s">
        <v>286</v>
      </c>
      <c r="D114" t="str">
        <f t="shared" si="3"/>
        <v>Bice et al. 2006 (carbonate)</v>
      </c>
      <c r="F114" t="s">
        <v>691</v>
      </c>
      <c r="G114" t="s">
        <v>728</v>
      </c>
    </row>
    <row r="115" spans="1:7" x14ac:dyDescent="0.3">
      <c r="A115" s="4" t="s">
        <v>286</v>
      </c>
      <c r="B115" t="str">
        <f t="shared" si="2"/>
        <v>Bice et al. 2006 (phytane)</v>
      </c>
      <c r="C115" s="4" t="s">
        <v>286</v>
      </c>
      <c r="D115" t="str">
        <f t="shared" si="3"/>
        <v>Bice et al. 2006 (carbonate)</v>
      </c>
      <c r="F115" t="s">
        <v>691</v>
      </c>
      <c r="G115" t="s">
        <v>728</v>
      </c>
    </row>
    <row r="116" spans="1:7" x14ac:dyDescent="0.3">
      <c r="A116" s="4" t="s">
        <v>286</v>
      </c>
      <c r="B116" t="str">
        <f t="shared" si="2"/>
        <v>Bice et al. 2006 (phytane)</v>
      </c>
      <c r="C116" s="4" t="s">
        <v>286</v>
      </c>
      <c r="D116" t="str">
        <f t="shared" si="3"/>
        <v>Bice et al. 2006 (carbonate)</v>
      </c>
      <c r="F116" t="s">
        <v>691</v>
      </c>
      <c r="G116" t="s">
        <v>728</v>
      </c>
    </row>
    <row r="117" spans="1:7" x14ac:dyDescent="0.3">
      <c r="A117" s="4" t="s">
        <v>286</v>
      </c>
      <c r="B117" t="str">
        <f t="shared" si="2"/>
        <v>Bice et al. 2006 (phytane)</v>
      </c>
      <c r="C117" s="4" t="s">
        <v>286</v>
      </c>
      <c r="D117" t="str">
        <f t="shared" si="3"/>
        <v>Bice et al. 2006 (carbonate)</v>
      </c>
      <c r="F117" t="s">
        <v>691</v>
      </c>
      <c r="G117" t="s">
        <v>728</v>
      </c>
    </row>
    <row r="118" spans="1:7" x14ac:dyDescent="0.3">
      <c r="A118" s="47" t="s">
        <v>293</v>
      </c>
      <c r="B118" t="str">
        <f t="shared" si="2"/>
        <v>Witkowski et al. 2018 (phytane)</v>
      </c>
      <c r="C118" s="4" t="s">
        <v>379</v>
      </c>
      <c r="D118" t="str">
        <f t="shared" si="3"/>
        <v>Barral et al. 2017 (carbonate)</v>
      </c>
      <c r="F118" t="s">
        <v>690</v>
      </c>
      <c r="G118" t="s">
        <v>728</v>
      </c>
    </row>
    <row r="119" spans="1:7" x14ac:dyDescent="0.3">
      <c r="A119" s="25" t="s">
        <v>293</v>
      </c>
      <c r="B119" t="str">
        <f t="shared" si="2"/>
        <v>Witkowski et al. 2018 (phytane)</v>
      </c>
      <c r="C119" s="4" t="s">
        <v>379</v>
      </c>
      <c r="D119" t="str">
        <f t="shared" si="3"/>
        <v>Barral et al. 2017 (carbonate)</v>
      </c>
      <c r="F119" t="s">
        <v>690</v>
      </c>
      <c r="G119" t="s">
        <v>728</v>
      </c>
    </row>
    <row r="120" spans="1:7" x14ac:dyDescent="0.3">
      <c r="A120" s="4" t="s">
        <v>206</v>
      </c>
      <c r="B120" t="str">
        <f t="shared" si="2"/>
        <v>Alizadah et al. 2015 (phytane)</v>
      </c>
      <c r="C120" s="4" t="s">
        <v>2</v>
      </c>
      <c r="D120" t="str">
        <f t="shared" si="3"/>
        <v>Hayes et al. 1999 (carbonate)</v>
      </c>
      <c r="F120" t="s">
        <v>689</v>
      </c>
      <c r="G120" t="s">
        <v>728</v>
      </c>
    </row>
    <row r="121" spans="1:7" x14ac:dyDescent="0.3">
      <c r="A121" s="4" t="s">
        <v>206</v>
      </c>
      <c r="B121" t="str">
        <f t="shared" si="2"/>
        <v>Alizadah et al. 2015 (phytane)</v>
      </c>
      <c r="C121" s="4" t="s">
        <v>2</v>
      </c>
      <c r="D121" t="str">
        <f t="shared" si="3"/>
        <v>Hayes et al. 1999 (carbonate)</v>
      </c>
      <c r="F121" t="s">
        <v>689</v>
      </c>
      <c r="G121" t="s">
        <v>728</v>
      </c>
    </row>
    <row r="122" spans="1:7" x14ac:dyDescent="0.3">
      <c r="A122" s="4" t="s">
        <v>88</v>
      </c>
      <c r="B122" t="str">
        <f t="shared" si="2"/>
        <v>van Bentum et al. 2012a (phytane)</v>
      </c>
      <c r="C122" s="4" t="s">
        <v>388</v>
      </c>
      <c r="D122" t="str">
        <f t="shared" si="3"/>
        <v>Barral et al. 2017 (carbonate)</v>
      </c>
      <c r="F122" t="s">
        <v>692</v>
      </c>
      <c r="G122" t="s">
        <v>728</v>
      </c>
    </row>
    <row r="123" spans="1:7" x14ac:dyDescent="0.3">
      <c r="A123" s="4" t="s">
        <v>88</v>
      </c>
      <c r="B123" t="str">
        <f t="shared" si="2"/>
        <v>van Bentum et al. 2012a (phytane)</v>
      </c>
      <c r="C123" s="4" t="s">
        <v>388</v>
      </c>
      <c r="D123" t="str">
        <f t="shared" si="3"/>
        <v>Barral et al. 2017 (carbonate)</v>
      </c>
      <c r="F123" t="s">
        <v>692</v>
      </c>
      <c r="G123" t="s">
        <v>728</v>
      </c>
    </row>
    <row r="124" spans="1:7" x14ac:dyDescent="0.3">
      <c r="A124" s="4" t="s">
        <v>89</v>
      </c>
      <c r="B124" t="str">
        <f t="shared" si="2"/>
        <v>van Bentum et al. 2012b (phytane)</v>
      </c>
      <c r="C124" s="4" t="s">
        <v>71</v>
      </c>
      <c r="D124" t="str">
        <f t="shared" si="3"/>
        <v>Sinninghe et al. 2008b (carbonate)</v>
      </c>
      <c r="F124" t="s">
        <v>693</v>
      </c>
      <c r="G124" t="s">
        <v>728</v>
      </c>
    </row>
    <row r="125" spans="1:7" x14ac:dyDescent="0.3">
      <c r="A125" s="4" t="s">
        <v>89</v>
      </c>
      <c r="B125" t="str">
        <f t="shared" si="2"/>
        <v>van Bentum et al. 2012b (phytane)</v>
      </c>
      <c r="C125" s="4" t="s">
        <v>71</v>
      </c>
      <c r="D125" t="str">
        <f t="shared" si="3"/>
        <v>Sinninghe et al. 2008b (carbonate)</v>
      </c>
      <c r="F125" t="s">
        <v>693</v>
      </c>
      <c r="G125" t="s">
        <v>728</v>
      </c>
    </row>
    <row r="126" spans="1:7" x14ac:dyDescent="0.3">
      <c r="A126" s="4" t="s">
        <v>89</v>
      </c>
      <c r="B126" t="str">
        <f t="shared" si="2"/>
        <v>van Bentum et al. 2012b (phytane)</v>
      </c>
      <c r="C126" s="4" t="s">
        <v>71</v>
      </c>
      <c r="D126" t="str">
        <f t="shared" si="3"/>
        <v>Sinninghe et al. 2008b (carbonate)</v>
      </c>
      <c r="F126" t="s">
        <v>693</v>
      </c>
      <c r="G126" t="s">
        <v>728</v>
      </c>
    </row>
    <row r="127" spans="1:7" x14ac:dyDescent="0.3">
      <c r="A127" s="4" t="s">
        <v>71</v>
      </c>
      <c r="B127" t="str">
        <f t="shared" si="2"/>
        <v>Sinninghe Damste et al. 2008b (phytane)</v>
      </c>
      <c r="C127" s="4" t="s">
        <v>71</v>
      </c>
      <c r="D127" t="str">
        <f t="shared" si="3"/>
        <v>Sinninghe et al. 2008b (carbonate)</v>
      </c>
      <c r="F127" t="s">
        <v>694</v>
      </c>
      <c r="G127" t="s">
        <v>728</v>
      </c>
    </row>
    <row r="128" spans="1:7" x14ac:dyDescent="0.3">
      <c r="A128" s="4" t="s">
        <v>71</v>
      </c>
      <c r="B128" t="str">
        <f t="shared" si="2"/>
        <v>Sinninghe Damste et al. 2008b (phytane)</v>
      </c>
      <c r="C128" s="4" t="s">
        <v>71</v>
      </c>
      <c r="D128" t="str">
        <f t="shared" si="3"/>
        <v>Sinninghe et al. 2008b (carbonate)</v>
      </c>
      <c r="F128" t="s">
        <v>694</v>
      </c>
      <c r="G128" t="s">
        <v>728</v>
      </c>
    </row>
    <row r="129" spans="1:7" x14ac:dyDescent="0.3">
      <c r="A129" s="4" t="s">
        <v>72</v>
      </c>
      <c r="B129" t="str">
        <f t="shared" si="2"/>
        <v>Tsikos et al. 2004 (phytane)</v>
      </c>
      <c r="C129" s="4" t="s">
        <v>72</v>
      </c>
      <c r="D129" t="str">
        <f t="shared" si="3"/>
        <v>Tsikos et al. 2004 (carbonate)</v>
      </c>
      <c r="F129" t="s">
        <v>695</v>
      </c>
      <c r="G129" t="s">
        <v>728</v>
      </c>
    </row>
    <row r="130" spans="1:7" x14ac:dyDescent="0.3">
      <c r="A130" s="4" t="s">
        <v>72</v>
      </c>
      <c r="B130" t="str">
        <f t="shared" si="2"/>
        <v>Tsikos et al. 2004 (phytane)</v>
      </c>
      <c r="C130" s="4" t="s">
        <v>72</v>
      </c>
      <c r="D130" t="str">
        <f t="shared" si="3"/>
        <v>Tsikos et al. 2004 (carbonate)</v>
      </c>
      <c r="F130" t="s">
        <v>695</v>
      </c>
      <c r="G130" t="s">
        <v>728</v>
      </c>
    </row>
    <row r="131" spans="1:7" x14ac:dyDescent="0.3">
      <c r="A131" s="4" t="s">
        <v>72</v>
      </c>
      <c r="B131" t="str">
        <f t="shared" ref="B131:B194" si="4">_xlfn.CONCAT(VLOOKUP(A131, $I$2:$J$33, 2, FALSE), " (phytane)")</f>
        <v>Tsikos et al. 2004 (phytane)</v>
      </c>
      <c r="C131" s="4" t="s">
        <v>72</v>
      </c>
      <c r="D131" t="str">
        <f t="shared" ref="D131:D194" si="5">_xlfn.CONCAT(VLOOKUP(C131, $M$2:$N$29, 2, FALSE), " (carbonate)")</f>
        <v>Tsikos et al. 2004 (carbonate)</v>
      </c>
      <c r="F131" t="s">
        <v>695</v>
      </c>
      <c r="G131" t="s">
        <v>728</v>
      </c>
    </row>
    <row r="132" spans="1:7" x14ac:dyDescent="0.3">
      <c r="A132" s="25" t="s">
        <v>293</v>
      </c>
      <c r="B132" t="str">
        <f t="shared" si="4"/>
        <v>Witkowski et al. 2018 (phytane)</v>
      </c>
      <c r="C132" s="4" t="s">
        <v>2</v>
      </c>
      <c r="D132" t="str">
        <f t="shared" si="5"/>
        <v>Hayes et al. 1999 (carbonate)</v>
      </c>
      <c r="F132" t="s">
        <v>676</v>
      </c>
      <c r="G132" t="s">
        <v>728</v>
      </c>
    </row>
    <row r="133" spans="1:7" x14ac:dyDescent="0.3">
      <c r="A133" s="25" t="s">
        <v>293</v>
      </c>
      <c r="B133" t="str">
        <f t="shared" si="4"/>
        <v>Witkowski et al. 2018 (phytane)</v>
      </c>
      <c r="C133" s="4" t="s">
        <v>2</v>
      </c>
      <c r="D133" t="str">
        <f t="shared" si="5"/>
        <v>Hayes et al. 1999 (carbonate)</v>
      </c>
      <c r="F133" t="s">
        <v>676</v>
      </c>
      <c r="G133" t="s">
        <v>728</v>
      </c>
    </row>
    <row r="134" spans="1:7" x14ac:dyDescent="0.3">
      <c r="A134" s="4" t="s">
        <v>286</v>
      </c>
      <c r="B134" t="str">
        <f t="shared" si="4"/>
        <v>Bice et al. 2006 (phytane)</v>
      </c>
      <c r="C134" s="4" t="s">
        <v>286</v>
      </c>
      <c r="D134" t="str">
        <f t="shared" si="5"/>
        <v>Bice et al. 2006 (carbonate)</v>
      </c>
      <c r="F134" t="s">
        <v>691</v>
      </c>
      <c r="G134" t="s">
        <v>728</v>
      </c>
    </row>
    <row r="135" spans="1:7" x14ac:dyDescent="0.3">
      <c r="A135" s="4" t="s">
        <v>93</v>
      </c>
      <c r="B135" t="str">
        <f t="shared" si="4"/>
        <v>Kuypers et al. 2004 (phytane)</v>
      </c>
      <c r="C135" s="4" t="s">
        <v>388</v>
      </c>
      <c r="D135" t="str">
        <f t="shared" si="5"/>
        <v>Barral et al. 2017 (carbonate)</v>
      </c>
      <c r="F135" t="s">
        <v>696</v>
      </c>
      <c r="G135" t="s">
        <v>728</v>
      </c>
    </row>
    <row r="136" spans="1:7" x14ac:dyDescent="0.3">
      <c r="A136" s="4" t="s">
        <v>74</v>
      </c>
      <c r="B136" t="str">
        <f t="shared" si="4"/>
        <v>Kuypers et al. 2002 (phytane)</v>
      </c>
      <c r="C136" s="4" t="s">
        <v>71</v>
      </c>
      <c r="D136" t="str">
        <f t="shared" si="5"/>
        <v>Sinninghe et al. 2008b (carbonate)</v>
      </c>
      <c r="F136" t="s">
        <v>697</v>
      </c>
      <c r="G136" t="s">
        <v>728</v>
      </c>
    </row>
    <row r="137" spans="1:7" x14ac:dyDescent="0.3">
      <c r="A137" s="4" t="s">
        <v>74</v>
      </c>
      <c r="B137" t="str">
        <f t="shared" si="4"/>
        <v>Kuypers et al. 2002 (phytane)</v>
      </c>
      <c r="C137" s="4" t="s">
        <v>71</v>
      </c>
      <c r="D137" t="str">
        <f t="shared" si="5"/>
        <v>Sinninghe et al. 2008b (carbonate)</v>
      </c>
      <c r="F137" t="s">
        <v>697</v>
      </c>
      <c r="G137" t="s">
        <v>728</v>
      </c>
    </row>
    <row r="138" spans="1:7" x14ac:dyDescent="0.3">
      <c r="A138" s="4" t="s">
        <v>88</v>
      </c>
      <c r="B138" t="str">
        <f t="shared" si="4"/>
        <v>van Bentum et al. 2012a (phytane)</v>
      </c>
      <c r="C138" s="4" t="s">
        <v>388</v>
      </c>
      <c r="D138" t="str">
        <f t="shared" si="5"/>
        <v>Barral et al. 2017 (carbonate)</v>
      </c>
      <c r="F138" t="s">
        <v>692</v>
      </c>
      <c r="G138" t="s">
        <v>728</v>
      </c>
    </row>
    <row r="139" spans="1:7" x14ac:dyDescent="0.3">
      <c r="A139" s="4" t="s">
        <v>88</v>
      </c>
      <c r="B139" t="str">
        <f t="shared" si="4"/>
        <v>van Bentum et al. 2012a (phytane)</v>
      </c>
      <c r="C139" s="4" t="s">
        <v>388</v>
      </c>
      <c r="D139" t="str">
        <f t="shared" si="5"/>
        <v>Barral et al. 2017 (carbonate)</v>
      </c>
      <c r="F139" t="s">
        <v>692</v>
      </c>
      <c r="G139" t="s">
        <v>728</v>
      </c>
    </row>
    <row r="140" spans="1:7" x14ac:dyDescent="0.3">
      <c r="A140" s="4" t="s">
        <v>89</v>
      </c>
      <c r="B140" t="str">
        <f t="shared" si="4"/>
        <v>van Bentum et al. 2012b (phytane)</v>
      </c>
      <c r="C140" s="4" t="s">
        <v>388</v>
      </c>
      <c r="D140" t="str">
        <f t="shared" si="5"/>
        <v>Barral et al. 2017 (carbonate)</v>
      </c>
      <c r="F140" t="s">
        <v>698</v>
      </c>
      <c r="G140" t="s">
        <v>728</v>
      </c>
    </row>
    <row r="141" spans="1:7" x14ac:dyDescent="0.3">
      <c r="A141" s="4" t="s">
        <v>89</v>
      </c>
      <c r="B141" t="str">
        <f t="shared" si="4"/>
        <v>van Bentum et al. 2012b (phytane)</v>
      </c>
      <c r="C141" s="4" t="s">
        <v>388</v>
      </c>
      <c r="D141" t="str">
        <f t="shared" si="5"/>
        <v>Barral et al. 2017 (carbonate)</v>
      </c>
      <c r="F141" t="s">
        <v>698</v>
      </c>
      <c r="G141" t="s">
        <v>728</v>
      </c>
    </row>
    <row r="142" spans="1:7" x14ac:dyDescent="0.3">
      <c r="A142" s="4" t="s">
        <v>89</v>
      </c>
      <c r="B142" t="str">
        <f t="shared" si="4"/>
        <v>van Bentum et al. 2012b (phytane)</v>
      </c>
      <c r="C142" s="4" t="s">
        <v>388</v>
      </c>
      <c r="D142" t="str">
        <f t="shared" si="5"/>
        <v>Barral et al. 2017 (carbonate)</v>
      </c>
      <c r="F142" t="s">
        <v>698</v>
      </c>
      <c r="G142" t="s">
        <v>728</v>
      </c>
    </row>
    <row r="143" spans="1:7" x14ac:dyDescent="0.3">
      <c r="A143" s="4" t="s">
        <v>71</v>
      </c>
      <c r="B143" t="str">
        <f t="shared" si="4"/>
        <v>Sinninghe Damste et al. 2008b (phytane)</v>
      </c>
      <c r="C143" s="4" t="s">
        <v>71</v>
      </c>
      <c r="D143" t="str">
        <f t="shared" si="5"/>
        <v>Sinninghe et al. 2008b (carbonate)</v>
      </c>
      <c r="F143" t="s">
        <v>694</v>
      </c>
      <c r="G143" t="s">
        <v>728</v>
      </c>
    </row>
    <row r="144" spans="1:7" x14ac:dyDescent="0.3">
      <c r="A144" s="4" t="s">
        <v>71</v>
      </c>
      <c r="B144" t="str">
        <f t="shared" si="4"/>
        <v>Sinninghe Damste et al. 2008b (phytane)</v>
      </c>
      <c r="C144" s="4" t="s">
        <v>71</v>
      </c>
      <c r="D144" t="str">
        <f t="shared" si="5"/>
        <v>Sinninghe et al. 2008b (carbonate)</v>
      </c>
      <c r="F144" t="s">
        <v>694</v>
      </c>
      <c r="G144" t="s">
        <v>728</v>
      </c>
    </row>
    <row r="145" spans="1:7" x14ac:dyDescent="0.3">
      <c r="A145" s="4" t="s">
        <v>80</v>
      </c>
      <c r="B145" t="str">
        <f t="shared" si="4"/>
        <v>Forster et al. 2008 (phytane)</v>
      </c>
      <c r="C145" s="4" t="s">
        <v>387</v>
      </c>
      <c r="D145" t="str">
        <f t="shared" si="5"/>
        <v>Barral et al. 2017 (carbonate)</v>
      </c>
      <c r="F145" t="s">
        <v>699</v>
      </c>
      <c r="G145" t="s">
        <v>728</v>
      </c>
    </row>
    <row r="146" spans="1:7" x14ac:dyDescent="0.3">
      <c r="A146" s="4" t="s">
        <v>80</v>
      </c>
      <c r="B146" t="str">
        <f t="shared" si="4"/>
        <v>Forster et al. 2008 (phytane)</v>
      </c>
      <c r="C146" s="4" t="s">
        <v>387</v>
      </c>
      <c r="D146" t="str">
        <f t="shared" si="5"/>
        <v>Barral et al. 2017 (carbonate)</v>
      </c>
      <c r="F146" t="s">
        <v>699</v>
      </c>
      <c r="G146" t="s">
        <v>728</v>
      </c>
    </row>
    <row r="147" spans="1:7" x14ac:dyDescent="0.3">
      <c r="A147" s="4" t="s">
        <v>88</v>
      </c>
      <c r="B147" t="str">
        <f t="shared" si="4"/>
        <v>van Bentum et al. 2012a (phytane)</v>
      </c>
      <c r="C147" s="4" t="s">
        <v>388</v>
      </c>
      <c r="D147" t="str">
        <f t="shared" si="5"/>
        <v>Barral et al. 2017 (carbonate)</v>
      </c>
      <c r="F147" t="s">
        <v>692</v>
      </c>
      <c r="G147" t="s">
        <v>728</v>
      </c>
    </row>
    <row r="148" spans="1:7" x14ac:dyDescent="0.3">
      <c r="A148" s="4" t="s">
        <v>88</v>
      </c>
      <c r="B148" t="str">
        <f t="shared" si="4"/>
        <v>van Bentum et al. 2012a (phytane)</v>
      </c>
      <c r="C148" s="4" t="s">
        <v>388</v>
      </c>
      <c r="D148" t="str">
        <f t="shared" si="5"/>
        <v>Barral et al. 2017 (carbonate)</v>
      </c>
      <c r="F148" t="s">
        <v>692</v>
      </c>
      <c r="G148" t="s">
        <v>728</v>
      </c>
    </row>
    <row r="149" spans="1:7" x14ac:dyDescent="0.3">
      <c r="A149" s="4" t="s">
        <v>286</v>
      </c>
      <c r="B149" t="str">
        <f t="shared" si="4"/>
        <v>Bice et al. 2006 (phytane)</v>
      </c>
      <c r="C149" s="4" t="s">
        <v>286</v>
      </c>
      <c r="D149" t="str">
        <f t="shared" si="5"/>
        <v>Bice et al. 2006 (carbonate)</v>
      </c>
      <c r="F149" t="s">
        <v>691</v>
      </c>
      <c r="G149" t="s">
        <v>728</v>
      </c>
    </row>
    <row r="150" spans="1:7" x14ac:dyDescent="0.3">
      <c r="A150" s="4" t="s">
        <v>286</v>
      </c>
      <c r="B150" t="str">
        <f t="shared" si="4"/>
        <v>Bice et al. 2006 (phytane)</v>
      </c>
      <c r="C150" s="4" t="s">
        <v>286</v>
      </c>
      <c r="D150" t="str">
        <f t="shared" si="5"/>
        <v>Bice et al. 2006 (carbonate)</v>
      </c>
      <c r="F150" t="s">
        <v>691</v>
      </c>
      <c r="G150" t="s">
        <v>728</v>
      </c>
    </row>
    <row r="151" spans="1:7" x14ac:dyDescent="0.3">
      <c r="A151" s="4" t="s">
        <v>286</v>
      </c>
      <c r="B151" t="str">
        <f t="shared" si="4"/>
        <v>Bice et al. 2006 (phytane)</v>
      </c>
      <c r="C151" s="4" t="s">
        <v>286</v>
      </c>
      <c r="D151" t="str">
        <f t="shared" si="5"/>
        <v>Bice et al. 2006 (carbonate)</v>
      </c>
      <c r="F151" t="s">
        <v>691</v>
      </c>
      <c r="G151" t="s">
        <v>728</v>
      </c>
    </row>
    <row r="152" spans="1:7" x14ac:dyDescent="0.3">
      <c r="A152" s="4" t="s">
        <v>93</v>
      </c>
      <c r="B152" t="str">
        <f t="shared" si="4"/>
        <v>Kuypers et al. 2004 (phytane)</v>
      </c>
      <c r="C152" s="4" t="s">
        <v>388</v>
      </c>
      <c r="D152" t="str">
        <f t="shared" si="5"/>
        <v>Barral et al. 2017 (carbonate)</v>
      </c>
      <c r="F152" t="s">
        <v>696</v>
      </c>
      <c r="G152" t="s">
        <v>728</v>
      </c>
    </row>
    <row r="153" spans="1:7" x14ac:dyDescent="0.3">
      <c r="A153" s="4" t="s">
        <v>89</v>
      </c>
      <c r="B153" t="str">
        <f t="shared" si="4"/>
        <v>van Bentum et al. 2012b (phytane)</v>
      </c>
      <c r="C153" s="4" t="s">
        <v>71</v>
      </c>
      <c r="D153" t="str">
        <f t="shared" si="5"/>
        <v>Sinninghe et al. 2008b (carbonate)</v>
      </c>
      <c r="F153" t="s">
        <v>693</v>
      </c>
      <c r="G153" t="s">
        <v>728</v>
      </c>
    </row>
    <row r="154" spans="1:7" x14ac:dyDescent="0.3">
      <c r="A154" s="4" t="s">
        <v>74</v>
      </c>
      <c r="B154" t="str">
        <f t="shared" si="4"/>
        <v>Kuypers et al. 2002 (phytane)</v>
      </c>
      <c r="C154" s="4" t="s">
        <v>71</v>
      </c>
      <c r="D154" t="str">
        <f t="shared" si="5"/>
        <v>Sinninghe et al. 2008b (carbonate)</v>
      </c>
      <c r="F154" t="s">
        <v>697</v>
      </c>
      <c r="G154" t="s">
        <v>728</v>
      </c>
    </row>
    <row r="155" spans="1:7" x14ac:dyDescent="0.3">
      <c r="A155" s="4" t="s">
        <v>74</v>
      </c>
      <c r="B155" t="str">
        <f t="shared" si="4"/>
        <v>Kuypers et al. 2002 (phytane)</v>
      </c>
      <c r="C155" s="4" t="s">
        <v>71</v>
      </c>
      <c r="D155" t="str">
        <f t="shared" si="5"/>
        <v>Sinninghe et al. 2008b (carbonate)</v>
      </c>
      <c r="F155" t="s">
        <v>697</v>
      </c>
      <c r="G155" t="s">
        <v>728</v>
      </c>
    </row>
    <row r="156" spans="1:7" x14ac:dyDescent="0.3">
      <c r="A156" s="4" t="s">
        <v>89</v>
      </c>
      <c r="B156" t="str">
        <f t="shared" si="4"/>
        <v>van Bentum et al. 2012b (phytane)</v>
      </c>
      <c r="C156" s="4" t="s">
        <v>388</v>
      </c>
      <c r="D156" t="str">
        <f t="shared" si="5"/>
        <v>Barral et al. 2017 (carbonate)</v>
      </c>
      <c r="F156" t="s">
        <v>698</v>
      </c>
      <c r="G156" t="s">
        <v>728</v>
      </c>
    </row>
    <row r="157" spans="1:7" x14ac:dyDescent="0.3">
      <c r="A157" s="4" t="s">
        <v>89</v>
      </c>
      <c r="B157" t="str">
        <f t="shared" si="4"/>
        <v>van Bentum et al. 2012b (phytane)</v>
      </c>
      <c r="C157" s="4" t="s">
        <v>388</v>
      </c>
      <c r="D157" t="str">
        <f t="shared" si="5"/>
        <v>Barral et al. 2017 (carbonate)</v>
      </c>
      <c r="F157" t="s">
        <v>698</v>
      </c>
      <c r="G157" t="s">
        <v>728</v>
      </c>
    </row>
    <row r="158" spans="1:7" x14ac:dyDescent="0.3">
      <c r="A158" s="4" t="s">
        <v>89</v>
      </c>
      <c r="B158" t="str">
        <f t="shared" si="4"/>
        <v>van Bentum et al. 2012b (phytane)</v>
      </c>
      <c r="C158" s="4" t="s">
        <v>388</v>
      </c>
      <c r="D158" t="str">
        <f t="shared" si="5"/>
        <v>Barral et al. 2017 (carbonate)</v>
      </c>
      <c r="F158" t="s">
        <v>698</v>
      </c>
      <c r="G158" t="s">
        <v>728</v>
      </c>
    </row>
    <row r="159" spans="1:7" x14ac:dyDescent="0.3">
      <c r="A159" s="4" t="s">
        <v>71</v>
      </c>
      <c r="B159" t="str">
        <f t="shared" si="4"/>
        <v>Sinninghe Damste et al. 2008b (phytane)</v>
      </c>
      <c r="C159" s="4" t="s">
        <v>71</v>
      </c>
      <c r="D159" t="str">
        <f t="shared" si="5"/>
        <v>Sinninghe et al. 2008b (carbonate)</v>
      </c>
      <c r="F159" t="s">
        <v>694</v>
      </c>
      <c r="G159" t="s">
        <v>728</v>
      </c>
    </row>
    <row r="160" spans="1:7" x14ac:dyDescent="0.3">
      <c r="A160" s="4" t="s">
        <v>71</v>
      </c>
      <c r="B160" t="str">
        <f t="shared" si="4"/>
        <v>Sinninghe Damste et al. 2008b (phytane)</v>
      </c>
      <c r="C160" s="4" t="s">
        <v>71</v>
      </c>
      <c r="D160" t="str">
        <f t="shared" si="5"/>
        <v>Sinninghe et al. 2008b (carbonate)</v>
      </c>
      <c r="F160" t="s">
        <v>694</v>
      </c>
      <c r="G160" t="s">
        <v>728</v>
      </c>
    </row>
    <row r="161" spans="1:7" x14ac:dyDescent="0.3">
      <c r="A161" s="4" t="s">
        <v>80</v>
      </c>
      <c r="B161" t="str">
        <f t="shared" si="4"/>
        <v>Forster et al. 2008 (phytane)</v>
      </c>
      <c r="C161" s="4" t="s">
        <v>387</v>
      </c>
      <c r="D161" t="str">
        <f t="shared" si="5"/>
        <v>Barral et al. 2017 (carbonate)</v>
      </c>
      <c r="F161" t="s">
        <v>699</v>
      </c>
      <c r="G161" t="s">
        <v>728</v>
      </c>
    </row>
    <row r="162" spans="1:7" x14ac:dyDescent="0.3">
      <c r="A162" s="4" t="s">
        <v>80</v>
      </c>
      <c r="B162" t="str">
        <f t="shared" si="4"/>
        <v>Forster et al. 2008 (phytane)</v>
      </c>
      <c r="C162" s="4" t="s">
        <v>387</v>
      </c>
      <c r="D162" t="str">
        <f t="shared" si="5"/>
        <v>Barral et al. 2017 (carbonate)</v>
      </c>
      <c r="F162" t="s">
        <v>699</v>
      </c>
      <c r="G162" t="s">
        <v>728</v>
      </c>
    </row>
    <row r="163" spans="1:7" x14ac:dyDescent="0.3">
      <c r="A163" s="4" t="s">
        <v>88</v>
      </c>
      <c r="B163" t="str">
        <f t="shared" si="4"/>
        <v>van Bentum et al. 2012a (phytane)</v>
      </c>
      <c r="C163" s="4" t="s">
        <v>388</v>
      </c>
      <c r="D163" t="str">
        <f t="shared" si="5"/>
        <v>Barral et al. 2017 (carbonate)</v>
      </c>
      <c r="F163" t="s">
        <v>692</v>
      </c>
      <c r="G163" t="s">
        <v>728</v>
      </c>
    </row>
    <row r="164" spans="1:7" x14ac:dyDescent="0.3">
      <c r="A164" s="4" t="s">
        <v>88</v>
      </c>
      <c r="B164" t="str">
        <f t="shared" si="4"/>
        <v>van Bentum et al. 2012a (phytane)</v>
      </c>
      <c r="C164" s="4" t="s">
        <v>388</v>
      </c>
      <c r="D164" t="str">
        <f t="shared" si="5"/>
        <v>Barral et al. 2017 (carbonate)</v>
      </c>
      <c r="F164" t="s">
        <v>692</v>
      </c>
      <c r="G164" t="s">
        <v>728</v>
      </c>
    </row>
    <row r="165" spans="1:7" x14ac:dyDescent="0.3">
      <c r="A165" s="4" t="s">
        <v>286</v>
      </c>
      <c r="B165" t="str">
        <f t="shared" si="4"/>
        <v>Bice et al. 2006 (phytane)</v>
      </c>
      <c r="C165" s="4" t="s">
        <v>286</v>
      </c>
      <c r="D165" t="str">
        <f t="shared" si="5"/>
        <v>Bice et al. 2006 (carbonate)</v>
      </c>
      <c r="F165" t="s">
        <v>691</v>
      </c>
      <c r="G165" t="s">
        <v>728</v>
      </c>
    </row>
    <row r="166" spans="1:7" x14ac:dyDescent="0.3">
      <c r="A166" s="4" t="s">
        <v>286</v>
      </c>
      <c r="B166" t="str">
        <f t="shared" si="4"/>
        <v>Bice et al. 2006 (phytane)</v>
      </c>
      <c r="C166" s="4" t="s">
        <v>286</v>
      </c>
      <c r="D166" t="str">
        <f t="shared" si="5"/>
        <v>Bice et al. 2006 (carbonate)</v>
      </c>
      <c r="F166" t="s">
        <v>691</v>
      </c>
      <c r="G166" t="s">
        <v>728</v>
      </c>
    </row>
    <row r="167" spans="1:7" x14ac:dyDescent="0.3">
      <c r="A167" s="4" t="s">
        <v>93</v>
      </c>
      <c r="B167" t="str">
        <f t="shared" si="4"/>
        <v>Kuypers et al. 2004 (phytane)</v>
      </c>
      <c r="C167" s="4" t="s">
        <v>388</v>
      </c>
      <c r="D167" t="str">
        <f t="shared" si="5"/>
        <v>Barral et al. 2017 (carbonate)</v>
      </c>
      <c r="F167" t="s">
        <v>696</v>
      </c>
      <c r="G167" t="s">
        <v>728</v>
      </c>
    </row>
    <row r="168" spans="1:7" x14ac:dyDescent="0.3">
      <c r="A168" s="4" t="s">
        <v>74</v>
      </c>
      <c r="B168" t="str">
        <f t="shared" si="4"/>
        <v>Kuypers et al. 2002 (phytane)</v>
      </c>
      <c r="C168" s="4" t="s">
        <v>71</v>
      </c>
      <c r="D168" t="str">
        <f t="shared" si="5"/>
        <v>Sinninghe et al. 2008b (carbonate)</v>
      </c>
      <c r="F168" t="s">
        <v>697</v>
      </c>
      <c r="G168" t="s">
        <v>728</v>
      </c>
    </row>
    <row r="169" spans="1:7" x14ac:dyDescent="0.3">
      <c r="A169" s="4" t="s">
        <v>89</v>
      </c>
      <c r="B169" t="str">
        <f t="shared" si="4"/>
        <v>van Bentum et al. 2012b (phytane)</v>
      </c>
      <c r="C169" s="4" t="s">
        <v>388</v>
      </c>
      <c r="D169" t="str">
        <f t="shared" si="5"/>
        <v>Barral et al. 2017 (carbonate)</v>
      </c>
      <c r="F169" t="s">
        <v>698</v>
      </c>
      <c r="G169" t="s">
        <v>728</v>
      </c>
    </row>
    <row r="170" spans="1:7" x14ac:dyDescent="0.3">
      <c r="A170" s="4" t="s">
        <v>89</v>
      </c>
      <c r="B170" t="str">
        <f t="shared" si="4"/>
        <v>van Bentum et al. 2012b (phytane)</v>
      </c>
      <c r="C170" s="4" t="s">
        <v>388</v>
      </c>
      <c r="D170" t="str">
        <f t="shared" si="5"/>
        <v>Barral et al. 2017 (carbonate)</v>
      </c>
      <c r="F170" t="s">
        <v>698</v>
      </c>
      <c r="G170" t="s">
        <v>728</v>
      </c>
    </row>
    <row r="171" spans="1:7" x14ac:dyDescent="0.3">
      <c r="A171" s="4" t="s">
        <v>89</v>
      </c>
      <c r="B171" t="str">
        <f t="shared" si="4"/>
        <v>van Bentum et al. 2012b (phytane)</v>
      </c>
      <c r="C171" s="4" t="s">
        <v>388</v>
      </c>
      <c r="D171" t="str">
        <f t="shared" si="5"/>
        <v>Barral et al. 2017 (carbonate)</v>
      </c>
      <c r="F171" t="s">
        <v>698</v>
      </c>
      <c r="G171" t="s">
        <v>728</v>
      </c>
    </row>
    <row r="172" spans="1:7" x14ac:dyDescent="0.3">
      <c r="A172" s="4" t="s">
        <v>89</v>
      </c>
      <c r="B172" t="str">
        <f t="shared" si="4"/>
        <v>van Bentum et al. 2012b (phytane)</v>
      </c>
      <c r="C172" s="4" t="s">
        <v>388</v>
      </c>
      <c r="D172" t="str">
        <f t="shared" si="5"/>
        <v>Barral et al. 2017 (carbonate)</v>
      </c>
      <c r="F172" t="s">
        <v>698</v>
      </c>
      <c r="G172" t="s">
        <v>728</v>
      </c>
    </row>
    <row r="173" spans="1:7" x14ac:dyDescent="0.3">
      <c r="A173" s="4" t="s">
        <v>71</v>
      </c>
      <c r="B173" t="str">
        <f t="shared" si="4"/>
        <v>Sinninghe Damste et al. 2008b (phytane)</v>
      </c>
      <c r="C173" s="4" t="s">
        <v>71</v>
      </c>
      <c r="D173" t="str">
        <f t="shared" si="5"/>
        <v>Sinninghe et al. 2008b (carbonate)</v>
      </c>
      <c r="F173" t="s">
        <v>694</v>
      </c>
      <c r="G173" t="s">
        <v>728</v>
      </c>
    </row>
    <row r="174" spans="1:7" x14ac:dyDescent="0.3">
      <c r="A174" s="4" t="s">
        <v>80</v>
      </c>
      <c r="B174" t="str">
        <f t="shared" si="4"/>
        <v>Forster et al. 2008 (phytane)</v>
      </c>
      <c r="C174" s="4" t="s">
        <v>387</v>
      </c>
      <c r="D174" t="str">
        <f t="shared" si="5"/>
        <v>Barral et al. 2017 (carbonate)</v>
      </c>
      <c r="F174" t="s">
        <v>699</v>
      </c>
      <c r="G174" t="s">
        <v>728</v>
      </c>
    </row>
    <row r="175" spans="1:7" x14ac:dyDescent="0.3">
      <c r="A175" s="4" t="s">
        <v>80</v>
      </c>
      <c r="B175" t="str">
        <f t="shared" si="4"/>
        <v>Forster et al. 2008 (phytane)</v>
      </c>
      <c r="C175" s="4" t="s">
        <v>387</v>
      </c>
      <c r="D175" t="str">
        <f t="shared" si="5"/>
        <v>Barral et al. 2017 (carbonate)</v>
      </c>
      <c r="F175" t="s">
        <v>699</v>
      </c>
      <c r="G175" t="s">
        <v>728</v>
      </c>
    </row>
    <row r="176" spans="1:7" x14ac:dyDescent="0.3">
      <c r="A176" s="25" t="s">
        <v>293</v>
      </c>
      <c r="B176" t="str">
        <f t="shared" si="4"/>
        <v>Witkowski et al. 2018 (phytane)</v>
      </c>
      <c r="C176" s="4" t="s">
        <v>72</v>
      </c>
      <c r="D176" t="str">
        <f t="shared" si="5"/>
        <v>Tsikos et al. 2004 (carbonate)</v>
      </c>
      <c r="F176" t="s">
        <v>700</v>
      </c>
      <c r="G176" t="s">
        <v>728</v>
      </c>
    </row>
    <row r="177" spans="1:7" x14ac:dyDescent="0.3">
      <c r="A177" s="4" t="s">
        <v>286</v>
      </c>
      <c r="B177" t="str">
        <f t="shared" si="4"/>
        <v>Bice et al. 2006 (phytane)</v>
      </c>
      <c r="C177" s="4" t="s">
        <v>286</v>
      </c>
      <c r="D177" t="str">
        <f t="shared" si="5"/>
        <v>Bice et al. 2006 (carbonate)</v>
      </c>
      <c r="F177" t="s">
        <v>691</v>
      </c>
      <c r="G177" t="s">
        <v>728</v>
      </c>
    </row>
    <row r="178" spans="1:7" x14ac:dyDescent="0.3">
      <c r="A178" s="4" t="s">
        <v>206</v>
      </c>
      <c r="B178" t="str">
        <f t="shared" si="4"/>
        <v>Alizadah et al. 2015 (phytane)</v>
      </c>
      <c r="C178" s="4" t="s">
        <v>2</v>
      </c>
      <c r="D178" t="str">
        <f t="shared" si="5"/>
        <v>Hayes et al. 1999 (carbonate)</v>
      </c>
      <c r="F178" t="s">
        <v>689</v>
      </c>
      <c r="G178" t="s">
        <v>728</v>
      </c>
    </row>
    <row r="179" spans="1:7" x14ac:dyDescent="0.3">
      <c r="A179" s="4" t="s">
        <v>206</v>
      </c>
      <c r="B179" t="str">
        <f t="shared" si="4"/>
        <v>Alizadah et al. 2015 (phytane)</v>
      </c>
      <c r="C179" s="4" t="s">
        <v>2</v>
      </c>
      <c r="D179" t="str">
        <f t="shared" si="5"/>
        <v>Hayes et al. 1999 (carbonate)</v>
      </c>
      <c r="F179" t="s">
        <v>689</v>
      </c>
      <c r="G179" t="s">
        <v>728</v>
      </c>
    </row>
    <row r="180" spans="1:7" x14ac:dyDescent="0.3">
      <c r="A180" s="4" t="s">
        <v>74</v>
      </c>
      <c r="B180" t="str">
        <f t="shared" si="4"/>
        <v>Kuypers et al. 2002 (phytane)</v>
      </c>
      <c r="C180" s="4" t="s">
        <v>2</v>
      </c>
      <c r="D180" t="str">
        <f t="shared" si="5"/>
        <v>Hayes et al. 1999 (carbonate)</v>
      </c>
      <c r="F180" t="s">
        <v>701</v>
      </c>
      <c r="G180" t="s">
        <v>728</v>
      </c>
    </row>
    <row r="181" spans="1:7" x14ac:dyDescent="0.3">
      <c r="A181" s="4" t="s">
        <v>74</v>
      </c>
      <c r="B181" t="str">
        <f t="shared" si="4"/>
        <v>Kuypers et al. 2002 (phytane)</v>
      </c>
      <c r="C181" s="4" t="s">
        <v>2</v>
      </c>
      <c r="D181" t="str">
        <f t="shared" si="5"/>
        <v>Hayes et al. 1999 (carbonate)</v>
      </c>
      <c r="F181" t="s">
        <v>701</v>
      </c>
      <c r="G181" t="s">
        <v>728</v>
      </c>
    </row>
    <row r="182" spans="1:7" x14ac:dyDescent="0.3">
      <c r="A182" s="4" t="s">
        <v>72</v>
      </c>
      <c r="B182" t="str">
        <f t="shared" si="4"/>
        <v>Tsikos et al. 2004 (phytane)</v>
      </c>
      <c r="C182" s="4" t="s">
        <v>72</v>
      </c>
      <c r="D182" t="str">
        <f t="shared" si="5"/>
        <v>Tsikos et al. 2004 (carbonate)</v>
      </c>
      <c r="F182" t="s">
        <v>695</v>
      </c>
      <c r="G182" t="s">
        <v>728</v>
      </c>
    </row>
    <row r="183" spans="1:7" x14ac:dyDescent="0.3">
      <c r="A183" s="4" t="s">
        <v>72</v>
      </c>
      <c r="B183" t="str">
        <f t="shared" si="4"/>
        <v>Tsikos et al. 2004 (phytane)</v>
      </c>
      <c r="C183" s="4" t="s">
        <v>72</v>
      </c>
      <c r="D183" t="str">
        <f t="shared" si="5"/>
        <v>Tsikos et al. 2004 (carbonate)</v>
      </c>
      <c r="F183" t="s">
        <v>695</v>
      </c>
      <c r="G183" t="s">
        <v>728</v>
      </c>
    </row>
    <row r="184" spans="1:7" x14ac:dyDescent="0.3">
      <c r="A184" s="4" t="s">
        <v>72</v>
      </c>
      <c r="B184" t="str">
        <f t="shared" si="4"/>
        <v>Tsikos et al. 2004 (phytane)</v>
      </c>
      <c r="C184" s="4" t="s">
        <v>72</v>
      </c>
      <c r="D184" t="str">
        <f t="shared" si="5"/>
        <v>Tsikos et al. 2004 (carbonate)</v>
      </c>
      <c r="F184" t="s">
        <v>695</v>
      </c>
      <c r="G184" t="s">
        <v>728</v>
      </c>
    </row>
    <row r="185" spans="1:7" x14ac:dyDescent="0.3">
      <c r="A185" s="4" t="s">
        <v>72</v>
      </c>
      <c r="B185" t="str">
        <f t="shared" si="4"/>
        <v>Tsikos et al. 2004 (phytane)</v>
      </c>
      <c r="C185" s="4" t="s">
        <v>72</v>
      </c>
      <c r="D185" t="str">
        <f t="shared" si="5"/>
        <v>Tsikos et al. 2004 (carbonate)</v>
      </c>
      <c r="F185" t="s">
        <v>695</v>
      </c>
      <c r="G185" t="s">
        <v>728</v>
      </c>
    </row>
    <row r="186" spans="1:7" x14ac:dyDescent="0.3">
      <c r="A186" s="4" t="s">
        <v>74</v>
      </c>
      <c r="B186" t="str">
        <f t="shared" si="4"/>
        <v>Kuypers et al. 2002 (phytane)</v>
      </c>
      <c r="C186" s="4" t="s">
        <v>2</v>
      </c>
      <c r="D186" t="str">
        <f t="shared" si="5"/>
        <v>Hayes et al. 1999 (carbonate)</v>
      </c>
      <c r="F186" t="s">
        <v>701</v>
      </c>
      <c r="G186" t="s">
        <v>728</v>
      </c>
    </row>
    <row r="187" spans="1:7" x14ac:dyDescent="0.3">
      <c r="A187" s="4" t="s">
        <v>72</v>
      </c>
      <c r="B187" t="str">
        <f t="shared" si="4"/>
        <v>Tsikos et al. 2004 (phytane)</v>
      </c>
      <c r="C187" s="4" t="s">
        <v>72</v>
      </c>
      <c r="D187" t="str">
        <f t="shared" si="5"/>
        <v>Tsikos et al. 2004 (carbonate)</v>
      </c>
      <c r="F187" t="s">
        <v>695</v>
      </c>
      <c r="G187" t="s">
        <v>728</v>
      </c>
    </row>
    <row r="188" spans="1:7" x14ac:dyDescent="0.3">
      <c r="A188" s="4" t="s">
        <v>72</v>
      </c>
      <c r="B188" t="str">
        <f t="shared" si="4"/>
        <v>Tsikos et al. 2004 (phytane)</v>
      </c>
      <c r="C188" s="4" t="s">
        <v>72</v>
      </c>
      <c r="D188" t="str">
        <f t="shared" si="5"/>
        <v>Tsikos et al. 2004 (carbonate)</v>
      </c>
      <c r="F188" t="s">
        <v>695</v>
      </c>
      <c r="G188" t="s">
        <v>728</v>
      </c>
    </row>
    <row r="189" spans="1:7" x14ac:dyDescent="0.3">
      <c r="A189" s="4" t="s">
        <v>74</v>
      </c>
      <c r="B189" t="str">
        <f t="shared" si="4"/>
        <v>Kuypers et al. 2002 (phytane)</v>
      </c>
      <c r="C189" s="4" t="s">
        <v>2</v>
      </c>
      <c r="D189" t="str">
        <f t="shared" si="5"/>
        <v>Hayes et al. 1999 (carbonate)</v>
      </c>
      <c r="F189" t="s">
        <v>701</v>
      </c>
      <c r="G189" t="s">
        <v>728</v>
      </c>
    </row>
    <row r="190" spans="1:7" x14ac:dyDescent="0.3">
      <c r="A190" s="4" t="s">
        <v>72</v>
      </c>
      <c r="B190" t="str">
        <f t="shared" si="4"/>
        <v>Tsikos et al. 2004 (phytane)</v>
      </c>
      <c r="C190" s="4" t="s">
        <v>72</v>
      </c>
      <c r="D190" t="str">
        <f t="shared" si="5"/>
        <v>Tsikos et al. 2004 (carbonate)</v>
      </c>
      <c r="F190" t="s">
        <v>695</v>
      </c>
      <c r="G190" t="s">
        <v>728</v>
      </c>
    </row>
    <row r="191" spans="1:7" x14ac:dyDescent="0.3">
      <c r="A191" s="4" t="s">
        <v>206</v>
      </c>
      <c r="B191" t="str">
        <f t="shared" si="4"/>
        <v>Alizadah et al. 2015 (phytane)</v>
      </c>
      <c r="C191" s="4" t="s">
        <v>2</v>
      </c>
      <c r="D191" t="str">
        <f t="shared" si="5"/>
        <v>Hayes et al. 1999 (carbonate)</v>
      </c>
      <c r="F191" t="s">
        <v>689</v>
      </c>
      <c r="G191" t="s">
        <v>728</v>
      </c>
    </row>
    <row r="192" spans="1:7" x14ac:dyDescent="0.3">
      <c r="A192" s="4" t="s">
        <v>206</v>
      </c>
      <c r="B192" t="str">
        <f t="shared" si="4"/>
        <v>Alizadah et al. 2015 (phytane)</v>
      </c>
      <c r="C192" s="4" t="s">
        <v>2</v>
      </c>
      <c r="D192" t="str">
        <f t="shared" si="5"/>
        <v>Hayes et al. 1999 (carbonate)</v>
      </c>
      <c r="F192" t="s">
        <v>689</v>
      </c>
      <c r="G192" t="s">
        <v>728</v>
      </c>
    </row>
    <row r="193" spans="1:7" x14ac:dyDescent="0.3">
      <c r="A193" s="4" t="s">
        <v>72</v>
      </c>
      <c r="B193" t="str">
        <f t="shared" si="4"/>
        <v>Tsikos et al. 2004 (phytane)</v>
      </c>
      <c r="C193" s="4" t="s">
        <v>72</v>
      </c>
      <c r="D193" t="str">
        <f t="shared" si="5"/>
        <v>Tsikos et al. 2004 (carbonate)</v>
      </c>
      <c r="F193" t="s">
        <v>695</v>
      </c>
      <c r="G193" t="s">
        <v>728</v>
      </c>
    </row>
    <row r="194" spans="1:7" x14ac:dyDescent="0.3">
      <c r="A194" s="4" t="s">
        <v>72</v>
      </c>
      <c r="B194" t="str">
        <f t="shared" si="4"/>
        <v>Tsikos et al. 2004 (phytane)</v>
      </c>
      <c r="C194" s="4" t="s">
        <v>72</v>
      </c>
      <c r="D194" t="str">
        <f t="shared" si="5"/>
        <v>Tsikos et al. 2004 (carbonate)</v>
      </c>
      <c r="F194" t="s">
        <v>695</v>
      </c>
      <c r="G194" t="s">
        <v>728</v>
      </c>
    </row>
    <row r="195" spans="1:7" x14ac:dyDescent="0.3">
      <c r="A195" s="4" t="s">
        <v>206</v>
      </c>
      <c r="B195" t="str">
        <f t="shared" ref="B195:B258" si="6">_xlfn.CONCAT(VLOOKUP(A195, $I$2:$J$33, 2, FALSE), " (phytane)")</f>
        <v>Alizadah et al. 2015 (phytane)</v>
      </c>
      <c r="C195" s="4" t="s">
        <v>2</v>
      </c>
      <c r="D195" t="str">
        <f t="shared" ref="D195:D258" si="7">_xlfn.CONCAT(VLOOKUP(C195, $M$2:$N$29, 2, FALSE), " (carbonate)")</f>
        <v>Hayes et al. 1999 (carbonate)</v>
      </c>
      <c r="F195" t="s">
        <v>689</v>
      </c>
      <c r="G195" t="s">
        <v>728</v>
      </c>
    </row>
    <row r="196" spans="1:7" x14ac:dyDescent="0.3">
      <c r="A196" s="4" t="s">
        <v>206</v>
      </c>
      <c r="B196" t="str">
        <f t="shared" si="6"/>
        <v>Alizadah et al. 2015 (phytane)</v>
      </c>
      <c r="C196" s="4" t="s">
        <v>2</v>
      </c>
      <c r="D196" t="str">
        <f t="shared" si="7"/>
        <v>Hayes et al. 1999 (carbonate)</v>
      </c>
      <c r="F196" t="s">
        <v>689</v>
      </c>
      <c r="G196" t="s">
        <v>728</v>
      </c>
    </row>
    <row r="197" spans="1:7" x14ac:dyDescent="0.3">
      <c r="A197" s="4" t="s">
        <v>317</v>
      </c>
      <c r="B197" t="str">
        <f t="shared" si="6"/>
        <v>Murillo et al. 2016 (phytane)</v>
      </c>
      <c r="C197" s="4" t="s">
        <v>339</v>
      </c>
      <c r="D197" t="str">
        <f t="shared" si="7"/>
        <v>Nunn and Price 2010 (carbonate)</v>
      </c>
      <c r="F197" t="s">
        <v>702</v>
      </c>
      <c r="G197" t="s">
        <v>728</v>
      </c>
    </row>
    <row r="198" spans="1:7" x14ac:dyDescent="0.3">
      <c r="A198" s="25" t="s">
        <v>293</v>
      </c>
      <c r="B198" t="str">
        <f t="shared" si="6"/>
        <v>Witkowski et al. 2018 (phytane)</v>
      </c>
      <c r="C198" s="47" t="s">
        <v>396</v>
      </c>
      <c r="D198" t="str">
        <f t="shared" si="7"/>
        <v>Mutterlose et al. 2010 (carbonate)</v>
      </c>
      <c r="F198" t="s">
        <v>703</v>
      </c>
      <c r="G198" t="s">
        <v>728</v>
      </c>
    </row>
    <row r="199" spans="1:7" x14ac:dyDescent="0.3">
      <c r="A199" s="25" t="s">
        <v>293</v>
      </c>
      <c r="B199" t="str">
        <f t="shared" si="6"/>
        <v>Witkowski et al. 2018 (phytane)</v>
      </c>
      <c r="C199" s="4" t="s">
        <v>2</v>
      </c>
      <c r="D199" t="str">
        <f t="shared" si="7"/>
        <v>Hayes et al. 1999 (carbonate)</v>
      </c>
      <c r="F199" t="s">
        <v>676</v>
      </c>
      <c r="G199" t="s">
        <v>728</v>
      </c>
    </row>
    <row r="200" spans="1:7" x14ac:dyDescent="0.3">
      <c r="A200" s="25" t="s">
        <v>293</v>
      </c>
      <c r="B200" t="str">
        <f t="shared" si="6"/>
        <v>Witkowski et al. 2018 (phytane)</v>
      </c>
      <c r="C200" s="4" t="s">
        <v>2</v>
      </c>
      <c r="D200" t="str">
        <f t="shared" si="7"/>
        <v>Hayes et al. 1999 (carbonate)</v>
      </c>
      <c r="F200" t="s">
        <v>676</v>
      </c>
      <c r="G200" t="s">
        <v>728</v>
      </c>
    </row>
    <row r="201" spans="1:7" x14ac:dyDescent="0.3">
      <c r="A201" s="4" t="s">
        <v>67</v>
      </c>
      <c r="B201" t="str">
        <f t="shared" si="6"/>
        <v>van Kaam-Peters et al. 1997a (phytane)</v>
      </c>
      <c r="C201" s="4" t="s">
        <v>2</v>
      </c>
      <c r="D201" t="str">
        <f t="shared" si="7"/>
        <v>Hayes et al. 1999 (carbonate)</v>
      </c>
      <c r="F201" t="s">
        <v>704</v>
      </c>
      <c r="G201" t="s">
        <v>728</v>
      </c>
    </row>
    <row r="202" spans="1:7" x14ac:dyDescent="0.3">
      <c r="A202" s="4" t="s">
        <v>67</v>
      </c>
      <c r="B202" t="str">
        <f t="shared" si="6"/>
        <v>van Kaam-Peters et al. 1997a (phytane)</v>
      </c>
      <c r="C202" s="4" t="s">
        <v>2</v>
      </c>
      <c r="D202" t="str">
        <f t="shared" si="7"/>
        <v>Hayes et al. 1999 (carbonate)</v>
      </c>
      <c r="F202" t="s">
        <v>704</v>
      </c>
      <c r="G202" t="s">
        <v>728</v>
      </c>
    </row>
    <row r="203" spans="1:7" x14ac:dyDescent="0.3">
      <c r="A203" s="4" t="s">
        <v>67</v>
      </c>
      <c r="B203" t="str">
        <f t="shared" si="6"/>
        <v>van Kaam-Peters et al. 1997a (phytane)</v>
      </c>
      <c r="C203" s="4" t="s">
        <v>2</v>
      </c>
      <c r="D203" t="str">
        <f t="shared" si="7"/>
        <v>Hayes et al. 1999 (carbonate)</v>
      </c>
      <c r="F203" t="s">
        <v>704</v>
      </c>
      <c r="G203" t="s">
        <v>728</v>
      </c>
    </row>
    <row r="204" spans="1:7" x14ac:dyDescent="0.3">
      <c r="A204" s="4" t="s">
        <v>59</v>
      </c>
      <c r="B204" t="str">
        <f t="shared" si="6"/>
        <v>van Kaam Peters et al. 1998 (phytane)</v>
      </c>
      <c r="C204" s="4" t="s">
        <v>2</v>
      </c>
      <c r="D204" t="str">
        <f t="shared" si="7"/>
        <v>Hayes et al. 1999 (carbonate)</v>
      </c>
      <c r="F204" t="s">
        <v>705</v>
      </c>
      <c r="G204" t="s">
        <v>728</v>
      </c>
    </row>
    <row r="205" spans="1:7" x14ac:dyDescent="0.3">
      <c r="A205" s="4" t="s">
        <v>317</v>
      </c>
      <c r="B205" t="str">
        <f t="shared" si="6"/>
        <v>Murillo et al. 2016 (phytane)</v>
      </c>
      <c r="C205" s="4" t="s">
        <v>339</v>
      </c>
      <c r="D205" t="str">
        <f t="shared" si="7"/>
        <v>Nunn and Price 2010 (carbonate)</v>
      </c>
      <c r="F205" t="s">
        <v>702</v>
      </c>
      <c r="G205" t="s">
        <v>728</v>
      </c>
    </row>
    <row r="206" spans="1:7" x14ac:dyDescent="0.3">
      <c r="A206" s="4" t="s">
        <v>59</v>
      </c>
      <c r="B206" t="str">
        <f t="shared" si="6"/>
        <v>van Kaam Peters et al. 1998 (phytane)</v>
      </c>
      <c r="C206" s="4" t="s">
        <v>2</v>
      </c>
      <c r="D206" t="str">
        <f t="shared" si="7"/>
        <v>Hayes et al. 1999 (carbonate)</v>
      </c>
      <c r="F206" t="s">
        <v>705</v>
      </c>
      <c r="G206" t="s">
        <v>728</v>
      </c>
    </row>
    <row r="207" spans="1:7" x14ac:dyDescent="0.3">
      <c r="A207" s="4" t="s">
        <v>59</v>
      </c>
      <c r="B207" t="str">
        <f t="shared" si="6"/>
        <v>van Kaam Peters et al. 1998 (phytane)</v>
      </c>
      <c r="C207" s="4" t="s">
        <v>2</v>
      </c>
      <c r="D207" t="str">
        <f t="shared" si="7"/>
        <v>Hayes et al. 1999 (carbonate)</v>
      </c>
      <c r="F207" t="s">
        <v>705</v>
      </c>
      <c r="G207" t="s">
        <v>728</v>
      </c>
    </row>
    <row r="208" spans="1:7" x14ac:dyDescent="0.3">
      <c r="A208" s="4" t="s">
        <v>21</v>
      </c>
      <c r="B208" t="str">
        <f t="shared" si="6"/>
        <v>Koopmans et al. 1996 (phytane)</v>
      </c>
      <c r="C208" s="4" t="s">
        <v>2</v>
      </c>
      <c r="D208" t="str">
        <f t="shared" si="7"/>
        <v>Hayes et al. 1999 (carbonate)</v>
      </c>
      <c r="F208" t="s">
        <v>706</v>
      </c>
      <c r="G208" t="s">
        <v>728</v>
      </c>
    </row>
    <row r="209" spans="1:7" x14ac:dyDescent="0.3">
      <c r="A209" s="4" t="s">
        <v>317</v>
      </c>
      <c r="B209" t="str">
        <f t="shared" si="6"/>
        <v>Murillo et al. 2016 (phytane)</v>
      </c>
      <c r="C209" s="4" t="s">
        <v>339</v>
      </c>
      <c r="D209" t="str">
        <f t="shared" si="7"/>
        <v>Nunn and Price 2010 (carbonate)</v>
      </c>
      <c r="F209" t="s">
        <v>702</v>
      </c>
      <c r="G209" t="s">
        <v>728</v>
      </c>
    </row>
    <row r="210" spans="1:7" x14ac:dyDescent="0.3">
      <c r="A210" s="4" t="s">
        <v>59</v>
      </c>
      <c r="B210" t="str">
        <f t="shared" si="6"/>
        <v>van Kaam Peters et al. 1998 (phytane)</v>
      </c>
      <c r="C210" s="4" t="s">
        <v>2</v>
      </c>
      <c r="D210" t="str">
        <f t="shared" si="7"/>
        <v>Hayes et al. 1999 (carbonate)</v>
      </c>
      <c r="F210" t="s">
        <v>705</v>
      </c>
      <c r="G210" t="s">
        <v>728</v>
      </c>
    </row>
    <row r="211" spans="1:7" x14ac:dyDescent="0.3">
      <c r="A211" s="4" t="s">
        <v>21</v>
      </c>
      <c r="B211" t="str">
        <f t="shared" si="6"/>
        <v>Koopmans et al. 1996 (phytane)</v>
      </c>
      <c r="C211" s="4" t="s">
        <v>2</v>
      </c>
      <c r="D211" t="str">
        <f t="shared" si="7"/>
        <v>Hayes et al. 1999 (carbonate)</v>
      </c>
      <c r="F211" t="s">
        <v>706</v>
      </c>
      <c r="G211" t="s">
        <v>728</v>
      </c>
    </row>
    <row r="212" spans="1:7" x14ac:dyDescent="0.3">
      <c r="A212" s="4" t="s">
        <v>59</v>
      </c>
      <c r="B212" t="str">
        <f t="shared" si="6"/>
        <v>van Kaam Peters et al. 1998 (phytane)</v>
      </c>
      <c r="C212" s="4" t="s">
        <v>2</v>
      </c>
      <c r="D212" t="str">
        <f t="shared" si="7"/>
        <v>Hayes et al. 1999 (carbonate)</v>
      </c>
      <c r="F212" t="s">
        <v>705</v>
      </c>
      <c r="G212" t="s">
        <v>728</v>
      </c>
    </row>
    <row r="213" spans="1:7" x14ac:dyDescent="0.3">
      <c r="A213" s="4" t="s">
        <v>59</v>
      </c>
      <c r="B213" t="str">
        <f t="shared" si="6"/>
        <v>van Kaam Peters et al. 1998 (phytane)</v>
      </c>
      <c r="C213" s="4" t="s">
        <v>2</v>
      </c>
      <c r="D213" t="str">
        <f t="shared" si="7"/>
        <v>Hayes et al. 1999 (carbonate)</v>
      </c>
      <c r="F213" t="s">
        <v>705</v>
      </c>
      <c r="G213" t="s">
        <v>728</v>
      </c>
    </row>
    <row r="214" spans="1:7" x14ac:dyDescent="0.3">
      <c r="A214" s="4" t="s">
        <v>317</v>
      </c>
      <c r="B214" t="str">
        <f t="shared" si="6"/>
        <v>Murillo et al. 2016 (phytane)</v>
      </c>
      <c r="C214" s="4" t="s">
        <v>339</v>
      </c>
      <c r="D214" t="str">
        <f t="shared" si="7"/>
        <v>Nunn and Price 2010 (carbonate)</v>
      </c>
      <c r="F214" t="s">
        <v>702</v>
      </c>
      <c r="G214" t="s">
        <v>728</v>
      </c>
    </row>
    <row r="215" spans="1:7" x14ac:dyDescent="0.3">
      <c r="A215" s="25" t="s">
        <v>293</v>
      </c>
      <c r="B215" t="str">
        <f t="shared" si="6"/>
        <v>Witkowski et al. 2018 (phytane)</v>
      </c>
      <c r="C215" s="4" t="s">
        <v>402</v>
      </c>
      <c r="D215" t="str">
        <f t="shared" si="7"/>
        <v>Tan et al. 1970 (carbonate)</v>
      </c>
      <c r="F215" t="s">
        <v>707</v>
      </c>
      <c r="G215" t="s">
        <v>728</v>
      </c>
    </row>
    <row r="216" spans="1:7" x14ac:dyDescent="0.3">
      <c r="A216" s="25" t="s">
        <v>293</v>
      </c>
      <c r="B216" t="str">
        <f t="shared" si="6"/>
        <v>Witkowski et al. 2018 (phytane)</v>
      </c>
      <c r="C216" s="4" t="s">
        <v>402</v>
      </c>
      <c r="D216" t="str">
        <f t="shared" si="7"/>
        <v>Tan et al. 1970 (carbonate)</v>
      </c>
      <c r="F216" t="s">
        <v>707</v>
      </c>
      <c r="G216" t="s">
        <v>728</v>
      </c>
    </row>
    <row r="217" spans="1:7" x14ac:dyDescent="0.3">
      <c r="A217" s="25" t="s">
        <v>293</v>
      </c>
      <c r="B217" t="str">
        <f t="shared" si="6"/>
        <v>Witkowski et al. 2018 (phytane)</v>
      </c>
      <c r="C217" s="4" t="s">
        <v>402</v>
      </c>
      <c r="D217" t="str">
        <f t="shared" si="7"/>
        <v>Tan et al. 1970 (carbonate)</v>
      </c>
      <c r="F217" t="s">
        <v>707</v>
      </c>
      <c r="G217" t="s">
        <v>728</v>
      </c>
    </row>
    <row r="218" spans="1:7" x14ac:dyDescent="0.3">
      <c r="A218" s="25" t="s">
        <v>293</v>
      </c>
      <c r="B218" t="str">
        <f t="shared" si="6"/>
        <v>Witkowski et al. 2018 (phytane)</v>
      </c>
      <c r="C218" s="4" t="s">
        <v>402</v>
      </c>
      <c r="D218" t="str">
        <f t="shared" si="7"/>
        <v>Tan et al. 1970 (carbonate)</v>
      </c>
      <c r="F218" t="s">
        <v>707</v>
      </c>
      <c r="G218" t="s">
        <v>728</v>
      </c>
    </row>
    <row r="219" spans="1:7" x14ac:dyDescent="0.3">
      <c r="A219" s="25" t="s">
        <v>293</v>
      </c>
      <c r="B219" t="str">
        <f t="shared" si="6"/>
        <v>Witkowski et al. 2018 (phytane)</v>
      </c>
      <c r="C219" s="4" t="s">
        <v>402</v>
      </c>
      <c r="D219" t="str">
        <f t="shared" si="7"/>
        <v>Tan et al. 1970 (carbonate)</v>
      </c>
      <c r="F219" t="s">
        <v>707</v>
      </c>
      <c r="G219" t="s">
        <v>728</v>
      </c>
    </row>
    <row r="220" spans="1:7" x14ac:dyDescent="0.3">
      <c r="A220" s="25" t="s">
        <v>293</v>
      </c>
      <c r="B220" t="str">
        <f t="shared" si="6"/>
        <v>Witkowski et al. 2018 (phytane)</v>
      </c>
      <c r="C220" s="4" t="s">
        <v>402</v>
      </c>
      <c r="D220" t="str">
        <f t="shared" si="7"/>
        <v>Tan et al. 1970 (carbonate)</v>
      </c>
      <c r="F220" t="s">
        <v>707</v>
      </c>
      <c r="G220" t="s">
        <v>728</v>
      </c>
    </row>
    <row r="221" spans="1:7" x14ac:dyDescent="0.3">
      <c r="A221" s="25" t="s">
        <v>293</v>
      </c>
      <c r="B221" t="str">
        <f t="shared" si="6"/>
        <v>Witkowski et al. 2018 (phytane)</v>
      </c>
      <c r="C221" s="4" t="s">
        <v>402</v>
      </c>
      <c r="D221" t="str">
        <f t="shared" si="7"/>
        <v>Tan et al. 1970 (carbonate)</v>
      </c>
      <c r="F221" t="s">
        <v>707</v>
      </c>
      <c r="G221" t="s">
        <v>728</v>
      </c>
    </row>
    <row r="222" spans="1:7" x14ac:dyDescent="0.3">
      <c r="A222" s="25" t="s">
        <v>293</v>
      </c>
      <c r="B222" t="str">
        <f t="shared" si="6"/>
        <v>Witkowski et al. 2018 (phytane)</v>
      </c>
      <c r="C222" s="4" t="s">
        <v>402</v>
      </c>
      <c r="D222" t="str">
        <f t="shared" si="7"/>
        <v>Tan et al. 1970 (carbonate)</v>
      </c>
      <c r="F222" t="s">
        <v>707</v>
      </c>
      <c r="G222" t="s">
        <v>728</v>
      </c>
    </row>
    <row r="223" spans="1:7" x14ac:dyDescent="0.3">
      <c r="A223" s="25" t="s">
        <v>293</v>
      </c>
      <c r="B223" t="str">
        <f t="shared" si="6"/>
        <v>Witkowski et al. 2018 (phytane)</v>
      </c>
      <c r="C223" s="4" t="s">
        <v>402</v>
      </c>
      <c r="D223" t="str">
        <f t="shared" si="7"/>
        <v>Tan et al. 1970 (carbonate)</v>
      </c>
      <c r="F223" t="s">
        <v>707</v>
      </c>
      <c r="G223" t="s">
        <v>728</v>
      </c>
    </row>
    <row r="224" spans="1:7" x14ac:dyDescent="0.3">
      <c r="A224" s="33" t="s">
        <v>21</v>
      </c>
      <c r="B224" t="str">
        <f t="shared" si="6"/>
        <v>Koopmans et al. 1996 (phytane)</v>
      </c>
      <c r="C224" s="4" t="s">
        <v>2</v>
      </c>
      <c r="D224" t="str">
        <f t="shared" si="7"/>
        <v>Hayes et al. 1999 (carbonate)</v>
      </c>
      <c r="F224" t="s">
        <v>706</v>
      </c>
      <c r="G224" t="s">
        <v>728</v>
      </c>
    </row>
    <row r="225" spans="1:7" x14ac:dyDescent="0.3">
      <c r="A225" s="25" t="s">
        <v>293</v>
      </c>
      <c r="B225" t="str">
        <f t="shared" si="6"/>
        <v>Witkowski et al. 2018 (phytane)</v>
      </c>
      <c r="C225" s="4" t="s">
        <v>481</v>
      </c>
      <c r="D225" t="str">
        <f t="shared" si="7"/>
        <v>Colpaert et al. 2017 (carbonate)</v>
      </c>
      <c r="F225" t="s">
        <v>708</v>
      </c>
      <c r="G225" t="s">
        <v>728</v>
      </c>
    </row>
    <row r="226" spans="1:7" x14ac:dyDescent="0.3">
      <c r="A226" s="25" t="s">
        <v>293</v>
      </c>
      <c r="B226" t="str">
        <f t="shared" si="6"/>
        <v>Witkowski et al. 2018 (phytane)</v>
      </c>
      <c r="C226" s="4" t="s">
        <v>481</v>
      </c>
      <c r="D226" t="str">
        <f t="shared" si="7"/>
        <v>Colpaert et al. 2017 (carbonate)</v>
      </c>
      <c r="F226" t="s">
        <v>708</v>
      </c>
      <c r="G226" t="s">
        <v>728</v>
      </c>
    </row>
    <row r="227" spans="1:7" x14ac:dyDescent="0.3">
      <c r="A227" s="25" t="s">
        <v>293</v>
      </c>
      <c r="B227" t="str">
        <f t="shared" si="6"/>
        <v>Witkowski et al. 2018 (phytane)</v>
      </c>
      <c r="C227" s="4" t="s">
        <v>481</v>
      </c>
      <c r="D227" t="str">
        <f t="shared" si="7"/>
        <v>Colpaert et al. 2017 (carbonate)</v>
      </c>
      <c r="F227" t="s">
        <v>708</v>
      </c>
      <c r="G227" t="s">
        <v>728</v>
      </c>
    </row>
    <row r="228" spans="1:7" x14ac:dyDescent="0.3">
      <c r="A228" s="33" t="s">
        <v>42</v>
      </c>
      <c r="B228" t="str">
        <f t="shared" si="6"/>
        <v>French et al. 2014 (phytane)</v>
      </c>
      <c r="C228" s="4" t="s">
        <v>407</v>
      </c>
      <c r="D228" t="str">
        <f t="shared" si="7"/>
        <v>Sandoval et al. 2012 (carbonate)</v>
      </c>
      <c r="F228" t="s">
        <v>709</v>
      </c>
      <c r="G228" t="s">
        <v>728</v>
      </c>
    </row>
    <row r="229" spans="1:7" x14ac:dyDescent="0.3">
      <c r="A229" s="33" t="s">
        <v>42</v>
      </c>
      <c r="B229" t="str">
        <f t="shared" si="6"/>
        <v>French et al. 2014 (phytane)</v>
      </c>
      <c r="C229" s="4" t="s">
        <v>407</v>
      </c>
      <c r="D229" t="str">
        <f t="shared" si="7"/>
        <v>Sandoval et al. 2012 (carbonate)</v>
      </c>
      <c r="F229" t="s">
        <v>709</v>
      </c>
      <c r="G229" t="s">
        <v>728</v>
      </c>
    </row>
    <row r="230" spans="1:7" x14ac:dyDescent="0.3">
      <c r="A230" s="25" t="s">
        <v>293</v>
      </c>
      <c r="B230" t="str">
        <f t="shared" si="6"/>
        <v>Witkowski et al. 2018 (phytane)</v>
      </c>
      <c r="C230" s="4" t="s">
        <v>402</v>
      </c>
      <c r="D230" t="str">
        <f t="shared" si="7"/>
        <v>Tan et al. 1970 (carbonate)</v>
      </c>
      <c r="F230" t="s">
        <v>707</v>
      </c>
      <c r="G230" t="s">
        <v>728</v>
      </c>
    </row>
    <row r="231" spans="1:7" x14ac:dyDescent="0.3">
      <c r="A231" s="25" t="s">
        <v>293</v>
      </c>
      <c r="B231" t="str">
        <f t="shared" si="6"/>
        <v>Witkowski et al. 2018 (phytane)</v>
      </c>
      <c r="C231" s="4" t="s">
        <v>402</v>
      </c>
      <c r="D231" t="str">
        <f t="shared" si="7"/>
        <v>Tan et al. 1970 (carbonate)</v>
      </c>
      <c r="F231" t="s">
        <v>707</v>
      </c>
      <c r="G231" t="s">
        <v>728</v>
      </c>
    </row>
    <row r="232" spans="1:7" x14ac:dyDescent="0.3">
      <c r="A232" s="33" t="s">
        <v>42</v>
      </c>
      <c r="B232" t="str">
        <f t="shared" si="6"/>
        <v>French et al. 2014 (phytane)</v>
      </c>
      <c r="C232" s="4" t="s">
        <v>407</v>
      </c>
      <c r="D232" t="str">
        <f t="shared" si="7"/>
        <v>Sandoval et al. 2012 (carbonate)</v>
      </c>
      <c r="F232" t="s">
        <v>709</v>
      </c>
      <c r="G232" t="s">
        <v>728</v>
      </c>
    </row>
    <row r="233" spans="1:7" x14ac:dyDescent="0.3">
      <c r="A233" s="33" t="s">
        <v>42</v>
      </c>
      <c r="B233" t="str">
        <f t="shared" si="6"/>
        <v>French et al. 2014 (phytane)</v>
      </c>
      <c r="C233" s="4" t="s">
        <v>407</v>
      </c>
      <c r="D233" t="str">
        <f t="shared" si="7"/>
        <v>Sandoval et al. 2012 (carbonate)</v>
      </c>
      <c r="F233" t="s">
        <v>709</v>
      </c>
      <c r="G233" t="s">
        <v>728</v>
      </c>
    </row>
    <row r="234" spans="1:7" x14ac:dyDescent="0.3">
      <c r="A234" s="4" t="s">
        <v>49</v>
      </c>
      <c r="B234" t="str">
        <f t="shared" si="6"/>
        <v>Schouten et al. 2000c (phytane)</v>
      </c>
      <c r="C234" s="4" t="s">
        <v>405</v>
      </c>
      <c r="D234" t="str">
        <f t="shared" si="7"/>
        <v>Hermoso and Pellenard 2014 (carbonate)</v>
      </c>
      <c r="F234" t="s">
        <v>710</v>
      </c>
      <c r="G234" t="s">
        <v>728</v>
      </c>
    </row>
    <row r="235" spans="1:7" x14ac:dyDescent="0.3">
      <c r="A235" s="4" t="s">
        <v>49</v>
      </c>
      <c r="B235" t="str">
        <f t="shared" si="6"/>
        <v>Schouten et al. 2000c (phytane)</v>
      </c>
      <c r="C235" s="4" t="s">
        <v>405</v>
      </c>
      <c r="D235" t="str">
        <f t="shared" si="7"/>
        <v>Hermoso and Pellenard 2014 (carbonate)</v>
      </c>
      <c r="F235" t="s">
        <v>710</v>
      </c>
      <c r="G235" t="s">
        <v>728</v>
      </c>
    </row>
    <row r="236" spans="1:7" x14ac:dyDescent="0.3">
      <c r="A236" s="4" t="s">
        <v>49</v>
      </c>
      <c r="B236" t="str">
        <f t="shared" si="6"/>
        <v>Schouten et al. 2000c (phytane)</v>
      </c>
      <c r="C236" s="4" t="s">
        <v>405</v>
      </c>
      <c r="D236" t="str">
        <f t="shared" si="7"/>
        <v>Hermoso and Pellenard 2014 (carbonate)</v>
      </c>
      <c r="F236" t="s">
        <v>710</v>
      </c>
      <c r="G236" t="s">
        <v>728</v>
      </c>
    </row>
    <row r="237" spans="1:7" x14ac:dyDescent="0.3">
      <c r="A237" s="33" t="s">
        <v>42</v>
      </c>
      <c r="B237" t="str">
        <f t="shared" si="6"/>
        <v>French et al. 2014 (phytane)</v>
      </c>
      <c r="C237" s="4" t="s">
        <v>407</v>
      </c>
      <c r="D237" t="str">
        <f t="shared" si="7"/>
        <v>Sandoval et al. 2012 (carbonate)</v>
      </c>
      <c r="F237" t="s">
        <v>709</v>
      </c>
      <c r="G237" t="s">
        <v>728</v>
      </c>
    </row>
    <row r="238" spans="1:7" x14ac:dyDescent="0.3">
      <c r="A238" s="33" t="s">
        <v>42</v>
      </c>
      <c r="B238" t="str">
        <f t="shared" si="6"/>
        <v>French et al. 2014 (phytane)</v>
      </c>
      <c r="C238" s="4" t="s">
        <v>407</v>
      </c>
      <c r="D238" t="str">
        <f t="shared" si="7"/>
        <v>Sandoval et al. 2012 (carbonate)</v>
      </c>
      <c r="F238" t="s">
        <v>709</v>
      </c>
      <c r="G238" t="s">
        <v>728</v>
      </c>
    </row>
    <row r="239" spans="1:7" x14ac:dyDescent="0.3">
      <c r="A239" s="33" t="s">
        <v>42</v>
      </c>
      <c r="B239" t="str">
        <f t="shared" si="6"/>
        <v>French et al. 2014 (phytane)</v>
      </c>
      <c r="C239" s="4" t="s">
        <v>407</v>
      </c>
      <c r="D239" t="str">
        <f t="shared" si="7"/>
        <v>Sandoval et al. 2012 (carbonate)</v>
      </c>
      <c r="F239" t="s">
        <v>709</v>
      </c>
      <c r="G239" t="s">
        <v>728</v>
      </c>
    </row>
    <row r="240" spans="1:7" x14ac:dyDescent="0.3">
      <c r="A240" s="33" t="s">
        <v>42</v>
      </c>
      <c r="B240" t="str">
        <f t="shared" si="6"/>
        <v>French et al. 2014 (phytane)</v>
      </c>
      <c r="C240" s="4" t="s">
        <v>407</v>
      </c>
      <c r="D240" t="str">
        <f t="shared" si="7"/>
        <v>Sandoval et al. 2012 (carbonate)</v>
      </c>
      <c r="F240" t="s">
        <v>709</v>
      </c>
      <c r="G240" t="s">
        <v>728</v>
      </c>
    </row>
    <row r="241" spans="1:7" x14ac:dyDescent="0.3">
      <c r="A241" s="33" t="s">
        <v>42</v>
      </c>
      <c r="B241" t="str">
        <f t="shared" si="6"/>
        <v>French et al. 2014 (phytane)</v>
      </c>
      <c r="C241" s="4" t="s">
        <v>407</v>
      </c>
      <c r="D241" t="str">
        <f t="shared" si="7"/>
        <v>Sandoval et al. 2012 (carbonate)</v>
      </c>
      <c r="F241" t="s">
        <v>709</v>
      </c>
      <c r="G241" t="s">
        <v>728</v>
      </c>
    </row>
    <row r="242" spans="1:7" x14ac:dyDescent="0.3">
      <c r="A242" s="33" t="s">
        <v>42</v>
      </c>
      <c r="B242" t="str">
        <f t="shared" si="6"/>
        <v>French et al. 2014 (phytane)</v>
      </c>
      <c r="C242" s="4" t="s">
        <v>407</v>
      </c>
      <c r="D242" t="str">
        <f t="shared" si="7"/>
        <v>Sandoval et al. 2012 (carbonate)</v>
      </c>
      <c r="F242" t="s">
        <v>709</v>
      </c>
      <c r="G242" t="s">
        <v>728</v>
      </c>
    </row>
    <row r="243" spans="1:7" x14ac:dyDescent="0.3">
      <c r="A243" s="25" t="s">
        <v>293</v>
      </c>
      <c r="B243" t="str">
        <f t="shared" si="6"/>
        <v>Witkowski et al. 2018 (phytane)</v>
      </c>
      <c r="C243" s="4" t="s">
        <v>402</v>
      </c>
      <c r="D243" t="str">
        <f t="shared" si="7"/>
        <v>Tan et al. 1970 (carbonate)</v>
      </c>
      <c r="F243" t="s">
        <v>707</v>
      </c>
      <c r="G243" t="s">
        <v>728</v>
      </c>
    </row>
    <row r="244" spans="1:7" x14ac:dyDescent="0.3">
      <c r="A244" s="33" t="s">
        <v>42</v>
      </c>
      <c r="B244" t="str">
        <f t="shared" si="6"/>
        <v>French et al. 2014 (phytane)</v>
      </c>
      <c r="C244" s="4" t="s">
        <v>407</v>
      </c>
      <c r="D244" t="str">
        <f t="shared" si="7"/>
        <v>Sandoval et al. 2012 (carbonate)</v>
      </c>
      <c r="F244" t="s">
        <v>709</v>
      </c>
      <c r="G244" t="s">
        <v>728</v>
      </c>
    </row>
    <row r="245" spans="1:7" x14ac:dyDescent="0.3">
      <c r="A245" s="4" t="s">
        <v>317</v>
      </c>
      <c r="B245" t="str">
        <f t="shared" si="6"/>
        <v>Murillo et al. 2016 (phytane)</v>
      </c>
      <c r="C245" s="4" t="s">
        <v>339</v>
      </c>
      <c r="D245" t="str">
        <f t="shared" si="7"/>
        <v>Nunn and Price 2010 (carbonate)</v>
      </c>
      <c r="F245" t="s">
        <v>702</v>
      </c>
      <c r="G245" t="s">
        <v>728</v>
      </c>
    </row>
    <row r="246" spans="1:7" x14ac:dyDescent="0.3">
      <c r="A246" s="25" t="s">
        <v>293</v>
      </c>
      <c r="B246" t="str">
        <f t="shared" si="6"/>
        <v>Witkowski et al. 2018 (phytane)</v>
      </c>
      <c r="C246" s="4" t="s">
        <v>402</v>
      </c>
      <c r="D246" t="str">
        <f t="shared" si="7"/>
        <v>Tan et al. 1970 (carbonate)</v>
      </c>
      <c r="F246" t="s">
        <v>707</v>
      </c>
      <c r="G246" t="s">
        <v>728</v>
      </c>
    </row>
    <row r="247" spans="1:7" x14ac:dyDescent="0.3">
      <c r="A247" s="25" t="s">
        <v>293</v>
      </c>
      <c r="B247" t="str">
        <f t="shared" si="6"/>
        <v>Witkowski et al. 2018 (phytane)</v>
      </c>
      <c r="C247" s="4" t="s">
        <v>536</v>
      </c>
      <c r="D247" t="str">
        <f t="shared" si="7"/>
        <v>Korte et al. 2010 (carbonate)</v>
      </c>
      <c r="F247" t="s">
        <v>711</v>
      </c>
      <c r="G247" t="s">
        <v>728</v>
      </c>
    </row>
    <row r="248" spans="1:7" x14ac:dyDescent="0.3">
      <c r="A248" s="4" t="s">
        <v>317</v>
      </c>
      <c r="B248" t="str">
        <f t="shared" si="6"/>
        <v>Murillo et al. 2016 (phytane)</v>
      </c>
      <c r="C248" s="4" t="s">
        <v>2</v>
      </c>
      <c r="D248" t="str">
        <f t="shared" si="7"/>
        <v>Hayes et al. 1999 (carbonate)</v>
      </c>
      <c r="F248" t="s">
        <v>712</v>
      </c>
      <c r="G248" t="s">
        <v>728</v>
      </c>
    </row>
    <row r="249" spans="1:7" x14ac:dyDescent="0.3">
      <c r="A249" s="4" t="s">
        <v>317</v>
      </c>
      <c r="B249" t="str">
        <f t="shared" si="6"/>
        <v>Murillo et al. 2016 (phytane)</v>
      </c>
      <c r="C249" s="4" t="s">
        <v>2</v>
      </c>
      <c r="D249" t="str">
        <f t="shared" si="7"/>
        <v>Hayes et al. 1999 (carbonate)</v>
      </c>
      <c r="F249" t="s">
        <v>712</v>
      </c>
      <c r="G249" t="s">
        <v>728</v>
      </c>
    </row>
    <row r="250" spans="1:7" x14ac:dyDescent="0.3">
      <c r="A250" s="4" t="s">
        <v>317</v>
      </c>
      <c r="B250" t="str">
        <f t="shared" si="6"/>
        <v>Murillo et al. 2016 (phytane)</v>
      </c>
      <c r="C250" s="4" t="s">
        <v>2</v>
      </c>
      <c r="D250" t="str">
        <f t="shared" si="7"/>
        <v>Hayes et al. 1999 (carbonate)</v>
      </c>
      <c r="F250" t="s">
        <v>712</v>
      </c>
      <c r="G250" t="s">
        <v>728</v>
      </c>
    </row>
    <row r="251" spans="1:7" x14ac:dyDescent="0.3">
      <c r="A251" s="4" t="s">
        <v>317</v>
      </c>
      <c r="B251" t="str">
        <f t="shared" si="6"/>
        <v>Murillo et al. 2016 (phytane)</v>
      </c>
      <c r="C251" s="4" t="s">
        <v>2</v>
      </c>
      <c r="D251" t="str">
        <f t="shared" si="7"/>
        <v>Hayes et al. 1999 (carbonate)</v>
      </c>
      <c r="F251" t="s">
        <v>712</v>
      </c>
      <c r="G251" t="s">
        <v>728</v>
      </c>
    </row>
    <row r="252" spans="1:7" x14ac:dyDescent="0.3">
      <c r="A252" s="47" t="s">
        <v>293</v>
      </c>
      <c r="B252" t="str">
        <f t="shared" si="6"/>
        <v>Witkowski et al. 2018 (phytane)</v>
      </c>
      <c r="C252" s="4" t="s">
        <v>404</v>
      </c>
      <c r="D252" t="str">
        <f t="shared" si="7"/>
        <v>Caravaca et al. 2017 (carbonate)</v>
      </c>
      <c r="F252" t="s">
        <v>713</v>
      </c>
      <c r="G252" t="s">
        <v>728</v>
      </c>
    </row>
    <row r="253" spans="1:7" x14ac:dyDescent="0.3">
      <c r="A253" s="4" t="s">
        <v>34</v>
      </c>
      <c r="B253" t="str">
        <f t="shared" si="6"/>
        <v>Nabbefeld et al. 2010 (phytane)</v>
      </c>
      <c r="C253" s="4" t="s">
        <v>2</v>
      </c>
      <c r="D253" t="str">
        <f t="shared" si="7"/>
        <v>Hayes et al. 1999 (carbonate)</v>
      </c>
      <c r="F253" t="s">
        <v>714</v>
      </c>
      <c r="G253" t="s">
        <v>728</v>
      </c>
    </row>
    <row r="254" spans="1:7" x14ac:dyDescent="0.3">
      <c r="A254" s="4" t="s">
        <v>34</v>
      </c>
      <c r="B254" t="str">
        <f t="shared" si="6"/>
        <v>Nabbefeld et al. 2010 (phytane)</v>
      </c>
      <c r="C254" s="4" t="s">
        <v>2</v>
      </c>
      <c r="D254" t="str">
        <f t="shared" si="7"/>
        <v>Hayes et al. 1999 (carbonate)</v>
      </c>
      <c r="F254" t="s">
        <v>714</v>
      </c>
      <c r="G254" t="s">
        <v>728</v>
      </c>
    </row>
    <row r="255" spans="1:7" x14ac:dyDescent="0.3">
      <c r="A255" s="4" t="s">
        <v>34</v>
      </c>
      <c r="B255" t="str">
        <f t="shared" si="6"/>
        <v>Nabbefeld et al. 2010 (phytane)</v>
      </c>
      <c r="C255" s="4" t="s">
        <v>2</v>
      </c>
      <c r="D255" t="str">
        <f t="shared" si="7"/>
        <v>Hayes et al. 1999 (carbonate)</v>
      </c>
      <c r="F255" t="s">
        <v>714</v>
      </c>
      <c r="G255" t="s">
        <v>728</v>
      </c>
    </row>
    <row r="256" spans="1:7" x14ac:dyDescent="0.3">
      <c r="A256" s="4" t="s">
        <v>36</v>
      </c>
      <c r="B256" t="str">
        <f t="shared" si="6"/>
        <v>Brooks et al. 1992 al. 1992 in Hayes et al. 1995 (phytane)</v>
      </c>
      <c r="C256" s="4" t="s">
        <v>2</v>
      </c>
      <c r="D256" t="str">
        <f t="shared" si="7"/>
        <v>Hayes et al. 1999 (carbonate)</v>
      </c>
      <c r="F256" t="s">
        <v>715</v>
      </c>
      <c r="G256" t="s">
        <v>728</v>
      </c>
    </row>
    <row r="257" spans="1:8" x14ac:dyDescent="0.3">
      <c r="A257" s="4" t="s">
        <v>34</v>
      </c>
      <c r="B257" t="str">
        <f t="shared" si="6"/>
        <v>Nabbefeld et al. 2010 (phytane)</v>
      </c>
      <c r="C257" s="4" t="s">
        <v>2</v>
      </c>
      <c r="D257" t="str">
        <f t="shared" si="7"/>
        <v>Hayes et al. 1999 (carbonate)</v>
      </c>
      <c r="F257" t="s">
        <v>714</v>
      </c>
      <c r="G257" t="s">
        <v>728</v>
      </c>
    </row>
    <row r="258" spans="1:8" x14ac:dyDescent="0.3">
      <c r="A258" s="4" t="s">
        <v>34</v>
      </c>
      <c r="B258" t="str">
        <f t="shared" si="6"/>
        <v>Nabbefeld et al. 2010 (phytane)</v>
      </c>
      <c r="C258" s="4" t="s">
        <v>2</v>
      </c>
      <c r="D258" t="str">
        <f t="shared" si="7"/>
        <v>Hayes et al. 1999 (carbonate)</v>
      </c>
      <c r="F258" t="s">
        <v>714</v>
      </c>
      <c r="G258" t="s">
        <v>728</v>
      </c>
    </row>
    <row r="259" spans="1:8" x14ac:dyDescent="0.3">
      <c r="A259" s="4" t="s">
        <v>31</v>
      </c>
      <c r="B259" t="str">
        <f t="shared" ref="B259:B307" si="8">_xlfn.CONCAT(VLOOKUP(A259, $I$2:$J$33, 2, FALSE), " (phytane)")</f>
        <v>Grice et al. 1996 (phytane)</v>
      </c>
      <c r="C259" s="4" t="s">
        <v>412</v>
      </c>
      <c r="D259" t="str">
        <f t="shared" ref="D259:D307" si="9">_xlfn.CONCAT(VLOOKUP(C259, $M$2:$N$29, 2, FALSE), " (carbonate)")</f>
        <v>Newell 2017 (carbonate)</v>
      </c>
      <c r="F259" t="s">
        <v>716</v>
      </c>
      <c r="G259" t="s">
        <v>728</v>
      </c>
    </row>
    <row r="260" spans="1:8" x14ac:dyDescent="0.3">
      <c r="A260" s="25" t="s">
        <v>293</v>
      </c>
      <c r="B260" t="str">
        <f t="shared" si="8"/>
        <v>Witkowski et al. 2018 (phytane)</v>
      </c>
      <c r="C260" s="4" t="s">
        <v>412</v>
      </c>
      <c r="D260" t="str">
        <f t="shared" si="9"/>
        <v>Newell 2017 (carbonate)</v>
      </c>
      <c r="F260" t="s">
        <v>717</v>
      </c>
      <c r="G260" t="s">
        <v>728</v>
      </c>
    </row>
    <row r="261" spans="1:8" x14ac:dyDescent="0.3">
      <c r="A261" s="25" t="s">
        <v>293</v>
      </c>
      <c r="B261" t="str">
        <f t="shared" si="8"/>
        <v>Witkowski et al. 2018 (phytane)</v>
      </c>
      <c r="C261" s="4" t="s">
        <v>412</v>
      </c>
      <c r="D261" t="str">
        <f t="shared" si="9"/>
        <v>Newell 2017 (carbonate)</v>
      </c>
      <c r="F261" t="s">
        <v>717</v>
      </c>
      <c r="G261" t="s">
        <v>728</v>
      </c>
    </row>
    <row r="262" spans="1:8" x14ac:dyDescent="0.3">
      <c r="A262" s="4" t="s">
        <v>28</v>
      </c>
      <c r="B262" t="str">
        <f t="shared" si="8"/>
        <v>Osadetz et al. 1992 in Hughes et al. 1995 (phytane)</v>
      </c>
      <c r="C262" s="4" t="s">
        <v>2</v>
      </c>
      <c r="D262" t="str">
        <f t="shared" si="9"/>
        <v>Hayes et al. 1999 (carbonate)</v>
      </c>
      <c r="F262" t="s">
        <v>718</v>
      </c>
      <c r="G262" t="s">
        <v>728</v>
      </c>
    </row>
    <row r="263" spans="1:8" x14ac:dyDescent="0.3">
      <c r="A263" s="25" t="s">
        <v>293</v>
      </c>
      <c r="B263" t="str">
        <f t="shared" si="8"/>
        <v>Witkowski et al. 2018 (phytane)</v>
      </c>
      <c r="C263" s="4" t="s">
        <v>2</v>
      </c>
      <c r="D263" t="str">
        <f t="shared" si="9"/>
        <v>Hayes et al. 1999 (carbonate)</v>
      </c>
      <c r="F263" t="s">
        <v>676</v>
      </c>
      <c r="G263" t="s">
        <v>728</v>
      </c>
    </row>
    <row r="264" spans="1:8" x14ac:dyDescent="0.3">
      <c r="A264" s="25" t="s">
        <v>293</v>
      </c>
      <c r="B264" t="str">
        <f t="shared" si="8"/>
        <v>Witkowski et al. 2018 (phytane)</v>
      </c>
      <c r="C264" s="4" t="s">
        <v>2</v>
      </c>
      <c r="D264" t="str">
        <f t="shared" si="9"/>
        <v>Hayes et al. 1999 (carbonate)</v>
      </c>
      <c r="F264" t="s">
        <v>676</v>
      </c>
      <c r="G264" t="s">
        <v>728</v>
      </c>
    </row>
    <row r="265" spans="1:8" x14ac:dyDescent="0.3">
      <c r="A265" s="25" t="s">
        <v>293</v>
      </c>
      <c r="B265" t="str">
        <f t="shared" si="8"/>
        <v>Witkowski et al. 2018 (phytane)</v>
      </c>
      <c r="C265" s="4" t="s">
        <v>409</v>
      </c>
      <c r="D265" t="str">
        <f t="shared" si="9"/>
        <v>Geldern et al. 2006 (carbonate)</v>
      </c>
      <c r="F265" t="s">
        <v>719</v>
      </c>
      <c r="G265" t="s">
        <v>728</v>
      </c>
    </row>
    <row r="266" spans="1:8" x14ac:dyDescent="0.3">
      <c r="A266" s="4" t="s">
        <v>25</v>
      </c>
      <c r="B266" t="str">
        <f t="shared" si="8"/>
        <v>Hayes et al. 1995 unpublished (phytane)</v>
      </c>
      <c r="C266" s="4" t="s">
        <v>409</v>
      </c>
      <c r="D266" t="str">
        <f t="shared" si="9"/>
        <v>Geldern et al. 2006 (carbonate)</v>
      </c>
      <c r="F266" t="s">
        <v>720</v>
      </c>
      <c r="G266" t="s">
        <v>728</v>
      </c>
    </row>
    <row r="267" spans="1:8" x14ac:dyDescent="0.3">
      <c r="A267" s="4" t="s">
        <v>22</v>
      </c>
      <c r="B267" t="str">
        <f t="shared" si="8"/>
        <v>Joachimski et al. 2002 (phytane)</v>
      </c>
      <c r="C267" s="4" t="s">
        <v>2</v>
      </c>
      <c r="D267" t="str">
        <f t="shared" si="9"/>
        <v>Hayes et al. 1999 (carbonate)</v>
      </c>
      <c r="F267" t="s">
        <v>721</v>
      </c>
      <c r="G267" t="s">
        <v>593</v>
      </c>
      <c r="H267" t="s">
        <v>729</v>
      </c>
    </row>
    <row r="268" spans="1:8" x14ac:dyDescent="0.3">
      <c r="A268" s="4" t="s">
        <v>22</v>
      </c>
      <c r="B268" t="str">
        <f t="shared" si="8"/>
        <v>Joachimski et al. 2002 (phytane)</v>
      </c>
      <c r="C268" s="4" t="s">
        <v>2</v>
      </c>
      <c r="D268" t="str">
        <f t="shared" si="9"/>
        <v>Hayes et al. 1999 (carbonate)</v>
      </c>
      <c r="F268" t="s">
        <v>721</v>
      </c>
      <c r="G268" t="s">
        <v>593</v>
      </c>
      <c r="H268" t="s">
        <v>729</v>
      </c>
    </row>
    <row r="269" spans="1:8" x14ac:dyDescent="0.3">
      <c r="A269" s="4" t="s">
        <v>207</v>
      </c>
      <c r="B269" t="str">
        <f t="shared" si="8"/>
        <v>Tulipani et al. 2015 (phytane)</v>
      </c>
      <c r="C269" s="4" t="s">
        <v>409</v>
      </c>
      <c r="D269" t="str">
        <f t="shared" si="9"/>
        <v>Geldern et al. 2006 (carbonate)</v>
      </c>
      <c r="F269" t="s">
        <v>722</v>
      </c>
      <c r="G269" t="s">
        <v>728</v>
      </c>
    </row>
    <row r="270" spans="1:8" x14ac:dyDescent="0.3">
      <c r="A270" s="4" t="s">
        <v>22</v>
      </c>
      <c r="B270" t="str">
        <f t="shared" si="8"/>
        <v>Joachimski et al. 2002 (phytane)</v>
      </c>
      <c r="C270" s="4" t="s">
        <v>2</v>
      </c>
      <c r="D270" t="str">
        <f t="shared" si="9"/>
        <v>Hayes et al. 1999 (carbonate)</v>
      </c>
      <c r="F270" t="s">
        <v>721</v>
      </c>
      <c r="G270" t="s">
        <v>593</v>
      </c>
      <c r="H270" t="s">
        <v>729</v>
      </c>
    </row>
    <row r="271" spans="1:8" x14ac:dyDescent="0.3">
      <c r="A271" s="4" t="s">
        <v>22</v>
      </c>
      <c r="B271" t="str">
        <f t="shared" si="8"/>
        <v>Joachimski et al. 2002 (phytane)</v>
      </c>
      <c r="C271" s="4" t="s">
        <v>2</v>
      </c>
      <c r="D271" t="str">
        <f t="shared" si="9"/>
        <v>Hayes et al. 1999 (carbonate)</v>
      </c>
      <c r="F271" t="s">
        <v>721</v>
      </c>
      <c r="G271" t="s">
        <v>593</v>
      </c>
      <c r="H271" t="s">
        <v>729</v>
      </c>
    </row>
    <row r="272" spans="1:8" x14ac:dyDescent="0.3">
      <c r="A272" s="4" t="s">
        <v>207</v>
      </c>
      <c r="B272" t="str">
        <f t="shared" si="8"/>
        <v>Tulipani et al. 2015 (phytane)</v>
      </c>
      <c r="C272" s="4" t="s">
        <v>409</v>
      </c>
      <c r="D272" t="str">
        <f t="shared" si="9"/>
        <v>Geldern et al. 2006 (carbonate)</v>
      </c>
      <c r="F272" t="s">
        <v>722</v>
      </c>
      <c r="G272" t="s">
        <v>728</v>
      </c>
    </row>
    <row r="273" spans="1:8" x14ac:dyDescent="0.3">
      <c r="A273" s="4" t="s">
        <v>22</v>
      </c>
      <c r="B273" t="str">
        <f t="shared" si="8"/>
        <v>Joachimski et al. 2002 (phytane)</v>
      </c>
      <c r="C273" s="4" t="s">
        <v>2</v>
      </c>
      <c r="D273" t="str">
        <f t="shared" si="9"/>
        <v>Hayes et al. 1999 (carbonate)</v>
      </c>
      <c r="F273" t="s">
        <v>721</v>
      </c>
      <c r="G273" t="s">
        <v>593</v>
      </c>
      <c r="H273" t="s">
        <v>729</v>
      </c>
    </row>
    <row r="274" spans="1:8" x14ac:dyDescent="0.3">
      <c r="A274" s="4" t="s">
        <v>22</v>
      </c>
      <c r="B274" t="str">
        <f t="shared" si="8"/>
        <v>Joachimski et al. 2002 (phytane)</v>
      </c>
      <c r="C274" s="4" t="s">
        <v>2</v>
      </c>
      <c r="D274" t="str">
        <f t="shared" si="9"/>
        <v>Hayes et al. 1999 (carbonate)</v>
      </c>
      <c r="F274" t="s">
        <v>721</v>
      </c>
      <c r="G274" t="s">
        <v>593</v>
      </c>
      <c r="H274" t="s">
        <v>729</v>
      </c>
    </row>
    <row r="275" spans="1:8" x14ac:dyDescent="0.3">
      <c r="A275" s="4" t="s">
        <v>22</v>
      </c>
      <c r="B275" t="str">
        <f t="shared" si="8"/>
        <v>Joachimski et al. 2002 (phytane)</v>
      </c>
      <c r="C275" s="4" t="s">
        <v>2</v>
      </c>
      <c r="D275" t="str">
        <f t="shared" si="9"/>
        <v>Hayes et al. 1999 (carbonate)</v>
      </c>
      <c r="F275" t="s">
        <v>721</v>
      </c>
      <c r="G275" t="s">
        <v>593</v>
      </c>
      <c r="H275" t="s">
        <v>729</v>
      </c>
    </row>
    <row r="276" spans="1:8" x14ac:dyDescent="0.3">
      <c r="A276" s="25" t="s">
        <v>293</v>
      </c>
      <c r="B276" t="str">
        <f t="shared" si="8"/>
        <v>Witkowski et al. 2018 (phytane)</v>
      </c>
      <c r="C276" s="4" t="s">
        <v>409</v>
      </c>
      <c r="D276" t="str">
        <f t="shared" si="9"/>
        <v>Geldern et al. 2006 (carbonate)</v>
      </c>
      <c r="F276" t="s">
        <v>719</v>
      </c>
      <c r="G276" t="s">
        <v>728</v>
      </c>
    </row>
    <row r="277" spans="1:8" x14ac:dyDescent="0.3">
      <c r="A277" s="4" t="s">
        <v>207</v>
      </c>
      <c r="B277" t="str">
        <f t="shared" si="8"/>
        <v>Tulipani et al. 2015 (phytane)</v>
      </c>
      <c r="C277" s="4" t="s">
        <v>409</v>
      </c>
      <c r="D277" t="str">
        <f t="shared" si="9"/>
        <v>Geldern et al. 2006 (carbonate)</v>
      </c>
      <c r="F277" t="s">
        <v>722</v>
      </c>
      <c r="G277" t="s">
        <v>728</v>
      </c>
    </row>
    <row r="278" spans="1:8" x14ac:dyDescent="0.3">
      <c r="A278" s="4" t="s">
        <v>207</v>
      </c>
      <c r="B278" t="str">
        <f t="shared" si="8"/>
        <v>Tulipani et al. 2015 (phytane)</v>
      </c>
      <c r="C278" s="4" t="s">
        <v>409</v>
      </c>
      <c r="D278" t="str">
        <f t="shared" si="9"/>
        <v>Geldern et al. 2006 (carbonate)</v>
      </c>
      <c r="F278" t="s">
        <v>722</v>
      </c>
      <c r="G278" t="s">
        <v>728</v>
      </c>
    </row>
    <row r="279" spans="1:8" x14ac:dyDescent="0.3">
      <c r="A279" s="4" t="s">
        <v>207</v>
      </c>
      <c r="B279" t="str">
        <f t="shared" si="8"/>
        <v>Tulipani et al. 2015 (phytane)</v>
      </c>
      <c r="C279" s="4" t="s">
        <v>409</v>
      </c>
      <c r="D279" t="str">
        <f t="shared" si="9"/>
        <v>Geldern et al. 2006 (carbonate)</v>
      </c>
      <c r="F279" t="s">
        <v>722</v>
      </c>
      <c r="G279" t="s">
        <v>728</v>
      </c>
    </row>
    <row r="280" spans="1:8" x14ac:dyDescent="0.3">
      <c r="A280" s="4" t="s">
        <v>207</v>
      </c>
      <c r="B280" t="str">
        <f t="shared" si="8"/>
        <v>Tulipani et al. 2015 (phytane)</v>
      </c>
      <c r="C280" s="4" t="s">
        <v>409</v>
      </c>
      <c r="D280" t="str">
        <f t="shared" si="9"/>
        <v>Geldern et al. 2006 (carbonate)</v>
      </c>
      <c r="F280" t="s">
        <v>722</v>
      </c>
      <c r="G280" t="s">
        <v>728</v>
      </c>
    </row>
    <row r="281" spans="1:8" x14ac:dyDescent="0.3">
      <c r="A281" s="4" t="s">
        <v>207</v>
      </c>
      <c r="B281" t="str">
        <f t="shared" si="8"/>
        <v>Tulipani et al. 2015 (phytane)</v>
      </c>
      <c r="C281" s="4" t="s">
        <v>409</v>
      </c>
      <c r="D281" t="str">
        <f t="shared" si="9"/>
        <v>Geldern et al. 2006 (carbonate)</v>
      </c>
      <c r="F281" t="s">
        <v>722</v>
      </c>
      <c r="G281" t="s">
        <v>728</v>
      </c>
    </row>
    <row r="282" spans="1:8" x14ac:dyDescent="0.3">
      <c r="A282" s="4" t="s">
        <v>207</v>
      </c>
      <c r="B282" t="str">
        <f t="shared" si="8"/>
        <v>Tulipani et al. 2015 (phytane)</v>
      </c>
      <c r="C282" s="4" t="s">
        <v>409</v>
      </c>
      <c r="D282" t="str">
        <f t="shared" si="9"/>
        <v>Geldern et al. 2006 (carbonate)</v>
      </c>
      <c r="F282" t="s">
        <v>722</v>
      </c>
      <c r="G282" t="s">
        <v>728</v>
      </c>
    </row>
    <row r="283" spans="1:8" x14ac:dyDescent="0.3">
      <c r="A283" s="4" t="s">
        <v>207</v>
      </c>
      <c r="B283" t="str">
        <f t="shared" si="8"/>
        <v>Tulipani et al. 2015 (phytane)</v>
      </c>
      <c r="C283" s="4" t="s">
        <v>409</v>
      </c>
      <c r="D283" t="str">
        <f t="shared" si="9"/>
        <v>Geldern et al. 2006 (carbonate)</v>
      </c>
      <c r="F283" t="s">
        <v>722</v>
      </c>
      <c r="G283" t="s">
        <v>728</v>
      </c>
    </row>
    <row r="284" spans="1:8" x14ac:dyDescent="0.3">
      <c r="A284" s="4" t="s">
        <v>207</v>
      </c>
      <c r="B284" t="str">
        <f t="shared" si="8"/>
        <v>Tulipani et al. 2015 (phytane)</v>
      </c>
      <c r="C284" s="4" t="s">
        <v>409</v>
      </c>
      <c r="D284" t="str">
        <f t="shared" si="9"/>
        <v>Geldern et al. 2006 (carbonate)</v>
      </c>
      <c r="F284" t="s">
        <v>722</v>
      </c>
      <c r="G284" t="s">
        <v>728</v>
      </c>
    </row>
    <row r="285" spans="1:8" x14ac:dyDescent="0.3">
      <c r="A285" s="25" t="s">
        <v>293</v>
      </c>
      <c r="B285" t="str">
        <f t="shared" si="8"/>
        <v>Witkowski et al. 2018 (phytane)</v>
      </c>
      <c r="C285" s="4" t="s">
        <v>409</v>
      </c>
      <c r="D285" t="str">
        <f t="shared" si="9"/>
        <v>Geldern et al. 2006 (carbonate)</v>
      </c>
      <c r="F285" t="s">
        <v>719</v>
      </c>
      <c r="G285" t="s">
        <v>728</v>
      </c>
    </row>
    <row r="286" spans="1:8" x14ac:dyDescent="0.3">
      <c r="A286" s="25" t="s">
        <v>293</v>
      </c>
      <c r="B286" t="str">
        <f t="shared" si="8"/>
        <v>Witkowski et al. 2018 (phytane)</v>
      </c>
      <c r="C286" s="4" t="s">
        <v>410</v>
      </c>
      <c r="D286" t="str">
        <f t="shared" si="9"/>
        <v>Delabroye et al. 2011 (carbonate)</v>
      </c>
      <c r="F286" t="s">
        <v>723</v>
      </c>
      <c r="G286" t="s">
        <v>728</v>
      </c>
    </row>
    <row r="287" spans="1:8" x14ac:dyDescent="0.3">
      <c r="A287" s="25" t="s">
        <v>293</v>
      </c>
      <c r="B287" t="str">
        <f t="shared" si="8"/>
        <v>Witkowski et al. 2018 (phytane)</v>
      </c>
      <c r="C287" s="4" t="s">
        <v>409</v>
      </c>
      <c r="D287" t="str">
        <f t="shared" si="9"/>
        <v>Geldern et al. 2006 (carbonate)</v>
      </c>
      <c r="F287" t="s">
        <v>719</v>
      </c>
      <c r="G287" t="s">
        <v>728</v>
      </c>
    </row>
    <row r="288" spans="1:8" x14ac:dyDescent="0.3">
      <c r="A288" s="4" t="s">
        <v>6</v>
      </c>
      <c r="B288" t="str">
        <f t="shared" si="8"/>
        <v>Guthrie 1996 (phytane)</v>
      </c>
      <c r="C288" s="4" t="s">
        <v>410</v>
      </c>
      <c r="D288" t="str">
        <f t="shared" si="9"/>
        <v>Delabroye et al. 2011 (carbonate)</v>
      </c>
      <c r="F288" t="s">
        <v>724</v>
      </c>
      <c r="G288" t="s">
        <v>728</v>
      </c>
    </row>
    <row r="289" spans="1:7" x14ac:dyDescent="0.3">
      <c r="A289" s="4" t="s">
        <v>6</v>
      </c>
      <c r="B289" t="str">
        <f t="shared" si="8"/>
        <v>Guthrie 1996 (phytane)</v>
      </c>
      <c r="C289" s="4" t="s">
        <v>410</v>
      </c>
      <c r="D289" t="str">
        <f t="shared" si="9"/>
        <v>Delabroye et al. 2011 (carbonate)</v>
      </c>
      <c r="F289" t="s">
        <v>724</v>
      </c>
      <c r="G289" t="s">
        <v>728</v>
      </c>
    </row>
    <row r="290" spans="1:7" x14ac:dyDescent="0.3">
      <c r="A290" s="4" t="s">
        <v>6</v>
      </c>
      <c r="B290" t="str">
        <f t="shared" si="8"/>
        <v>Guthrie 1996 (phytane)</v>
      </c>
      <c r="C290" s="4" t="s">
        <v>410</v>
      </c>
      <c r="D290" t="str">
        <f t="shared" si="9"/>
        <v>Delabroye et al. 2011 (carbonate)</v>
      </c>
      <c r="F290" t="s">
        <v>724</v>
      </c>
      <c r="G290" t="s">
        <v>728</v>
      </c>
    </row>
    <row r="291" spans="1:7" x14ac:dyDescent="0.3">
      <c r="A291" s="4" t="s">
        <v>6</v>
      </c>
      <c r="B291" t="str">
        <f t="shared" si="8"/>
        <v>Guthrie 1996 (phytane)</v>
      </c>
      <c r="C291" s="4" t="s">
        <v>410</v>
      </c>
      <c r="D291" t="str">
        <f t="shared" si="9"/>
        <v>Delabroye et al. 2011 (carbonate)</v>
      </c>
      <c r="F291" t="s">
        <v>724</v>
      </c>
      <c r="G291" t="s">
        <v>728</v>
      </c>
    </row>
    <row r="292" spans="1:7" x14ac:dyDescent="0.3">
      <c r="A292" s="4" t="s">
        <v>6</v>
      </c>
      <c r="B292" t="str">
        <f t="shared" si="8"/>
        <v>Guthrie 1996 (phytane)</v>
      </c>
      <c r="C292" s="4" t="s">
        <v>410</v>
      </c>
      <c r="D292" t="str">
        <f t="shared" si="9"/>
        <v>Delabroye et al. 2011 (carbonate)</v>
      </c>
      <c r="F292" t="s">
        <v>724</v>
      </c>
      <c r="G292" t="s">
        <v>728</v>
      </c>
    </row>
    <row r="293" spans="1:7" x14ac:dyDescent="0.3">
      <c r="A293" s="4" t="s">
        <v>6</v>
      </c>
      <c r="B293" t="str">
        <f t="shared" si="8"/>
        <v>Guthrie 1996 (phytane)</v>
      </c>
      <c r="C293" s="4" t="s">
        <v>410</v>
      </c>
      <c r="D293" t="str">
        <f t="shared" si="9"/>
        <v>Delabroye et al. 2011 (carbonate)</v>
      </c>
      <c r="F293" t="s">
        <v>724</v>
      </c>
      <c r="G293" t="s">
        <v>728</v>
      </c>
    </row>
    <row r="294" spans="1:7" x14ac:dyDescent="0.3">
      <c r="A294" s="4" t="s">
        <v>6</v>
      </c>
      <c r="B294" t="str">
        <f t="shared" si="8"/>
        <v>Guthrie 1996 (phytane)</v>
      </c>
      <c r="C294" s="4" t="s">
        <v>410</v>
      </c>
      <c r="D294" t="str">
        <f t="shared" si="9"/>
        <v>Delabroye et al. 2011 (carbonate)</v>
      </c>
      <c r="F294" t="s">
        <v>724</v>
      </c>
      <c r="G294" t="s">
        <v>728</v>
      </c>
    </row>
    <row r="295" spans="1:7" x14ac:dyDescent="0.3">
      <c r="A295" s="4" t="s">
        <v>6</v>
      </c>
      <c r="B295" t="str">
        <f t="shared" si="8"/>
        <v>Guthrie 1996 (phytane)</v>
      </c>
      <c r="C295" s="4" t="s">
        <v>410</v>
      </c>
      <c r="D295" t="str">
        <f t="shared" si="9"/>
        <v>Delabroye et al. 2011 (carbonate)</v>
      </c>
      <c r="F295" t="s">
        <v>724</v>
      </c>
      <c r="G295" t="s">
        <v>728</v>
      </c>
    </row>
    <row r="296" spans="1:7" x14ac:dyDescent="0.3">
      <c r="A296" s="4" t="s">
        <v>6</v>
      </c>
      <c r="B296" t="str">
        <f t="shared" si="8"/>
        <v>Guthrie 1996 (phytane)</v>
      </c>
      <c r="C296" s="4" t="s">
        <v>410</v>
      </c>
      <c r="D296" t="str">
        <f t="shared" si="9"/>
        <v>Delabroye et al. 2011 (carbonate)</v>
      </c>
      <c r="F296" t="s">
        <v>724</v>
      </c>
      <c r="G296" t="s">
        <v>728</v>
      </c>
    </row>
    <row r="297" spans="1:7" x14ac:dyDescent="0.3">
      <c r="A297" s="4" t="s">
        <v>6</v>
      </c>
      <c r="B297" t="str">
        <f t="shared" si="8"/>
        <v>Guthrie 1996 (phytane)</v>
      </c>
      <c r="C297" s="4" t="s">
        <v>410</v>
      </c>
      <c r="D297" t="str">
        <f t="shared" si="9"/>
        <v>Delabroye et al. 2011 (carbonate)</v>
      </c>
      <c r="F297" t="s">
        <v>724</v>
      </c>
      <c r="G297" t="s">
        <v>728</v>
      </c>
    </row>
    <row r="298" spans="1:7" x14ac:dyDescent="0.3">
      <c r="A298" s="4" t="s">
        <v>6</v>
      </c>
      <c r="B298" t="str">
        <f t="shared" si="8"/>
        <v>Guthrie 1996 (phytane)</v>
      </c>
      <c r="C298" s="4" t="s">
        <v>410</v>
      </c>
      <c r="D298" t="str">
        <f t="shared" si="9"/>
        <v>Delabroye et al. 2011 (carbonate)</v>
      </c>
      <c r="F298" t="s">
        <v>724</v>
      </c>
      <c r="G298" t="s">
        <v>728</v>
      </c>
    </row>
    <row r="299" spans="1:7" x14ac:dyDescent="0.3">
      <c r="A299" s="4" t="s">
        <v>3</v>
      </c>
      <c r="B299" t="str">
        <f t="shared" si="8"/>
        <v>Pancost et al. 2013 (phytane)</v>
      </c>
      <c r="C299" s="4" t="s">
        <v>410</v>
      </c>
      <c r="D299" t="str">
        <f t="shared" si="9"/>
        <v>Delabroye et al. 2011 (carbonate)</v>
      </c>
      <c r="F299" t="s">
        <v>725</v>
      </c>
      <c r="G299" t="s">
        <v>728</v>
      </c>
    </row>
    <row r="300" spans="1:7" x14ac:dyDescent="0.3">
      <c r="A300" s="4" t="s">
        <v>3</v>
      </c>
      <c r="B300" t="str">
        <f t="shared" si="8"/>
        <v>Pancost et al. 2013 (phytane)</v>
      </c>
      <c r="C300" s="4" t="s">
        <v>410</v>
      </c>
      <c r="D300" t="str">
        <f t="shared" si="9"/>
        <v>Delabroye et al. 2011 (carbonate)</v>
      </c>
      <c r="F300" t="s">
        <v>725</v>
      </c>
      <c r="G300" t="s">
        <v>728</v>
      </c>
    </row>
    <row r="301" spans="1:7" x14ac:dyDescent="0.3">
      <c r="A301" s="4" t="s">
        <v>3</v>
      </c>
      <c r="B301" t="str">
        <f t="shared" si="8"/>
        <v>Pancost et al. 2013 (phytane)</v>
      </c>
      <c r="C301" s="4" t="s">
        <v>410</v>
      </c>
      <c r="D301" t="str">
        <f t="shared" si="9"/>
        <v>Delabroye et al. 2011 (carbonate)</v>
      </c>
      <c r="F301" t="s">
        <v>725</v>
      </c>
      <c r="G301" t="s">
        <v>728</v>
      </c>
    </row>
    <row r="302" spans="1:7" x14ac:dyDescent="0.3">
      <c r="A302" s="4" t="s">
        <v>3</v>
      </c>
      <c r="B302" t="str">
        <f t="shared" si="8"/>
        <v>Pancost et al. 2013 (phytane)</v>
      </c>
      <c r="C302" s="4" t="s">
        <v>410</v>
      </c>
      <c r="D302" t="str">
        <f t="shared" si="9"/>
        <v>Delabroye et al. 2011 (carbonate)</v>
      </c>
      <c r="F302" t="s">
        <v>725</v>
      </c>
      <c r="G302" t="s">
        <v>728</v>
      </c>
    </row>
    <row r="303" spans="1:7" x14ac:dyDescent="0.3">
      <c r="A303" s="4" t="s">
        <v>3</v>
      </c>
      <c r="B303" t="str">
        <f t="shared" si="8"/>
        <v>Pancost et al. 2013 (phytane)</v>
      </c>
      <c r="C303" s="4" t="s">
        <v>410</v>
      </c>
      <c r="D303" t="str">
        <f t="shared" si="9"/>
        <v>Delabroye et al. 2011 (carbonate)</v>
      </c>
      <c r="F303" t="s">
        <v>725</v>
      </c>
      <c r="G303" t="s">
        <v>728</v>
      </c>
    </row>
    <row r="304" spans="1:7" x14ac:dyDescent="0.3">
      <c r="A304" s="4" t="s">
        <v>3</v>
      </c>
      <c r="B304" t="str">
        <f t="shared" si="8"/>
        <v>Pancost et al. 2013 (phytane)</v>
      </c>
      <c r="C304" s="4" t="s">
        <v>410</v>
      </c>
      <c r="D304" t="str">
        <f t="shared" si="9"/>
        <v>Delabroye et al. 2011 (carbonate)</v>
      </c>
      <c r="F304" t="s">
        <v>725</v>
      </c>
      <c r="G304" t="s">
        <v>728</v>
      </c>
    </row>
    <row r="305" spans="1:7" x14ac:dyDescent="0.3">
      <c r="A305" s="4" t="s">
        <v>3</v>
      </c>
      <c r="B305" t="str">
        <f t="shared" si="8"/>
        <v>Pancost et al. 2013 (phytane)</v>
      </c>
      <c r="C305" s="4" t="s">
        <v>410</v>
      </c>
      <c r="D305" t="str">
        <f t="shared" si="9"/>
        <v>Delabroye et al. 2011 (carbonate)</v>
      </c>
      <c r="F305" t="s">
        <v>725</v>
      </c>
      <c r="G305" t="s">
        <v>728</v>
      </c>
    </row>
    <row r="306" spans="1:7" x14ac:dyDescent="0.3">
      <c r="A306" s="4" t="s">
        <v>3</v>
      </c>
      <c r="B306" t="str">
        <f t="shared" si="8"/>
        <v>Pancost et al. 2013 (phytane)</v>
      </c>
      <c r="C306" s="4" t="s">
        <v>410</v>
      </c>
      <c r="D306" t="str">
        <f t="shared" si="9"/>
        <v>Delabroye et al. 2011 (carbonate)</v>
      </c>
      <c r="F306" t="s">
        <v>725</v>
      </c>
      <c r="G306" t="s">
        <v>728</v>
      </c>
    </row>
    <row r="307" spans="1:7" x14ac:dyDescent="0.3">
      <c r="A307" s="4" t="s">
        <v>3</v>
      </c>
      <c r="B307" t="str">
        <f t="shared" si="8"/>
        <v>Pancost et al. 2013 (phytane)</v>
      </c>
      <c r="C307" s="4" t="s">
        <v>410</v>
      </c>
      <c r="D307" t="str">
        <f t="shared" si="9"/>
        <v>Delabroye et al. 2011 (carbonate)</v>
      </c>
      <c r="F307" t="s">
        <v>725</v>
      </c>
      <c r="G307" t="s">
        <v>728</v>
      </c>
    </row>
  </sheetData>
  <autoFilter ref="F1:J307" xr:uid="{EE2049D6-D8AB-4B15-A32E-127E9FF1E67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9DD22-C91E-43BE-B63A-973258380B8A}">
  <dimension ref="A1:F107"/>
  <sheetViews>
    <sheetView topLeftCell="A62" workbookViewId="0">
      <selection activeCell="I76" sqref="I76"/>
    </sheetView>
  </sheetViews>
  <sheetFormatPr defaultRowHeight="14.4" x14ac:dyDescent="0.3"/>
  <cols>
    <col min="2" max="2" width="12.21875" customWidth="1"/>
    <col min="3" max="3" width="14.77734375" style="102" bestFit="1" customWidth="1"/>
    <col min="4" max="4" width="14.77734375" style="102" customWidth="1"/>
    <col min="5" max="5" width="11.88671875" style="102" bestFit="1" customWidth="1"/>
    <col min="6" max="6" width="18.5546875" style="102" customWidth="1"/>
    <col min="7" max="7" width="9.6640625" bestFit="1" customWidth="1"/>
  </cols>
  <sheetData>
    <row r="1" spans="1:6" x14ac:dyDescent="0.3">
      <c r="A1" t="s">
        <v>590</v>
      </c>
      <c r="B1" t="s">
        <v>587</v>
      </c>
      <c r="C1" s="102" t="s">
        <v>588</v>
      </c>
      <c r="D1" s="103" t="s">
        <v>591</v>
      </c>
      <c r="E1" s="102" t="s">
        <v>589</v>
      </c>
      <c r="F1" s="103" t="s">
        <v>592</v>
      </c>
    </row>
    <row r="2" spans="1:6" x14ac:dyDescent="0.3">
      <c r="A2">
        <v>19584</v>
      </c>
      <c r="C2" s="102">
        <v>34.43</v>
      </c>
      <c r="D2" s="102">
        <v>34.43</v>
      </c>
      <c r="E2" s="102">
        <v>-120.75783300000001</v>
      </c>
      <c r="F2" s="102">
        <v>-120.7578</v>
      </c>
    </row>
    <row r="3" spans="1:6" x14ac:dyDescent="0.3">
      <c r="A3">
        <v>19585</v>
      </c>
      <c r="C3" s="102">
        <v>34.299999999999997</v>
      </c>
      <c r="D3" s="102">
        <v>34.299999999999997</v>
      </c>
      <c r="E3" s="102">
        <v>-120.75783300000001</v>
      </c>
      <c r="F3" s="102">
        <v>-120.7578</v>
      </c>
    </row>
    <row r="4" spans="1:6" x14ac:dyDescent="0.3">
      <c r="A4">
        <v>19586</v>
      </c>
      <c r="C4" s="102">
        <v>34.200000000000003</v>
      </c>
      <c r="D4" s="102">
        <v>34.200000000000003</v>
      </c>
      <c r="E4" s="102">
        <v>-120.757834</v>
      </c>
      <c r="F4" s="102">
        <v>-120.7578</v>
      </c>
    </row>
    <row r="5" spans="1:6" x14ac:dyDescent="0.3">
      <c r="A5">
        <v>19587</v>
      </c>
      <c r="C5" s="102">
        <v>33.86</v>
      </c>
      <c r="D5" s="102">
        <v>33.86</v>
      </c>
      <c r="E5" s="102">
        <v>-120.757835</v>
      </c>
      <c r="F5" s="102">
        <v>-120.7578</v>
      </c>
    </row>
    <row r="6" spans="1:6" x14ac:dyDescent="0.3">
      <c r="A6">
        <v>19588</v>
      </c>
      <c r="C6" s="102">
        <v>33.76</v>
      </c>
      <c r="D6" s="102">
        <v>33.76</v>
      </c>
      <c r="E6" s="102">
        <v>-120.757836</v>
      </c>
      <c r="F6" s="102">
        <v>-120.7578</v>
      </c>
    </row>
    <row r="7" spans="1:6" x14ac:dyDescent="0.3">
      <c r="A7">
        <v>19589</v>
      </c>
      <c r="C7" s="102">
        <v>33.69</v>
      </c>
      <c r="D7" s="102">
        <v>33.69</v>
      </c>
      <c r="E7" s="102">
        <v>-120.75783699999999</v>
      </c>
      <c r="F7" s="102">
        <v>-120.7578</v>
      </c>
    </row>
    <row r="8" spans="1:6" x14ac:dyDescent="0.3">
      <c r="A8">
        <v>19590</v>
      </c>
      <c r="C8" s="102">
        <v>33.56</v>
      </c>
      <c r="D8" s="102">
        <v>33.56</v>
      </c>
      <c r="E8" s="102">
        <v>-120.75783800000001</v>
      </c>
      <c r="F8" s="102">
        <v>-120.7578</v>
      </c>
    </row>
    <row r="9" spans="1:6" x14ac:dyDescent="0.3">
      <c r="A9">
        <v>19591</v>
      </c>
      <c r="C9" s="102">
        <v>33.39</v>
      </c>
      <c r="D9" s="102">
        <v>33.39</v>
      </c>
      <c r="E9" s="102">
        <v>-120.757839</v>
      </c>
      <c r="F9" s="102">
        <v>-120.7578</v>
      </c>
    </row>
    <row r="10" spans="1:6" x14ac:dyDescent="0.3">
      <c r="A10">
        <v>19592</v>
      </c>
      <c r="C10" s="102">
        <v>33.19</v>
      </c>
      <c r="D10" s="102">
        <v>33.19</v>
      </c>
      <c r="E10" s="102">
        <v>-120.75784</v>
      </c>
      <c r="F10" s="102">
        <v>-120.7578</v>
      </c>
    </row>
    <row r="11" spans="1:6" x14ac:dyDescent="0.3">
      <c r="A11">
        <v>19593</v>
      </c>
      <c r="C11" s="102">
        <v>33.119999999999997</v>
      </c>
      <c r="D11" s="102">
        <v>33.119999999999997</v>
      </c>
      <c r="E11" s="102">
        <v>-120.757841</v>
      </c>
      <c r="F11" s="102">
        <v>-120.7578</v>
      </c>
    </row>
    <row r="12" spans="1:6" x14ac:dyDescent="0.3">
      <c r="A12">
        <v>19594</v>
      </c>
      <c r="C12" s="102">
        <v>32.79</v>
      </c>
      <c r="D12" s="102">
        <v>32.79</v>
      </c>
      <c r="E12" s="102">
        <v>-120.757842</v>
      </c>
      <c r="F12" s="102">
        <v>-120.7578</v>
      </c>
    </row>
    <row r="13" spans="1:6" x14ac:dyDescent="0.3">
      <c r="A13">
        <v>19595</v>
      </c>
      <c r="C13" s="102">
        <v>32.619999999999997</v>
      </c>
      <c r="D13" s="102">
        <v>32.619999999999997</v>
      </c>
      <c r="E13" s="102">
        <v>-120.75784299999999</v>
      </c>
      <c r="F13" s="102">
        <v>-120.7578</v>
      </c>
    </row>
    <row r="14" spans="1:6" x14ac:dyDescent="0.3">
      <c r="A14">
        <v>19596</v>
      </c>
      <c r="C14" s="102">
        <v>32.450000000000003</v>
      </c>
      <c r="D14" s="102">
        <v>32.450000000000003</v>
      </c>
      <c r="E14" s="102">
        <v>-120.75784400000001</v>
      </c>
      <c r="F14" s="102">
        <v>-120.7578</v>
      </c>
    </row>
    <row r="15" spans="1:6" x14ac:dyDescent="0.3">
      <c r="A15">
        <v>19597</v>
      </c>
      <c r="C15" s="102">
        <v>32.369999999999997</v>
      </c>
      <c r="D15" s="102">
        <v>32.369999999999997</v>
      </c>
      <c r="E15" s="102">
        <v>-120.757845</v>
      </c>
      <c r="F15" s="102">
        <v>-120.7578</v>
      </c>
    </row>
    <row r="16" spans="1:6" x14ac:dyDescent="0.3">
      <c r="A16">
        <v>19598</v>
      </c>
      <c r="C16" s="102">
        <v>32.03</v>
      </c>
      <c r="D16" s="102">
        <v>32.03</v>
      </c>
      <c r="E16" s="102">
        <v>-120.757846</v>
      </c>
      <c r="F16" s="102">
        <v>-120.7578</v>
      </c>
    </row>
    <row r="17" spans="1:6" x14ac:dyDescent="0.3">
      <c r="A17">
        <v>19599</v>
      </c>
      <c r="C17" s="102">
        <v>31.86</v>
      </c>
      <c r="D17" s="102">
        <v>31.86</v>
      </c>
      <c r="E17" s="102">
        <v>-120.757858</v>
      </c>
      <c r="F17" s="102">
        <v>-120.75790000000001</v>
      </c>
    </row>
    <row r="18" spans="1:6" x14ac:dyDescent="0.3">
      <c r="A18">
        <v>19600</v>
      </c>
      <c r="C18" s="102">
        <v>31.78</v>
      </c>
      <c r="D18" s="102">
        <v>31.78</v>
      </c>
      <c r="E18" s="102">
        <v>-120.75786100000001</v>
      </c>
      <c r="F18" s="102">
        <v>-120.75790000000001</v>
      </c>
    </row>
    <row r="19" spans="1:6" x14ac:dyDescent="0.3">
      <c r="A19">
        <v>19601</v>
      </c>
      <c r="C19" s="102">
        <v>31.7</v>
      </c>
      <c r="D19" s="102">
        <v>31.7</v>
      </c>
      <c r="E19" s="102">
        <v>-120.757859</v>
      </c>
      <c r="F19" s="102">
        <v>-120.75790000000001</v>
      </c>
    </row>
    <row r="20" spans="1:6" x14ac:dyDescent="0.3">
      <c r="A20">
        <v>19602</v>
      </c>
      <c r="C20" s="102">
        <v>31.36</v>
      </c>
      <c r="D20" s="102">
        <v>31.36</v>
      </c>
      <c r="E20" s="102">
        <v>-120.757847</v>
      </c>
      <c r="F20" s="102">
        <v>-120.7578</v>
      </c>
    </row>
    <row r="21" spans="1:6" x14ac:dyDescent="0.3">
      <c r="A21">
        <v>19603</v>
      </c>
      <c r="C21" s="102">
        <v>31.34</v>
      </c>
      <c r="D21" s="102">
        <v>31.34</v>
      </c>
      <c r="E21" s="102">
        <v>-120.75785999999999</v>
      </c>
      <c r="F21" s="102">
        <v>-120.75790000000001</v>
      </c>
    </row>
    <row r="22" spans="1:6" x14ac:dyDescent="0.3">
      <c r="A22">
        <v>19604</v>
      </c>
      <c r="C22" s="102">
        <v>31.01</v>
      </c>
      <c r="D22" s="102">
        <v>31.01</v>
      </c>
      <c r="E22" s="102">
        <v>-120.757848</v>
      </c>
      <c r="F22" s="102">
        <v>-120.7578</v>
      </c>
    </row>
    <row r="23" spans="1:6" x14ac:dyDescent="0.3">
      <c r="A23">
        <v>19607</v>
      </c>
      <c r="C23" s="102" t="s">
        <v>556</v>
      </c>
      <c r="D23" s="102">
        <v>36.010300000000001</v>
      </c>
      <c r="E23" s="102" t="s">
        <v>557</v>
      </c>
      <c r="F23" s="102">
        <v>-121.0153</v>
      </c>
    </row>
    <row r="24" spans="1:6" x14ac:dyDescent="0.3">
      <c r="A24">
        <v>19608</v>
      </c>
      <c r="C24" s="102" t="s">
        <v>556</v>
      </c>
      <c r="D24" s="102">
        <v>36.010300000000001</v>
      </c>
      <c r="E24" s="102" t="s">
        <v>557</v>
      </c>
      <c r="F24" s="102">
        <v>-121.0153</v>
      </c>
    </row>
    <row r="25" spans="1:6" x14ac:dyDescent="0.3">
      <c r="A25">
        <v>19609</v>
      </c>
      <c r="C25" s="102">
        <v>30.73</v>
      </c>
      <c r="D25" s="102">
        <v>30.73</v>
      </c>
      <c r="E25" s="102">
        <v>-120.75784899999999</v>
      </c>
      <c r="F25" s="102">
        <v>-120.7578</v>
      </c>
    </row>
    <row r="26" spans="1:6" x14ac:dyDescent="0.3">
      <c r="A26">
        <v>19610</v>
      </c>
      <c r="C26" s="102">
        <v>30.63</v>
      </c>
      <c r="D26" s="102">
        <v>30.63</v>
      </c>
      <c r="E26" s="102">
        <v>-120.75785</v>
      </c>
      <c r="F26" s="102">
        <v>-120.75790000000001</v>
      </c>
    </row>
    <row r="27" spans="1:6" x14ac:dyDescent="0.3">
      <c r="A27">
        <v>19611</v>
      </c>
      <c r="C27" s="102">
        <v>30.54</v>
      </c>
      <c r="D27" s="102">
        <v>30.54</v>
      </c>
      <c r="E27" s="102">
        <v>-120.757851</v>
      </c>
      <c r="F27" s="102">
        <v>-120.75790000000001</v>
      </c>
    </row>
    <row r="28" spans="1:6" x14ac:dyDescent="0.3">
      <c r="A28">
        <v>19612</v>
      </c>
      <c r="C28" s="102" t="s">
        <v>556</v>
      </c>
      <c r="D28" s="102">
        <v>36.010300000000001</v>
      </c>
      <c r="E28" s="102" t="s">
        <v>557</v>
      </c>
      <c r="F28" s="102">
        <v>-121.0153</v>
      </c>
    </row>
    <row r="29" spans="1:6" x14ac:dyDescent="0.3">
      <c r="A29">
        <v>19614</v>
      </c>
      <c r="C29" s="102">
        <v>30.36</v>
      </c>
      <c r="D29" s="102">
        <v>30.36</v>
      </c>
      <c r="E29" s="102">
        <v>-120.757852</v>
      </c>
      <c r="F29" s="102">
        <v>-120.75790000000001</v>
      </c>
    </row>
    <row r="30" spans="1:6" x14ac:dyDescent="0.3">
      <c r="A30">
        <v>19619</v>
      </c>
      <c r="C30" s="102" t="s">
        <v>556</v>
      </c>
      <c r="D30" s="102">
        <v>36.010300000000001</v>
      </c>
      <c r="E30" s="102" t="s">
        <v>557</v>
      </c>
      <c r="F30" s="102">
        <v>-121.0153</v>
      </c>
    </row>
    <row r="31" spans="1:6" x14ac:dyDescent="0.3">
      <c r="A31">
        <v>19620</v>
      </c>
      <c r="C31" s="102" t="s">
        <v>556</v>
      </c>
      <c r="D31" s="102">
        <v>36.010300000000001</v>
      </c>
      <c r="E31" s="102" t="s">
        <v>557</v>
      </c>
      <c r="F31" s="102">
        <v>-121.0153</v>
      </c>
    </row>
    <row r="32" spans="1:6" x14ac:dyDescent="0.3">
      <c r="A32">
        <v>19621</v>
      </c>
      <c r="C32" s="102">
        <v>30.19</v>
      </c>
      <c r="D32" s="102">
        <v>30.19</v>
      </c>
      <c r="E32" s="102">
        <v>-120.757853</v>
      </c>
      <c r="F32" s="102">
        <v>-120.75790000000001</v>
      </c>
    </row>
    <row r="33" spans="1:6" x14ac:dyDescent="0.3">
      <c r="A33">
        <v>19623</v>
      </c>
      <c r="C33" s="102">
        <v>30.15</v>
      </c>
      <c r="D33" s="102">
        <v>30.15</v>
      </c>
      <c r="E33" s="102">
        <v>-120.75785399999999</v>
      </c>
      <c r="F33" s="102">
        <v>-120.75790000000001</v>
      </c>
    </row>
    <row r="34" spans="1:6" x14ac:dyDescent="0.3">
      <c r="A34">
        <v>19624</v>
      </c>
      <c r="C34" s="102" t="s">
        <v>556</v>
      </c>
      <c r="D34" s="102">
        <v>36.010300000000001</v>
      </c>
      <c r="E34" s="102" t="s">
        <v>557</v>
      </c>
      <c r="F34" s="102">
        <v>-121.0153</v>
      </c>
    </row>
    <row r="35" spans="1:6" x14ac:dyDescent="0.3">
      <c r="A35">
        <v>19625</v>
      </c>
      <c r="C35" s="102" t="s">
        <v>556</v>
      </c>
      <c r="D35" s="102">
        <v>36.010300000000001</v>
      </c>
      <c r="E35" s="102" t="s">
        <v>557</v>
      </c>
      <c r="F35" s="102">
        <v>-121.0153</v>
      </c>
    </row>
    <row r="36" spans="1:6" x14ac:dyDescent="0.3">
      <c r="A36">
        <v>19626</v>
      </c>
      <c r="C36" s="102" t="s">
        <v>558</v>
      </c>
      <c r="D36" s="102">
        <v>42.015099999999997</v>
      </c>
      <c r="E36" s="102" t="s">
        <v>559</v>
      </c>
      <c r="F36" s="102">
        <v>-9.0044000000000004</v>
      </c>
    </row>
    <row r="37" spans="1:6" x14ac:dyDescent="0.3">
      <c r="A37">
        <v>19630</v>
      </c>
      <c r="C37" s="102">
        <v>30.04</v>
      </c>
      <c r="D37" s="102">
        <v>30.04</v>
      </c>
      <c r="E37" s="102">
        <v>-120.75785500000001</v>
      </c>
      <c r="F37" s="102">
        <v>-120.75790000000001</v>
      </c>
    </row>
    <row r="38" spans="1:6" x14ac:dyDescent="0.3">
      <c r="A38">
        <v>19633</v>
      </c>
      <c r="C38" s="102">
        <v>29.94</v>
      </c>
      <c r="D38" s="102">
        <v>29.94</v>
      </c>
      <c r="E38" s="102">
        <v>-120.757856</v>
      </c>
      <c r="F38" s="102">
        <v>-120.75790000000001</v>
      </c>
    </row>
    <row r="39" spans="1:6" x14ac:dyDescent="0.3">
      <c r="A39">
        <v>19637</v>
      </c>
      <c r="C39" s="102">
        <v>29.89</v>
      </c>
      <c r="D39" s="102">
        <v>29.89</v>
      </c>
      <c r="E39" s="102">
        <v>-120.757857</v>
      </c>
      <c r="F39" s="102">
        <v>-120.75790000000001</v>
      </c>
    </row>
    <row r="40" spans="1:6" x14ac:dyDescent="0.3">
      <c r="A40">
        <v>19643</v>
      </c>
      <c r="C40" s="102" t="s">
        <v>560</v>
      </c>
      <c r="D40" s="102">
        <v>39.0077</v>
      </c>
      <c r="E40" s="102" t="s">
        <v>561</v>
      </c>
      <c r="F40" s="102">
        <v>140.0087</v>
      </c>
    </row>
    <row r="41" spans="1:6" x14ac:dyDescent="0.3">
      <c r="A41">
        <v>19693</v>
      </c>
      <c r="C41" s="102" t="s">
        <v>562</v>
      </c>
      <c r="D41" s="102">
        <v>28.0154</v>
      </c>
      <c r="E41" s="102" t="s">
        <v>563</v>
      </c>
      <c r="F41" s="102">
        <v>50.0137</v>
      </c>
    </row>
    <row r="42" spans="1:6" x14ac:dyDescent="0.3">
      <c r="A42">
        <v>19695</v>
      </c>
      <c r="C42" s="102" t="s">
        <v>562</v>
      </c>
      <c r="D42" s="102">
        <v>28.0154</v>
      </c>
      <c r="E42" s="102" t="s">
        <v>563</v>
      </c>
      <c r="F42" s="102">
        <v>50.0137</v>
      </c>
    </row>
    <row r="43" spans="1:6" x14ac:dyDescent="0.3">
      <c r="A43">
        <v>19702</v>
      </c>
      <c r="C43" s="102" t="s">
        <v>562</v>
      </c>
      <c r="D43" s="102">
        <v>28.0154</v>
      </c>
      <c r="E43" s="102" t="s">
        <v>563</v>
      </c>
      <c r="F43" s="102">
        <v>50.0137</v>
      </c>
    </row>
    <row r="44" spans="1:6" x14ac:dyDescent="0.3">
      <c r="A44">
        <v>19703</v>
      </c>
      <c r="C44" s="102" t="s">
        <v>562</v>
      </c>
      <c r="D44" s="102">
        <v>28.0154</v>
      </c>
      <c r="E44" s="102" t="s">
        <v>563</v>
      </c>
      <c r="F44" s="102">
        <v>50.0137</v>
      </c>
    </row>
    <row r="45" spans="1:6" x14ac:dyDescent="0.3">
      <c r="A45">
        <v>19718</v>
      </c>
      <c r="C45" s="102" t="s">
        <v>564</v>
      </c>
      <c r="D45" s="102">
        <v>5.0110999999999999</v>
      </c>
      <c r="E45" s="102" t="s">
        <v>565</v>
      </c>
      <c r="F45" s="102">
        <v>-53.012999999999998</v>
      </c>
    </row>
    <row r="46" spans="1:6" x14ac:dyDescent="0.3">
      <c r="A46">
        <v>19719</v>
      </c>
      <c r="C46" s="102" t="s">
        <v>564</v>
      </c>
      <c r="D46" s="102">
        <v>5.0110999999999999</v>
      </c>
      <c r="E46" s="102" t="s">
        <v>565</v>
      </c>
      <c r="F46" s="102">
        <v>-53.012999999999998</v>
      </c>
    </row>
    <row r="47" spans="1:6" x14ac:dyDescent="0.3">
      <c r="A47">
        <v>19727</v>
      </c>
      <c r="C47" s="102" t="s">
        <v>566</v>
      </c>
      <c r="D47" s="102">
        <v>-12.0063</v>
      </c>
      <c r="E47" s="102" t="s">
        <v>567</v>
      </c>
      <c r="F47" s="102">
        <v>13.009399999999999</v>
      </c>
    </row>
    <row r="48" spans="1:6" x14ac:dyDescent="0.3">
      <c r="A48">
        <v>19728</v>
      </c>
      <c r="C48" s="102" t="s">
        <v>566</v>
      </c>
      <c r="D48" s="102">
        <v>-12.0063</v>
      </c>
      <c r="E48" s="102" t="s">
        <v>567</v>
      </c>
      <c r="F48" s="102">
        <v>13.009399999999999</v>
      </c>
    </row>
    <row r="49" spans="1:6" x14ac:dyDescent="0.3">
      <c r="A49">
        <v>19736</v>
      </c>
      <c r="C49" s="102" t="s">
        <v>564</v>
      </c>
      <c r="D49" s="102">
        <v>5.0110999999999999</v>
      </c>
      <c r="E49" s="102" t="s">
        <v>565</v>
      </c>
      <c r="F49" s="102">
        <v>-53.012999999999998</v>
      </c>
    </row>
    <row r="50" spans="1:6" x14ac:dyDescent="0.3">
      <c r="A50">
        <v>19737</v>
      </c>
      <c r="C50" s="102" t="s">
        <v>564</v>
      </c>
      <c r="D50" s="102">
        <v>5.0110999999999999</v>
      </c>
      <c r="E50" s="102" t="s">
        <v>565</v>
      </c>
      <c r="F50" s="102">
        <v>-53.012999999999998</v>
      </c>
    </row>
    <row r="51" spans="1:6" x14ac:dyDescent="0.3">
      <c r="A51">
        <v>19743</v>
      </c>
      <c r="C51" s="102" t="s">
        <v>566</v>
      </c>
      <c r="D51" s="102">
        <v>-12.0063</v>
      </c>
      <c r="E51" s="102" t="s">
        <v>567</v>
      </c>
      <c r="F51" s="102">
        <v>13.009399999999999</v>
      </c>
    </row>
    <row r="52" spans="1:6" x14ac:dyDescent="0.3">
      <c r="A52">
        <v>19744</v>
      </c>
      <c r="C52" s="102" t="s">
        <v>566</v>
      </c>
      <c r="D52" s="102">
        <v>-12.0063</v>
      </c>
      <c r="E52" s="102" t="s">
        <v>567</v>
      </c>
      <c r="F52" s="102">
        <v>13.009399999999999</v>
      </c>
    </row>
    <row r="53" spans="1:6" x14ac:dyDescent="0.3">
      <c r="A53">
        <v>19750</v>
      </c>
      <c r="C53" s="102" t="s">
        <v>564</v>
      </c>
      <c r="D53" s="102">
        <v>5.0110999999999999</v>
      </c>
      <c r="E53" s="102" t="s">
        <v>565</v>
      </c>
      <c r="F53" s="102">
        <v>-53.012999999999998</v>
      </c>
    </row>
    <row r="54" spans="1:6" x14ac:dyDescent="0.3">
      <c r="A54">
        <v>19756</v>
      </c>
      <c r="C54" s="102" t="s">
        <v>568</v>
      </c>
      <c r="D54" s="102">
        <v>15.0023</v>
      </c>
      <c r="E54" s="102" t="s">
        <v>569</v>
      </c>
      <c r="F54" s="102">
        <v>-23.003399999999999</v>
      </c>
    </row>
    <row r="55" spans="1:6" x14ac:dyDescent="0.3">
      <c r="A55">
        <v>19757</v>
      </c>
      <c r="C55" s="102" t="s">
        <v>566</v>
      </c>
      <c r="D55" s="102">
        <v>-12.0063</v>
      </c>
      <c r="E55" s="102" t="s">
        <v>567</v>
      </c>
      <c r="F55" s="102">
        <v>13.009399999999999</v>
      </c>
    </row>
    <row r="56" spans="1:6" x14ac:dyDescent="0.3">
      <c r="A56">
        <v>19760</v>
      </c>
      <c r="C56" s="102" t="s">
        <v>562</v>
      </c>
      <c r="D56" s="102">
        <v>28.0154</v>
      </c>
      <c r="E56" s="102" t="s">
        <v>563</v>
      </c>
      <c r="F56" s="102">
        <v>50.0137</v>
      </c>
    </row>
    <row r="57" spans="1:6" x14ac:dyDescent="0.3">
      <c r="A57">
        <v>19761</v>
      </c>
      <c r="C57" s="102" t="s">
        <v>562</v>
      </c>
      <c r="D57" s="102">
        <v>28.0154</v>
      </c>
      <c r="E57" s="102" t="s">
        <v>563</v>
      </c>
      <c r="F57" s="102">
        <v>50.0137</v>
      </c>
    </row>
    <row r="58" spans="1:6" x14ac:dyDescent="0.3">
      <c r="A58">
        <v>19764</v>
      </c>
      <c r="C58" s="102" t="s">
        <v>570</v>
      </c>
      <c r="D58" s="102">
        <v>39.010399999999997</v>
      </c>
      <c r="E58" s="102" t="s">
        <v>571</v>
      </c>
      <c r="F58" s="102">
        <v>19.0154</v>
      </c>
    </row>
    <row r="59" spans="1:6" x14ac:dyDescent="0.3">
      <c r="A59">
        <v>19765</v>
      </c>
      <c r="C59" s="102" t="s">
        <v>570</v>
      </c>
      <c r="D59" s="102">
        <v>39.010399999999997</v>
      </c>
      <c r="E59" s="102" t="s">
        <v>571</v>
      </c>
      <c r="F59" s="102">
        <v>19.0154</v>
      </c>
    </row>
    <row r="60" spans="1:6" x14ac:dyDescent="0.3">
      <c r="A60">
        <v>19766</v>
      </c>
      <c r="C60" s="102" t="s">
        <v>570</v>
      </c>
      <c r="D60" s="102">
        <v>39.010399999999997</v>
      </c>
      <c r="E60" s="102" t="s">
        <v>571</v>
      </c>
      <c r="F60" s="102">
        <v>19.0154</v>
      </c>
    </row>
    <row r="61" spans="1:6" x14ac:dyDescent="0.3">
      <c r="A61">
        <v>19767</v>
      </c>
      <c r="C61" s="102" t="s">
        <v>570</v>
      </c>
      <c r="D61" s="102">
        <v>39.010399999999997</v>
      </c>
      <c r="E61" s="102" t="s">
        <v>571</v>
      </c>
      <c r="F61" s="102">
        <v>19.0154</v>
      </c>
    </row>
    <row r="62" spans="1:6" x14ac:dyDescent="0.3">
      <c r="A62">
        <v>19769</v>
      </c>
      <c r="C62" s="102" t="s">
        <v>570</v>
      </c>
      <c r="D62" s="102">
        <v>39.010399999999997</v>
      </c>
      <c r="E62" s="102" t="s">
        <v>571</v>
      </c>
      <c r="F62" s="102">
        <v>19.0154</v>
      </c>
    </row>
    <row r="63" spans="1:6" x14ac:dyDescent="0.3">
      <c r="A63">
        <v>19770</v>
      </c>
      <c r="C63" s="102" t="s">
        <v>570</v>
      </c>
      <c r="D63" s="102">
        <v>39.010399999999997</v>
      </c>
      <c r="E63" s="102" t="s">
        <v>571</v>
      </c>
      <c r="F63" s="102">
        <v>19.0154</v>
      </c>
    </row>
    <row r="64" spans="1:6" x14ac:dyDescent="0.3">
      <c r="A64">
        <v>19772</v>
      </c>
      <c r="C64" s="102" t="s">
        <v>570</v>
      </c>
      <c r="D64" s="102">
        <v>39.010399999999997</v>
      </c>
      <c r="E64" s="102" t="s">
        <v>571</v>
      </c>
      <c r="F64" s="102">
        <v>19.0154</v>
      </c>
    </row>
    <row r="65" spans="1:6" x14ac:dyDescent="0.3">
      <c r="A65">
        <v>19773</v>
      </c>
      <c r="C65" s="102" t="s">
        <v>562</v>
      </c>
      <c r="D65" s="102">
        <v>28.0154</v>
      </c>
      <c r="E65" s="102" t="s">
        <v>563</v>
      </c>
      <c r="F65" s="102">
        <v>50.0137</v>
      </c>
    </row>
    <row r="66" spans="1:6" x14ac:dyDescent="0.3">
      <c r="A66">
        <v>19774</v>
      </c>
      <c r="C66" s="102" t="s">
        <v>562</v>
      </c>
      <c r="D66" s="102">
        <v>28.0154</v>
      </c>
      <c r="E66" s="102" t="s">
        <v>563</v>
      </c>
      <c r="F66" s="102">
        <v>50.0137</v>
      </c>
    </row>
    <row r="67" spans="1:6" x14ac:dyDescent="0.3">
      <c r="A67">
        <v>19775</v>
      </c>
      <c r="C67" s="102" t="s">
        <v>570</v>
      </c>
      <c r="D67" s="102">
        <v>39.010399999999997</v>
      </c>
      <c r="E67" s="102" t="s">
        <v>571</v>
      </c>
      <c r="F67" s="102">
        <v>19.0154</v>
      </c>
    </row>
    <row r="68" spans="1:6" x14ac:dyDescent="0.3">
      <c r="A68">
        <v>19776</v>
      </c>
      <c r="C68" s="102" t="s">
        <v>570</v>
      </c>
      <c r="D68" s="102">
        <v>39.010399999999997</v>
      </c>
      <c r="E68" s="102" t="s">
        <v>571</v>
      </c>
      <c r="F68" s="102">
        <v>19.0154</v>
      </c>
    </row>
    <row r="69" spans="1:6" x14ac:dyDescent="0.3">
      <c r="A69">
        <v>19777</v>
      </c>
      <c r="C69" s="102" t="s">
        <v>562</v>
      </c>
      <c r="D69" s="102">
        <v>28.0154</v>
      </c>
      <c r="E69" s="102" t="s">
        <v>563</v>
      </c>
      <c r="F69" s="102">
        <v>50.0137</v>
      </c>
    </row>
    <row r="70" spans="1:6" x14ac:dyDescent="0.3">
      <c r="A70">
        <v>19778</v>
      </c>
      <c r="C70" s="102" t="s">
        <v>562</v>
      </c>
      <c r="D70" s="102">
        <v>28.0154</v>
      </c>
      <c r="E70" s="102" t="s">
        <v>563</v>
      </c>
      <c r="F70" s="102">
        <v>50.0137</v>
      </c>
    </row>
    <row r="71" spans="1:6" x14ac:dyDescent="0.3">
      <c r="A71">
        <v>19779</v>
      </c>
      <c r="B71" t="s">
        <v>586</v>
      </c>
      <c r="C71" s="102" t="s">
        <v>572</v>
      </c>
      <c r="E71" s="102" t="s">
        <v>573</v>
      </c>
    </row>
    <row r="72" spans="1:6" x14ac:dyDescent="0.3">
      <c r="A72">
        <v>19787</v>
      </c>
      <c r="B72" t="s">
        <v>586</v>
      </c>
      <c r="C72" s="102" t="s">
        <v>572</v>
      </c>
      <c r="E72" s="102" t="s">
        <v>573</v>
      </c>
    </row>
    <row r="73" spans="1:6" x14ac:dyDescent="0.3">
      <c r="A73">
        <v>19791</v>
      </c>
      <c r="B73" t="s">
        <v>586</v>
      </c>
      <c r="C73" s="102" t="s">
        <v>572</v>
      </c>
      <c r="E73" s="102" t="s">
        <v>573</v>
      </c>
    </row>
    <row r="74" spans="1:6" x14ac:dyDescent="0.3">
      <c r="A74">
        <v>19796</v>
      </c>
      <c r="B74" t="s">
        <v>586</v>
      </c>
      <c r="C74" s="102" t="s">
        <v>572</v>
      </c>
      <c r="E74" s="102" t="s">
        <v>573</v>
      </c>
    </row>
    <row r="75" spans="1:6" x14ac:dyDescent="0.3">
      <c r="A75">
        <v>19827</v>
      </c>
      <c r="B75" t="s">
        <v>586</v>
      </c>
      <c r="C75" s="102" t="s">
        <v>572</v>
      </c>
      <c r="E75" s="102" t="s">
        <v>573</v>
      </c>
    </row>
    <row r="76" spans="1:6" x14ac:dyDescent="0.3">
      <c r="A76">
        <v>19830</v>
      </c>
      <c r="B76" t="s">
        <v>586</v>
      </c>
      <c r="C76" s="102" t="s">
        <v>572</v>
      </c>
      <c r="E76" s="102" t="s">
        <v>573</v>
      </c>
    </row>
    <row r="77" spans="1:6" x14ac:dyDescent="0.3">
      <c r="A77">
        <v>19831</v>
      </c>
      <c r="B77" t="s">
        <v>586</v>
      </c>
      <c r="C77" s="102" t="s">
        <v>572</v>
      </c>
      <c r="E77" s="102" t="s">
        <v>573</v>
      </c>
    </row>
    <row r="78" spans="1:6" x14ac:dyDescent="0.3">
      <c r="A78">
        <v>19832</v>
      </c>
      <c r="B78" t="s">
        <v>586</v>
      </c>
      <c r="C78" s="102" t="s">
        <v>572</v>
      </c>
      <c r="E78" s="102" t="s">
        <v>573</v>
      </c>
    </row>
    <row r="79" spans="1:6" x14ac:dyDescent="0.3">
      <c r="A79">
        <v>19833</v>
      </c>
      <c r="C79" s="102" t="s">
        <v>574</v>
      </c>
      <c r="D79" s="102">
        <v>75.000100000000003</v>
      </c>
      <c r="E79" s="102" t="s">
        <v>575</v>
      </c>
      <c r="F79" s="102">
        <v>33.000100000000003</v>
      </c>
    </row>
    <row r="80" spans="1:6" x14ac:dyDescent="0.3">
      <c r="A80">
        <v>19835</v>
      </c>
      <c r="C80" s="102" t="s">
        <v>576</v>
      </c>
      <c r="D80" s="102">
        <v>77.001499999999993</v>
      </c>
      <c r="E80" s="102" t="s">
        <v>577</v>
      </c>
      <c r="F80" s="102">
        <v>20.016300000000001</v>
      </c>
    </row>
    <row r="81" spans="1:6" x14ac:dyDescent="0.3">
      <c r="A81">
        <v>19836</v>
      </c>
      <c r="C81" s="102" t="s">
        <v>576</v>
      </c>
      <c r="D81" s="102">
        <v>77.001499999999993</v>
      </c>
      <c r="E81" s="102" t="s">
        <v>577</v>
      </c>
      <c r="F81" s="102">
        <v>20.016300000000001</v>
      </c>
    </row>
    <row r="82" spans="1:6" x14ac:dyDescent="0.3">
      <c r="A82">
        <v>19837</v>
      </c>
      <c r="C82" s="102" t="s">
        <v>576</v>
      </c>
      <c r="D82" s="102">
        <v>77.001499999999993</v>
      </c>
      <c r="E82" s="102" t="s">
        <v>577</v>
      </c>
      <c r="F82" s="102">
        <v>20.016300000000001</v>
      </c>
    </row>
    <row r="83" spans="1:6" x14ac:dyDescent="0.3">
      <c r="A83">
        <v>19838</v>
      </c>
      <c r="C83" s="102" t="s">
        <v>576</v>
      </c>
      <c r="D83" s="102">
        <v>77.001499999999993</v>
      </c>
      <c r="E83" s="102" t="s">
        <v>577</v>
      </c>
      <c r="F83" s="102">
        <v>20.016300000000001</v>
      </c>
    </row>
    <row r="84" spans="1:6" x14ac:dyDescent="0.3">
      <c r="A84">
        <v>19839</v>
      </c>
      <c r="C84" s="102" t="s">
        <v>576</v>
      </c>
      <c r="D84" s="102">
        <v>77.001499999999993</v>
      </c>
      <c r="E84" s="102" t="s">
        <v>577</v>
      </c>
      <c r="F84" s="102">
        <v>20.016300000000001</v>
      </c>
    </row>
    <row r="85" spans="1:6" x14ac:dyDescent="0.3">
      <c r="A85">
        <v>19840</v>
      </c>
      <c r="C85" s="102" t="s">
        <v>576</v>
      </c>
      <c r="D85" s="102">
        <v>77.001499999999993</v>
      </c>
      <c r="E85" s="102" t="s">
        <v>577</v>
      </c>
      <c r="F85" s="102">
        <v>20.016300000000001</v>
      </c>
    </row>
    <row r="86" spans="1:6" x14ac:dyDescent="0.3">
      <c r="A86">
        <v>19841</v>
      </c>
      <c r="C86" s="102" t="s">
        <v>578</v>
      </c>
      <c r="D86" s="102">
        <v>51.003799999999998</v>
      </c>
      <c r="E86" s="102" t="s">
        <v>579</v>
      </c>
      <c r="F86" s="102">
        <v>6.0129000000000001</v>
      </c>
    </row>
    <row r="87" spans="1:6" x14ac:dyDescent="0.3">
      <c r="A87">
        <v>19844</v>
      </c>
      <c r="C87" s="102" t="s">
        <v>580</v>
      </c>
      <c r="D87" s="102">
        <v>46.003100000000003</v>
      </c>
      <c r="E87" s="102" t="s">
        <v>581</v>
      </c>
      <c r="F87" s="102">
        <v>-103.00660000000001</v>
      </c>
    </row>
    <row r="88" spans="1:6" x14ac:dyDescent="0.3">
      <c r="A88">
        <v>19870</v>
      </c>
      <c r="C88" s="102" t="s">
        <v>582</v>
      </c>
      <c r="D88" s="102">
        <v>41.016300000000001</v>
      </c>
      <c r="E88" s="102" t="s">
        <v>583</v>
      </c>
      <c r="F88" s="102">
        <v>-91.011099999999999</v>
      </c>
    </row>
    <row r="89" spans="1:6" x14ac:dyDescent="0.3">
      <c r="A89">
        <v>19871</v>
      </c>
      <c r="C89" s="102" t="s">
        <v>582</v>
      </c>
      <c r="D89" s="102">
        <v>41.016300000000001</v>
      </c>
      <c r="E89" s="102" t="s">
        <v>583</v>
      </c>
      <c r="F89" s="102">
        <v>-91.011099999999999</v>
      </c>
    </row>
    <row r="90" spans="1:6" x14ac:dyDescent="0.3">
      <c r="A90">
        <v>19872</v>
      </c>
      <c r="C90" s="102" t="s">
        <v>582</v>
      </c>
      <c r="D90" s="102">
        <v>41.016300000000001</v>
      </c>
      <c r="E90" s="102" t="s">
        <v>583</v>
      </c>
      <c r="F90" s="102">
        <v>-91.011099999999999</v>
      </c>
    </row>
    <row r="91" spans="1:6" x14ac:dyDescent="0.3">
      <c r="A91">
        <v>19873</v>
      </c>
      <c r="C91" s="102" t="s">
        <v>582</v>
      </c>
      <c r="D91" s="102">
        <v>41.016300000000001</v>
      </c>
      <c r="E91" s="102" t="s">
        <v>583</v>
      </c>
      <c r="F91" s="102">
        <v>-91.011099999999999</v>
      </c>
    </row>
    <row r="92" spans="1:6" x14ac:dyDescent="0.3">
      <c r="A92">
        <v>19874</v>
      </c>
      <c r="C92" s="102" t="s">
        <v>582</v>
      </c>
      <c r="D92" s="102">
        <v>41.016300000000001</v>
      </c>
      <c r="E92" s="102" t="s">
        <v>583</v>
      </c>
      <c r="F92" s="102">
        <v>-91.011099999999999</v>
      </c>
    </row>
    <row r="93" spans="1:6" x14ac:dyDescent="0.3">
      <c r="A93">
        <v>19875</v>
      </c>
      <c r="C93" s="102" t="s">
        <v>582</v>
      </c>
      <c r="D93" s="102">
        <v>41.016300000000001</v>
      </c>
      <c r="E93" s="102" t="s">
        <v>583</v>
      </c>
      <c r="F93" s="102">
        <v>-91.011099999999999</v>
      </c>
    </row>
    <row r="94" spans="1:6" x14ac:dyDescent="0.3">
      <c r="A94">
        <v>19876</v>
      </c>
      <c r="C94" s="102" t="s">
        <v>582</v>
      </c>
      <c r="D94" s="102">
        <v>41.016300000000001</v>
      </c>
      <c r="E94" s="102" t="s">
        <v>583</v>
      </c>
      <c r="F94" s="102">
        <v>-91.011099999999999</v>
      </c>
    </row>
    <row r="95" spans="1:6" x14ac:dyDescent="0.3">
      <c r="A95">
        <v>19877</v>
      </c>
      <c r="C95" s="102" t="s">
        <v>584</v>
      </c>
      <c r="D95" s="102">
        <v>42.001100000000001</v>
      </c>
      <c r="E95" s="102" t="s">
        <v>585</v>
      </c>
      <c r="F95" s="102">
        <v>-90.011099999999999</v>
      </c>
    </row>
    <row r="96" spans="1:6" x14ac:dyDescent="0.3">
      <c r="A96">
        <v>19878</v>
      </c>
      <c r="C96" s="102" t="s">
        <v>584</v>
      </c>
      <c r="D96" s="102">
        <v>42.001100000000001</v>
      </c>
      <c r="E96" s="102" t="s">
        <v>585</v>
      </c>
      <c r="F96" s="102">
        <v>-90.011099999999999</v>
      </c>
    </row>
    <row r="97" spans="1:6" x14ac:dyDescent="0.3">
      <c r="A97">
        <v>19879</v>
      </c>
      <c r="C97" s="102" t="s">
        <v>584</v>
      </c>
      <c r="D97" s="102">
        <v>42.001100000000001</v>
      </c>
      <c r="E97" s="102" t="s">
        <v>585</v>
      </c>
      <c r="F97" s="102">
        <v>-90.011099999999999</v>
      </c>
    </row>
    <row r="98" spans="1:6" x14ac:dyDescent="0.3">
      <c r="A98">
        <v>19880</v>
      </c>
      <c r="C98" s="102" t="s">
        <v>584</v>
      </c>
      <c r="D98" s="102">
        <v>42.001100000000001</v>
      </c>
      <c r="E98" s="102" t="s">
        <v>585</v>
      </c>
      <c r="F98" s="102">
        <v>-90.011099999999999</v>
      </c>
    </row>
    <row r="99" spans="1:6" x14ac:dyDescent="0.3">
      <c r="A99">
        <v>19881</v>
      </c>
      <c r="C99" s="102" t="s">
        <v>584</v>
      </c>
      <c r="D99" s="102">
        <v>42.001100000000001</v>
      </c>
      <c r="E99" s="102" t="s">
        <v>585</v>
      </c>
      <c r="F99" s="102">
        <v>-90.011099999999999</v>
      </c>
    </row>
    <row r="100" spans="1:6" x14ac:dyDescent="0.3">
      <c r="A100">
        <v>19882</v>
      </c>
      <c r="C100" s="102" t="s">
        <v>584</v>
      </c>
      <c r="D100" s="102">
        <v>42.001100000000001</v>
      </c>
      <c r="E100" s="102" t="s">
        <v>585</v>
      </c>
      <c r="F100" s="102">
        <v>-90.011099999999999</v>
      </c>
    </row>
    <row r="101" spans="1:6" x14ac:dyDescent="0.3">
      <c r="A101">
        <v>19883</v>
      </c>
      <c r="C101" s="102" t="s">
        <v>584</v>
      </c>
      <c r="D101" s="102">
        <v>42.001100000000001</v>
      </c>
      <c r="E101" s="102" t="s">
        <v>585</v>
      </c>
      <c r="F101" s="102">
        <v>-90.011099999999999</v>
      </c>
    </row>
    <row r="102" spans="1:6" x14ac:dyDescent="0.3">
      <c r="A102">
        <v>19884</v>
      </c>
      <c r="C102" s="102" t="s">
        <v>584</v>
      </c>
      <c r="D102" s="102">
        <v>42.001100000000001</v>
      </c>
      <c r="E102" s="102" t="s">
        <v>585</v>
      </c>
      <c r="F102" s="102">
        <v>-90.011099999999999</v>
      </c>
    </row>
    <row r="103" spans="1:6" x14ac:dyDescent="0.3">
      <c r="A103">
        <v>19885</v>
      </c>
      <c r="C103" s="102" t="s">
        <v>584</v>
      </c>
      <c r="D103" s="102">
        <v>42.001100000000001</v>
      </c>
      <c r="E103" s="102" t="s">
        <v>585</v>
      </c>
      <c r="F103" s="102">
        <v>-90.011099999999999</v>
      </c>
    </row>
    <row r="104" spans="1:6" x14ac:dyDescent="0.3">
      <c r="A104">
        <v>19886</v>
      </c>
      <c r="C104" s="102" t="s">
        <v>584</v>
      </c>
      <c r="D104" s="102">
        <v>42.001100000000001</v>
      </c>
      <c r="E104" s="102" t="s">
        <v>585</v>
      </c>
      <c r="F104" s="102">
        <v>-90.011099999999999</v>
      </c>
    </row>
    <row r="105" spans="1:6" x14ac:dyDescent="0.3">
      <c r="A105">
        <v>19887</v>
      </c>
      <c r="C105" s="102" t="s">
        <v>584</v>
      </c>
      <c r="D105" s="102">
        <v>42.001100000000001</v>
      </c>
      <c r="E105" s="102" t="s">
        <v>585</v>
      </c>
      <c r="F105" s="102">
        <v>-90.011099999999999</v>
      </c>
    </row>
    <row r="106" spans="1:6" x14ac:dyDescent="0.3">
      <c r="A106">
        <v>19888</v>
      </c>
      <c r="C106" s="102" t="s">
        <v>584</v>
      </c>
      <c r="D106" s="102">
        <v>42.001100000000001</v>
      </c>
      <c r="E106" s="102" t="s">
        <v>585</v>
      </c>
      <c r="F106" s="102">
        <v>-90.011099999999999</v>
      </c>
    </row>
    <row r="107" spans="1:6" x14ac:dyDescent="0.3">
      <c r="A107">
        <v>19889</v>
      </c>
      <c r="C107" s="102" t="s">
        <v>584</v>
      </c>
      <c r="D107" s="102">
        <v>42.001100000000001</v>
      </c>
      <c r="E107" s="102" t="s">
        <v>585</v>
      </c>
      <c r="F107" s="102">
        <v>-90.011099999999999</v>
      </c>
    </row>
  </sheetData>
  <autoFilter ref="A1:F107" xr:uid="{1E79DD22-C91E-43BE-B63A-973258380B8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9"/>
  <sheetViews>
    <sheetView zoomScale="80" zoomScaleNormal="80" workbookViewId="0">
      <selection activeCell="G13" sqref="G13"/>
    </sheetView>
  </sheetViews>
  <sheetFormatPr defaultColWidth="9.109375" defaultRowHeight="15.6" x14ac:dyDescent="0.3"/>
  <cols>
    <col min="1" max="16384" width="9.109375" style="58"/>
  </cols>
  <sheetData>
    <row r="1" spans="1:1" x14ac:dyDescent="0.3">
      <c r="A1" s="59" t="s">
        <v>538</v>
      </c>
    </row>
    <row r="3" spans="1:1" x14ac:dyDescent="0.3">
      <c r="A3" s="61" t="s">
        <v>494</v>
      </c>
    </row>
    <row r="4" spans="1:1" x14ac:dyDescent="0.3">
      <c r="A4" s="61" t="s">
        <v>490</v>
      </c>
    </row>
    <row r="5" spans="1:1" x14ac:dyDescent="0.3">
      <c r="A5" s="61" t="s">
        <v>495</v>
      </c>
    </row>
    <row r="6" spans="1:1" x14ac:dyDescent="0.3">
      <c r="A6" s="61" t="s">
        <v>491</v>
      </c>
    </row>
    <row r="7" spans="1:1" x14ac:dyDescent="0.3">
      <c r="A7" s="61" t="s">
        <v>522</v>
      </c>
    </row>
    <row r="8" spans="1:1" x14ac:dyDescent="0.3">
      <c r="A8" s="61" t="s">
        <v>523</v>
      </c>
    </row>
    <row r="9" spans="1:1" x14ac:dyDescent="0.3">
      <c r="A9" s="61" t="s">
        <v>524</v>
      </c>
    </row>
    <row r="10" spans="1:1" x14ac:dyDescent="0.3">
      <c r="A10" s="61" t="s">
        <v>525</v>
      </c>
    </row>
    <row r="11" spans="1:1" x14ac:dyDescent="0.3">
      <c r="A11" s="61" t="s">
        <v>496</v>
      </c>
    </row>
    <row r="12" spans="1:1" x14ac:dyDescent="0.3">
      <c r="A12" s="62" t="s">
        <v>497</v>
      </c>
    </row>
    <row r="13" spans="1:1" x14ac:dyDescent="0.3">
      <c r="A13" s="60" t="s">
        <v>515</v>
      </c>
    </row>
    <row r="14" spans="1:1" x14ac:dyDescent="0.3">
      <c r="A14" s="61" t="s">
        <v>526</v>
      </c>
    </row>
    <row r="15" spans="1:1" x14ac:dyDescent="0.3">
      <c r="A15" s="61" t="s">
        <v>513</v>
      </c>
    </row>
    <row r="16" spans="1:1" x14ac:dyDescent="0.3">
      <c r="A16" s="61" t="s">
        <v>527</v>
      </c>
    </row>
    <row r="17" spans="1:1" x14ac:dyDescent="0.3">
      <c r="A17" s="61" t="s">
        <v>514</v>
      </c>
    </row>
    <row r="18" spans="1:1" x14ac:dyDescent="0.3">
      <c r="A18" s="61" t="s">
        <v>492</v>
      </c>
    </row>
    <row r="19" spans="1:1" x14ac:dyDescent="0.3">
      <c r="A19" s="61" t="s">
        <v>498</v>
      </c>
    </row>
    <row r="20" spans="1:1" x14ac:dyDescent="0.3">
      <c r="A20" s="61" t="s">
        <v>528</v>
      </c>
    </row>
    <row r="21" spans="1:1" x14ac:dyDescent="0.3">
      <c r="A21" s="61" t="s">
        <v>533</v>
      </c>
    </row>
    <row r="22" spans="1:1" x14ac:dyDescent="0.3">
      <c r="A22" s="61" t="s">
        <v>499</v>
      </c>
    </row>
    <row r="23" spans="1:1" x14ac:dyDescent="0.3">
      <c r="A23" s="61" t="s">
        <v>530</v>
      </c>
    </row>
    <row r="24" spans="1:1" x14ac:dyDescent="0.3">
      <c r="A24" s="61" t="s">
        <v>500</v>
      </c>
    </row>
    <row r="25" spans="1:1" x14ac:dyDescent="0.3">
      <c r="A25" s="61" t="s">
        <v>537</v>
      </c>
    </row>
    <row r="26" spans="1:1" x14ac:dyDescent="0.3">
      <c r="A26" s="61" t="s">
        <v>501</v>
      </c>
    </row>
    <row r="27" spans="1:1" x14ac:dyDescent="0.3">
      <c r="A27" s="61" t="s">
        <v>531</v>
      </c>
    </row>
    <row r="28" spans="1:1" x14ac:dyDescent="0.3">
      <c r="A28" s="61" t="s">
        <v>520</v>
      </c>
    </row>
    <row r="29" spans="1:1" x14ac:dyDescent="0.3">
      <c r="A29" s="61" t="s">
        <v>521</v>
      </c>
    </row>
    <row r="30" spans="1:1" x14ac:dyDescent="0.3">
      <c r="A30" s="61" t="s">
        <v>502</v>
      </c>
    </row>
    <row r="31" spans="1:1" x14ac:dyDescent="0.3">
      <c r="A31" s="61" t="s">
        <v>532</v>
      </c>
    </row>
    <row r="32" spans="1:1" x14ac:dyDescent="0.3">
      <c r="A32" s="61" t="s">
        <v>529</v>
      </c>
    </row>
    <row r="33" spans="1:1" x14ac:dyDescent="0.3">
      <c r="A33" s="61" t="s">
        <v>503</v>
      </c>
    </row>
    <row r="34" spans="1:1" x14ac:dyDescent="0.3">
      <c r="A34" s="61" t="s">
        <v>504</v>
      </c>
    </row>
    <row r="35" spans="1:1" x14ac:dyDescent="0.3">
      <c r="A35" s="60" t="s">
        <v>505</v>
      </c>
    </row>
    <row r="36" spans="1:1" x14ac:dyDescent="0.3">
      <c r="A36" s="61" t="s">
        <v>534</v>
      </c>
    </row>
    <row r="37" spans="1:1" x14ac:dyDescent="0.3">
      <c r="A37" s="61" t="s">
        <v>506</v>
      </c>
    </row>
    <row r="38" spans="1:1" x14ac:dyDescent="0.3">
      <c r="A38" s="61" t="s">
        <v>507</v>
      </c>
    </row>
    <row r="39" spans="1:1" x14ac:dyDescent="0.3">
      <c r="A39" s="61" t="s">
        <v>508</v>
      </c>
    </row>
    <row r="40" spans="1:1" x14ac:dyDescent="0.3">
      <c r="A40" s="61" t="s">
        <v>493</v>
      </c>
    </row>
    <row r="41" spans="1:1" x14ac:dyDescent="0.3">
      <c r="A41" s="61" t="s">
        <v>535</v>
      </c>
    </row>
    <row r="42" spans="1:1" x14ac:dyDescent="0.3">
      <c r="A42" s="61" t="s">
        <v>516</v>
      </c>
    </row>
    <row r="43" spans="1:1" x14ac:dyDescent="0.3">
      <c r="A43" s="61" t="s">
        <v>509</v>
      </c>
    </row>
    <row r="44" spans="1:1" x14ac:dyDescent="0.3">
      <c r="A44" s="61" t="s">
        <v>510</v>
      </c>
    </row>
    <row r="45" spans="1:1" x14ac:dyDescent="0.3">
      <c r="A45" s="61" t="s">
        <v>517</v>
      </c>
    </row>
    <row r="46" spans="1:1" x14ac:dyDescent="0.3">
      <c r="A46" s="61" t="s">
        <v>518</v>
      </c>
    </row>
    <row r="47" spans="1:1" x14ac:dyDescent="0.3">
      <c r="A47" s="61" t="s">
        <v>511</v>
      </c>
    </row>
    <row r="48" spans="1:1" x14ac:dyDescent="0.3">
      <c r="A48" s="61" t="s">
        <v>519</v>
      </c>
    </row>
    <row r="49" spans="1:1" x14ac:dyDescent="0.3">
      <c r="A49" s="61" t="s">
        <v>512</v>
      </c>
    </row>
  </sheetData>
  <sortState xmlns:xlrd2="http://schemas.microsoft.com/office/spreadsheetml/2017/richdata2" ref="A3:A53">
    <sortCondition ref="A5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S1</vt:lpstr>
      <vt:lpstr>S1 Working</vt:lpstr>
      <vt:lpstr>fixing refs</vt:lpstr>
      <vt:lpstr>fixing lats</vt:lpstr>
      <vt:lpstr>References</vt:lpstr>
      <vt:lpstr>'S1'!Print_Area</vt:lpstr>
      <vt:lpstr>'S1 Working'!Print_Area</vt:lpstr>
      <vt:lpstr>'S1'!Print_Titles</vt:lpstr>
      <vt:lpstr>'S1 Working'!Print_Titles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Caitlyn Witkowski</dc:creator>
  <cp:lastModifiedBy>Rowan Gregoire</cp:lastModifiedBy>
  <cp:lastPrinted>2017-09-25T11:47:40Z</cp:lastPrinted>
  <dcterms:created xsi:type="dcterms:W3CDTF">2015-08-20T08:37:33Z</dcterms:created>
  <dcterms:modified xsi:type="dcterms:W3CDTF">2022-12-16T19:18:35Z</dcterms:modified>
</cp:coreProperties>
</file>