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Scraped!\"/>
    </mc:Choice>
  </mc:AlternateContent>
  <xr:revisionPtr revIDLastSave="0" documentId="13_ncr:1_{9A726D4B-0497-4885-948D-96A87DB73C8E}" xr6:coauthVersionLast="47" xr6:coauthVersionMax="47" xr10:uidLastSave="{00000000-0000-0000-0000-000000000000}"/>
  <bookViews>
    <workbookView xWindow="-108" yWindow="-108" windowWidth="23256" windowHeight="12576" xr2:uid="{565018A3-57D7-406A-9C09-65EF3646E3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/>
  <c r="C8" i="2"/>
  <c r="D12" i="2"/>
  <c r="C12" i="2"/>
  <c r="D11" i="2"/>
  <c r="C11" i="2"/>
  <c r="D10" i="2"/>
  <c r="D9" i="2"/>
  <c r="C9" i="2"/>
  <c r="D7" i="2"/>
  <c r="C7" i="2"/>
  <c r="H4" i="1"/>
  <c r="K4" i="1" s="1"/>
  <c r="H5" i="1"/>
  <c r="K5" i="1" s="1"/>
  <c r="H6" i="1"/>
  <c r="K6" i="1" s="1"/>
  <c r="H7" i="1"/>
  <c r="K7" i="1" s="1"/>
  <c r="H8" i="1"/>
  <c r="K8" i="1" s="1"/>
  <c r="H9" i="1"/>
  <c r="K9" i="1" s="1"/>
  <c r="H10" i="1"/>
  <c r="K10" i="1" s="1"/>
  <c r="H11" i="1"/>
  <c r="K11" i="1" s="1"/>
  <c r="H12" i="1"/>
  <c r="K12" i="1" s="1"/>
  <c r="H13" i="1"/>
  <c r="K13" i="1" s="1"/>
  <c r="H14" i="1"/>
  <c r="K14" i="1" s="1"/>
  <c r="H15" i="1"/>
  <c r="K15" i="1" s="1"/>
  <c r="H16" i="1"/>
  <c r="K16" i="1" s="1"/>
  <c r="H17" i="1"/>
  <c r="K17" i="1" s="1"/>
  <c r="H18" i="1"/>
  <c r="K18" i="1" s="1"/>
  <c r="H19" i="1"/>
  <c r="K19" i="1" s="1"/>
  <c r="H20" i="1"/>
  <c r="K20" i="1" s="1"/>
  <c r="H21" i="1"/>
  <c r="K21" i="1" s="1"/>
  <c r="H22" i="1"/>
  <c r="K22" i="1" s="1"/>
  <c r="H23" i="1"/>
  <c r="K23" i="1" s="1"/>
  <c r="H24" i="1"/>
  <c r="K24" i="1" s="1"/>
  <c r="H25" i="1"/>
  <c r="K25" i="1" s="1"/>
  <c r="H26" i="1"/>
  <c r="K26" i="1" s="1"/>
  <c r="H27" i="1"/>
  <c r="K27" i="1" s="1"/>
  <c r="H28" i="1"/>
  <c r="K28" i="1" s="1"/>
  <c r="H29" i="1"/>
  <c r="K29" i="1" s="1"/>
  <c r="H30" i="1"/>
  <c r="K30" i="1" s="1"/>
  <c r="H31" i="1"/>
  <c r="K31" i="1" s="1"/>
  <c r="H32" i="1"/>
  <c r="K32" i="1" s="1"/>
  <c r="H33" i="1"/>
  <c r="K33" i="1" s="1"/>
  <c r="H34" i="1"/>
  <c r="K34" i="1" s="1"/>
  <c r="H35" i="1"/>
  <c r="K35" i="1" s="1"/>
  <c r="H36" i="1"/>
  <c r="K36" i="1" s="1"/>
  <c r="H37" i="1"/>
  <c r="K37" i="1" s="1"/>
  <c r="H38" i="1"/>
  <c r="K38" i="1" s="1"/>
  <c r="H39" i="1"/>
  <c r="K39" i="1" s="1"/>
  <c r="H40" i="1"/>
  <c r="K40" i="1" s="1"/>
  <c r="H41" i="1"/>
  <c r="K41" i="1" s="1"/>
  <c r="H42" i="1"/>
  <c r="K42" i="1" s="1"/>
  <c r="H43" i="1"/>
  <c r="K43" i="1" s="1"/>
  <c r="H44" i="1"/>
  <c r="K44" i="1" s="1"/>
  <c r="H45" i="1"/>
  <c r="K45" i="1" s="1"/>
  <c r="H46" i="1"/>
  <c r="K46" i="1" s="1"/>
  <c r="H47" i="1"/>
  <c r="K47" i="1" s="1"/>
  <c r="H48" i="1"/>
  <c r="K48" i="1" s="1"/>
  <c r="H49" i="1"/>
  <c r="K49" i="1" s="1"/>
  <c r="H50" i="1"/>
  <c r="K50" i="1" s="1"/>
  <c r="H51" i="1"/>
  <c r="K51" i="1" s="1"/>
  <c r="H52" i="1"/>
  <c r="K52" i="1" s="1"/>
  <c r="H3" i="1"/>
  <c r="K3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3" i="1"/>
  <c r="I38" i="1" l="1" a="1"/>
  <c r="I38" i="1" s="1"/>
  <c r="I26" i="1" a="1"/>
  <c r="I26" i="1" s="1"/>
  <c r="I25" i="1" a="1"/>
  <c r="I25" i="1" s="1"/>
  <c r="I35" i="1" a="1"/>
  <c r="I35" i="1" s="1"/>
  <c r="I49" i="1" a="1"/>
  <c r="I49" i="1" s="1"/>
  <c r="I17" i="1" a="1"/>
  <c r="I17" i="1" s="1"/>
  <c r="I44" i="1" a="1"/>
  <c r="I44" i="1" s="1"/>
  <c r="I9" i="1" a="1"/>
  <c r="I9" i="1" s="1"/>
  <c r="I43" i="1" a="1"/>
  <c r="I43" i="1" s="1"/>
  <c r="I39" i="1" a="1"/>
  <c r="I39" i="1" s="1"/>
  <c r="I16" i="1" a="1"/>
  <c r="I16" i="1" s="1"/>
  <c r="I47" i="1" a="1"/>
  <c r="I47" i="1" s="1"/>
  <c r="I45" i="1" a="1"/>
  <c r="I45" i="1" s="1"/>
  <c r="I37" i="1" a="1"/>
  <c r="I37" i="1" s="1"/>
  <c r="I24" i="1" a="1"/>
  <c r="I24" i="1" s="1"/>
  <c r="I15" i="1" a="1"/>
  <c r="I15" i="1" s="1"/>
  <c r="I7" i="1" a="1"/>
  <c r="I7" i="1" s="1"/>
  <c r="I23" i="1" a="1"/>
  <c r="I23" i="1" s="1"/>
  <c r="I14" i="1" a="1"/>
  <c r="I14" i="1" s="1"/>
  <c r="I6" i="1" a="1"/>
  <c r="I6" i="1" s="1"/>
  <c r="I32" i="1" a="1"/>
  <c r="I32" i="1" s="1"/>
  <c r="I21" i="1" a="1"/>
  <c r="I21" i="1" s="1"/>
  <c r="I13" i="1" a="1"/>
  <c r="I13" i="1" s="1"/>
  <c r="I5" i="1" a="1"/>
  <c r="I5" i="1" s="1"/>
  <c r="I8" i="1" a="1"/>
  <c r="I8" i="1" s="1"/>
  <c r="I42" i="1" a="1"/>
  <c r="I42" i="1" s="1"/>
  <c r="I31" i="1" a="1"/>
  <c r="I31" i="1" s="1"/>
  <c r="I20" i="1" a="1"/>
  <c r="I20" i="1" s="1"/>
  <c r="I12" i="1" a="1"/>
  <c r="I12" i="1" s="1"/>
  <c r="I4" i="1" a="1"/>
  <c r="I4" i="1" s="1"/>
  <c r="I48" i="1" a="1"/>
  <c r="I48" i="1" s="1"/>
  <c r="I41" i="1" a="1"/>
  <c r="I41" i="1" s="1"/>
  <c r="I30" i="1" a="1"/>
  <c r="I30" i="1" s="1"/>
  <c r="I19" i="1" a="1"/>
  <c r="I19" i="1" s="1"/>
  <c r="I11" i="1" a="1"/>
  <c r="I11" i="1" s="1"/>
  <c r="I3" i="1" a="1"/>
  <c r="I3" i="1" s="1"/>
  <c r="I40" i="1" a="1"/>
  <c r="I40" i="1" s="1"/>
  <c r="I27" i="1" a="1"/>
  <c r="I27" i="1" s="1"/>
  <c r="I18" i="1" a="1"/>
  <c r="I18" i="1" s="1"/>
  <c r="I10" i="1" a="1"/>
  <c r="I10" i="1" s="1"/>
  <c r="I46" i="1" a="1"/>
  <c r="I46" i="1" s="1"/>
  <c r="I34" i="1" a="1"/>
  <c r="I34" i="1" s="1"/>
  <c r="I28" i="1" a="1"/>
  <c r="I28" i="1" s="1"/>
  <c r="I50" i="1" a="1"/>
  <c r="I50" i="1" s="1"/>
  <c r="I33" i="1" a="1"/>
  <c r="I33" i="1" s="1"/>
  <c r="D8" i="2"/>
  <c r="I22" i="1" a="1"/>
  <c r="I22" i="1" s="1"/>
  <c r="I29" i="1" a="1"/>
  <c r="I29" i="1" s="1"/>
  <c r="I51" i="1" a="1"/>
  <c r="I51" i="1" s="1"/>
  <c r="I52" i="1" a="1"/>
  <c r="I52" i="1" s="1"/>
  <c r="I36" i="1" a="1"/>
  <c r="I3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<sst xmlns="http://schemas.openxmlformats.org/spreadsheetml/2006/main" count="272" uniqueCount="105">
  <si>
    <t>No.</t>
  </si>
  <si>
    <t>Sample</t>
  </si>
  <si>
    <t>Ro</t>
  </si>
  <si>
    <t>Tmax</t>
  </si>
  <si>
    <t>HI</t>
  </si>
  <si>
    <t>TOC</t>
  </si>
  <si>
    <t>QI</t>
  </si>
  <si>
    <t>S1</t>
  </si>
  <si>
    <t>S2</t>
  </si>
  <si>
    <t>N</t>
  </si>
  <si>
    <t>S</t>
  </si>
  <si>
    <t>C</t>
  </si>
  <si>
    <t>H</t>
  </si>
  <si>
    <t>H/C</t>
  </si>
  <si>
    <t>V</t>
  </si>
  <si>
    <t>E</t>
  </si>
  <si>
    <t>I</t>
  </si>
  <si>
    <t>MM</t>
  </si>
  <si>
    <t>name</t>
  </si>
  <si>
    <t>(%)</t>
  </si>
  <si>
    <t>( C)</t>
  </si>
  <si>
    <t>(wt %)</t>
  </si>
  <si>
    <t xml:space="preserve">TW1 </t>
  </si>
  <si>
    <t xml:space="preserve">TW2 </t>
  </si>
  <si>
    <t xml:space="preserve">TW3 </t>
  </si>
  <si>
    <t xml:space="preserve">TW4 </t>
  </si>
  <si>
    <t xml:space="preserve">TW5 </t>
  </si>
  <si>
    <t xml:space="preserve">TW6 </t>
  </si>
  <si>
    <t xml:space="preserve">TW7 </t>
  </si>
  <si>
    <t xml:space="preserve">TW8 </t>
  </si>
  <si>
    <t xml:space="preserve">TW9 </t>
  </si>
  <si>
    <t xml:space="preserve">TW10 </t>
  </si>
  <si>
    <t xml:space="preserve">TW11 </t>
  </si>
  <si>
    <t xml:space="preserve">TW12 </t>
  </si>
  <si>
    <t xml:space="preserve">TW13 </t>
  </si>
  <si>
    <t xml:space="preserve">TW14 </t>
  </si>
  <si>
    <t xml:space="preserve">TW15 </t>
  </si>
  <si>
    <t xml:space="preserve">TW16 </t>
  </si>
  <si>
    <t xml:space="preserve">TW17 </t>
  </si>
  <si>
    <t xml:space="preserve">TW18 </t>
  </si>
  <si>
    <t xml:space="preserve">TW19 </t>
  </si>
  <si>
    <t xml:space="preserve">ML1 </t>
  </si>
  <si>
    <t xml:space="preserve">ML2 </t>
  </si>
  <si>
    <t xml:space="preserve">ML3 </t>
  </si>
  <si>
    <t xml:space="preserve">ML4 </t>
  </si>
  <si>
    <t xml:space="preserve">ML5 </t>
  </si>
  <si>
    <t xml:space="preserve">ML6 </t>
  </si>
  <si>
    <t xml:space="preserve">ML7 </t>
  </si>
  <si>
    <t xml:space="preserve">ML8 </t>
  </si>
  <si>
    <t xml:space="preserve">ML9 </t>
  </si>
  <si>
    <t xml:space="preserve">ML10 </t>
  </si>
  <si>
    <t xml:space="preserve">ML11 </t>
  </si>
  <si>
    <t xml:space="preserve">ML12 </t>
  </si>
  <si>
    <t xml:space="preserve">ML13 </t>
  </si>
  <si>
    <t xml:space="preserve">ML14 </t>
  </si>
  <si>
    <t xml:space="preserve">ML15 </t>
  </si>
  <si>
    <t xml:space="preserve">AU1 </t>
  </si>
  <si>
    <t xml:space="preserve">AU2 </t>
  </si>
  <si>
    <t xml:space="preserve">AU3 </t>
  </si>
  <si>
    <t xml:space="preserve">AU4 </t>
  </si>
  <si>
    <t xml:space="preserve">AU5 </t>
  </si>
  <si>
    <t xml:space="preserve">AU6 </t>
  </si>
  <si>
    <t xml:space="preserve">AU7 </t>
  </si>
  <si>
    <t xml:space="preserve">AU8 </t>
  </si>
  <si>
    <t xml:space="preserve">AU9 </t>
  </si>
  <si>
    <t xml:space="preserve">AU10 </t>
  </si>
  <si>
    <t xml:space="preserve">AU11 </t>
  </si>
  <si>
    <t xml:space="preserve">AU12 </t>
  </si>
  <si>
    <t xml:space="preserve">AU13 </t>
  </si>
  <si>
    <t xml:space="preserve">AU14 </t>
  </si>
  <si>
    <t xml:space="preserve">AU15 </t>
  </si>
  <si>
    <t xml:space="preserve">AU16 </t>
  </si>
  <si>
    <t xml:space="preserve"> Q</t>
  </si>
  <si>
    <t xml:space="preserve"> P</t>
  </si>
  <si>
    <t>M</t>
  </si>
  <si>
    <t xml:space="preserve"> A</t>
  </si>
  <si>
    <t xml:space="preserve"> J</t>
  </si>
  <si>
    <t xml:space="preserve"> R</t>
  </si>
  <si>
    <t xml:space="preserve"> T</t>
  </si>
  <si>
    <t>Lithology</t>
  </si>
  <si>
    <t>Age</t>
  </si>
  <si>
    <t>coal</t>
  </si>
  <si>
    <t>humic coal</t>
  </si>
  <si>
    <t>shale</t>
  </si>
  <si>
    <t>mudstone</t>
  </si>
  <si>
    <t>Taiwan</t>
  </si>
  <si>
    <t>China</t>
  </si>
  <si>
    <t>Location</t>
  </si>
  <si>
    <t>Australia</t>
  </si>
  <si>
    <t>source</t>
  </si>
  <si>
    <t>interpreted</t>
  </si>
  <si>
    <t>Formation</t>
  </si>
  <si>
    <t>name assigned</t>
  </si>
  <si>
    <t>Cenozoic</t>
  </si>
  <si>
    <t>Permian</t>
  </si>
  <si>
    <t>Carboniferous</t>
  </si>
  <si>
    <t>Jurassic</t>
  </si>
  <si>
    <t>Cretaceous</t>
  </si>
  <si>
    <t>Triassic</t>
  </si>
  <si>
    <t>KEY</t>
  </si>
  <si>
    <t>Code</t>
  </si>
  <si>
    <t>Name</t>
  </si>
  <si>
    <t>Uncertainty</t>
  </si>
  <si>
    <t>*ages from GSA 2018</t>
  </si>
  <si>
    <t>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</si>
</sst>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8F38-427F-42DB-9C22-9612F864CCD9}">
  <dimension ref="A1:AA52"/>
  <sheetViews>
    <sheetView tabSelected="1" topLeftCell="D25" workbookViewId="0">
      <selection activeCell="W3" sqref="W3:W52"/>
    </sheetView>
  </sheetViews>
  <sheetFormatPr defaultRowHeight="14.4" x14ac:dyDescent="0.3"/>
  <cols>
    <col min="1" max="1" width="8.88671875" style="1"/>
    <col min="4" max="4" width="10.109375" bestFit="1" customWidth="1"/>
    <col min="6" max="6" width="10.109375" bestFit="1" customWidth="1"/>
    <col min="8" max="8" width="12.33203125" bestFit="1" customWidth="1"/>
    <col min="9" max="10" width="12.33203125" customWidth="1"/>
    <col min="11" max="11" width="23.21875" bestFit="1" customWidth="1"/>
  </cols>
  <sheetData>
    <row r="1" spans="1:27" x14ac:dyDescent="0.3">
      <c r="A1" s="1" t="s">
        <v>99</v>
      </c>
      <c r="B1" t="s">
        <v>0</v>
      </c>
      <c r="C1" t="s">
        <v>1</v>
      </c>
      <c r="D1" t="s">
        <v>87</v>
      </c>
      <c r="E1" t="s">
        <v>79</v>
      </c>
      <c r="F1" t="s">
        <v>79</v>
      </c>
      <c r="G1" t="s">
        <v>80</v>
      </c>
      <c r="H1" t="s">
        <v>80</v>
      </c>
      <c r="I1" t="s">
        <v>80</v>
      </c>
      <c r="J1" t="s">
        <v>102</v>
      </c>
      <c r="K1" t="s">
        <v>91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</row>
    <row r="2" spans="1:27" x14ac:dyDescent="0.3">
      <c r="C2" t="s">
        <v>18</v>
      </c>
      <c r="D2" t="s">
        <v>90</v>
      </c>
      <c r="E2" t="s">
        <v>89</v>
      </c>
      <c r="F2" t="s">
        <v>90</v>
      </c>
      <c r="G2" t="s">
        <v>89</v>
      </c>
      <c r="H2" t="s">
        <v>90</v>
      </c>
      <c r="I2" t="s">
        <v>104</v>
      </c>
      <c r="J2" t="s">
        <v>104</v>
      </c>
      <c r="K2" t="s">
        <v>92</v>
      </c>
      <c r="L2" t="s">
        <v>19</v>
      </c>
      <c r="M2" t="s">
        <v>20</v>
      </c>
      <c r="O2" t="s">
        <v>21</v>
      </c>
      <c r="S2" t="s">
        <v>19</v>
      </c>
      <c r="T2" t="s">
        <v>19</v>
      </c>
      <c r="U2" t="s">
        <v>19</v>
      </c>
      <c r="V2" t="s">
        <v>19</v>
      </c>
      <c r="X2" t="s">
        <v>19</v>
      </c>
      <c r="Y2" t="s">
        <v>19</v>
      </c>
      <c r="Z2" t="s">
        <v>19</v>
      </c>
      <c r="AA2" t="s">
        <v>19</v>
      </c>
    </row>
    <row r="3" spans="1:27" x14ac:dyDescent="0.3">
      <c r="A3" s="1">
        <v>16437</v>
      </c>
      <c r="B3">
        <v>1</v>
      </c>
      <c r="C3" t="s">
        <v>22</v>
      </c>
      <c r="D3" t="s">
        <v>85</v>
      </c>
      <c r="E3" t="s">
        <v>11</v>
      </c>
      <c r="F3" t="str">
        <f>VLOOKUP(E3, Sheet2!$A$1:$B$4, 2, FALSE)</f>
        <v>coal</v>
      </c>
      <c r="G3" t="s">
        <v>72</v>
      </c>
      <c r="H3" t="str">
        <f>VLOOKUP(G3, Sheet2!$A$7:$B$12, 2, FALSE)</f>
        <v>Cenozoic</v>
      </c>
      <c r="I3" cm="1">
        <f t="array" ref="I3:J3">_xlfn.XLOOKUP(H3, Sheet2!$B$7:$B$12,Sheet2!$C$7:$D$12,,0,1)</f>
        <v>33</v>
      </c>
      <c r="J3">
        <v>33</v>
      </c>
      <c r="K3" t="str">
        <f>_xlfn.CONCAT(H3, " kerogen - ", D3)</f>
        <v>Cenozoic kerogen - Taiwan</v>
      </c>
      <c r="L3">
        <v>0.74</v>
      </c>
      <c r="M3">
        <v>434</v>
      </c>
      <c r="N3">
        <v>148</v>
      </c>
      <c r="O3">
        <v>75.2</v>
      </c>
      <c r="P3">
        <v>150</v>
      </c>
      <c r="Q3">
        <v>1.3</v>
      </c>
      <c r="R3">
        <v>111.3</v>
      </c>
      <c r="S3">
        <v>1.1000000000000001</v>
      </c>
      <c r="T3">
        <v>0.7</v>
      </c>
      <c r="U3">
        <v>73.2</v>
      </c>
      <c r="V3">
        <v>4.8</v>
      </c>
      <c r="W3">
        <v>0.78</v>
      </c>
      <c r="X3">
        <v>60.6</v>
      </c>
      <c r="Y3">
        <v>5</v>
      </c>
      <c r="Z3">
        <v>29.6</v>
      </c>
      <c r="AA3">
        <v>4.8</v>
      </c>
    </row>
    <row r="4" spans="1:27" x14ac:dyDescent="0.3">
      <c r="A4" s="1">
        <v>16438</v>
      </c>
      <c r="B4">
        <v>2</v>
      </c>
      <c r="C4" t="s">
        <v>23</v>
      </c>
      <c r="D4" t="s">
        <v>85</v>
      </c>
      <c r="E4" t="s">
        <v>11</v>
      </c>
      <c r="F4" t="str">
        <f>VLOOKUP(E4, Sheet2!$A$1:$B$4, 2, FALSE)</f>
        <v>coal</v>
      </c>
      <c r="G4" t="s">
        <v>72</v>
      </c>
      <c r="H4" t="str">
        <f>VLOOKUP(G4, Sheet2!$A$7:$B$12, 2, FALSE)</f>
        <v>Cenozoic</v>
      </c>
      <c r="I4" cm="1">
        <f t="array" ref="I4:J4">_xlfn.XLOOKUP(H4, Sheet2!$B$7:$B$12,Sheet2!$C$7:$D$12,,0,1)</f>
        <v>33</v>
      </c>
      <c r="J4">
        <v>33</v>
      </c>
      <c r="K4" t="str">
        <f t="shared" ref="K4:K52" si="0">_xlfn.CONCAT(H4, " kerogen - ", D4)</f>
        <v>Cenozoic kerogen - Taiwan</v>
      </c>
      <c r="L4">
        <v>0.53</v>
      </c>
      <c r="M4">
        <v>431</v>
      </c>
      <c r="N4">
        <v>133</v>
      </c>
      <c r="O4">
        <v>62.6</v>
      </c>
      <c r="P4">
        <v>134</v>
      </c>
      <c r="Q4">
        <v>0.7</v>
      </c>
      <c r="R4">
        <v>83.5</v>
      </c>
      <c r="S4">
        <v>1.2</v>
      </c>
      <c r="T4">
        <v>0.2</v>
      </c>
      <c r="U4">
        <v>61.4</v>
      </c>
      <c r="V4">
        <v>5.3</v>
      </c>
      <c r="W4">
        <v>1.04</v>
      </c>
      <c r="X4">
        <v>95</v>
      </c>
      <c r="Y4">
        <v>1</v>
      </c>
      <c r="Z4">
        <v>0.8</v>
      </c>
      <c r="AA4">
        <v>3.2</v>
      </c>
    </row>
    <row r="5" spans="1:27" x14ac:dyDescent="0.3">
      <c r="A5" s="1">
        <v>16439</v>
      </c>
      <c r="B5">
        <v>3</v>
      </c>
      <c r="C5" t="s">
        <v>24</v>
      </c>
      <c r="D5" t="s">
        <v>85</v>
      </c>
      <c r="E5" t="s">
        <v>11</v>
      </c>
      <c r="F5" t="str">
        <f>VLOOKUP(E5, Sheet2!$A$1:$B$4, 2, FALSE)</f>
        <v>coal</v>
      </c>
      <c r="G5" t="s">
        <v>72</v>
      </c>
      <c r="H5" t="str">
        <f>VLOOKUP(G5, Sheet2!$A$7:$B$12, 2, FALSE)</f>
        <v>Cenozoic</v>
      </c>
      <c r="I5" cm="1">
        <f t="array" ref="I5:J5">_xlfn.XLOOKUP(H5, Sheet2!$B$7:$B$12,Sheet2!$C$7:$D$12,,0,1)</f>
        <v>33</v>
      </c>
      <c r="J5">
        <v>33</v>
      </c>
      <c r="K5" t="str">
        <f t="shared" si="0"/>
        <v>Cenozoic kerogen - Taiwan</v>
      </c>
      <c r="L5">
        <v>0.57999999999999996</v>
      </c>
      <c r="M5">
        <v>429</v>
      </c>
      <c r="N5">
        <v>205</v>
      </c>
      <c r="O5">
        <v>67.7</v>
      </c>
      <c r="P5">
        <v>207</v>
      </c>
      <c r="Q5">
        <v>1.4</v>
      </c>
      <c r="R5">
        <v>138.9</v>
      </c>
      <c r="S5">
        <v>1.4</v>
      </c>
      <c r="T5">
        <v>2.4</v>
      </c>
      <c r="U5">
        <v>66.2</v>
      </c>
      <c r="V5">
        <v>4.9000000000000004</v>
      </c>
      <c r="W5">
        <v>0.89</v>
      </c>
      <c r="X5">
        <v>68.8</v>
      </c>
      <c r="Y5">
        <v>2.4</v>
      </c>
      <c r="Z5">
        <v>0.2</v>
      </c>
      <c r="AA5">
        <v>28.6</v>
      </c>
    </row>
    <row r="6" spans="1:27" x14ac:dyDescent="0.3">
      <c r="A6" s="1">
        <v>16440</v>
      </c>
      <c r="B6">
        <v>4</v>
      </c>
      <c r="C6" t="s">
        <v>25</v>
      </c>
      <c r="D6" t="s">
        <v>85</v>
      </c>
      <c r="E6" t="s">
        <v>11</v>
      </c>
      <c r="F6" t="str">
        <f>VLOOKUP(E6, Sheet2!$A$1:$B$4, 2, FALSE)</f>
        <v>coal</v>
      </c>
      <c r="G6" t="s">
        <v>72</v>
      </c>
      <c r="H6" t="str">
        <f>VLOOKUP(G6, Sheet2!$A$7:$B$12, 2, FALSE)</f>
        <v>Cenozoic</v>
      </c>
      <c r="I6" cm="1">
        <f t="array" ref="I6:J6">_xlfn.XLOOKUP(H6, Sheet2!$B$7:$B$12,Sheet2!$C$7:$D$12,,0,1)</f>
        <v>33</v>
      </c>
      <c r="J6">
        <v>33</v>
      </c>
      <c r="K6" t="str">
        <f t="shared" si="0"/>
        <v>Cenozoic kerogen - Taiwan</v>
      </c>
      <c r="L6">
        <v>0.39</v>
      </c>
      <c r="M6">
        <v>430</v>
      </c>
      <c r="N6">
        <v>177</v>
      </c>
      <c r="O6">
        <v>44.3</v>
      </c>
      <c r="P6">
        <v>183</v>
      </c>
      <c r="Q6">
        <v>2.7</v>
      </c>
      <c r="R6">
        <v>78.400000000000006</v>
      </c>
      <c r="S6">
        <v>0.7</v>
      </c>
      <c r="T6">
        <v>2.7</v>
      </c>
      <c r="U6">
        <v>42.1</v>
      </c>
      <c r="V6">
        <v>4.0999999999999996</v>
      </c>
      <c r="W6">
        <v>1.18</v>
      </c>
      <c r="X6">
        <v>53.2</v>
      </c>
      <c r="Y6">
        <v>1.2</v>
      </c>
      <c r="Z6">
        <v>0</v>
      </c>
      <c r="AA6">
        <v>45.6</v>
      </c>
    </row>
    <row r="7" spans="1:27" x14ac:dyDescent="0.3">
      <c r="A7" s="1">
        <v>16441</v>
      </c>
      <c r="B7">
        <v>5</v>
      </c>
      <c r="C7" t="s">
        <v>26</v>
      </c>
      <c r="D7" t="s">
        <v>85</v>
      </c>
      <c r="E7" t="s">
        <v>11</v>
      </c>
      <c r="F7" t="str">
        <f>VLOOKUP(E7, Sheet2!$A$1:$B$4, 2, FALSE)</f>
        <v>coal</v>
      </c>
      <c r="G7" t="s">
        <v>72</v>
      </c>
      <c r="H7" t="str">
        <f>VLOOKUP(G7, Sheet2!$A$7:$B$12, 2, FALSE)</f>
        <v>Cenozoic</v>
      </c>
      <c r="I7" cm="1">
        <f t="array" ref="I7:J7">_xlfn.XLOOKUP(H7, Sheet2!$B$7:$B$12,Sheet2!$C$7:$D$12,,0,1)</f>
        <v>33</v>
      </c>
      <c r="J7">
        <v>33</v>
      </c>
      <c r="K7" t="str">
        <f t="shared" si="0"/>
        <v>Cenozoic kerogen - Taiwan</v>
      </c>
      <c r="L7">
        <v>0.52</v>
      </c>
      <c r="M7">
        <v>425</v>
      </c>
      <c r="N7">
        <v>196</v>
      </c>
      <c r="O7">
        <v>18.600000000000001</v>
      </c>
      <c r="P7">
        <v>203</v>
      </c>
      <c r="Q7">
        <v>1.2</v>
      </c>
      <c r="R7">
        <v>36.5</v>
      </c>
      <c r="S7">
        <v>0.4</v>
      </c>
      <c r="T7">
        <v>0.8</v>
      </c>
      <c r="U7">
        <v>18.899999999999999</v>
      </c>
      <c r="V7">
        <v>2.1</v>
      </c>
      <c r="W7">
        <v>1.36</v>
      </c>
      <c r="X7">
        <v>30.2</v>
      </c>
      <c r="Y7">
        <v>1.4</v>
      </c>
      <c r="Z7">
        <v>0</v>
      </c>
      <c r="AA7">
        <v>68.400000000000006</v>
      </c>
    </row>
    <row r="8" spans="1:27" x14ac:dyDescent="0.3">
      <c r="A8" s="1">
        <v>16442</v>
      </c>
      <c r="B8">
        <v>6</v>
      </c>
      <c r="C8" t="s">
        <v>27</v>
      </c>
      <c r="D8" t="s">
        <v>85</v>
      </c>
      <c r="E8" t="s">
        <v>11</v>
      </c>
      <c r="F8" t="str">
        <f>VLOOKUP(E8, Sheet2!$A$1:$B$4, 2, FALSE)</f>
        <v>coal</v>
      </c>
      <c r="G8" t="s">
        <v>72</v>
      </c>
      <c r="H8" t="str">
        <f>VLOOKUP(G8, Sheet2!$A$7:$B$12, 2, FALSE)</f>
        <v>Cenozoic</v>
      </c>
      <c r="I8" cm="1">
        <f t="array" ref="I8:J8">_xlfn.XLOOKUP(H8, Sheet2!$B$7:$B$12,Sheet2!$C$7:$D$12,,0,1)</f>
        <v>33</v>
      </c>
      <c r="J8">
        <v>33</v>
      </c>
      <c r="K8" t="str">
        <f t="shared" si="0"/>
        <v>Cenozoic kerogen - Taiwan</v>
      </c>
      <c r="L8">
        <v>0.52</v>
      </c>
      <c r="M8">
        <v>427</v>
      </c>
      <c r="N8">
        <v>155</v>
      </c>
      <c r="O8">
        <v>43.2</v>
      </c>
      <c r="P8">
        <v>158</v>
      </c>
      <c r="Q8">
        <v>1.2</v>
      </c>
      <c r="R8">
        <v>67.099999999999994</v>
      </c>
      <c r="S8">
        <v>0.8</v>
      </c>
      <c r="T8">
        <v>2.4</v>
      </c>
      <c r="U8">
        <v>45.4</v>
      </c>
      <c r="V8">
        <v>4.0999999999999996</v>
      </c>
      <c r="W8">
        <v>1.08</v>
      </c>
      <c r="X8">
        <v>66.2</v>
      </c>
      <c r="Y8">
        <v>0.6</v>
      </c>
      <c r="Z8">
        <v>0.2</v>
      </c>
      <c r="AA8">
        <v>33</v>
      </c>
    </row>
    <row r="9" spans="1:27" x14ac:dyDescent="0.3">
      <c r="A9" s="1">
        <v>16443</v>
      </c>
      <c r="B9">
        <v>7</v>
      </c>
      <c r="C9" t="s">
        <v>28</v>
      </c>
      <c r="D9" t="s">
        <v>85</v>
      </c>
      <c r="E9" t="s">
        <v>11</v>
      </c>
      <c r="F9" t="str">
        <f>VLOOKUP(E9, Sheet2!$A$1:$B$4, 2, FALSE)</f>
        <v>coal</v>
      </c>
      <c r="G9" t="s">
        <v>72</v>
      </c>
      <c r="H9" t="str">
        <f>VLOOKUP(G9, Sheet2!$A$7:$B$12, 2, FALSE)</f>
        <v>Cenozoic</v>
      </c>
      <c r="I9" cm="1">
        <f t="array" ref="I9:J9">_xlfn.XLOOKUP(H9, Sheet2!$B$7:$B$12,Sheet2!$C$7:$D$12,,0,1)</f>
        <v>33</v>
      </c>
      <c r="J9">
        <v>33</v>
      </c>
      <c r="K9" t="str">
        <f t="shared" si="0"/>
        <v>Cenozoic kerogen - Taiwan</v>
      </c>
      <c r="L9">
        <v>0.36</v>
      </c>
      <c r="M9">
        <v>433</v>
      </c>
      <c r="N9">
        <v>71</v>
      </c>
      <c r="O9">
        <v>22.2</v>
      </c>
      <c r="P9">
        <v>74</v>
      </c>
      <c r="Q9">
        <v>0.1</v>
      </c>
      <c r="R9">
        <v>1.6</v>
      </c>
      <c r="S9">
        <v>0.2</v>
      </c>
      <c r="T9">
        <v>0.3</v>
      </c>
      <c r="U9">
        <v>2.2000000000000002</v>
      </c>
      <c r="V9">
        <v>0.3</v>
      </c>
      <c r="W9">
        <v>1.86</v>
      </c>
      <c r="X9">
        <v>3.8</v>
      </c>
      <c r="Y9">
        <v>0</v>
      </c>
      <c r="Z9">
        <v>0</v>
      </c>
      <c r="AA9">
        <v>96.2</v>
      </c>
    </row>
    <row r="10" spans="1:27" x14ac:dyDescent="0.3">
      <c r="A10" s="1">
        <v>16444</v>
      </c>
      <c r="B10">
        <v>8</v>
      </c>
      <c r="C10" t="s">
        <v>29</v>
      </c>
      <c r="D10" t="s">
        <v>85</v>
      </c>
      <c r="E10" t="s">
        <v>11</v>
      </c>
      <c r="F10" t="str">
        <f>VLOOKUP(E10, Sheet2!$A$1:$B$4, 2, FALSE)</f>
        <v>coal</v>
      </c>
      <c r="G10" t="s">
        <v>72</v>
      </c>
      <c r="H10" t="str">
        <f>VLOOKUP(G10, Sheet2!$A$7:$B$12, 2, FALSE)</f>
        <v>Cenozoic</v>
      </c>
      <c r="I10" cm="1">
        <f t="array" ref="I10:J10">_xlfn.XLOOKUP(H10, Sheet2!$B$7:$B$12,Sheet2!$C$7:$D$12,,0,1)</f>
        <v>33</v>
      </c>
      <c r="J10">
        <v>33</v>
      </c>
      <c r="K10" t="str">
        <f t="shared" si="0"/>
        <v>Cenozoic kerogen - Taiwan</v>
      </c>
      <c r="L10">
        <v>0.74</v>
      </c>
      <c r="M10">
        <v>437</v>
      </c>
      <c r="N10">
        <v>221</v>
      </c>
      <c r="O10">
        <v>79.2</v>
      </c>
      <c r="P10">
        <v>224</v>
      </c>
      <c r="Q10">
        <v>2.4</v>
      </c>
      <c r="R10">
        <v>175.2</v>
      </c>
      <c r="S10">
        <v>1.7</v>
      </c>
      <c r="T10">
        <v>1</v>
      </c>
      <c r="U10">
        <v>77</v>
      </c>
      <c r="V10">
        <v>5.8</v>
      </c>
      <c r="W10">
        <v>0.9</v>
      </c>
      <c r="X10">
        <v>93.2</v>
      </c>
      <c r="Y10">
        <v>1.2</v>
      </c>
      <c r="Z10">
        <v>0.6</v>
      </c>
      <c r="AA10">
        <v>5</v>
      </c>
    </row>
    <row r="11" spans="1:27" x14ac:dyDescent="0.3">
      <c r="A11" s="1">
        <v>16445</v>
      </c>
      <c r="B11">
        <v>9</v>
      </c>
      <c r="C11" t="s">
        <v>30</v>
      </c>
      <c r="D11" t="s">
        <v>85</v>
      </c>
      <c r="E11" t="s">
        <v>11</v>
      </c>
      <c r="F11" t="str">
        <f>VLOOKUP(E11, Sheet2!$A$1:$B$4, 2, FALSE)</f>
        <v>coal</v>
      </c>
      <c r="G11" t="s">
        <v>72</v>
      </c>
      <c r="H11" t="str">
        <f>VLOOKUP(G11, Sheet2!$A$7:$B$12, 2, FALSE)</f>
        <v>Cenozoic</v>
      </c>
      <c r="I11" cm="1">
        <f t="array" ref="I11:J11">_xlfn.XLOOKUP(H11, Sheet2!$B$7:$B$12,Sheet2!$C$7:$D$12,,0,1)</f>
        <v>33</v>
      </c>
      <c r="J11">
        <v>33</v>
      </c>
      <c r="K11" t="str">
        <f t="shared" si="0"/>
        <v>Cenozoic kerogen - Taiwan</v>
      </c>
      <c r="L11">
        <v>0.68</v>
      </c>
      <c r="M11">
        <v>435</v>
      </c>
      <c r="N11">
        <v>286</v>
      </c>
      <c r="O11">
        <v>79.3</v>
      </c>
      <c r="P11">
        <v>271</v>
      </c>
      <c r="Q11">
        <v>2.4</v>
      </c>
      <c r="R11">
        <v>212.5</v>
      </c>
      <c r="S11">
        <v>1.6</v>
      </c>
      <c r="T11">
        <v>0.9</v>
      </c>
      <c r="U11">
        <v>78.400000000000006</v>
      </c>
      <c r="V11">
        <v>5.9</v>
      </c>
      <c r="W11">
        <v>0.9</v>
      </c>
      <c r="X11">
        <v>84</v>
      </c>
      <c r="Y11">
        <v>11.4</v>
      </c>
      <c r="Z11">
        <v>0</v>
      </c>
      <c r="AA11">
        <v>4.5999999999999996</v>
      </c>
    </row>
    <row r="12" spans="1:27" x14ac:dyDescent="0.3">
      <c r="A12" s="1">
        <v>16446</v>
      </c>
      <c r="B12">
        <v>10</v>
      </c>
      <c r="C12" t="s">
        <v>31</v>
      </c>
      <c r="D12" t="s">
        <v>85</v>
      </c>
      <c r="E12" t="s">
        <v>11</v>
      </c>
      <c r="F12" t="str">
        <f>VLOOKUP(E12, Sheet2!$A$1:$B$4, 2, FALSE)</f>
        <v>coal</v>
      </c>
      <c r="G12" t="s">
        <v>72</v>
      </c>
      <c r="H12" t="str">
        <f>VLOOKUP(G12, Sheet2!$A$7:$B$12, 2, FALSE)</f>
        <v>Cenozoic</v>
      </c>
      <c r="I12" cm="1">
        <f t="array" ref="I12:J12">_xlfn.XLOOKUP(H12, Sheet2!$B$7:$B$12,Sheet2!$C$7:$D$12,,0,1)</f>
        <v>33</v>
      </c>
      <c r="J12">
        <v>33</v>
      </c>
      <c r="K12" t="str">
        <f t="shared" si="0"/>
        <v>Cenozoic kerogen - Taiwan</v>
      </c>
      <c r="L12">
        <v>0.75</v>
      </c>
      <c r="M12">
        <v>437</v>
      </c>
      <c r="N12">
        <v>189</v>
      </c>
      <c r="O12">
        <v>79.8</v>
      </c>
      <c r="P12">
        <v>191</v>
      </c>
      <c r="Q12">
        <v>1.6</v>
      </c>
      <c r="R12">
        <v>150.9</v>
      </c>
      <c r="S12">
        <v>1.7</v>
      </c>
      <c r="T12">
        <v>0.8</v>
      </c>
      <c r="U12">
        <v>77.599999999999994</v>
      </c>
      <c r="V12">
        <v>5.2</v>
      </c>
      <c r="W12">
        <v>0.8</v>
      </c>
      <c r="X12">
        <v>93.2</v>
      </c>
      <c r="Y12">
        <v>3</v>
      </c>
      <c r="Z12">
        <v>1.6</v>
      </c>
      <c r="AA12">
        <v>2.2000000000000002</v>
      </c>
    </row>
    <row r="13" spans="1:27" x14ac:dyDescent="0.3">
      <c r="A13" s="1">
        <v>16447</v>
      </c>
      <c r="B13">
        <v>11</v>
      </c>
      <c r="C13" t="s">
        <v>32</v>
      </c>
      <c r="D13" t="s">
        <v>85</v>
      </c>
      <c r="E13" t="s">
        <v>11</v>
      </c>
      <c r="F13" t="str">
        <f>VLOOKUP(E13, Sheet2!$A$1:$B$4, 2, FALSE)</f>
        <v>coal</v>
      </c>
      <c r="G13" t="s">
        <v>72</v>
      </c>
      <c r="H13" t="str">
        <f>VLOOKUP(G13, Sheet2!$A$7:$B$12, 2, FALSE)</f>
        <v>Cenozoic</v>
      </c>
      <c r="I13" cm="1">
        <f t="array" ref="I13:J13">_xlfn.XLOOKUP(H13, Sheet2!$B$7:$B$12,Sheet2!$C$7:$D$12,,0,1)</f>
        <v>33</v>
      </c>
      <c r="J13">
        <v>33</v>
      </c>
      <c r="K13" t="str">
        <f t="shared" si="0"/>
        <v>Cenozoic kerogen - Taiwan</v>
      </c>
      <c r="L13">
        <v>0.73</v>
      </c>
      <c r="M13">
        <v>441</v>
      </c>
      <c r="N13">
        <v>161</v>
      </c>
      <c r="O13">
        <v>64.099999999999994</v>
      </c>
      <c r="P13">
        <v>163</v>
      </c>
      <c r="Q13">
        <v>1.4</v>
      </c>
      <c r="R13">
        <v>103.2</v>
      </c>
      <c r="S13">
        <v>1.4</v>
      </c>
      <c r="T13">
        <v>3.5</v>
      </c>
      <c r="U13">
        <v>59.2</v>
      </c>
      <c r="V13">
        <v>4.2</v>
      </c>
      <c r="W13">
        <v>0.85</v>
      </c>
      <c r="X13">
        <v>81.599999999999994</v>
      </c>
      <c r="Y13">
        <v>3.6</v>
      </c>
      <c r="Z13">
        <v>4.8</v>
      </c>
      <c r="AA13">
        <v>10</v>
      </c>
    </row>
    <row r="14" spans="1:27" x14ac:dyDescent="0.3">
      <c r="A14" s="1">
        <v>16448</v>
      </c>
      <c r="B14">
        <v>12</v>
      </c>
      <c r="C14" t="s">
        <v>33</v>
      </c>
      <c r="D14" t="s">
        <v>85</v>
      </c>
      <c r="E14" t="s">
        <v>11</v>
      </c>
      <c r="F14" t="str">
        <f>VLOOKUP(E14, Sheet2!$A$1:$B$4, 2, FALSE)</f>
        <v>coal</v>
      </c>
      <c r="G14" t="s">
        <v>72</v>
      </c>
      <c r="H14" t="str">
        <f>VLOOKUP(G14, Sheet2!$A$7:$B$12, 2, FALSE)</f>
        <v>Cenozoic</v>
      </c>
      <c r="I14" cm="1">
        <f t="array" ref="I14:J14">_xlfn.XLOOKUP(H14, Sheet2!$B$7:$B$12,Sheet2!$C$7:$D$12,,0,1)</f>
        <v>33</v>
      </c>
      <c r="J14">
        <v>33</v>
      </c>
      <c r="K14" t="str">
        <f t="shared" si="0"/>
        <v>Cenozoic kerogen - Taiwan</v>
      </c>
      <c r="L14">
        <v>0.23</v>
      </c>
      <c r="M14">
        <v>377</v>
      </c>
      <c r="N14">
        <v>54</v>
      </c>
      <c r="O14">
        <v>58.1</v>
      </c>
      <c r="P14">
        <v>56</v>
      </c>
      <c r="Q14">
        <v>1.2</v>
      </c>
      <c r="R14">
        <v>31.4</v>
      </c>
      <c r="S14">
        <v>0.3</v>
      </c>
      <c r="T14">
        <v>0.4</v>
      </c>
      <c r="U14">
        <v>57.2</v>
      </c>
      <c r="V14">
        <v>5.0999999999999996</v>
      </c>
      <c r="W14">
        <v>1.07</v>
      </c>
      <c r="X14">
        <v>95.4</v>
      </c>
      <c r="Y14">
        <v>0.4</v>
      </c>
      <c r="Z14">
        <v>0</v>
      </c>
      <c r="AA14">
        <v>4.2</v>
      </c>
    </row>
    <row r="15" spans="1:27" x14ac:dyDescent="0.3">
      <c r="A15" s="1">
        <v>16449</v>
      </c>
      <c r="B15">
        <v>13</v>
      </c>
      <c r="C15" t="s">
        <v>34</v>
      </c>
      <c r="D15" t="s">
        <v>85</v>
      </c>
      <c r="E15" t="s">
        <v>11</v>
      </c>
      <c r="F15" t="str">
        <f>VLOOKUP(E15, Sheet2!$A$1:$B$4, 2, FALSE)</f>
        <v>coal</v>
      </c>
      <c r="G15" t="s">
        <v>72</v>
      </c>
      <c r="H15" t="str">
        <f>VLOOKUP(G15, Sheet2!$A$7:$B$12, 2, FALSE)</f>
        <v>Cenozoic</v>
      </c>
      <c r="I15" cm="1">
        <f t="array" ref="I15:J15">_xlfn.XLOOKUP(H15, Sheet2!$B$7:$B$12,Sheet2!$C$7:$D$12,,0,1)</f>
        <v>33</v>
      </c>
      <c r="J15">
        <v>33</v>
      </c>
      <c r="K15" t="str">
        <f t="shared" si="0"/>
        <v>Cenozoic kerogen - Taiwan</v>
      </c>
      <c r="L15">
        <v>0.36</v>
      </c>
      <c r="M15">
        <v>431</v>
      </c>
      <c r="N15">
        <v>315</v>
      </c>
      <c r="O15">
        <v>71.2</v>
      </c>
      <c r="P15">
        <v>319</v>
      </c>
      <c r="Q15">
        <v>3.3</v>
      </c>
      <c r="R15">
        <v>224</v>
      </c>
      <c r="S15">
        <v>1.7</v>
      </c>
      <c r="T15">
        <v>0.8</v>
      </c>
      <c r="U15">
        <v>73.3</v>
      </c>
      <c r="V15">
        <v>6.8</v>
      </c>
      <c r="W15">
        <v>1.1000000000000001</v>
      </c>
      <c r="X15">
        <v>33.200000000000003</v>
      </c>
      <c r="Y15">
        <v>1.2</v>
      </c>
      <c r="Z15">
        <v>0</v>
      </c>
      <c r="AA15">
        <v>65.599999999999994</v>
      </c>
    </row>
    <row r="16" spans="1:27" x14ac:dyDescent="0.3">
      <c r="A16" s="1">
        <v>16450</v>
      </c>
      <c r="B16">
        <v>14</v>
      </c>
      <c r="C16" t="s">
        <v>35</v>
      </c>
      <c r="D16" t="s">
        <v>85</v>
      </c>
      <c r="E16" t="s">
        <v>11</v>
      </c>
      <c r="F16" t="str">
        <f>VLOOKUP(E16, Sheet2!$A$1:$B$4, 2, FALSE)</f>
        <v>coal</v>
      </c>
      <c r="G16" t="s">
        <v>72</v>
      </c>
      <c r="H16" t="str">
        <f>VLOOKUP(G16, Sheet2!$A$7:$B$12, 2, FALSE)</f>
        <v>Cenozoic</v>
      </c>
      <c r="I16" cm="1">
        <f t="array" ref="I16:J16">_xlfn.XLOOKUP(H16, Sheet2!$B$7:$B$12,Sheet2!$C$7:$D$12,,0,1)</f>
        <v>33</v>
      </c>
      <c r="J16">
        <v>33</v>
      </c>
      <c r="K16" t="str">
        <f t="shared" si="0"/>
        <v>Cenozoic kerogen - Taiwan</v>
      </c>
      <c r="L16">
        <v>1.57</v>
      </c>
      <c r="M16">
        <v>477</v>
      </c>
      <c r="N16">
        <v>85</v>
      </c>
      <c r="O16">
        <v>55.9</v>
      </c>
      <c r="P16">
        <v>89</v>
      </c>
      <c r="Q16">
        <v>1.8</v>
      </c>
      <c r="R16">
        <v>47.8</v>
      </c>
      <c r="S16">
        <v>0.9</v>
      </c>
      <c r="T16">
        <v>4.5</v>
      </c>
      <c r="U16">
        <v>51.3</v>
      </c>
      <c r="V16">
        <v>3.3</v>
      </c>
      <c r="W16">
        <v>0.77</v>
      </c>
      <c r="X16">
        <v>80</v>
      </c>
      <c r="Y16">
        <v>5.6</v>
      </c>
      <c r="Z16">
        <v>0</v>
      </c>
      <c r="AA16">
        <v>14.4</v>
      </c>
    </row>
    <row r="17" spans="1:27" x14ac:dyDescent="0.3">
      <c r="A17" s="1">
        <v>16451</v>
      </c>
      <c r="B17">
        <v>15</v>
      </c>
      <c r="C17" t="s">
        <v>36</v>
      </c>
      <c r="D17" t="s">
        <v>85</v>
      </c>
      <c r="E17" t="s">
        <v>11</v>
      </c>
      <c r="F17" t="str">
        <f>VLOOKUP(E17, Sheet2!$A$1:$B$4, 2, FALSE)</f>
        <v>coal</v>
      </c>
      <c r="G17" t="s">
        <v>72</v>
      </c>
      <c r="H17" t="str">
        <f>VLOOKUP(G17, Sheet2!$A$7:$B$12, 2, FALSE)</f>
        <v>Cenozoic</v>
      </c>
      <c r="I17" cm="1">
        <f t="array" ref="I17:J17">_xlfn.XLOOKUP(H17, Sheet2!$B$7:$B$12,Sheet2!$C$7:$D$12,,0,1)</f>
        <v>33</v>
      </c>
      <c r="J17">
        <v>33</v>
      </c>
      <c r="K17" t="str">
        <f t="shared" si="0"/>
        <v>Cenozoic kerogen - Taiwan</v>
      </c>
      <c r="L17">
        <v>1.56</v>
      </c>
      <c r="M17">
        <v>479</v>
      </c>
      <c r="N17">
        <v>87</v>
      </c>
      <c r="O17">
        <v>50.4</v>
      </c>
      <c r="P17">
        <v>90</v>
      </c>
      <c r="Q17">
        <v>1.4</v>
      </c>
      <c r="R17">
        <v>43.9</v>
      </c>
      <c r="S17">
        <v>1.1000000000000001</v>
      </c>
      <c r="T17">
        <v>3.4</v>
      </c>
      <c r="U17">
        <v>59.6</v>
      </c>
      <c r="V17">
        <v>3.4</v>
      </c>
      <c r="W17">
        <v>0.68</v>
      </c>
      <c r="X17">
        <v>73</v>
      </c>
      <c r="Y17">
        <v>3.4</v>
      </c>
      <c r="Z17">
        <v>0</v>
      </c>
      <c r="AA17">
        <v>23.4</v>
      </c>
    </row>
    <row r="18" spans="1:27" x14ac:dyDescent="0.3">
      <c r="A18" s="1">
        <v>16452</v>
      </c>
      <c r="B18">
        <v>16</v>
      </c>
      <c r="C18" t="s">
        <v>37</v>
      </c>
      <c r="D18" t="s">
        <v>85</v>
      </c>
      <c r="E18" t="s">
        <v>11</v>
      </c>
      <c r="F18" t="str">
        <f>VLOOKUP(E18, Sheet2!$A$1:$B$4, 2, FALSE)</f>
        <v>coal</v>
      </c>
      <c r="G18" t="s">
        <v>72</v>
      </c>
      <c r="H18" t="str">
        <f>VLOOKUP(G18, Sheet2!$A$7:$B$12, 2, FALSE)</f>
        <v>Cenozoic</v>
      </c>
      <c r="I18" cm="1">
        <f t="array" ref="I18:J18">_xlfn.XLOOKUP(H18, Sheet2!$B$7:$B$12,Sheet2!$C$7:$D$12,,0,1)</f>
        <v>33</v>
      </c>
      <c r="J18">
        <v>33</v>
      </c>
      <c r="K18" t="str">
        <f t="shared" si="0"/>
        <v>Cenozoic kerogen - Taiwan</v>
      </c>
      <c r="L18">
        <v>0.27</v>
      </c>
      <c r="M18">
        <v>423</v>
      </c>
      <c r="N18">
        <v>433</v>
      </c>
      <c r="O18">
        <v>57.6</v>
      </c>
      <c r="P18">
        <v>445</v>
      </c>
      <c r="Q18">
        <v>7.1</v>
      </c>
      <c r="R18">
        <v>249.6</v>
      </c>
      <c r="S18">
        <v>1.2</v>
      </c>
      <c r="T18">
        <v>2.6</v>
      </c>
      <c r="U18">
        <v>55.9</v>
      </c>
      <c r="V18">
        <v>2.6</v>
      </c>
      <c r="W18">
        <v>0.56000000000000005</v>
      </c>
      <c r="X18">
        <v>82.8</v>
      </c>
      <c r="Y18">
        <v>3.2</v>
      </c>
      <c r="Z18">
        <v>0.4</v>
      </c>
      <c r="AA18">
        <v>13.6</v>
      </c>
    </row>
    <row r="19" spans="1:27" x14ac:dyDescent="0.3">
      <c r="A19" s="1">
        <v>16453</v>
      </c>
      <c r="B19">
        <v>17</v>
      </c>
      <c r="C19" t="s">
        <v>38</v>
      </c>
      <c r="D19" t="s">
        <v>85</v>
      </c>
      <c r="E19" t="s">
        <v>9</v>
      </c>
      <c r="F19" t="str">
        <f>VLOOKUP(E19, Sheet2!$A$1:$B$4, 2, FALSE)</f>
        <v>humic coal</v>
      </c>
      <c r="G19" t="s">
        <v>72</v>
      </c>
      <c r="H19" t="str">
        <f>VLOOKUP(G19, Sheet2!$A$7:$B$12, 2, FALSE)</f>
        <v>Cenozoic</v>
      </c>
      <c r="I19" cm="1">
        <f t="array" ref="I19:J19">_xlfn.XLOOKUP(H19, Sheet2!$B$7:$B$12,Sheet2!$C$7:$D$12,,0,1)</f>
        <v>33</v>
      </c>
      <c r="J19">
        <v>33</v>
      </c>
      <c r="K19" t="str">
        <f t="shared" si="0"/>
        <v>Cenozoic kerogen - Taiwan</v>
      </c>
      <c r="L19">
        <v>0.36</v>
      </c>
      <c r="M19">
        <v>416</v>
      </c>
      <c r="N19">
        <v>134</v>
      </c>
      <c r="O19">
        <v>46</v>
      </c>
      <c r="P19">
        <v>136</v>
      </c>
      <c r="Q19">
        <v>1</v>
      </c>
      <c r="R19">
        <v>61.5</v>
      </c>
      <c r="S19">
        <v>1.1000000000000001</v>
      </c>
      <c r="T19">
        <v>2.2999999999999998</v>
      </c>
      <c r="U19">
        <v>42.5</v>
      </c>
      <c r="V19">
        <v>3.7</v>
      </c>
      <c r="W19">
        <v>1.04</v>
      </c>
      <c r="X19">
        <v>75.400000000000006</v>
      </c>
      <c r="Y19">
        <v>0.8</v>
      </c>
      <c r="Z19">
        <v>0.4</v>
      </c>
      <c r="AA19">
        <v>23.4</v>
      </c>
    </row>
    <row r="20" spans="1:27" x14ac:dyDescent="0.3">
      <c r="A20" s="1">
        <v>16454</v>
      </c>
      <c r="B20">
        <v>18</v>
      </c>
      <c r="C20" t="s">
        <v>39</v>
      </c>
      <c r="D20" t="s">
        <v>85</v>
      </c>
      <c r="E20" t="s">
        <v>11</v>
      </c>
      <c r="F20" t="str">
        <f>VLOOKUP(E20, Sheet2!$A$1:$B$4, 2, FALSE)</f>
        <v>coal</v>
      </c>
      <c r="G20" t="s">
        <v>72</v>
      </c>
      <c r="H20" t="str">
        <f>VLOOKUP(G20, Sheet2!$A$7:$B$12, 2, FALSE)</f>
        <v>Cenozoic</v>
      </c>
      <c r="I20" cm="1">
        <f t="array" ref="I20:J20">_xlfn.XLOOKUP(H20, Sheet2!$B$7:$B$12,Sheet2!$C$7:$D$12,,0,1)</f>
        <v>33</v>
      </c>
      <c r="J20">
        <v>33</v>
      </c>
      <c r="K20" t="str">
        <f t="shared" si="0"/>
        <v>Cenozoic kerogen - Taiwan</v>
      </c>
      <c r="L20">
        <v>0.41</v>
      </c>
      <c r="M20">
        <v>418</v>
      </c>
      <c r="N20">
        <v>348</v>
      </c>
      <c r="O20">
        <v>57</v>
      </c>
      <c r="P20">
        <v>351</v>
      </c>
      <c r="Q20">
        <v>1.8</v>
      </c>
      <c r="R20">
        <v>198.4</v>
      </c>
      <c r="S20">
        <v>1.1000000000000001</v>
      </c>
      <c r="T20">
        <v>5.3</v>
      </c>
      <c r="U20">
        <v>53.2</v>
      </c>
      <c r="V20">
        <v>4.8</v>
      </c>
      <c r="W20">
        <v>1.07</v>
      </c>
      <c r="X20">
        <v>73.2</v>
      </c>
      <c r="Y20">
        <v>12.8</v>
      </c>
      <c r="Z20">
        <v>1</v>
      </c>
      <c r="AA20">
        <v>13</v>
      </c>
    </row>
    <row r="21" spans="1:27" x14ac:dyDescent="0.3">
      <c r="A21" s="1">
        <v>16455</v>
      </c>
      <c r="B21">
        <v>19</v>
      </c>
      <c r="C21" t="s">
        <v>40</v>
      </c>
      <c r="D21" t="s">
        <v>85</v>
      </c>
      <c r="E21" t="s">
        <v>11</v>
      </c>
      <c r="F21" t="str">
        <f>VLOOKUP(E21, Sheet2!$A$1:$B$4, 2, FALSE)</f>
        <v>coal</v>
      </c>
      <c r="G21" t="s">
        <v>72</v>
      </c>
      <c r="H21" t="str">
        <f>VLOOKUP(G21, Sheet2!$A$7:$B$12, 2, FALSE)</f>
        <v>Cenozoic</v>
      </c>
      <c r="I21" cm="1">
        <f t="array" ref="I21:J21">_xlfn.XLOOKUP(H21, Sheet2!$B$7:$B$12,Sheet2!$C$7:$D$12,,0,1)</f>
        <v>33</v>
      </c>
      <c r="J21">
        <v>33</v>
      </c>
      <c r="K21" t="str">
        <f t="shared" si="0"/>
        <v>Cenozoic kerogen - Taiwan</v>
      </c>
      <c r="L21">
        <v>0.52</v>
      </c>
      <c r="M21">
        <v>424</v>
      </c>
      <c r="N21">
        <v>315</v>
      </c>
      <c r="O21">
        <v>72.900000000000006</v>
      </c>
      <c r="P21">
        <v>320</v>
      </c>
      <c r="Q21">
        <v>3.5</v>
      </c>
      <c r="R21">
        <v>229.7</v>
      </c>
      <c r="S21">
        <v>1.6</v>
      </c>
      <c r="T21">
        <v>2.2000000000000002</v>
      </c>
      <c r="U21">
        <v>70.2</v>
      </c>
      <c r="V21">
        <v>5.5</v>
      </c>
      <c r="W21">
        <v>0.94</v>
      </c>
      <c r="X21">
        <v>89.2</v>
      </c>
      <c r="Y21">
        <v>4.8</v>
      </c>
      <c r="Z21">
        <v>0.6</v>
      </c>
      <c r="AA21">
        <v>5.4</v>
      </c>
    </row>
    <row r="22" spans="1:27" x14ac:dyDescent="0.3">
      <c r="A22" s="1">
        <v>16456</v>
      </c>
      <c r="B22">
        <v>20</v>
      </c>
      <c r="C22" t="s">
        <v>41</v>
      </c>
      <c r="D22" t="s">
        <v>86</v>
      </c>
      <c r="E22" t="s">
        <v>10</v>
      </c>
      <c r="F22" t="str">
        <f>VLOOKUP(E22, Sheet2!$A$1:$B$4, 2, FALSE)</f>
        <v>shale</v>
      </c>
      <c r="G22" t="s">
        <v>73</v>
      </c>
      <c r="H22" t="str">
        <f>VLOOKUP(G22, Sheet2!$A$7:$B$12, 2, FALSE)</f>
        <v>Permian</v>
      </c>
      <c r="I22" cm="1">
        <f t="array" ref="I22:J22">_xlfn.XLOOKUP(H22, Sheet2!$B$7:$B$12,Sheet2!$C$7:$D$12,,0,1)</f>
        <v>275.39999999999998</v>
      </c>
      <c r="J22">
        <v>23.499999999999972</v>
      </c>
      <c r="K22" t="str">
        <f t="shared" si="0"/>
        <v>Permian kerogen - China</v>
      </c>
      <c r="L22">
        <v>0.31</v>
      </c>
      <c r="M22">
        <v>440</v>
      </c>
      <c r="N22">
        <v>512</v>
      </c>
      <c r="O22">
        <v>1.5</v>
      </c>
      <c r="P22">
        <v>546</v>
      </c>
      <c r="Q22">
        <v>0.5</v>
      </c>
      <c r="R22">
        <v>7.9</v>
      </c>
      <c r="S22">
        <v>0.1</v>
      </c>
      <c r="T22">
        <v>0.1</v>
      </c>
      <c r="U22">
        <v>13.8</v>
      </c>
      <c r="V22">
        <v>0.2</v>
      </c>
      <c r="W22">
        <v>0.16</v>
      </c>
      <c r="X22">
        <v>11.6</v>
      </c>
      <c r="Y22">
        <v>0.2</v>
      </c>
      <c r="Z22">
        <v>0.2</v>
      </c>
      <c r="AA22">
        <v>88</v>
      </c>
    </row>
    <row r="23" spans="1:27" x14ac:dyDescent="0.3">
      <c r="A23" s="1">
        <v>16457</v>
      </c>
      <c r="B23">
        <v>21</v>
      </c>
      <c r="C23" t="s">
        <v>42</v>
      </c>
      <c r="D23" t="s">
        <v>86</v>
      </c>
      <c r="E23" t="s">
        <v>10</v>
      </c>
      <c r="F23" t="str">
        <f>VLOOKUP(E23, Sheet2!$A$1:$B$4, 2, FALSE)</f>
        <v>shale</v>
      </c>
      <c r="G23" t="s">
        <v>72</v>
      </c>
      <c r="H23" t="str">
        <f>VLOOKUP(G23, Sheet2!$A$7:$B$12, 2, FALSE)</f>
        <v>Cenozoic</v>
      </c>
      <c r="I23" cm="1">
        <f t="array" ref="I23:J23">_xlfn.XLOOKUP(H23, Sheet2!$B$7:$B$12,Sheet2!$C$7:$D$12,,0,1)</f>
        <v>33</v>
      </c>
      <c r="J23">
        <v>33</v>
      </c>
      <c r="K23" t="str">
        <f t="shared" si="0"/>
        <v>Cenozoic kerogen - China</v>
      </c>
      <c r="L23">
        <v>0.28000000000000003</v>
      </c>
      <c r="M23">
        <v>428</v>
      </c>
      <c r="N23">
        <v>511</v>
      </c>
      <c r="O23">
        <v>28.6</v>
      </c>
      <c r="P23">
        <v>541</v>
      </c>
      <c r="Q23">
        <v>8.5</v>
      </c>
      <c r="R23">
        <v>146.5</v>
      </c>
      <c r="S23">
        <v>0.9</v>
      </c>
      <c r="T23">
        <v>1.4</v>
      </c>
      <c r="U23">
        <v>33.200000000000003</v>
      </c>
      <c r="V23">
        <v>3.8</v>
      </c>
      <c r="W23">
        <v>1.36</v>
      </c>
      <c r="X23">
        <v>12.8</v>
      </c>
      <c r="Y23">
        <v>0</v>
      </c>
      <c r="Z23">
        <v>0</v>
      </c>
      <c r="AA23">
        <v>87.2</v>
      </c>
    </row>
    <row r="24" spans="1:27" x14ac:dyDescent="0.3">
      <c r="A24" s="1">
        <v>16458</v>
      </c>
      <c r="B24">
        <v>22</v>
      </c>
      <c r="C24" t="s">
        <v>43</v>
      </c>
      <c r="D24" t="s">
        <v>86</v>
      </c>
      <c r="E24" t="s">
        <v>10</v>
      </c>
      <c r="F24" t="str">
        <f>VLOOKUP(E24, Sheet2!$A$1:$B$4, 2, FALSE)</f>
        <v>shale</v>
      </c>
      <c r="G24" t="s">
        <v>72</v>
      </c>
      <c r="H24" t="str">
        <f>VLOOKUP(G24, Sheet2!$A$7:$B$12, 2, FALSE)</f>
        <v>Cenozoic</v>
      </c>
      <c r="I24" cm="1">
        <f t="array" ref="I24:J24">_xlfn.XLOOKUP(H24, Sheet2!$B$7:$B$12,Sheet2!$C$7:$D$12,,0,1)</f>
        <v>33</v>
      </c>
      <c r="J24">
        <v>33</v>
      </c>
      <c r="K24" t="str">
        <f t="shared" si="0"/>
        <v>Cenozoic kerogen - China</v>
      </c>
      <c r="L24">
        <v>0.21</v>
      </c>
      <c r="M24">
        <v>430</v>
      </c>
      <c r="N24">
        <v>438</v>
      </c>
      <c r="O24">
        <v>35.5</v>
      </c>
      <c r="P24">
        <v>462</v>
      </c>
      <c r="Q24">
        <v>8.8000000000000007</v>
      </c>
      <c r="R24">
        <v>155.30000000000001</v>
      </c>
      <c r="S24">
        <v>0.9</v>
      </c>
      <c r="T24">
        <v>0.6</v>
      </c>
      <c r="U24">
        <v>33</v>
      </c>
      <c r="V24">
        <v>4</v>
      </c>
      <c r="W24">
        <v>1.44</v>
      </c>
      <c r="X24">
        <v>0.6</v>
      </c>
      <c r="Y24">
        <v>16.8</v>
      </c>
      <c r="Z24">
        <v>0</v>
      </c>
      <c r="AA24">
        <v>82.6</v>
      </c>
    </row>
    <row r="25" spans="1:27" x14ac:dyDescent="0.3">
      <c r="A25" s="1">
        <v>16459</v>
      </c>
      <c r="B25">
        <v>23</v>
      </c>
      <c r="C25" t="s">
        <v>44</v>
      </c>
      <c r="D25" t="s">
        <v>86</v>
      </c>
      <c r="E25" t="s">
        <v>10</v>
      </c>
      <c r="F25" t="str">
        <f>VLOOKUP(E25, Sheet2!$A$1:$B$4, 2, FALSE)</f>
        <v>shale</v>
      </c>
      <c r="G25" t="s">
        <v>72</v>
      </c>
      <c r="H25" t="str">
        <f>VLOOKUP(G25, Sheet2!$A$7:$B$12, 2, FALSE)</f>
        <v>Cenozoic</v>
      </c>
      <c r="I25" cm="1">
        <f t="array" ref="I25:J25">_xlfn.XLOOKUP(H25, Sheet2!$B$7:$B$12,Sheet2!$C$7:$D$12,,0,1)</f>
        <v>33</v>
      </c>
      <c r="J25">
        <v>33</v>
      </c>
      <c r="K25" t="str">
        <f t="shared" si="0"/>
        <v>Cenozoic kerogen - China</v>
      </c>
      <c r="L25">
        <v>0.18</v>
      </c>
      <c r="M25">
        <v>428</v>
      </c>
      <c r="N25">
        <v>499</v>
      </c>
      <c r="O25">
        <v>29</v>
      </c>
      <c r="P25">
        <v>526</v>
      </c>
      <c r="Q25">
        <v>8.1</v>
      </c>
      <c r="R25">
        <v>144.6</v>
      </c>
      <c r="S25">
        <v>0.8</v>
      </c>
      <c r="T25">
        <v>0.9</v>
      </c>
      <c r="U25">
        <v>29.7</v>
      </c>
      <c r="V25">
        <v>3.5</v>
      </c>
      <c r="W25">
        <v>1.43</v>
      </c>
      <c r="X25">
        <v>4</v>
      </c>
      <c r="Y25">
        <v>10.199999999999999</v>
      </c>
      <c r="Z25">
        <v>0</v>
      </c>
      <c r="AA25">
        <v>85.8</v>
      </c>
    </row>
    <row r="26" spans="1:27" x14ac:dyDescent="0.3">
      <c r="A26" s="1">
        <v>16460</v>
      </c>
      <c r="B26">
        <v>24</v>
      </c>
      <c r="C26" t="s">
        <v>45</v>
      </c>
      <c r="D26" t="s">
        <v>86</v>
      </c>
      <c r="E26" t="s">
        <v>11</v>
      </c>
      <c r="F26" t="str">
        <f>VLOOKUP(E26, Sheet2!$A$1:$B$4, 2, FALSE)</f>
        <v>coal</v>
      </c>
      <c r="G26" t="s">
        <v>72</v>
      </c>
      <c r="H26" t="str">
        <f>VLOOKUP(G26, Sheet2!$A$7:$B$12, 2, FALSE)</f>
        <v>Cenozoic</v>
      </c>
      <c r="I26" cm="1">
        <f t="array" ref="I26:J26">_xlfn.XLOOKUP(H26, Sheet2!$B$7:$B$12,Sheet2!$C$7:$D$12,,0,1)</f>
        <v>33</v>
      </c>
      <c r="J26">
        <v>33</v>
      </c>
      <c r="K26" t="str">
        <f t="shared" si="0"/>
        <v>Cenozoic kerogen - China</v>
      </c>
      <c r="L26">
        <v>0.54</v>
      </c>
      <c r="M26">
        <v>429</v>
      </c>
      <c r="N26">
        <v>104</v>
      </c>
      <c r="O26">
        <v>66.599999999999994</v>
      </c>
      <c r="P26">
        <v>105</v>
      </c>
      <c r="Q26">
        <v>0.7</v>
      </c>
      <c r="R26">
        <v>69.400000000000006</v>
      </c>
      <c r="S26">
        <v>1.2</v>
      </c>
      <c r="T26">
        <v>0.8</v>
      </c>
      <c r="U26">
        <v>66.3</v>
      </c>
      <c r="V26">
        <v>4.5999999999999996</v>
      </c>
      <c r="W26">
        <v>0.84</v>
      </c>
      <c r="X26">
        <v>87</v>
      </c>
      <c r="Y26">
        <v>4.5999999999999996</v>
      </c>
      <c r="Z26">
        <v>0</v>
      </c>
      <c r="AA26">
        <v>8.4</v>
      </c>
    </row>
    <row r="27" spans="1:27" x14ac:dyDescent="0.3">
      <c r="A27" s="1">
        <v>16461</v>
      </c>
      <c r="B27">
        <v>25</v>
      </c>
      <c r="C27" t="s">
        <v>46</v>
      </c>
      <c r="D27" t="s">
        <v>86</v>
      </c>
      <c r="E27" t="s">
        <v>11</v>
      </c>
      <c r="F27" t="str">
        <f>VLOOKUP(E27, Sheet2!$A$1:$B$4, 2, FALSE)</f>
        <v>coal</v>
      </c>
      <c r="G27" t="s">
        <v>72</v>
      </c>
      <c r="H27" t="str">
        <f>VLOOKUP(G27, Sheet2!$A$7:$B$12, 2, FALSE)</f>
        <v>Cenozoic</v>
      </c>
      <c r="I27" cm="1">
        <f t="array" ref="I27:J27">_xlfn.XLOOKUP(H27, Sheet2!$B$7:$B$12,Sheet2!$C$7:$D$12,,0,1)</f>
        <v>33</v>
      </c>
      <c r="J27">
        <v>33</v>
      </c>
      <c r="K27" t="str">
        <f t="shared" si="0"/>
        <v>Cenozoic kerogen - China</v>
      </c>
      <c r="L27">
        <v>0.59</v>
      </c>
      <c r="M27">
        <v>429</v>
      </c>
      <c r="N27">
        <v>171</v>
      </c>
      <c r="O27">
        <v>71.900000000000006</v>
      </c>
      <c r="P27">
        <v>173</v>
      </c>
      <c r="Q27">
        <v>1.2</v>
      </c>
      <c r="R27">
        <v>123.1</v>
      </c>
      <c r="S27">
        <v>1.4</v>
      </c>
      <c r="T27">
        <v>0.3</v>
      </c>
      <c r="U27">
        <v>70.5</v>
      </c>
      <c r="V27">
        <v>5.6</v>
      </c>
      <c r="W27">
        <v>0.96</v>
      </c>
      <c r="X27">
        <v>88.2</v>
      </c>
      <c r="Y27">
        <v>9.4</v>
      </c>
      <c r="Z27">
        <v>0.6</v>
      </c>
      <c r="AA27">
        <v>1.4</v>
      </c>
    </row>
    <row r="28" spans="1:27" x14ac:dyDescent="0.3">
      <c r="A28" s="1">
        <v>16462</v>
      </c>
      <c r="B28">
        <v>26</v>
      </c>
      <c r="C28" t="s">
        <v>47</v>
      </c>
      <c r="D28" t="s">
        <v>86</v>
      </c>
      <c r="E28" t="s">
        <v>11</v>
      </c>
      <c r="F28" t="str">
        <f>VLOOKUP(E28, Sheet2!$A$1:$B$4, 2, FALSE)</f>
        <v>coal</v>
      </c>
      <c r="G28" t="s">
        <v>73</v>
      </c>
      <c r="H28" t="str">
        <f>VLOOKUP(G28, Sheet2!$A$7:$B$12, 2, FALSE)</f>
        <v>Permian</v>
      </c>
      <c r="I28" cm="1">
        <f t="array" ref="I28:J28">_xlfn.XLOOKUP(H28, Sheet2!$B$7:$B$12,Sheet2!$C$7:$D$12,,0,1)</f>
        <v>275.39999999999998</v>
      </c>
      <c r="J28">
        <v>23.499999999999972</v>
      </c>
      <c r="K28" t="str">
        <f t="shared" si="0"/>
        <v>Permian kerogen - China</v>
      </c>
      <c r="L28">
        <v>0.57999999999999996</v>
      </c>
      <c r="M28">
        <v>450</v>
      </c>
      <c r="N28">
        <v>334</v>
      </c>
      <c r="O28">
        <v>45.9</v>
      </c>
      <c r="P28">
        <v>339</v>
      </c>
      <c r="Q28">
        <v>2.1</v>
      </c>
      <c r="R28">
        <v>153.4</v>
      </c>
      <c r="S28">
        <v>1</v>
      </c>
      <c r="T28">
        <v>0.4</v>
      </c>
      <c r="U28">
        <v>37.700000000000003</v>
      </c>
      <c r="V28">
        <v>3.7</v>
      </c>
      <c r="W28">
        <v>1.18</v>
      </c>
      <c r="X28">
        <v>80</v>
      </c>
      <c r="Y28">
        <v>10.8</v>
      </c>
      <c r="Z28">
        <v>8.8000000000000007</v>
      </c>
      <c r="AA28">
        <v>0.4</v>
      </c>
    </row>
    <row r="29" spans="1:27" x14ac:dyDescent="0.3">
      <c r="A29" s="1">
        <v>16463</v>
      </c>
      <c r="B29">
        <v>27</v>
      </c>
      <c r="C29" t="s">
        <v>48</v>
      </c>
      <c r="D29" t="s">
        <v>86</v>
      </c>
      <c r="E29" t="s">
        <v>11</v>
      </c>
      <c r="F29" t="str">
        <f>VLOOKUP(E29, Sheet2!$A$1:$B$4, 2, FALSE)</f>
        <v>coal</v>
      </c>
      <c r="G29" t="s">
        <v>73</v>
      </c>
      <c r="H29" t="str">
        <f>VLOOKUP(G29, Sheet2!$A$7:$B$12, 2, FALSE)</f>
        <v>Permian</v>
      </c>
      <c r="I29" cm="1">
        <f t="array" ref="I29:J29">_xlfn.XLOOKUP(H29, Sheet2!$B$7:$B$12,Sheet2!$C$7:$D$12,,0,1)</f>
        <v>275.39999999999998</v>
      </c>
      <c r="J29">
        <v>23.499999999999972</v>
      </c>
      <c r="K29" t="str">
        <f t="shared" si="0"/>
        <v>Permian kerogen - China</v>
      </c>
      <c r="L29">
        <v>0.39</v>
      </c>
      <c r="M29">
        <v>453</v>
      </c>
      <c r="N29">
        <v>454</v>
      </c>
      <c r="O29">
        <v>77.599999999999994</v>
      </c>
      <c r="P29">
        <v>456</v>
      </c>
      <c r="Q29">
        <v>1.8</v>
      </c>
      <c r="R29">
        <v>352.5</v>
      </c>
      <c r="S29">
        <v>1.2</v>
      </c>
      <c r="T29">
        <v>0.2</v>
      </c>
      <c r="U29">
        <v>75.5</v>
      </c>
      <c r="V29">
        <v>8</v>
      </c>
      <c r="W29">
        <v>1.27</v>
      </c>
      <c r="X29">
        <v>69.400000000000006</v>
      </c>
      <c r="Y29">
        <v>24.8</v>
      </c>
      <c r="Z29">
        <v>3.6</v>
      </c>
      <c r="AA29">
        <v>2.2000000000000002</v>
      </c>
    </row>
    <row r="30" spans="1:27" x14ac:dyDescent="0.3">
      <c r="A30" s="1">
        <v>16464</v>
      </c>
      <c r="B30">
        <v>28</v>
      </c>
      <c r="C30" t="s">
        <v>49</v>
      </c>
      <c r="D30" t="s">
        <v>86</v>
      </c>
      <c r="E30" t="s">
        <v>74</v>
      </c>
      <c r="F30" t="str">
        <f>VLOOKUP(E30, Sheet2!$A$1:$B$4, 2, FALSE)</f>
        <v>mudstone</v>
      </c>
      <c r="G30" t="s">
        <v>75</v>
      </c>
      <c r="H30" t="str">
        <f>VLOOKUP(G30, Sheet2!$A$7:$B$12, 2, FALSE)</f>
        <v>Carboniferous</v>
      </c>
      <c r="I30" cm="1">
        <f t="array" ref="I30:J30">_xlfn.XLOOKUP(H30, Sheet2!$B$7:$B$12,Sheet2!$C$7:$D$12,,0,1)</f>
        <v>328.9</v>
      </c>
      <c r="J30">
        <v>30</v>
      </c>
      <c r="K30" t="str">
        <f t="shared" si="0"/>
        <v>Carboniferous kerogen - China</v>
      </c>
      <c r="L30">
        <v>0.45</v>
      </c>
      <c r="M30">
        <v>444</v>
      </c>
      <c r="N30">
        <v>354</v>
      </c>
      <c r="O30">
        <v>44</v>
      </c>
      <c r="P30">
        <v>361</v>
      </c>
      <c r="Q30">
        <v>3.1</v>
      </c>
      <c r="R30">
        <v>156</v>
      </c>
      <c r="S30">
        <v>0.6</v>
      </c>
      <c r="T30">
        <v>5.3</v>
      </c>
      <c r="U30">
        <v>52.5</v>
      </c>
      <c r="V30">
        <v>6</v>
      </c>
      <c r="W30">
        <v>1.38</v>
      </c>
      <c r="X30">
        <v>6.6</v>
      </c>
      <c r="Y30">
        <v>1.8</v>
      </c>
      <c r="Z30">
        <v>0</v>
      </c>
      <c r="AA30">
        <v>91.6</v>
      </c>
    </row>
    <row r="31" spans="1:27" x14ac:dyDescent="0.3">
      <c r="A31" s="1">
        <v>16465</v>
      </c>
      <c r="B31">
        <v>29</v>
      </c>
      <c r="C31" t="s">
        <v>50</v>
      </c>
      <c r="D31" t="s">
        <v>86</v>
      </c>
      <c r="E31" t="s">
        <v>74</v>
      </c>
      <c r="F31" t="str">
        <f>VLOOKUP(E31, Sheet2!$A$1:$B$4, 2, FALSE)</f>
        <v>mudstone</v>
      </c>
      <c r="G31" t="s">
        <v>75</v>
      </c>
      <c r="H31" t="str">
        <f>VLOOKUP(G31, Sheet2!$A$7:$B$12, 2, FALSE)</f>
        <v>Carboniferous</v>
      </c>
      <c r="I31" cm="1">
        <f t="array" ref="I31:J31">_xlfn.XLOOKUP(H31, Sheet2!$B$7:$B$12,Sheet2!$C$7:$D$12,,0,1)</f>
        <v>328.9</v>
      </c>
      <c r="J31">
        <v>30</v>
      </c>
      <c r="K31" t="str">
        <f t="shared" si="0"/>
        <v>Carboniferous kerogen - China</v>
      </c>
      <c r="L31">
        <v>0.68</v>
      </c>
      <c r="M31">
        <v>429</v>
      </c>
      <c r="N31">
        <v>155</v>
      </c>
      <c r="O31">
        <v>72.8</v>
      </c>
      <c r="P31">
        <v>157</v>
      </c>
      <c r="Q31">
        <v>1.4</v>
      </c>
      <c r="R31">
        <v>113.2</v>
      </c>
      <c r="S31">
        <v>1.3</v>
      </c>
      <c r="T31">
        <v>0.3</v>
      </c>
      <c r="U31">
        <v>71.900000000000006</v>
      </c>
      <c r="V31">
        <v>5.3</v>
      </c>
      <c r="W31">
        <v>0.89</v>
      </c>
      <c r="X31">
        <v>82.6</v>
      </c>
      <c r="Y31">
        <v>15.4</v>
      </c>
      <c r="Z31">
        <v>0.6</v>
      </c>
      <c r="AA31">
        <v>1.4</v>
      </c>
    </row>
    <row r="32" spans="1:27" x14ac:dyDescent="0.3">
      <c r="A32" s="1">
        <v>16466</v>
      </c>
      <c r="B32">
        <v>30</v>
      </c>
      <c r="C32" t="s">
        <v>51</v>
      </c>
      <c r="D32" t="s">
        <v>86</v>
      </c>
      <c r="E32" t="s">
        <v>74</v>
      </c>
      <c r="F32" t="str">
        <f>VLOOKUP(E32, Sheet2!$A$1:$B$4, 2, FALSE)</f>
        <v>mudstone</v>
      </c>
      <c r="G32" t="s">
        <v>75</v>
      </c>
      <c r="H32" t="str">
        <f>VLOOKUP(G32, Sheet2!$A$7:$B$12, 2, FALSE)</f>
        <v>Carboniferous</v>
      </c>
      <c r="I32" cm="1">
        <f t="array" ref="I32:J32">_xlfn.XLOOKUP(H32, Sheet2!$B$7:$B$12,Sheet2!$C$7:$D$12,,0,1)</f>
        <v>328.9</v>
      </c>
      <c r="J32">
        <v>30</v>
      </c>
      <c r="K32" t="str">
        <f t="shared" si="0"/>
        <v>Carboniferous kerogen - China</v>
      </c>
      <c r="L32">
        <v>0.59</v>
      </c>
      <c r="M32">
        <v>432</v>
      </c>
      <c r="N32">
        <v>124</v>
      </c>
      <c r="O32">
        <v>74.400000000000006</v>
      </c>
      <c r="P32">
        <v>126</v>
      </c>
      <c r="Q32">
        <v>1.3</v>
      </c>
      <c r="R32">
        <v>92.2</v>
      </c>
      <c r="S32">
        <v>1.5</v>
      </c>
      <c r="T32">
        <v>0.7</v>
      </c>
      <c r="U32">
        <v>72.7</v>
      </c>
      <c r="V32">
        <v>4.5</v>
      </c>
      <c r="W32">
        <v>0.74</v>
      </c>
      <c r="X32">
        <v>71.400000000000006</v>
      </c>
      <c r="Y32">
        <v>4.8</v>
      </c>
      <c r="Z32">
        <v>22</v>
      </c>
      <c r="AA32">
        <v>1.8</v>
      </c>
    </row>
    <row r="33" spans="1:27" x14ac:dyDescent="0.3">
      <c r="A33" s="1">
        <v>16467</v>
      </c>
      <c r="B33">
        <v>31</v>
      </c>
      <c r="C33" t="s">
        <v>52</v>
      </c>
      <c r="D33" t="s">
        <v>86</v>
      </c>
      <c r="E33" t="s">
        <v>74</v>
      </c>
      <c r="F33" t="str">
        <f>VLOOKUP(E33, Sheet2!$A$1:$B$4, 2, FALSE)</f>
        <v>mudstone</v>
      </c>
      <c r="G33" t="s">
        <v>73</v>
      </c>
      <c r="H33" t="str">
        <f>VLOOKUP(G33, Sheet2!$A$7:$B$12, 2, FALSE)</f>
        <v>Permian</v>
      </c>
      <c r="I33" cm="1">
        <f t="array" ref="I33:J33">_xlfn.XLOOKUP(H33, Sheet2!$B$7:$B$12,Sheet2!$C$7:$D$12,,0,1)</f>
        <v>275.39999999999998</v>
      </c>
      <c r="J33">
        <v>23.499999999999972</v>
      </c>
      <c r="K33" t="str">
        <f t="shared" si="0"/>
        <v>Permian kerogen - China</v>
      </c>
      <c r="L33">
        <v>1.24</v>
      </c>
      <c r="M33">
        <v>445</v>
      </c>
      <c r="N33">
        <v>23</v>
      </c>
      <c r="O33">
        <v>73.400000000000006</v>
      </c>
      <c r="P33">
        <v>24</v>
      </c>
      <c r="Q33">
        <v>0.6</v>
      </c>
      <c r="R33">
        <v>16.899999999999999</v>
      </c>
      <c r="S33">
        <v>0.7</v>
      </c>
      <c r="T33">
        <v>0.3</v>
      </c>
      <c r="U33">
        <v>73.3</v>
      </c>
      <c r="V33">
        <v>4.2</v>
      </c>
      <c r="W33">
        <v>0.7</v>
      </c>
      <c r="X33">
        <v>78</v>
      </c>
      <c r="Y33">
        <v>2.6</v>
      </c>
      <c r="Z33">
        <v>8.1999999999999993</v>
      </c>
      <c r="AA33">
        <v>11.2</v>
      </c>
    </row>
    <row r="34" spans="1:27" x14ac:dyDescent="0.3">
      <c r="A34" s="1">
        <v>16468</v>
      </c>
      <c r="B34">
        <v>32</v>
      </c>
      <c r="C34" t="s">
        <v>53</v>
      </c>
      <c r="D34" t="s">
        <v>86</v>
      </c>
      <c r="E34" t="s">
        <v>74</v>
      </c>
      <c r="F34" t="str">
        <f>VLOOKUP(E34, Sheet2!$A$1:$B$4, 2, FALSE)</f>
        <v>mudstone</v>
      </c>
      <c r="G34" t="s">
        <v>76</v>
      </c>
      <c r="H34" t="str">
        <f>VLOOKUP(G34, Sheet2!$A$7:$B$12, 2, FALSE)</f>
        <v>Jurassic</v>
      </c>
      <c r="I34" cm="1">
        <f t="array" ref="I34:J34">_xlfn.XLOOKUP(H34, Sheet2!$B$7:$B$12,Sheet2!$C$7:$D$12,,0,1)</f>
        <v>173.2</v>
      </c>
      <c r="J34">
        <v>28.199999999999989</v>
      </c>
      <c r="K34" t="str">
        <f t="shared" si="0"/>
        <v>Jurassic kerogen - China</v>
      </c>
      <c r="L34">
        <v>0.72</v>
      </c>
      <c r="M34">
        <v>432</v>
      </c>
      <c r="N34">
        <v>74</v>
      </c>
      <c r="O34">
        <v>71.099999999999994</v>
      </c>
      <c r="P34">
        <v>77</v>
      </c>
      <c r="Q34">
        <v>2</v>
      </c>
      <c r="R34">
        <v>52.8</v>
      </c>
      <c r="S34">
        <v>0.8</v>
      </c>
      <c r="T34">
        <v>0.4</v>
      </c>
      <c r="U34">
        <v>70.599999999999994</v>
      </c>
      <c r="V34">
        <v>4.5</v>
      </c>
      <c r="W34">
        <v>0.77</v>
      </c>
      <c r="X34">
        <v>61.2</v>
      </c>
      <c r="Y34">
        <v>6.8</v>
      </c>
      <c r="Z34">
        <v>32</v>
      </c>
      <c r="AA34">
        <v>0</v>
      </c>
    </row>
    <row r="35" spans="1:27" x14ac:dyDescent="0.3">
      <c r="A35" s="1">
        <v>16469</v>
      </c>
      <c r="B35">
        <v>33</v>
      </c>
      <c r="C35" t="s">
        <v>54</v>
      </c>
      <c r="D35" t="s">
        <v>86</v>
      </c>
      <c r="E35" t="s">
        <v>74</v>
      </c>
      <c r="F35" t="str">
        <f>VLOOKUP(E35, Sheet2!$A$1:$B$4, 2, FALSE)</f>
        <v>mudstone</v>
      </c>
      <c r="G35" t="s">
        <v>72</v>
      </c>
      <c r="H35" t="str">
        <f>VLOOKUP(G35, Sheet2!$A$7:$B$12, 2, FALSE)</f>
        <v>Cenozoic</v>
      </c>
      <c r="I35" cm="1">
        <f t="array" ref="I35:J35">_xlfn.XLOOKUP(H35, Sheet2!$B$7:$B$12,Sheet2!$C$7:$D$12,,0,1)</f>
        <v>33</v>
      </c>
      <c r="J35">
        <v>33</v>
      </c>
      <c r="K35" t="str">
        <f t="shared" si="0"/>
        <v>Cenozoic kerogen - China</v>
      </c>
      <c r="L35">
        <v>0.17</v>
      </c>
      <c r="M35">
        <v>426</v>
      </c>
      <c r="N35">
        <v>239</v>
      </c>
      <c r="O35">
        <v>7.3</v>
      </c>
      <c r="P35">
        <v>246</v>
      </c>
      <c r="Q35">
        <v>0.5</v>
      </c>
      <c r="R35">
        <v>17.399999999999999</v>
      </c>
      <c r="S35">
        <v>0.6</v>
      </c>
      <c r="T35">
        <v>1.1000000000000001</v>
      </c>
      <c r="U35">
        <v>6.2</v>
      </c>
      <c r="V35">
        <v>3.4</v>
      </c>
      <c r="W35">
        <v>6.68</v>
      </c>
      <c r="X35">
        <v>1.4</v>
      </c>
      <c r="Y35">
        <v>0.8</v>
      </c>
      <c r="Z35">
        <v>0</v>
      </c>
      <c r="AA35">
        <v>97.8</v>
      </c>
    </row>
    <row r="36" spans="1:27" x14ac:dyDescent="0.3">
      <c r="A36" s="1">
        <v>16470</v>
      </c>
      <c r="B36">
        <v>34</v>
      </c>
      <c r="C36" t="s">
        <v>55</v>
      </c>
      <c r="D36" t="s">
        <v>86</v>
      </c>
      <c r="E36" t="s">
        <v>11</v>
      </c>
      <c r="F36" t="str">
        <f>VLOOKUP(E36, Sheet2!$A$1:$B$4, 2, FALSE)</f>
        <v>coal</v>
      </c>
      <c r="G36" t="s">
        <v>73</v>
      </c>
      <c r="H36" t="str">
        <f>VLOOKUP(G36, Sheet2!$A$7:$B$12, 2, FALSE)</f>
        <v>Permian</v>
      </c>
      <c r="I36" cm="1">
        <f t="array" ref="I36:J36">_xlfn.XLOOKUP(H36, Sheet2!$B$7:$B$12,Sheet2!$C$7:$D$12,,0,1)</f>
        <v>275.39999999999998</v>
      </c>
      <c r="J36">
        <v>23.499999999999972</v>
      </c>
      <c r="K36" t="str">
        <f t="shared" si="0"/>
        <v>Permian kerogen - China</v>
      </c>
      <c r="L36">
        <v>0.61</v>
      </c>
      <c r="M36">
        <v>430</v>
      </c>
      <c r="N36">
        <v>102</v>
      </c>
      <c r="O36">
        <v>68.900000000000006</v>
      </c>
      <c r="P36">
        <v>103</v>
      </c>
      <c r="Q36">
        <v>1.2</v>
      </c>
      <c r="R36">
        <v>70.099999999999994</v>
      </c>
      <c r="S36">
        <v>1.3</v>
      </c>
      <c r="T36">
        <v>0.7</v>
      </c>
      <c r="U36">
        <v>67.2</v>
      </c>
      <c r="V36">
        <v>4.7</v>
      </c>
      <c r="W36">
        <v>0.83</v>
      </c>
      <c r="X36">
        <v>88</v>
      </c>
      <c r="Y36">
        <v>2.8</v>
      </c>
      <c r="Z36">
        <v>5.6</v>
      </c>
      <c r="AA36">
        <v>3.6</v>
      </c>
    </row>
    <row r="37" spans="1:27" x14ac:dyDescent="0.3">
      <c r="A37" s="1">
        <v>16471</v>
      </c>
      <c r="B37">
        <v>35</v>
      </c>
      <c r="C37" t="s">
        <v>56</v>
      </c>
      <c r="D37" t="s">
        <v>88</v>
      </c>
      <c r="E37" t="s">
        <v>74</v>
      </c>
      <c r="F37" t="str">
        <f>VLOOKUP(E37, Sheet2!$A$1:$B$4, 2, FALSE)</f>
        <v>mudstone</v>
      </c>
      <c r="G37" t="s">
        <v>72</v>
      </c>
      <c r="H37" t="str">
        <f>VLOOKUP(G37, Sheet2!$A$7:$B$12, 2, FALSE)</f>
        <v>Cenozoic</v>
      </c>
      <c r="I37" cm="1">
        <f t="array" ref="I37:J37">_xlfn.XLOOKUP(H37, Sheet2!$B$7:$B$12,Sheet2!$C$7:$D$12,,0,1)</f>
        <v>33</v>
      </c>
      <c r="J37">
        <v>33</v>
      </c>
      <c r="K37" t="str">
        <f t="shared" si="0"/>
        <v>Cenozoic kerogen - Australia</v>
      </c>
      <c r="L37">
        <v>1.63</v>
      </c>
      <c r="M37">
        <v>437</v>
      </c>
      <c r="N37">
        <v>118</v>
      </c>
      <c r="O37">
        <v>0.7</v>
      </c>
      <c r="P37">
        <v>159</v>
      </c>
      <c r="Q37">
        <v>0.3</v>
      </c>
      <c r="R37">
        <v>0.9</v>
      </c>
      <c r="S37">
        <v>0.1</v>
      </c>
      <c r="T37">
        <v>0.3</v>
      </c>
      <c r="U37">
        <v>9.5</v>
      </c>
      <c r="V37">
        <v>0.2</v>
      </c>
      <c r="W37">
        <v>0.25</v>
      </c>
      <c r="X37">
        <v>1</v>
      </c>
      <c r="Y37">
        <v>0</v>
      </c>
      <c r="Z37">
        <v>0</v>
      </c>
      <c r="AA37">
        <v>99</v>
      </c>
    </row>
    <row r="38" spans="1:27" x14ac:dyDescent="0.3">
      <c r="A38" s="1">
        <v>16472</v>
      </c>
      <c r="B38">
        <v>36</v>
      </c>
      <c r="C38" t="s">
        <v>57</v>
      </c>
      <c r="D38" t="s">
        <v>88</v>
      </c>
      <c r="E38" t="s">
        <v>74</v>
      </c>
      <c r="F38" t="str">
        <f>VLOOKUP(E38, Sheet2!$A$1:$B$4, 2, FALSE)</f>
        <v>mudstone</v>
      </c>
      <c r="G38" t="s">
        <v>72</v>
      </c>
      <c r="H38" t="str">
        <f>VLOOKUP(G38, Sheet2!$A$7:$B$12, 2, FALSE)</f>
        <v>Cenozoic</v>
      </c>
      <c r="I38" cm="1">
        <f t="array" ref="I38:J38">_xlfn.XLOOKUP(H38, Sheet2!$B$7:$B$12,Sheet2!$C$7:$D$12,,0,1)</f>
        <v>33</v>
      </c>
      <c r="J38">
        <v>33</v>
      </c>
      <c r="K38" t="str">
        <f t="shared" si="0"/>
        <v>Cenozoic kerogen - Australia</v>
      </c>
      <c r="L38">
        <v>1.61</v>
      </c>
      <c r="M38">
        <v>407</v>
      </c>
      <c r="N38">
        <v>40</v>
      </c>
      <c r="O38">
        <v>0.4</v>
      </c>
      <c r="P38">
        <v>67</v>
      </c>
      <c r="Q38">
        <v>0.1</v>
      </c>
      <c r="R38">
        <v>0.2</v>
      </c>
      <c r="S38">
        <v>0.3</v>
      </c>
      <c r="T38">
        <v>0.4</v>
      </c>
      <c r="U38">
        <v>9.4</v>
      </c>
      <c r="V38">
        <v>0.2</v>
      </c>
      <c r="W38">
        <v>0.26</v>
      </c>
      <c r="X38">
        <v>1</v>
      </c>
      <c r="Y38">
        <v>0</v>
      </c>
      <c r="Z38">
        <v>0</v>
      </c>
      <c r="AA38">
        <v>99</v>
      </c>
    </row>
    <row r="39" spans="1:27" x14ac:dyDescent="0.3">
      <c r="A39" s="1">
        <v>16473</v>
      </c>
      <c r="B39">
        <v>37</v>
      </c>
      <c r="C39" t="s">
        <v>58</v>
      </c>
      <c r="D39" t="s">
        <v>88</v>
      </c>
      <c r="E39" t="s">
        <v>74</v>
      </c>
      <c r="F39" t="str">
        <f>VLOOKUP(E39, Sheet2!$A$1:$B$4, 2, FALSE)</f>
        <v>mudstone</v>
      </c>
      <c r="G39" t="s">
        <v>72</v>
      </c>
      <c r="H39" t="str">
        <f>VLOOKUP(G39, Sheet2!$A$7:$B$12, 2, FALSE)</f>
        <v>Cenozoic</v>
      </c>
      <c r="I39" cm="1">
        <f t="array" ref="I39:J39">_xlfn.XLOOKUP(H39, Sheet2!$B$7:$B$12,Sheet2!$C$7:$D$12,,0,1)</f>
        <v>33</v>
      </c>
      <c r="J39">
        <v>33</v>
      </c>
      <c r="K39" t="str">
        <f t="shared" si="0"/>
        <v>Cenozoic kerogen - Australia</v>
      </c>
      <c r="L39">
        <v>1.4</v>
      </c>
      <c r="M39">
        <v>416</v>
      </c>
      <c r="N39">
        <v>45</v>
      </c>
      <c r="O39">
        <v>0.4</v>
      </c>
      <c r="P39">
        <v>70</v>
      </c>
      <c r="Q39">
        <v>0.1</v>
      </c>
      <c r="R39">
        <v>0.2</v>
      </c>
      <c r="S39">
        <v>0.3</v>
      </c>
      <c r="T39">
        <v>1.6</v>
      </c>
      <c r="U39">
        <v>6.8</v>
      </c>
      <c r="V39">
        <v>0.4</v>
      </c>
      <c r="W39">
        <v>0.7</v>
      </c>
      <c r="X39">
        <v>0.4</v>
      </c>
      <c r="Y39">
        <v>0.2</v>
      </c>
      <c r="Z39">
        <v>0.2</v>
      </c>
      <c r="AA39">
        <v>99.2</v>
      </c>
    </row>
    <row r="40" spans="1:27" x14ac:dyDescent="0.3">
      <c r="A40" s="1">
        <v>16474</v>
      </c>
      <c r="B40">
        <v>38</v>
      </c>
      <c r="C40" t="s">
        <v>59</v>
      </c>
      <c r="D40" t="s">
        <v>88</v>
      </c>
      <c r="E40" t="s">
        <v>74</v>
      </c>
      <c r="F40" t="str">
        <f>VLOOKUP(E40, Sheet2!$A$1:$B$4, 2, FALSE)</f>
        <v>mudstone</v>
      </c>
      <c r="G40" t="s">
        <v>77</v>
      </c>
      <c r="H40" t="str">
        <f>VLOOKUP(G40, Sheet2!$A$7:$B$12, 2, FALSE)</f>
        <v>Cretaceous</v>
      </c>
      <c r="I40" cm="1">
        <f t="array" ref="I40:J40">_xlfn.XLOOKUP(H40, Sheet2!$B$7:$B$12,Sheet2!$C$7:$D$12,,0,1)</f>
        <v>105.5</v>
      </c>
      <c r="J40">
        <v>39.5</v>
      </c>
      <c r="K40" t="str">
        <f t="shared" si="0"/>
        <v>Cretaceous kerogen - Australia</v>
      </c>
      <c r="L40">
        <v>1.1399999999999999</v>
      </c>
      <c r="M40">
        <v>434</v>
      </c>
      <c r="N40">
        <v>168</v>
      </c>
      <c r="O40">
        <v>1.7</v>
      </c>
      <c r="P40">
        <v>184</v>
      </c>
      <c r="Q40">
        <v>0.3</v>
      </c>
      <c r="R40">
        <v>2.9</v>
      </c>
      <c r="S40">
        <v>0.4</v>
      </c>
      <c r="T40">
        <v>1.8</v>
      </c>
      <c r="U40">
        <v>3.4</v>
      </c>
      <c r="V40">
        <v>0.7</v>
      </c>
      <c r="W40">
        <v>2.54</v>
      </c>
      <c r="X40">
        <v>2.4</v>
      </c>
      <c r="Y40">
        <v>0.2</v>
      </c>
      <c r="Z40">
        <v>0</v>
      </c>
      <c r="AA40">
        <v>97.4</v>
      </c>
    </row>
    <row r="41" spans="1:27" x14ac:dyDescent="0.3">
      <c r="A41" s="1">
        <v>16475</v>
      </c>
      <c r="B41">
        <v>39</v>
      </c>
      <c r="C41" t="s">
        <v>60</v>
      </c>
      <c r="D41" t="s">
        <v>88</v>
      </c>
      <c r="E41" t="s">
        <v>74</v>
      </c>
      <c r="F41" t="str">
        <f>VLOOKUP(E41, Sheet2!$A$1:$B$4, 2, FALSE)</f>
        <v>mudstone</v>
      </c>
      <c r="G41" t="s">
        <v>77</v>
      </c>
      <c r="H41" t="str">
        <f>VLOOKUP(G41, Sheet2!$A$7:$B$12, 2, FALSE)</f>
        <v>Cretaceous</v>
      </c>
      <c r="I41" cm="1">
        <f t="array" ref="I41:J41">_xlfn.XLOOKUP(H41, Sheet2!$B$7:$B$12,Sheet2!$C$7:$D$12,,0,1)</f>
        <v>105.5</v>
      </c>
      <c r="J41">
        <v>39.5</v>
      </c>
      <c r="K41" t="str">
        <f t="shared" si="0"/>
        <v>Cretaceous kerogen - Australia</v>
      </c>
      <c r="L41">
        <v>1.23</v>
      </c>
      <c r="M41">
        <v>426</v>
      </c>
      <c r="N41">
        <v>285</v>
      </c>
      <c r="O41">
        <v>4.2</v>
      </c>
      <c r="P41">
        <v>377</v>
      </c>
      <c r="Q41">
        <v>3.9</v>
      </c>
      <c r="R41">
        <v>12.1</v>
      </c>
      <c r="S41">
        <v>0.3</v>
      </c>
      <c r="T41">
        <v>0.9</v>
      </c>
      <c r="U41">
        <v>16.100000000000001</v>
      </c>
      <c r="V41">
        <v>2.5</v>
      </c>
      <c r="W41">
        <v>1.85</v>
      </c>
      <c r="X41">
        <v>20.8</v>
      </c>
      <c r="Y41">
        <v>0.4</v>
      </c>
      <c r="Z41">
        <v>0</v>
      </c>
      <c r="AA41">
        <v>78.8</v>
      </c>
    </row>
    <row r="42" spans="1:27" x14ac:dyDescent="0.3">
      <c r="A42" s="1">
        <v>16476</v>
      </c>
      <c r="B42">
        <v>40</v>
      </c>
      <c r="C42" t="s">
        <v>61</v>
      </c>
      <c r="D42" t="s">
        <v>88</v>
      </c>
      <c r="E42" t="s">
        <v>74</v>
      </c>
      <c r="F42" t="str">
        <f>VLOOKUP(E42, Sheet2!$A$1:$B$4, 2, FALSE)</f>
        <v>mudstone</v>
      </c>
      <c r="G42" t="s">
        <v>77</v>
      </c>
      <c r="H42" t="str">
        <f>VLOOKUP(G42, Sheet2!$A$7:$B$12, 2, FALSE)</f>
        <v>Cretaceous</v>
      </c>
      <c r="I42" cm="1">
        <f t="array" ref="I42:J42">_xlfn.XLOOKUP(H42, Sheet2!$B$7:$B$12,Sheet2!$C$7:$D$12,,0,1)</f>
        <v>105.5</v>
      </c>
      <c r="J42">
        <v>39.5</v>
      </c>
      <c r="K42" t="str">
        <f t="shared" si="0"/>
        <v>Cretaceous kerogen - Australia</v>
      </c>
      <c r="L42">
        <v>0.9</v>
      </c>
      <c r="M42">
        <v>433</v>
      </c>
      <c r="N42">
        <v>173</v>
      </c>
      <c r="O42">
        <v>1.8</v>
      </c>
      <c r="P42">
        <v>187</v>
      </c>
      <c r="Q42">
        <v>0.3</v>
      </c>
      <c r="R42">
        <v>3.2</v>
      </c>
      <c r="S42">
        <v>0.4</v>
      </c>
      <c r="T42">
        <v>1.9</v>
      </c>
      <c r="U42">
        <v>2.6</v>
      </c>
      <c r="V42">
        <v>0.9</v>
      </c>
      <c r="W42">
        <v>3.92</v>
      </c>
      <c r="X42">
        <v>1.6</v>
      </c>
      <c r="Y42">
        <v>0.8</v>
      </c>
      <c r="Z42">
        <v>0</v>
      </c>
      <c r="AA42">
        <v>97.6</v>
      </c>
    </row>
    <row r="43" spans="1:27" x14ac:dyDescent="0.3">
      <c r="A43" s="1">
        <v>16477</v>
      </c>
      <c r="B43">
        <v>41</v>
      </c>
      <c r="C43" t="s">
        <v>62</v>
      </c>
      <c r="D43" t="s">
        <v>88</v>
      </c>
      <c r="E43" t="s">
        <v>74</v>
      </c>
      <c r="F43" t="str">
        <f>VLOOKUP(E43, Sheet2!$A$1:$B$4, 2, FALSE)</f>
        <v>mudstone</v>
      </c>
      <c r="G43" t="s">
        <v>77</v>
      </c>
      <c r="H43" t="str">
        <f>VLOOKUP(G43, Sheet2!$A$7:$B$12, 2, FALSE)</f>
        <v>Cretaceous</v>
      </c>
      <c r="I43" cm="1">
        <f t="array" ref="I43:J43">_xlfn.XLOOKUP(H43, Sheet2!$B$7:$B$12,Sheet2!$C$7:$D$12,,0,1)</f>
        <v>105.5</v>
      </c>
      <c r="J43">
        <v>39.5</v>
      </c>
      <c r="K43" t="str">
        <f t="shared" si="0"/>
        <v>Cretaceous kerogen - Australia</v>
      </c>
      <c r="L43">
        <v>0.99</v>
      </c>
      <c r="M43">
        <v>432</v>
      </c>
      <c r="N43">
        <v>122</v>
      </c>
      <c r="O43">
        <v>2</v>
      </c>
      <c r="P43">
        <v>135</v>
      </c>
      <c r="Q43">
        <v>0.3</v>
      </c>
      <c r="R43">
        <v>2.5</v>
      </c>
      <c r="S43">
        <v>0.4</v>
      </c>
      <c r="T43">
        <v>2.1</v>
      </c>
      <c r="U43">
        <v>2.9</v>
      </c>
      <c r="V43">
        <v>0.9</v>
      </c>
      <c r="W43">
        <v>3.88</v>
      </c>
      <c r="X43">
        <v>2.2000000000000002</v>
      </c>
      <c r="Y43">
        <v>7</v>
      </c>
      <c r="Z43">
        <v>0</v>
      </c>
      <c r="AA43">
        <v>90.8</v>
      </c>
    </row>
    <row r="44" spans="1:27" x14ac:dyDescent="0.3">
      <c r="A44" s="1">
        <v>16478</v>
      </c>
      <c r="B44">
        <v>42</v>
      </c>
      <c r="C44" t="s">
        <v>63</v>
      </c>
      <c r="D44" t="s">
        <v>88</v>
      </c>
      <c r="E44" t="s">
        <v>74</v>
      </c>
      <c r="F44" t="str">
        <f>VLOOKUP(E44, Sheet2!$A$1:$B$4, 2, FALSE)</f>
        <v>mudstone</v>
      </c>
      <c r="G44" t="s">
        <v>76</v>
      </c>
      <c r="H44" t="str">
        <f>VLOOKUP(G44, Sheet2!$A$7:$B$12, 2, FALSE)</f>
        <v>Jurassic</v>
      </c>
      <c r="I44" cm="1">
        <f t="array" ref="I44:J44">_xlfn.XLOOKUP(H44, Sheet2!$B$7:$B$12,Sheet2!$C$7:$D$12,,0,1)</f>
        <v>173.2</v>
      </c>
      <c r="J44">
        <v>28.199999999999989</v>
      </c>
      <c r="K44" t="str">
        <f t="shared" si="0"/>
        <v>Jurassic kerogen - Australia</v>
      </c>
      <c r="L44">
        <v>0.86</v>
      </c>
      <c r="M44">
        <v>433</v>
      </c>
      <c r="N44">
        <v>178</v>
      </c>
      <c r="O44">
        <v>2.1</v>
      </c>
      <c r="P44">
        <v>192</v>
      </c>
      <c r="Q44">
        <v>0.3</v>
      </c>
      <c r="R44">
        <v>3.7</v>
      </c>
      <c r="S44">
        <v>0.3</v>
      </c>
      <c r="T44">
        <v>1.6</v>
      </c>
      <c r="U44">
        <v>3.1</v>
      </c>
      <c r="V44">
        <v>0.8</v>
      </c>
      <c r="W44">
        <v>3.03</v>
      </c>
      <c r="X44">
        <v>1</v>
      </c>
      <c r="Y44">
        <v>2.4</v>
      </c>
      <c r="Z44">
        <v>0</v>
      </c>
      <c r="AA44">
        <v>96.6</v>
      </c>
    </row>
    <row r="45" spans="1:27" x14ac:dyDescent="0.3">
      <c r="A45" s="1">
        <v>16479</v>
      </c>
      <c r="B45">
        <v>43</v>
      </c>
      <c r="C45" t="s">
        <v>64</v>
      </c>
      <c r="D45" t="s">
        <v>88</v>
      </c>
      <c r="E45" t="s">
        <v>74</v>
      </c>
      <c r="F45" t="str">
        <f>VLOOKUP(E45, Sheet2!$A$1:$B$4, 2, FALSE)</f>
        <v>mudstone</v>
      </c>
      <c r="G45" t="s">
        <v>76</v>
      </c>
      <c r="H45" t="str">
        <f>VLOOKUP(G45, Sheet2!$A$7:$B$12, 2, FALSE)</f>
        <v>Jurassic</v>
      </c>
      <c r="I45" cm="1">
        <f t="array" ref="I45:J45">_xlfn.XLOOKUP(H45, Sheet2!$B$7:$B$12,Sheet2!$C$7:$D$12,,0,1)</f>
        <v>173.2</v>
      </c>
      <c r="J45">
        <v>28.199999999999989</v>
      </c>
      <c r="K45" t="str">
        <f t="shared" si="0"/>
        <v>Jurassic kerogen - Australia</v>
      </c>
      <c r="L45">
        <v>1.02</v>
      </c>
      <c r="M45">
        <v>433</v>
      </c>
      <c r="N45">
        <v>199</v>
      </c>
      <c r="O45">
        <v>1.9</v>
      </c>
      <c r="P45">
        <v>213</v>
      </c>
      <c r="Q45">
        <v>0.3</v>
      </c>
      <c r="R45">
        <v>3.8</v>
      </c>
      <c r="S45">
        <v>0.4</v>
      </c>
      <c r="T45">
        <v>2.2000000000000002</v>
      </c>
      <c r="U45">
        <v>3.8</v>
      </c>
      <c r="V45">
        <v>0.7</v>
      </c>
      <c r="W45">
        <v>2.11</v>
      </c>
      <c r="X45">
        <v>1.8</v>
      </c>
      <c r="Y45">
        <v>1.8</v>
      </c>
      <c r="Z45">
        <v>0</v>
      </c>
      <c r="AA45">
        <v>96.4</v>
      </c>
    </row>
    <row r="46" spans="1:27" x14ac:dyDescent="0.3">
      <c r="A46" s="1">
        <v>16480</v>
      </c>
      <c r="B46">
        <v>44</v>
      </c>
      <c r="C46" t="s">
        <v>65</v>
      </c>
      <c r="D46" t="s">
        <v>88</v>
      </c>
      <c r="E46" t="s">
        <v>74</v>
      </c>
      <c r="F46" t="str">
        <f>VLOOKUP(E46, Sheet2!$A$1:$B$4, 2, FALSE)</f>
        <v>mudstone</v>
      </c>
      <c r="G46" t="s">
        <v>76</v>
      </c>
      <c r="H46" t="str">
        <f>VLOOKUP(G46, Sheet2!$A$7:$B$12, 2, FALSE)</f>
        <v>Jurassic</v>
      </c>
      <c r="I46" cm="1">
        <f t="array" ref="I46:J46">_xlfn.XLOOKUP(H46, Sheet2!$B$7:$B$12,Sheet2!$C$7:$D$12,,0,1)</f>
        <v>173.2</v>
      </c>
      <c r="J46">
        <v>28.199999999999989</v>
      </c>
      <c r="K46" t="str">
        <f t="shared" si="0"/>
        <v>Jurassic kerogen - Australia</v>
      </c>
      <c r="L46">
        <v>0.77</v>
      </c>
      <c r="M46">
        <v>434</v>
      </c>
      <c r="N46">
        <v>167</v>
      </c>
      <c r="O46">
        <v>1.7</v>
      </c>
      <c r="P46">
        <v>182</v>
      </c>
      <c r="Q46">
        <v>0.3</v>
      </c>
      <c r="R46">
        <v>2.9</v>
      </c>
      <c r="S46">
        <v>0.4</v>
      </c>
      <c r="T46">
        <v>1.9</v>
      </c>
      <c r="U46">
        <v>3.1</v>
      </c>
      <c r="V46">
        <v>0.4</v>
      </c>
      <c r="W46">
        <v>1.52</v>
      </c>
      <c r="X46">
        <v>1.6</v>
      </c>
      <c r="Y46">
        <v>0.6</v>
      </c>
      <c r="Z46">
        <v>0</v>
      </c>
      <c r="AA46">
        <v>97.8</v>
      </c>
    </row>
    <row r="47" spans="1:27" x14ac:dyDescent="0.3">
      <c r="A47" s="1">
        <v>16481</v>
      </c>
      <c r="B47">
        <v>45</v>
      </c>
      <c r="C47" t="s">
        <v>66</v>
      </c>
      <c r="D47" t="s">
        <v>88</v>
      </c>
      <c r="E47" t="s">
        <v>74</v>
      </c>
      <c r="F47" t="str">
        <f>VLOOKUP(E47, Sheet2!$A$1:$B$4, 2, FALSE)</f>
        <v>mudstone</v>
      </c>
      <c r="G47" t="s">
        <v>76</v>
      </c>
      <c r="H47" t="str">
        <f>VLOOKUP(G47, Sheet2!$A$7:$B$12, 2, FALSE)</f>
        <v>Jurassic</v>
      </c>
      <c r="I47" cm="1">
        <f t="array" ref="I47:J47">_xlfn.XLOOKUP(H47, Sheet2!$B$7:$B$12,Sheet2!$C$7:$D$12,,0,1)</f>
        <v>173.2</v>
      </c>
      <c r="J47">
        <v>28.199999999999989</v>
      </c>
      <c r="K47" t="str">
        <f t="shared" si="0"/>
        <v>Jurassic kerogen - Australia</v>
      </c>
      <c r="L47">
        <v>0.86</v>
      </c>
      <c r="M47">
        <v>426</v>
      </c>
      <c r="N47">
        <v>220</v>
      </c>
      <c r="O47">
        <v>3.8</v>
      </c>
      <c r="P47">
        <v>282</v>
      </c>
      <c r="Q47">
        <v>2.2999999999999998</v>
      </c>
      <c r="R47">
        <v>8.3000000000000007</v>
      </c>
      <c r="S47">
        <v>0.4</v>
      </c>
      <c r="T47">
        <v>1.5</v>
      </c>
      <c r="U47">
        <v>9.1999999999999993</v>
      </c>
      <c r="V47">
        <v>1.1000000000000001</v>
      </c>
      <c r="W47">
        <v>1.48</v>
      </c>
      <c r="X47">
        <v>18.8</v>
      </c>
      <c r="Y47">
        <v>0.4</v>
      </c>
      <c r="Z47">
        <v>0</v>
      </c>
      <c r="AA47">
        <v>80.8</v>
      </c>
    </row>
    <row r="48" spans="1:27" x14ac:dyDescent="0.3">
      <c r="A48" s="1">
        <v>16482</v>
      </c>
      <c r="B48">
        <v>46</v>
      </c>
      <c r="C48" t="s">
        <v>67</v>
      </c>
      <c r="D48" t="s">
        <v>88</v>
      </c>
      <c r="E48" t="s">
        <v>74</v>
      </c>
      <c r="F48" t="str">
        <f>VLOOKUP(E48, Sheet2!$A$1:$B$4, 2, FALSE)</f>
        <v>mudstone</v>
      </c>
      <c r="G48" t="s">
        <v>76</v>
      </c>
      <c r="H48" t="str">
        <f>VLOOKUP(G48, Sheet2!$A$7:$B$12, 2, FALSE)</f>
        <v>Jurassic</v>
      </c>
      <c r="I48" cm="1">
        <f t="array" ref="I48:J48">_xlfn.XLOOKUP(H48, Sheet2!$B$7:$B$12,Sheet2!$C$7:$D$12,,0,1)</f>
        <v>173.2</v>
      </c>
      <c r="J48">
        <v>28.199999999999989</v>
      </c>
      <c r="K48" t="str">
        <f t="shared" si="0"/>
        <v>Jurassic kerogen - Australia</v>
      </c>
      <c r="L48">
        <v>0.78</v>
      </c>
      <c r="M48">
        <v>436</v>
      </c>
      <c r="N48">
        <v>249</v>
      </c>
      <c r="O48">
        <v>2.5</v>
      </c>
      <c r="P48">
        <v>263</v>
      </c>
      <c r="Q48">
        <v>0.4</v>
      </c>
      <c r="R48">
        <v>6.3</v>
      </c>
      <c r="S48">
        <v>0.4</v>
      </c>
      <c r="T48">
        <v>4.3</v>
      </c>
      <c r="U48">
        <v>7.9</v>
      </c>
      <c r="V48">
        <v>1.5</v>
      </c>
      <c r="W48">
        <v>2.23</v>
      </c>
      <c r="X48">
        <v>19.2</v>
      </c>
      <c r="Y48">
        <v>0.4</v>
      </c>
      <c r="Z48">
        <v>0</v>
      </c>
      <c r="AA48">
        <v>80.400000000000006</v>
      </c>
    </row>
    <row r="49" spans="1:27" x14ac:dyDescent="0.3">
      <c r="A49" s="1">
        <v>16483</v>
      </c>
      <c r="B49">
        <v>47</v>
      </c>
      <c r="C49" t="s">
        <v>68</v>
      </c>
      <c r="D49" t="s">
        <v>88</v>
      </c>
      <c r="E49" t="s">
        <v>74</v>
      </c>
      <c r="F49" t="str">
        <f>VLOOKUP(E49, Sheet2!$A$1:$B$4, 2, FALSE)</f>
        <v>mudstone</v>
      </c>
      <c r="G49" t="s">
        <v>78</v>
      </c>
      <c r="H49" t="str">
        <f>VLOOKUP(G49, Sheet2!$A$7:$B$12, 2, FALSE)</f>
        <v>Triassic</v>
      </c>
      <c r="I49" cm="1">
        <f t="array" ref="I49:J49">_xlfn.XLOOKUP(H49, Sheet2!$B$7:$B$12,Sheet2!$C$7:$D$12,,0,1)</f>
        <v>226.60000000000002</v>
      </c>
      <c r="J49">
        <v>25.300000000000011</v>
      </c>
      <c r="K49" t="str">
        <f t="shared" si="0"/>
        <v>Triassic kerogen - Australia</v>
      </c>
      <c r="L49">
        <v>0.79</v>
      </c>
      <c r="M49">
        <v>332</v>
      </c>
      <c r="N49">
        <v>315</v>
      </c>
      <c r="O49">
        <v>4.2</v>
      </c>
      <c r="P49">
        <v>516</v>
      </c>
      <c r="Q49">
        <v>6.3</v>
      </c>
      <c r="R49">
        <v>13.1</v>
      </c>
      <c r="S49">
        <v>0.2</v>
      </c>
      <c r="T49">
        <v>5.4</v>
      </c>
      <c r="U49">
        <v>1.4</v>
      </c>
      <c r="V49">
        <v>0.3</v>
      </c>
      <c r="W49">
        <v>2.77</v>
      </c>
      <c r="X49">
        <v>2.2000000000000002</v>
      </c>
      <c r="Y49">
        <v>1.4</v>
      </c>
      <c r="Z49">
        <v>0</v>
      </c>
      <c r="AA49">
        <v>96.4</v>
      </c>
    </row>
    <row r="50" spans="1:27" x14ac:dyDescent="0.3">
      <c r="A50" s="1">
        <v>16484</v>
      </c>
      <c r="B50">
        <v>48</v>
      </c>
      <c r="C50" t="s">
        <v>69</v>
      </c>
      <c r="D50" t="s">
        <v>88</v>
      </c>
      <c r="E50" t="s">
        <v>74</v>
      </c>
      <c r="F50" t="str">
        <f>VLOOKUP(E50, Sheet2!$A$1:$B$4, 2, FALSE)</f>
        <v>mudstone</v>
      </c>
      <c r="G50" t="s">
        <v>73</v>
      </c>
      <c r="H50" t="str">
        <f>VLOOKUP(G50, Sheet2!$A$7:$B$12, 2, FALSE)</f>
        <v>Permian</v>
      </c>
      <c r="I50" cm="1">
        <f t="array" ref="I50:J50">_xlfn.XLOOKUP(H50, Sheet2!$B$7:$B$12,Sheet2!$C$7:$D$12,,0,1)</f>
        <v>275.39999999999998</v>
      </c>
      <c r="J50">
        <v>23.499999999999972</v>
      </c>
      <c r="K50" t="str">
        <f t="shared" si="0"/>
        <v>Permian kerogen - Australia</v>
      </c>
      <c r="L50">
        <v>1.08</v>
      </c>
      <c r="M50">
        <v>433</v>
      </c>
      <c r="N50">
        <v>14</v>
      </c>
      <c r="O50">
        <v>18.3</v>
      </c>
      <c r="P50">
        <v>16</v>
      </c>
      <c r="Q50">
        <v>0.2</v>
      </c>
      <c r="R50">
        <v>2.6</v>
      </c>
      <c r="S50">
        <v>0.3</v>
      </c>
      <c r="T50">
        <v>5.0999999999999996</v>
      </c>
      <c r="U50">
        <v>4</v>
      </c>
      <c r="V50">
        <v>0.6</v>
      </c>
      <c r="W50">
        <v>1.94</v>
      </c>
      <c r="X50">
        <v>61.4</v>
      </c>
      <c r="Y50">
        <v>0.6</v>
      </c>
      <c r="Z50">
        <v>0</v>
      </c>
      <c r="AA50">
        <v>38</v>
      </c>
    </row>
    <row r="51" spans="1:27" x14ac:dyDescent="0.3">
      <c r="A51" s="1">
        <v>16485</v>
      </c>
      <c r="B51">
        <v>49</v>
      </c>
      <c r="C51" t="s">
        <v>70</v>
      </c>
      <c r="D51" t="s">
        <v>88</v>
      </c>
      <c r="E51" t="s">
        <v>74</v>
      </c>
      <c r="F51" t="str">
        <f>VLOOKUP(E51, Sheet2!$A$1:$B$4, 2, FALSE)</f>
        <v>mudstone</v>
      </c>
      <c r="G51" t="s">
        <v>73</v>
      </c>
      <c r="H51" t="str">
        <f>VLOOKUP(G51, Sheet2!$A$7:$B$12, 2, FALSE)</f>
        <v>Permian</v>
      </c>
      <c r="I51" cm="1">
        <f t="array" ref="I51:J51">_xlfn.XLOOKUP(H51, Sheet2!$B$7:$B$12,Sheet2!$C$7:$D$12,,0,1)</f>
        <v>275.39999999999998</v>
      </c>
      <c r="J51">
        <v>23.499999999999972</v>
      </c>
      <c r="K51" t="str">
        <f t="shared" si="0"/>
        <v>Permian kerogen - Australia</v>
      </c>
      <c r="L51">
        <v>0.84</v>
      </c>
      <c r="M51">
        <v>432</v>
      </c>
      <c r="N51">
        <v>50</v>
      </c>
      <c r="O51">
        <v>2</v>
      </c>
      <c r="P51">
        <v>59</v>
      </c>
      <c r="Q51">
        <v>0.2</v>
      </c>
      <c r="R51">
        <v>1</v>
      </c>
      <c r="S51">
        <v>0.4</v>
      </c>
      <c r="T51">
        <v>1.5</v>
      </c>
      <c r="U51">
        <v>3.6</v>
      </c>
      <c r="V51">
        <v>0.5</v>
      </c>
      <c r="W51">
        <v>1.75</v>
      </c>
      <c r="X51">
        <v>4.5999999999999996</v>
      </c>
      <c r="Y51">
        <v>1</v>
      </c>
      <c r="Z51">
        <v>0.2</v>
      </c>
      <c r="AA51">
        <v>94.2</v>
      </c>
    </row>
    <row r="52" spans="1:27" x14ac:dyDescent="0.3">
      <c r="A52" s="1">
        <v>16486</v>
      </c>
      <c r="B52">
        <v>50</v>
      </c>
      <c r="C52" t="s">
        <v>71</v>
      </c>
      <c r="D52" t="s">
        <v>88</v>
      </c>
      <c r="E52" t="s">
        <v>74</v>
      </c>
      <c r="F52" t="str">
        <f>VLOOKUP(E52, Sheet2!$A$1:$B$4, 2, FALSE)</f>
        <v>mudstone</v>
      </c>
      <c r="G52" t="s">
        <v>73</v>
      </c>
      <c r="H52" t="str">
        <f>VLOOKUP(G52, Sheet2!$A$7:$B$12, 2, FALSE)</f>
        <v>Permian</v>
      </c>
      <c r="I52" cm="1">
        <f t="array" ref="I52:J52">_xlfn.XLOOKUP(H52, Sheet2!$B$7:$B$12,Sheet2!$C$7:$D$12,,0,1)</f>
        <v>275.39999999999998</v>
      </c>
      <c r="J52">
        <v>23.499999999999972</v>
      </c>
      <c r="K52" t="str">
        <f t="shared" si="0"/>
        <v>Permian kerogen - Australia</v>
      </c>
      <c r="L52">
        <v>0.79</v>
      </c>
      <c r="M52">
        <v>328</v>
      </c>
      <c r="N52">
        <v>220</v>
      </c>
      <c r="O52">
        <v>14.2</v>
      </c>
      <c r="P52">
        <v>504</v>
      </c>
      <c r="Q52">
        <v>20.399999999999999</v>
      </c>
      <c r="R52">
        <v>31.3</v>
      </c>
      <c r="S52">
        <v>0.3</v>
      </c>
      <c r="T52">
        <v>2.7</v>
      </c>
      <c r="U52">
        <v>3.6</v>
      </c>
      <c r="V52">
        <v>0.4</v>
      </c>
      <c r="W52">
        <v>1.29</v>
      </c>
      <c r="X52">
        <v>5.6</v>
      </c>
      <c r="Y52">
        <v>1.2</v>
      </c>
      <c r="Z52">
        <v>0.8</v>
      </c>
      <c r="AA52">
        <v>92.4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6F50-4372-483F-A59B-68CE9796ED34}">
  <dimension ref="A1:E12"/>
  <sheetViews>
    <sheetView workbookViewId="0">
      <selection activeCell="L1" sqref="L1:N10"/>
    </sheetView>
  </sheetViews>
  <sheetFormatPr defaultRowHeight="14.4" x14ac:dyDescent="0.3"/>
  <sheetData>
    <row r="1" spans="1:5" x14ac:dyDescent="0.3">
      <c r="A1" t="s">
        <v>11</v>
      </c>
      <c r="B1" t="s">
        <v>81</v>
      </c>
    </row>
    <row r="2" spans="1:5" x14ac:dyDescent="0.3">
      <c r="A2" t="s">
        <v>9</v>
      </c>
      <c r="B2" t="s">
        <v>82</v>
      </c>
    </row>
    <row r="3" spans="1:5" x14ac:dyDescent="0.3">
      <c r="A3" t="s">
        <v>10</v>
      </c>
      <c r="B3" t="s">
        <v>83</v>
      </c>
    </row>
    <row r="4" spans="1:5" x14ac:dyDescent="0.3">
      <c r="A4" t="s">
        <v>74</v>
      </c>
      <c r="B4" t="s">
        <v>84</v>
      </c>
    </row>
    <row r="6" spans="1:5" x14ac:dyDescent="0.3">
      <c r="A6" t="s">
        <v>100</v>
      </c>
      <c r="B6" t="s">
        <v>101</v>
      </c>
      <c r="C6" t="s">
        <v>80</v>
      </c>
      <c r="D6" t="s">
        <v>102</v>
      </c>
    </row>
    <row r="7" spans="1:5" x14ac:dyDescent="0.3">
      <c r="A7" t="s">
        <v>72</v>
      </c>
      <c r="B7" t="s">
        <v>93</v>
      </c>
      <c r="C7">
        <f>AVERAGE(66,0)</f>
        <v>33</v>
      </c>
      <c r="D7">
        <f>66-C7</f>
        <v>33</v>
      </c>
      <c r="E7" t="s">
        <v>103</v>
      </c>
    </row>
    <row r="8" spans="1:5" x14ac:dyDescent="0.3">
      <c r="A8" t="s">
        <v>73</v>
      </c>
      <c r="B8" t="s">
        <v>94</v>
      </c>
      <c r="C8">
        <f>ROUND(AVERAGE(298.8,251.9), 1)</f>
        <v>275.39999999999998</v>
      </c>
      <c r="D8">
        <f>C8-251.9</f>
        <v>23.499999999999972</v>
      </c>
    </row>
    <row r="9" spans="1:5" x14ac:dyDescent="0.3">
      <c r="A9" t="s">
        <v>75</v>
      </c>
      <c r="B9" t="s">
        <v>95</v>
      </c>
      <c r="C9">
        <f>AVERAGE(358.9,298.9)</f>
        <v>328.9</v>
      </c>
      <c r="D9">
        <f>C9-298.9</f>
        <v>30</v>
      </c>
    </row>
    <row r="10" spans="1:5" x14ac:dyDescent="0.3">
      <c r="A10" t="s">
        <v>76</v>
      </c>
      <c r="B10" t="s">
        <v>96</v>
      </c>
      <c r="C10">
        <f>ROUND(AVERAGE(201.3,145), 1)</f>
        <v>173.2</v>
      </c>
      <c r="D10">
        <f>C10-145</f>
        <v>28.199999999999989</v>
      </c>
    </row>
    <row r="11" spans="1:5" x14ac:dyDescent="0.3">
      <c r="A11" t="s">
        <v>77</v>
      </c>
      <c r="B11" t="s">
        <v>97</v>
      </c>
      <c r="C11">
        <f>AVERAGE(145,66)</f>
        <v>105.5</v>
      </c>
      <c r="D11">
        <f>C11-66</f>
        <v>39.5</v>
      </c>
    </row>
    <row r="12" spans="1:5" x14ac:dyDescent="0.3">
      <c r="A12" t="s">
        <v>78</v>
      </c>
      <c r="B12" t="s">
        <v>98</v>
      </c>
      <c r="C12">
        <f>AVERAGE(251.9,201.3)</f>
        <v>226.60000000000002</v>
      </c>
      <c r="D12">
        <f>C12-201.3</f>
        <v>25.300000000000011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2023-01-19T04:29:31Z</dcterms:created>
  <dcterms:modified xsi:type="dcterms:W3CDTF">2023-01-19T04:58:59Z</dcterms:modified>
</cp:coreProperties>
</file>