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esktop\3620\Quizzes\"/>
    </mc:Choice>
  </mc:AlternateContent>
  <xr:revisionPtr revIDLastSave="0" documentId="13_ncr:1_{13E61DA1-EFC2-4867-A9D8-F17E263BD429}" xr6:coauthVersionLast="36" xr6:coauthVersionMax="36" xr10:uidLastSave="{00000000-0000-0000-0000-000000000000}"/>
  <bookViews>
    <workbookView xWindow="0" yWindow="0" windowWidth="28800" windowHeight="12225" activeTab="6" xr2:uid="{E65C0530-7A76-4299-804D-8365C5750414}"/>
  </bookViews>
  <sheets>
    <sheet name="CN Microwave" sheetId="11" r:id="rId1"/>
    <sheet name="CN Birge-Sponer" sheetId="12" r:id="rId2"/>
    <sheet name="CN IR" sheetId="13" r:id="rId3"/>
    <sheet name="CN Raman" sheetId="14" r:id="rId4"/>
    <sheet name="CO Microwave" sheetId="7" r:id="rId5"/>
    <sheet name="CO Birge-Sponer" sheetId="9" r:id="rId6"/>
    <sheet name="CO IR" sheetId="5" r:id="rId7"/>
    <sheet name="CO Raman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5" l="1"/>
  <c r="F27" i="5"/>
  <c r="B27" i="5"/>
  <c r="C23" i="5"/>
  <c r="C25" i="5"/>
  <c r="N12" i="5"/>
  <c r="C26" i="5"/>
  <c r="T9" i="9" l="1"/>
  <c r="G19" i="9"/>
  <c r="S9" i="12"/>
  <c r="F18" i="12"/>
  <c r="T8" i="9"/>
  <c r="G18" i="9"/>
  <c r="S8" i="12"/>
  <c r="F17" i="12"/>
  <c r="D34" i="13" l="1"/>
  <c r="D33" i="13"/>
  <c r="D30" i="13"/>
  <c r="D29" i="13"/>
  <c r="L7" i="13"/>
  <c r="P7" i="13" s="1"/>
  <c r="P8" i="13" s="1"/>
  <c r="L5" i="13"/>
  <c r="L3" i="13"/>
  <c r="E53" i="13"/>
  <c r="F52" i="13"/>
  <c r="E52" i="13"/>
  <c r="G50" i="13" s="1"/>
  <c r="F51" i="13"/>
  <c r="H49" i="13" s="1"/>
  <c r="E51" i="13"/>
  <c r="G49" i="13" s="1"/>
  <c r="H50" i="13"/>
  <c r="F50" i="13"/>
  <c r="H48" i="13" s="1"/>
  <c r="E50" i="13"/>
  <c r="F49" i="13"/>
  <c r="H47" i="13" s="1"/>
  <c r="E49" i="13"/>
  <c r="G47" i="13" s="1"/>
  <c r="G48" i="13"/>
  <c r="F48" i="13"/>
  <c r="H46" i="13" s="1"/>
  <c r="E48" i="13"/>
  <c r="G46" i="13" s="1"/>
  <c r="F47" i="13"/>
  <c r="E47" i="13"/>
  <c r="F46" i="13"/>
  <c r="H44" i="13" s="1"/>
  <c r="E46" i="13"/>
  <c r="G44" i="13" s="1"/>
  <c r="H45" i="13"/>
  <c r="G45" i="13"/>
  <c r="F45" i="13"/>
  <c r="H43" i="13" s="1"/>
  <c r="E45" i="13"/>
  <c r="G43" i="13" s="1"/>
  <c r="F44" i="13"/>
  <c r="H42" i="13" s="1"/>
  <c r="E44" i="13"/>
  <c r="F43" i="13"/>
  <c r="H41" i="13" s="1"/>
  <c r="E43" i="13"/>
  <c r="G41" i="13" s="1"/>
  <c r="G42" i="13"/>
  <c r="F42" i="13"/>
  <c r="H40" i="13" s="1"/>
  <c r="E42" i="13"/>
  <c r="G40" i="13" s="1"/>
  <c r="F41" i="13"/>
  <c r="H39" i="13" s="1"/>
  <c r="E41" i="13"/>
  <c r="F40" i="13"/>
  <c r="H38" i="13" s="1"/>
  <c r="E40" i="13"/>
  <c r="G38" i="13" s="1"/>
  <c r="G39" i="13"/>
  <c r="F39" i="13"/>
  <c r="H37" i="13" s="1"/>
  <c r="E39" i="13"/>
  <c r="G37" i="13" s="1"/>
  <c r="F38" i="13"/>
  <c r="E38" i="13"/>
  <c r="F37" i="13"/>
  <c r="H35" i="13" s="1"/>
  <c r="E37" i="13"/>
  <c r="G35" i="13" s="1"/>
  <c r="H36" i="13"/>
  <c r="G36" i="13"/>
  <c r="F36" i="13"/>
  <c r="H34" i="13" s="1"/>
  <c r="E36" i="13"/>
  <c r="G34" i="13" s="1"/>
  <c r="F35" i="13"/>
  <c r="H33" i="13" s="1"/>
  <c r="E35" i="13"/>
  <c r="F34" i="13"/>
  <c r="H32" i="13" s="1"/>
  <c r="E34" i="13"/>
  <c r="G32" i="13" s="1"/>
  <c r="G33" i="13"/>
  <c r="F33" i="13"/>
  <c r="H31" i="13" s="1"/>
  <c r="E33" i="13"/>
  <c r="G31" i="13" s="1"/>
  <c r="F32" i="13"/>
  <c r="H30" i="13" s="1"/>
  <c r="E32" i="13"/>
  <c r="F31" i="13"/>
  <c r="H29" i="13" s="1"/>
  <c r="E31" i="13"/>
  <c r="G30" i="13"/>
  <c r="F30" i="13"/>
  <c r="H28" i="13" s="1"/>
  <c r="E30" i="13"/>
  <c r="G29" i="13"/>
  <c r="F29" i="13"/>
  <c r="H27" i="13" s="1"/>
  <c r="E29" i="13"/>
  <c r="G27" i="13" s="1"/>
  <c r="G28" i="13"/>
  <c r="F28" i="13"/>
  <c r="H26" i="13" s="1"/>
  <c r="E28" i="13"/>
  <c r="G26" i="13" s="1"/>
  <c r="E26" i="13"/>
  <c r="G25" i="13"/>
  <c r="F25" i="13"/>
  <c r="H25" i="13" s="1"/>
  <c r="E25" i="13"/>
  <c r="G24" i="13"/>
  <c r="F24" i="13"/>
  <c r="H24" i="13" s="1"/>
  <c r="E24" i="13"/>
  <c r="F23" i="13"/>
  <c r="H23" i="13" s="1"/>
  <c r="E23" i="13"/>
  <c r="G23" i="13" s="1"/>
  <c r="G22" i="13"/>
  <c r="F22" i="13"/>
  <c r="H22" i="13" s="1"/>
  <c r="E22" i="13"/>
  <c r="G21" i="13"/>
  <c r="F21" i="13"/>
  <c r="H21" i="13" s="1"/>
  <c r="E21" i="13"/>
  <c r="F20" i="13"/>
  <c r="H20" i="13" s="1"/>
  <c r="E20" i="13"/>
  <c r="G20" i="13" s="1"/>
  <c r="F19" i="13"/>
  <c r="H19" i="13" s="1"/>
  <c r="E19" i="13"/>
  <c r="G19" i="13" s="1"/>
  <c r="G18" i="13"/>
  <c r="F18" i="13"/>
  <c r="H18" i="13" s="1"/>
  <c r="E18" i="13"/>
  <c r="F17" i="13"/>
  <c r="H17" i="13" s="1"/>
  <c r="E17" i="13"/>
  <c r="G17" i="13" s="1"/>
  <c r="F16" i="13"/>
  <c r="H16" i="13" s="1"/>
  <c r="E16" i="13"/>
  <c r="G16" i="13" s="1"/>
  <c r="G15" i="13"/>
  <c r="F15" i="13"/>
  <c r="H15" i="13" s="1"/>
  <c r="E15" i="13"/>
  <c r="G14" i="13"/>
  <c r="F14" i="13"/>
  <c r="H14" i="13" s="1"/>
  <c r="E14" i="13"/>
  <c r="G13" i="13"/>
  <c r="F13" i="13"/>
  <c r="H13" i="13" s="1"/>
  <c r="E13" i="13"/>
  <c r="F12" i="13"/>
  <c r="H12" i="13" s="1"/>
  <c r="E12" i="13"/>
  <c r="G12" i="13" s="1"/>
  <c r="F11" i="13"/>
  <c r="H11" i="13" s="1"/>
  <c r="E11" i="13"/>
  <c r="G11" i="13" s="1"/>
  <c r="H10" i="13"/>
  <c r="G10" i="13"/>
  <c r="F10" i="13"/>
  <c r="E10" i="13"/>
  <c r="F9" i="13"/>
  <c r="H9" i="13" s="1"/>
  <c r="E9" i="13"/>
  <c r="G9" i="13" s="1"/>
  <c r="G8" i="13"/>
  <c r="F8" i="13"/>
  <c r="H8" i="13" s="1"/>
  <c r="E8" i="13"/>
  <c r="F7" i="13"/>
  <c r="H7" i="13" s="1"/>
  <c r="E7" i="13"/>
  <c r="G7" i="13" s="1"/>
  <c r="F6" i="13"/>
  <c r="H6" i="13" s="1"/>
  <c r="E6" i="13"/>
  <c r="G6" i="13" s="1"/>
  <c r="G5" i="13"/>
  <c r="F5" i="13"/>
  <c r="H5" i="13" s="1"/>
  <c r="E5" i="13"/>
  <c r="H4" i="13"/>
  <c r="F4" i="13"/>
  <c r="E4" i="13"/>
  <c r="G4" i="13" s="1"/>
  <c r="F3" i="13"/>
  <c r="H3" i="13" s="1"/>
  <c r="E3" i="13"/>
  <c r="G3" i="13" s="1"/>
  <c r="G2" i="13"/>
  <c r="F2" i="13"/>
  <c r="H2" i="13" s="1"/>
  <c r="E2" i="13"/>
  <c r="J13" i="5" a="1"/>
  <c r="J13" i="5" s="1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H26" i="5"/>
  <c r="G26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H2" i="5"/>
  <c r="G2" i="5"/>
  <c r="H5" i="12"/>
  <c r="H7" i="12"/>
  <c r="L7" i="12" s="1"/>
  <c r="L8" i="12" s="1"/>
  <c r="H3" i="12"/>
  <c r="C6" i="12"/>
  <c r="P4" i="12" s="1"/>
  <c r="B6" i="12"/>
  <c r="O4" i="12" s="1"/>
  <c r="C5" i="12"/>
  <c r="B5" i="12"/>
  <c r="C4" i="12"/>
  <c r="B4" i="12"/>
  <c r="C3" i="12"/>
  <c r="B3" i="12"/>
  <c r="C2" i="12"/>
  <c r="P3" i="12" s="1"/>
  <c r="B2" i="12"/>
  <c r="Q4" i="9"/>
  <c r="Q3" i="9"/>
  <c r="P4" i="9"/>
  <c r="P3" i="9"/>
  <c r="J30" i="11"/>
  <c r="S5" i="11"/>
  <c r="P5" i="11"/>
  <c r="P4" i="11"/>
  <c r="O5" i="11"/>
  <c r="O4" i="11"/>
  <c r="H3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0" i="11"/>
  <c r="E27" i="11"/>
  <c r="C27" i="11"/>
  <c r="B27" i="11"/>
  <c r="C26" i="11"/>
  <c r="B26" i="11"/>
  <c r="E26" i="11" s="1"/>
  <c r="E25" i="11"/>
  <c r="C25" i="11"/>
  <c r="B25" i="11"/>
  <c r="C24" i="11"/>
  <c r="B24" i="11"/>
  <c r="E24" i="11" s="1"/>
  <c r="E23" i="11"/>
  <c r="C23" i="11"/>
  <c r="B23" i="11"/>
  <c r="C22" i="11"/>
  <c r="B22" i="11"/>
  <c r="E22" i="11" s="1"/>
  <c r="E21" i="11"/>
  <c r="C21" i="11"/>
  <c r="B21" i="11"/>
  <c r="C20" i="11"/>
  <c r="B20" i="11"/>
  <c r="E20" i="11" s="1"/>
  <c r="E19" i="11"/>
  <c r="C19" i="11"/>
  <c r="B19" i="11"/>
  <c r="C18" i="11"/>
  <c r="B18" i="11"/>
  <c r="E18" i="11" s="1"/>
  <c r="E17" i="11"/>
  <c r="C17" i="11"/>
  <c r="B17" i="11"/>
  <c r="C16" i="11"/>
  <c r="B16" i="11"/>
  <c r="E16" i="11" s="1"/>
  <c r="E15" i="11"/>
  <c r="C15" i="11"/>
  <c r="B15" i="11"/>
  <c r="C14" i="11"/>
  <c r="B14" i="11"/>
  <c r="E14" i="11" s="1"/>
  <c r="E13" i="11"/>
  <c r="C13" i="11"/>
  <c r="B13" i="11"/>
  <c r="E12" i="11"/>
  <c r="C12" i="11"/>
  <c r="B12" i="11"/>
  <c r="C11" i="11"/>
  <c r="B11" i="11"/>
  <c r="E11" i="11" s="1"/>
  <c r="C10" i="11"/>
  <c r="B10" i="11"/>
  <c r="E10" i="11" s="1"/>
  <c r="C9" i="11"/>
  <c r="B9" i="11"/>
  <c r="E9" i="11" s="1"/>
  <c r="C8" i="11"/>
  <c r="B8" i="11"/>
  <c r="E8" i="11" s="1"/>
  <c r="C7" i="11"/>
  <c r="B7" i="11"/>
  <c r="E7" i="11" s="1"/>
  <c r="C6" i="11"/>
  <c r="B6" i="11"/>
  <c r="E6" i="11" s="1"/>
  <c r="L5" i="11"/>
  <c r="L6" i="11" s="1"/>
  <c r="H5" i="11"/>
  <c r="C5" i="11"/>
  <c r="B5" i="11"/>
  <c r="E5" i="11" s="1"/>
  <c r="E4" i="11"/>
  <c r="C4" i="11"/>
  <c r="B4" i="11"/>
  <c r="C3" i="11"/>
  <c r="B3" i="11"/>
  <c r="E3" i="11" s="1"/>
  <c r="C2" i="11"/>
  <c r="B2" i="11"/>
  <c r="E2" i="11" s="1"/>
  <c r="E13" i="12" l="1" a="1"/>
  <c r="O3" i="12"/>
  <c r="J13" i="13" a="1"/>
  <c r="D32" i="13"/>
  <c r="D31" i="13" s="1"/>
  <c r="K13" i="5"/>
  <c r="S3" i="12"/>
  <c r="S4" i="12" s="1"/>
  <c r="S5" i="12" s="1"/>
  <c r="S7" i="12" s="1"/>
  <c r="S4" i="11"/>
  <c r="H9" i="11"/>
  <c r="H8" i="11"/>
  <c r="E13" i="12" l="1"/>
  <c r="F13" i="12"/>
  <c r="F16" i="12"/>
  <c r="K13" i="13"/>
  <c r="J13" i="13"/>
  <c r="J14" i="13" s="1"/>
  <c r="S6" i="12"/>
  <c r="F14" i="12"/>
  <c r="F15" i="12" s="1"/>
  <c r="B57" i="11"/>
  <c r="C57" i="11" s="1"/>
  <c r="E57" i="11" s="1"/>
  <c r="B54" i="11"/>
  <c r="C54" i="11" s="1"/>
  <c r="E54" i="11" s="1"/>
  <c r="B51" i="11"/>
  <c r="C51" i="11" s="1"/>
  <c r="E51" i="11" s="1"/>
  <c r="B48" i="11"/>
  <c r="C48" i="11" s="1"/>
  <c r="E48" i="11" s="1"/>
  <c r="B45" i="11"/>
  <c r="C45" i="11" s="1"/>
  <c r="E45" i="11" s="1"/>
  <c r="B42" i="11"/>
  <c r="C42" i="11" s="1"/>
  <c r="E42" i="11" s="1"/>
  <c r="B39" i="11"/>
  <c r="C39" i="11" s="1"/>
  <c r="E39" i="11" s="1"/>
  <c r="B36" i="11"/>
  <c r="C36" i="11" s="1"/>
  <c r="E36" i="11" s="1"/>
  <c r="B33" i="11"/>
  <c r="C33" i="11" s="1"/>
  <c r="E33" i="11" s="1"/>
  <c r="K8" i="11"/>
  <c r="B56" i="11"/>
  <c r="C56" i="11" s="1"/>
  <c r="E56" i="11" s="1"/>
  <c r="B53" i="11"/>
  <c r="C53" i="11" s="1"/>
  <c r="E53" i="11" s="1"/>
  <c r="B50" i="11"/>
  <c r="C50" i="11" s="1"/>
  <c r="E50" i="11" s="1"/>
  <c r="B47" i="11"/>
  <c r="C47" i="11" s="1"/>
  <c r="E47" i="11" s="1"/>
  <c r="B44" i="11"/>
  <c r="C44" i="11" s="1"/>
  <c r="E44" i="11" s="1"/>
  <c r="B41" i="11"/>
  <c r="C41" i="11" s="1"/>
  <c r="E41" i="11" s="1"/>
  <c r="B38" i="11"/>
  <c r="C38" i="11" s="1"/>
  <c r="E38" i="11" s="1"/>
  <c r="B35" i="11"/>
  <c r="C35" i="11" s="1"/>
  <c r="E35" i="11" s="1"/>
  <c r="B32" i="11"/>
  <c r="C32" i="11" s="1"/>
  <c r="E32" i="11" s="1"/>
  <c r="B55" i="11"/>
  <c r="C55" i="11" s="1"/>
  <c r="E55" i="11" s="1"/>
  <c r="B52" i="11"/>
  <c r="C52" i="11" s="1"/>
  <c r="E52" i="11" s="1"/>
  <c r="B49" i="11"/>
  <c r="C49" i="11" s="1"/>
  <c r="E49" i="11" s="1"/>
  <c r="B46" i="11"/>
  <c r="C46" i="11" s="1"/>
  <c r="E46" i="11" s="1"/>
  <c r="B43" i="11"/>
  <c r="C43" i="11" s="1"/>
  <c r="E43" i="11" s="1"/>
  <c r="B40" i="11"/>
  <c r="C40" i="11" s="1"/>
  <c r="E40" i="11" s="1"/>
  <c r="B37" i="11"/>
  <c r="C37" i="11" s="1"/>
  <c r="E37" i="11" s="1"/>
  <c r="B34" i="11"/>
  <c r="C34" i="11" s="1"/>
  <c r="E34" i="11" s="1"/>
  <c r="D33" i="5"/>
  <c r="D34" i="5" s="1"/>
  <c r="D29" i="5"/>
  <c r="D30" i="5" s="1"/>
  <c r="D8" i="9"/>
  <c r="T3" i="9"/>
  <c r="S5" i="7"/>
  <c r="R12" i="7"/>
  <c r="S4" i="7"/>
  <c r="L14" i="13" l="1"/>
  <c r="T4" i="9"/>
  <c r="T5" i="9" s="1"/>
  <c r="T7" i="9" s="1"/>
  <c r="D32" i="5"/>
  <c r="D31" i="5" s="1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2" i="5"/>
  <c r="T6" i="9" l="1"/>
  <c r="G15" i="9"/>
  <c r="G14" i="9"/>
  <c r="F17" i="9" a="1"/>
  <c r="F17" i="9" s="1"/>
  <c r="F13" i="9" a="1"/>
  <c r="F13" i="9" s="1"/>
  <c r="C3" i="9"/>
  <c r="C4" i="9"/>
  <c r="C5" i="9"/>
  <c r="C6" i="9"/>
  <c r="C7" i="9"/>
  <c r="C8" i="9"/>
  <c r="C9" i="9"/>
  <c r="C10" i="9"/>
  <c r="C11" i="9"/>
  <c r="C12" i="9"/>
  <c r="C13" i="9"/>
  <c r="C14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2" i="9"/>
  <c r="G17" i="9" l="1"/>
  <c r="G13" i="9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28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D7" i="9"/>
  <c r="D9" i="9"/>
  <c r="D10" i="9"/>
  <c r="D11" i="9"/>
  <c r="D12" i="9"/>
  <c r="D13" i="9"/>
  <c r="D14" i="9"/>
  <c r="D3" i="9"/>
  <c r="D4" i="9"/>
  <c r="D5" i="9"/>
  <c r="D6" i="9"/>
  <c r="D2" i="9"/>
  <c r="G29" i="7" l="1"/>
  <c r="K8" i="7"/>
  <c r="I7" i="9"/>
  <c r="M7" i="9" s="1"/>
  <c r="M8" i="9" s="1"/>
  <c r="I3" i="9"/>
  <c r="J14" i="5" l="1"/>
  <c r="L14" i="5" s="1"/>
  <c r="L7" i="5"/>
  <c r="P7" i="5" s="1"/>
  <c r="P8" i="5" s="1"/>
  <c r="L3" i="5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31" i="7"/>
  <c r="D29" i="7"/>
  <c r="C38" i="7" s="1"/>
  <c r="E38" i="7" s="1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31" i="7"/>
  <c r="L6" i="7"/>
  <c r="L5" i="7"/>
  <c r="H5" i="7"/>
  <c r="E14" i="7"/>
  <c r="E15" i="7"/>
  <c r="E16" i="7"/>
  <c r="E17" i="7"/>
  <c r="E18" i="7"/>
  <c r="E26" i="7"/>
  <c r="E27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" i="7"/>
  <c r="H3" i="7"/>
  <c r="B3" i="7"/>
  <c r="E3" i="7" s="1"/>
  <c r="B4" i="7"/>
  <c r="E4" i="7" s="1"/>
  <c r="B5" i="7"/>
  <c r="E5" i="7" s="1"/>
  <c r="B6" i="7"/>
  <c r="E6" i="7" s="1"/>
  <c r="B7" i="7"/>
  <c r="E7" i="7" s="1"/>
  <c r="B8" i="7"/>
  <c r="E8" i="7" s="1"/>
  <c r="B9" i="7"/>
  <c r="E9" i="7" s="1"/>
  <c r="B10" i="7"/>
  <c r="E10" i="7" s="1"/>
  <c r="B11" i="7"/>
  <c r="E11" i="7" s="1"/>
  <c r="B12" i="7"/>
  <c r="E12" i="7" s="1"/>
  <c r="B13" i="7"/>
  <c r="E13" i="7" s="1"/>
  <c r="B14" i="7"/>
  <c r="B15" i="7"/>
  <c r="B16" i="7"/>
  <c r="B17" i="7"/>
  <c r="B18" i="7"/>
  <c r="B19" i="7"/>
  <c r="E19" i="7" s="1"/>
  <c r="B20" i="7"/>
  <c r="E20" i="7" s="1"/>
  <c r="B21" i="7"/>
  <c r="E21" i="7" s="1"/>
  <c r="B22" i="7"/>
  <c r="E22" i="7" s="1"/>
  <c r="B23" i="7"/>
  <c r="E23" i="7" s="1"/>
  <c r="B24" i="7"/>
  <c r="E24" i="7" s="1"/>
  <c r="B25" i="7"/>
  <c r="E25" i="7" s="1"/>
  <c r="B26" i="7"/>
  <c r="B27" i="7"/>
  <c r="B2" i="7"/>
  <c r="C49" i="7" l="1"/>
  <c r="E49" i="7" s="1"/>
  <c r="C37" i="7"/>
  <c r="E37" i="7" s="1"/>
  <c r="C48" i="7"/>
  <c r="E48" i="7" s="1"/>
  <c r="C36" i="7"/>
  <c r="E36" i="7" s="1"/>
  <c r="C47" i="7"/>
  <c r="E47" i="7" s="1"/>
  <c r="C35" i="7"/>
  <c r="E35" i="7" s="1"/>
  <c r="C46" i="7"/>
  <c r="E46" i="7" s="1"/>
  <c r="C34" i="7"/>
  <c r="E34" i="7" s="1"/>
  <c r="C31" i="7"/>
  <c r="E31" i="7" s="1"/>
  <c r="C45" i="7"/>
  <c r="E45" i="7" s="1"/>
  <c r="C33" i="7"/>
  <c r="E33" i="7" s="1"/>
  <c r="C56" i="7"/>
  <c r="E56" i="7" s="1"/>
  <c r="C44" i="7"/>
  <c r="E44" i="7" s="1"/>
  <c r="C32" i="7"/>
  <c r="E32" i="7" s="1"/>
  <c r="C55" i="7"/>
  <c r="E55" i="7" s="1"/>
  <c r="C43" i="7"/>
  <c r="E43" i="7" s="1"/>
  <c r="C54" i="7"/>
  <c r="E54" i="7" s="1"/>
  <c r="C42" i="7"/>
  <c r="E42" i="7" s="1"/>
  <c r="C41" i="7"/>
  <c r="E41" i="7" s="1"/>
  <c r="C52" i="7"/>
  <c r="E52" i="7" s="1"/>
  <c r="C40" i="7"/>
  <c r="E40" i="7" s="1"/>
  <c r="C53" i="7"/>
  <c r="E53" i="7" s="1"/>
  <c r="C51" i="7"/>
  <c r="E51" i="7" s="1"/>
  <c r="C39" i="7"/>
  <c r="E39" i="7" s="1"/>
  <c r="C50" i="7"/>
  <c r="E50" i="7" s="1"/>
  <c r="H9" i="7"/>
  <c r="H8" i="7"/>
</calcChain>
</file>

<file path=xl/sharedStrings.xml><?xml version="1.0" encoding="utf-8"?>
<sst xmlns="http://schemas.openxmlformats.org/spreadsheetml/2006/main" count="207" uniqueCount="68">
  <si>
    <t>J</t>
  </si>
  <si>
    <t>ν</t>
  </si>
  <si>
    <t>B</t>
  </si>
  <si>
    <t>D</t>
  </si>
  <si>
    <t>Values from graph:</t>
  </si>
  <si>
    <t>ν/(2J+2)</t>
  </si>
  <si>
    <t>2J+2</t>
  </si>
  <si>
    <t>(J+1)^2</t>
  </si>
  <si>
    <t>Real Values (From NIST):</t>
  </si>
  <si>
    <t>R</t>
  </si>
  <si>
    <t>MC</t>
  </si>
  <si>
    <t>MO</t>
  </si>
  <si>
    <t>μ</t>
  </si>
  <si>
    <t>μ(kg)</t>
  </si>
  <si>
    <t>E(J)</t>
  </si>
  <si>
    <t>T</t>
  </si>
  <si>
    <t>kT (cm^-1)</t>
  </si>
  <si>
    <t>Boltzmann Factor</t>
  </si>
  <si>
    <t>g</t>
  </si>
  <si>
    <t>Population</t>
  </si>
  <si>
    <t>B0</t>
  </si>
  <si>
    <t>D0</t>
  </si>
  <si>
    <t>B1</t>
  </si>
  <si>
    <t>D1</t>
  </si>
  <si>
    <t>J(init)</t>
  </si>
  <si>
    <t>v</t>
  </si>
  <si>
    <t>E(cm^-1)</t>
  </si>
  <si>
    <t>μ(AMU)</t>
  </si>
  <si>
    <t>E(J) = B*J*(J+1) - D*J^2*(J+1)^2</t>
  </si>
  <si>
    <t>we</t>
  </si>
  <si>
    <t>wexe</t>
  </si>
  <si>
    <t>m</t>
  </si>
  <si>
    <t>v+1/2</t>
  </si>
  <si>
    <t>v+1</t>
  </si>
  <si>
    <t>v + 1/2 line</t>
  </si>
  <si>
    <t>v + 1 line</t>
  </si>
  <si>
    <t>b</t>
  </si>
  <si>
    <t>b (νe)</t>
  </si>
  <si>
    <t>x-intercept</t>
  </si>
  <si>
    <t>J (init)</t>
  </si>
  <si>
    <t>Δν</t>
  </si>
  <si>
    <t>ae</t>
  </si>
  <si>
    <t>Be</t>
  </si>
  <si>
    <t>m(culled)</t>
  </si>
  <si>
    <t>Δν (culled)</t>
  </si>
  <si>
    <t>y</t>
  </si>
  <si>
    <t>x</t>
  </si>
  <si>
    <t>point1</t>
  </si>
  <si>
    <t>point2</t>
  </si>
  <si>
    <t>slope</t>
  </si>
  <si>
    <t>intercept</t>
  </si>
  <si>
    <t>=</t>
  </si>
  <si>
    <t>mx+b</t>
  </si>
  <si>
    <t>1.9225=-1.23654e-5*1+b</t>
  </si>
  <si>
    <t>y(-0.5)</t>
  </si>
  <si>
    <t>Combination Differences (J=3)</t>
  </si>
  <si>
    <t>Difference</t>
  </si>
  <si>
    <t>αe</t>
  </si>
  <si>
    <t xml:space="preserve"> (νe)</t>
  </si>
  <si>
    <t>MN</t>
  </si>
  <si>
    <t>Re</t>
  </si>
  <si>
    <t>y = mx + b</t>
  </si>
  <si>
    <t>J_max</t>
  </si>
  <si>
    <t>T (By formula)</t>
  </si>
  <si>
    <t>y(-0.5) (νe)</t>
  </si>
  <si>
    <t>Combination Differences (J=1)</t>
  </si>
  <si>
    <t>(χeνe)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</si>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</sst>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4D515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909951881014875"/>
                  <c:y val="-0.15136738116068824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'CN Microwave'!$C$2:$C$27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</c:numCache>
            </c:numRef>
          </c:xVal>
          <c:yVal>
            <c:numRef>
              <c:f>'CN Microwave'!$E$2:$E$27</c:f>
              <c:numCache>
                <c:formatCode>General</c:formatCode>
                <c:ptCount val="26"/>
                <c:pt idx="0">
                  <c:v>1.891</c:v>
                </c:pt>
                <c:pt idx="1">
                  <c:v>1.891</c:v>
                </c:pt>
                <c:pt idx="2">
                  <c:v>1.891</c:v>
                </c:pt>
                <c:pt idx="3">
                  <c:v>1.8908750000000001</c:v>
                </c:pt>
                <c:pt idx="4">
                  <c:v>1.8907</c:v>
                </c:pt>
                <c:pt idx="5">
                  <c:v>1.8905833333333335</c:v>
                </c:pt>
                <c:pt idx="6">
                  <c:v>1.8904285714285716</c:v>
                </c:pt>
                <c:pt idx="7">
                  <c:v>1.89025</c:v>
                </c:pt>
                <c:pt idx="8">
                  <c:v>1.8900000000000001</c:v>
                </c:pt>
                <c:pt idx="9">
                  <c:v>1.88975</c:v>
                </c:pt>
                <c:pt idx="10">
                  <c:v>1.8895000000000002</c:v>
                </c:pt>
                <c:pt idx="11">
                  <c:v>1.8892083333333334</c:v>
                </c:pt>
                <c:pt idx="12">
                  <c:v>1.8888461538461538</c:v>
                </c:pt>
                <c:pt idx="13">
                  <c:v>1.8885000000000001</c:v>
                </c:pt>
                <c:pt idx="14">
                  <c:v>1.8881333333333332</c:v>
                </c:pt>
                <c:pt idx="15">
                  <c:v>1.88775</c:v>
                </c:pt>
                <c:pt idx="16">
                  <c:v>1.887294117647059</c:v>
                </c:pt>
                <c:pt idx="17">
                  <c:v>1.8868611111111113</c:v>
                </c:pt>
                <c:pt idx="18">
                  <c:v>1.8863684210526317</c:v>
                </c:pt>
                <c:pt idx="19">
                  <c:v>1.885875</c:v>
                </c:pt>
                <c:pt idx="20">
                  <c:v>1.8853333333333333</c:v>
                </c:pt>
                <c:pt idx="21">
                  <c:v>1.8847727272727275</c:v>
                </c:pt>
                <c:pt idx="22">
                  <c:v>1.8841956521739132</c:v>
                </c:pt>
                <c:pt idx="23">
                  <c:v>1.8835833333333334</c:v>
                </c:pt>
                <c:pt idx="24">
                  <c:v>1.8829400000000001</c:v>
                </c:pt>
                <c:pt idx="25">
                  <c:v>1.8822884615384616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0-4DB1-BE61-5BCA469D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5423"/>
        <c:axId val="1314508911"/>
      </c:scatterChart>
      <c:valAx>
        <c:axId val="10152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8911"/>
        <c:crosses val="autoZero"/>
        <c:crossBetween val="midCat"/>
      </c:valAx>
      <c:valAx>
        <c:axId val="13145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Populations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Microwave'!$A$32:$A$57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'CN Microwave'!$E$32:$E$57</c:f>
              <c:numCache>
                <c:formatCode>General</c:formatCode>
                <c:ptCount val="26"/>
                <c:pt idx="0">
                  <c:v>1</c:v>
                </c:pt>
                <c:pt idx="1">
                  <c:v>2.9457152745949911</c:v>
                </c:pt>
                <c:pt idx="2">
                  <c:v>4.7334616947241139</c:v>
                </c:pt>
                <c:pt idx="3">
                  <c:v>6.2735988463027041</c:v>
                </c:pt>
                <c:pt idx="4">
                  <c:v>7.497949803293217</c:v>
                </c:pt>
                <c:pt idx="5">
                  <c:v>8.3646311808851603</c:v>
                </c:pt>
                <c:pt idx="6">
                  <c:v>8.8598417935485472</c:v>
                </c:pt>
                <c:pt idx="7">
                  <c:v>8.9966069624004206</c:v>
                </c:pt>
                <c:pt idx="8">
                  <c:v>8.8108932825128079</c:v>
                </c:pt>
                <c:pt idx="9">
                  <c:v>8.3558266510577237</c:v>
                </c:pt>
                <c:pt idx="10">
                  <c:v>7.6949202928940732</c:v>
                </c:pt>
                <c:pt idx="11">
                  <c:v>6.8952362752953018</c:v>
                </c:pt>
                <c:pt idx="12">
                  <c:v>6.0212807725397557</c:v>
                </c:pt>
                <c:pt idx="13">
                  <c:v>5.1302103838903355</c:v>
                </c:pt>
                <c:pt idx="14">
                  <c:v>4.2686562543605682</c:v>
                </c:pt>
                <c:pt idx="15">
                  <c:v>3.4712065722194234</c:v>
                </c:pt>
                <c:pt idx="16">
                  <c:v>2.7603680393689283</c:v>
                </c:pt>
                <c:pt idx="17">
                  <c:v>2.1476787014555638</c:v>
                </c:pt>
                <c:pt idx="18">
                  <c:v>1.6355758459789342</c:v>
                </c:pt>
                <c:pt idx="19">
                  <c:v>1.2196258801767594</c:v>
                </c:pt>
                <c:pt idx="20">
                  <c:v>0.89078010462967894</c:v>
                </c:pt>
                <c:pt idx="21">
                  <c:v>0.63740847627517971</c:v>
                </c:pt>
                <c:pt idx="22">
                  <c:v>0.44696094630105077</c:v>
                </c:pt>
                <c:pt idx="23">
                  <c:v>0.30719543012229483</c:v>
                </c:pt>
                <c:pt idx="24">
                  <c:v>0.20698194192366726</c:v>
                </c:pt>
                <c:pt idx="25">
                  <c:v>0.13673935649392679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7-4323-9DE2-BC3F5C40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75999"/>
        <c:axId val="1378969247"/>
      </c:scatterChart>
      <c:valAx>
        <c:axId val="143137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69247"/>
        <c:crosses val="autoZero"/>
        <c:crossBetween val="midCat"/>
      </c:valAx>
      <c:valAx>
        <c:axId val="137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Birge-Sponer'!$C$1</c:f>
              <c:strCache>
                <c:ptCount val="1"/>
                <c:pt idx="0">
                  <c:v>E(cm^-1)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Birge-Sponer'!$B$2:$B$17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'CN Birge-Sponer'!$C$2:$C$17</c:f>
              <c:numCache>
                <c:formatCode>General</c:formatCode>
                <c:ptCount val="16"/>
                <c:pt idx="0">
                  <c:v>2042.4160000000002</c:v>
                </c:pt>
                <c:pt idx="1">
                  <c:v>2016.2420000000002</c:v>
                </c:pt>
                <c:pt idx="2">
                  <c:v>1990.0680000000002</c:v>
                </c:pt>
                <c:pt idx="3">
                  <c:v>1963.8940000000002</c:v>
                </c:pt>
                <c:pt idx="4">
                  <c:v>1937.7200000000003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2-4EA1-8D09-6106D5D0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452672"/>
        <c:axId val="1630303776"/>
      </c:scatterChart>
      <c:valAx>
        <c:axId val="15244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303776"/>
        <c:crosses val="autoZero"/>
        <c:crossBetween val="midCat"/>
      </c:valAx>
      <c:valAx>
        <c:axId val="1630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IR'!$F$1</c:f>
              <c:strCache>
                <c:ptCount val="1"/>
                <c:pt idx="0">
                  <c:v>Δν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843482064741909"/>
                  <c:y val="6.7460544704639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'CN IR'!$E$2:$E$54</c:f>
              <c:numCache>
                <c:formatCode>General</c:formatCode>
                <c:ptCount val="53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</c:numCache>
            </c:numRef>
          </c:xVal>
          <c:yVal>
            <c:numRef>
              <c:f>'CN IR'!$F$2:$F$54</c:f>
              <c:numCache>
                <c:formatCode>General</c:formatCode>
                <c:ptCount val="53"/>
                <c:pt idx="0">
                  <c:v>4.5679999999999836</c:v>
                </c:pt>
                <c:pt idx="1">
                  <c:v>4.5370000000000346</c:v>
                </c:pt>
                <c:pt idx="2">
                  <c:v>4.5069999999998345</c:v>
                </c:pt>
                <c:pt idx="3">
                  <c:v>4.4750000000001364</c:v>
                </c:pt>
                <c:pt idx="4">
                  <c:v>4.44399999999996</c:v>
                </c:pt>
                <c:pt idx="5">
                  <c:v>4.4120000000000346</c:v>
                </c:pt>
                <c:pt idx="6">
                  <c:v>4.3809999999998581</c:v>
                </c:pt>
                <c:pt idx="7">
                  <c:v>4.3479999999999563</c:v>
                </c:pt>
                <c:pt idx="8">
                  <c:v>4.3170000000000073</c:v>
                </c:pt>
                <c:pt idx="9">
                  <c:v>4.2840000000001055</c:v>
                </c:pt>
                <c:pt idx="10">
                  <c:v>4.2519999999999527</c:v>
                </c:pt>
                <c:pt idx="11">
                  <c:v>4.2190000000000509</c:v>
                </c:pt>
                <c:pt idx="12">
                  <c:v>4.1869999999998981</c:v>
                </c:pt>
                <c:pt idx="13">
                  <c:v>4.1539999999999964</c:v>
                </c:pt>
                <c:pt idx="14">
                  <c:v>4.1210000000000946</c:v>
                </c:pt>
                <c:pt idx="15">
                  <c:v>4.0869999999999891</c:v>
                </c:pt>
                <c:pt idx="16">
                  <c:v>4.0550000000000637</c:v>
                </c:pt>
                <c:pt idx="17">
                  <c:v>4.0209999999999582</c:v>
                </c:pt>
                <c:pt idx="18">
                  <c:v>3.98700000000008</c:v>
                </c:pt>
                <c:pt idx="19">
                  <c:v>3.9529999999999745</c:v>
                </c:pt>
                <c:pt idx="20">
                  <c:v>3.9199999999998454</c:v>
                </c:pt>
                <c:pt idx="21">
                  <c:v>3.8849999999999909</c:v>
                </c:pt>
                <c:pt idx="22">
                  <c:v>3.8510000000001128</c:v>
                </c:pt>
                <c:pt idx="23">
                  <c:v>3.8170000000000073</c:v>
                </c:pt>
                <c:pt idx="26">
                  <c:v>3.7130000000001928</c:v>
                </c:pt>
                <c:pt idx="27">
                  <c:v>3.6769999999996799</c:v>
                </c:pt>
                <c:pt idx="28">
                  <c:v>3.6420000000002801</c:v>
                </c:pt>
                <c:pt idx="29">
                  <c:v>3.6069999999999709</c:v>
                </c:pt>
                <c:pt idx="30">
                  <c:v>3.5719999999996617</c:v>
                </c:pt>
                <c:pt idx="31">
                  <c:v>3.5350000000003092</c:v>
                </c:pt>
                <c:pt idx="32">
                  <c:v>3.5</c:v>
                </c:pt>
                <c:pt idx="33">
                  <c:v>3.4639999999999418</c:v>
                </c:pt>
                <c:pt idx="34">
                  <c:v>3.4279999999998836</c:v>
                </c:pt>
                <c:pt idx="35">
                  <c:v>3.3910000000000764</c:v>
                </c:pt>
                <c:pt idx="36">
                  <c:v>3.3550000000000182</c:v>
                </c:pt>
                <c:pt idx="37">
                  <c:v>3.31899999999996</c:v>
                </c:pt>
                <c:pt idx="38">
                  <c:v>3.2809999999999491</c:v>
                </c:pt>
                <c:pt idx="39">
                  <c:v>3.2449999999998909</c:v>
                </c:pt>
                <c:pt idx="40">
                  <c:v>3.2080000000000837</c:v>
                </c:pt>
                <c:pt idx="41">
                  <c:v>3.1710000000002765</c:v>
                </c:pt>
                <c:pt idx="42">
                  <c:v>3.1329999999998108</c:v>
                </c:pt>
                <c:pt idx="43">
                  <c:v>3.0960000000000036</c:v>
                </c:pt>
                <c:pt idx="44">
                  <c:v>3.0579999999999927</c:v>
                </c:pt>
                <c:pt idx="45">
                  <c:v>3.0199999999999818</c:v>
                </c:pt>
                <c:pt idx="46">
                  <c:v>2.9830000000001746</c:v>
                </c:pt>
                <c:pt idx="47">
                  <c:v>2.94399999999996</c:v>
                </c:pt>
                <c:pt idx="48">
                  <c:v>2.9059999999999491</c:v>
                </c:pt>
                <c:pt idx="49">
                  <c:v>2.8679999999999382</c:v>
                </c:pt>
                <c:pt idx="50">
                  <c:v>2.8290000000001783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7-4F57-A3AE-F240ECA3C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80687"/>
        <c:axId val="510967919"/>
      </c:scatterChart>
      <c:valAx>
        <c:axId val="51648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7919"/>
        <c:crosses val="autoZero"/>
        <c:crossBetween val="midCat"/>
      </c:valAx>
      <c:valAx>
        <c:axId val="510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8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Raman'!$B$1</c:f>
              <c:strCache>
                <c:ptCount val="1"/>
                <c:pt idx="0">
                  <c:v>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Raman'!$A$2:$A$53</c:f>
              <c:numCache>
                <c:formatCode>General</c:formatCode>
                <c:ptCount val="52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</c:numCache>
            </c:numRef>
          </c:xVal>
          <c:yVal>
            <c:numRef>
              <c:f>'CN Raman'!$B$2:$B$53</c:f>
              <c:numCache>
                <c:formatCode>General</c:formatCode>
                <c:ptCount val="52"/>
                <c:pt idx="0">
                  <c:v>1848.2719999999999</c:v>
                </c:pt>
                <c:pt idx="1">
                  <c:v>1856.5450000000001</c:v>
                </c:pt>
                <c:pt idx="2">
                  <c:v>1864.7909999999999</c:v>
                </c:pt>
                <c:pt idx="3">
                  <c:v>1873.009</c:v>
                </c:pt>
                <c:pt idx="4">
                  <c:v>1881.1990000000001</c:v>
                </c:pt>
                <c:pt idx="5">
                  <c:v>1889.36</c:v>
                </c:pt>
                <c:pt idx="6">
                  <c:v>1897.4929999999999</c:v>
                </c:pt>
                <c:pt idx="7">
                  <c:v>1905.597</c:v>
                </c:pt>
                <c:pt idx="8">
                  <c:v>1913.672</c:v>
                </c:pt>
                <c:pt idx="9">
                  <c:v>1921.7170000000001</c:v>
                </c:pt>
                <c:pt idx="10">
                  <c:v>1929.7329999999999</c:v>
                </c:pt>
                <c:pt idx="11">
                  <c:v>1937.7180000000001</c:v>
                </c:pt>
                <c:pt idx="12">
                  <c:v>1945.673</c:v>
                </c:pt>
                <c:pt idx="13">
                  <c:v>1953.596</c:v>
                </c:pt>
                <c:pt idx="14">
                  <c:v>1961.489</c:v>
                </c:pt>
                <c:pt idx="15">
                  <c:v>1969.35</c:v>
                </c:pt>
                <c:pt idx="16">
                  <c:v>1977.18</c:v>
                </c:pt>
                <c:pt idx="17">
                  <c:v>1984.9770000000001</c:v>
                </c:pt>
                <c:pt idx="18">
                  <c:v>1992.742</c:v>
                </c:pt>
                <c:pt idx="19">
                  <c:v>2000.4739999999999</c:v>
                </c:pt>
                <c:pt idx="20">
                  <c:v>2008.173</c:v>
                </c:pt>
                <c:pt idx="21">
                  <c:v>2015.8389999999999</c:v>
                </c:pt>
                <c:pt idx="22">
                  <c:v>2023.472</c:v>
                </c:pt>
                <c:pt idx="23">
                  <c:v>2031.07</c:v>
                </c:pt>
                <c:pt idx="26">
                  <c:v>2053.6579999999999</c:v>
                </c:pt>
                <c:pt idx="27">
                  <c:v>2061.1170000000002</c:v>
                </c:pt>
                <c:pt idx="28">
                  <c:v>2068.5410000000002</c:v>
                </c:pt>
                <c:pt idx="29">
                  <c:v>2075.9290000000001</c:v>
                </c:pt>
                <c:pt idx="30">
                  <c:v>2083.2809999999999</c:v>
                </c:pt>
                <c:pt idx="31">
                  <c:v>2090.596</c:v>
                </c:pt>
                <c:pt idx="32">
                  <c:v>2097.875</c:v>
                </c:pt>
                <c:pt idx="33">
                  <c:v>2105.1170000000002</c:v>
                </c:pt>
                <c:pt idx="34">
                  <c:v>2112.3209999999999</c:v>
                </c:pt>
                <c:pt idx="35">
                  <c:v>2119.4870000000001</c:v>
                </c:pt>
                <c:pt idx="36">
                  <c:v>2126.616</c:v>
                </c:pt>
                <c:pt idx="37">
                  <c:v>2133.7060000000001</c:v>
                </c:pt>
                <c:pt idx="38">
                  <c:v>2140.7579999999998</c:v>
                </c:pt>
                <c:pt idx="39">
                  <c:v>2147.7710000000002</c:v>
                </c:pt>
                <c:pt idx="40">
                  <c:v>2154.7440000000001</c:v>
                </c:pt>
                <c:pt idx="41">
                  <c:v>2161.6779999999999</c:v>
                </c:pt>
                <c:pt idx="42">
                  <c:v>2168.5720000000001</c:v>
                </c:pt>
                <c:pt idx="43">
                  <c:v>2175.4259999999999</c:v>
                </c:pt>
                <c:pt idx="44">
                  <c:v>2182.2399999999998</c:v>
                </c:pt>
                <c:pt idx="45">
                  <c:v>2189.0129999999999</c:v>
                </c:pt>
                <c:pt idx="46">
                  <c:v>2195.7449999999999</c:v>
                </c:pt>
                <c:pt idx="47">
                  <c:v>2202.4349999999999</c:v>
                </c:pt>
                <c:pt idx="48">
                  <c:v>2209.0839999999998</c:v>
                </c:pt>
                <c:pt idx="49">
                  <c:v>2215.6909999999998</c:v>
                </c:pt>
                <c:pt idx="50">
                  <c:v>2222.2550000000001</c:v>
                </c:pt>
                <c:pt idx="51">
                  <c:v>2228.777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8-4EF7-9698-370EC3CA8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79663"/>
        <c:axId val="1438882095"/>
      </c:scatterChart>
      <c:valAx>
        <c:axId val="14417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82095"/>
        <c:crosses val="autoZero"/>
        <c:crossBetween val="midCat"/>
      </c:valAx>
      <c:valAx>
        <c:axId val="1438882095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77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909951881014875"/>
                  <c:y val="-0.15136738116068824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Microwave'!$C$2:$C$27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</c:numCache>
            </c:numRef>
          </c:xVal>
          <c:yVal>
            <c:numRef>
              <c:f>'CO Microwave'!$E$2:$E$27</c:f>
              <c:numCache>
                <c:formatCode>General</c:formatCode>
                <c:ptCount val="26"/>
                <c:pt idx="0">
                  <c:v>1.9225000000000001</c:v>
                </c:pt>
                <c:pt idx="1">
                  <c:v>1.9225000000000001</c:v>
                </c:pt>
                <c:pt idx="2">
                  <c:v>1.9223333333333334</c:v>
                </c:pt>
                <c:pt idx="3">
                  <c:v>1.9223749999999999</c:v>
                </c:pt>
                <c:pt idx="4">
                  <c:v>1.9222000000000001</c:v>
                </c:pt>
                <c:pt idx="5">
                  <c:v>1.9220833333333334</c:v>
                </c:pt>
                <c:pt idx="6">
                  <c:v>1.9219285714285714</c:v>
                </c:pt>
                <c:pt idx="7">
                  <c:v>1.9217500000000001</c:v>
                </c:pt>
                <c:pt idx="8">
                  <c:v>1.9215000000000002</c:v>
                </c:pt>
                <c:pt idx="9">
                  <c:v>1.9213</c:v>
                </c:pt>
                <c:pt idx="10">
                  <c:v>1.9210454545454545</c:v>
                </c:pt>
                <c:pt idx="11">
                  <c:v>1.92075</c:v>
                </c:pt>
                <c:pt idx="12">
                  <c:v>1.9204230769230768</c:v>
                </c:pt>
                <c:pt idx="13">
                  <c:v>1.9201071428571428</c:v>
                </c:pt>
                <c:pt idx="14">
                  <c:v>1.9197333333333333</c:v>
                </c:pt>
                <c:pt idx="15">
                  <c:v>1.9193750000000001</c:v>
                </c:pt>
                <c:pt idx="16">
                  <c:v>1.9189411764705882</c:v>
                </c:pt>
                <c:pt idx="17">
                  <c:v>1.9185277777777776</c:v>
                </c:pt>
                <c:pt idx="18">
                  <c:v>1.9180526315789472</c:v>
                </c:pt>
                <c:pt idx="19">
                  <c:v>1.917575</c:v>
                </c:pt>
                <c:pt idx="20">
                  <c:v>1.9170714285714285</c:v>
                </c:pt>
                <c:pt idx="21">
                  <c:v>1.9165454545454546</c:v>
                </c:pt>
                <c:pt idx="22">
                  <c:v>1.9159782608695652</c:v>
                </c:pt>
                <c:pt idx="23">
                  <c:v>1.9153958333333332</c:v>
                </c:pt>
                <c:pt idx="24">
                  <c:v>1.9147999999999998</c:v>
                </c:pt>
                <c:pt idx="25">
                  <c:v>1.9141538461538461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6-4996-9C79-351DC697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5423"/>
        <c:axId val="1314508911"/>
      </c:scatterChart>
      <c:valAx>
        <c:axId val="10152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8911"/>
        <c:crosses val="autoZero"/>
        <c:crossBetween val="midCat"/>
      </c:valAx>
      <c:valAx>
        <c:axId val="13145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Populations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Microwave'!$A$31:$A$56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'CO Microwave'!$E$31:$E$56</c:f>
              <c:numCache>
                <c:formatCode>General</c:formatCode>
                <c:ptCount val="26"/>
                <c:pt idx="0">
                  <c:v>1</c:v>
                </c:pt>
                <c:pt idx="1">
                  <c:v>2.9448203405845703</c:v>
                </c:pt>
                <c:pt idx="2">
                  <c:v>4.7291486369902671</c:v>
                </c:pt>
                <c:pt idx="3">
                  <c:v>6.2621705759578292</c:v>
                </c:pt>
                <c:pt idx="4">
                  <c:v>7.4751975265988078</c:v>
                </c:pt>
                <c:pt idx="5">
                  <c:v>8.3265831067549705</c:v>
                </c:pt>
                <c:pt idx="6">
                  <c:v>8.8034657420041036</c:v>
                </c:pt>
                <c:pt idx="7">
                  <c:v>8.9203493096275555</c:v>
                </c:pt>
                <c:pt idx="8">
                  <c:v>8.7149733509604772</c:v>
                </c:pt>
                <c:pt idx="9">
                  <c:v>8.2422548177578303</c:v>
                </c:pt>
                <c:pt idx="10">
                  <c:v>7.5672586777381161</c:v>
                </c:pt>
                <c:pt idx="11">
                  <c:v>6.7581626238277437</c:v>
                </c:pt>
                <c:pt idx="12">
                  <c:v>5.8800418724009003</c:v>
                </c:pt>
                <c:pt idx="13">
                  <c:v>4.9900581689447723</c:v>
                </c:pt>
                <c:pt idx="14">
                  <c:v>4.1343491269812009</c:v>
                </c:pt>
                <c:pt idx="15">
                  <c:v>3.3466352371304415</c:v>
                </c:pt>
                <c:pt idx="16">
                  <c:v>2.6483358469648559</c:v>
                </c:pt>
                <c:pt idx="17">
                  <c:v>2.04983769295825</c:v>
                </c:pt>
                <c:pt idx="18">
                  <c:v>1.5524965173657927</c:v>
                </c:pt>
                <c:pt idx="19">
                  <c:v>1.1509640764911444</c:v>
                </c:pt>
                <c:pt idx="20">
                  <c:v>0.83549903821390559</c:v>
                </c:pt>
                <c:pt idx="21">
                  <c:v>0.5940163492234527</c:v>
                </c:pt>
                <c:pt idx="22">
                  <c:v>0.41373260437806769</c:v>
                </c:pt>
                <c:pt idx="23">
                  <c:v>0.28235707495787765</c:v>
                </c:pt>
                <c:pt idx="24">
                  <c:v>0.1888486699210746</c:v>
                </c:pt>
                <c:pt idx="25">
                  <c:v>0.12380437192128543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5-49D6-AA18-BBA4DD326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75999"/>
        <c:axId val="1378969247"/>
      </c:scatterChart>
      <c:valAx>
        <c:axId val="143137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69247"/>
        <c:crosses val="autoZero"/>
        <c:crossBetween val="midCat"/>
      </c:valAx>
      <c:valAx>
        <c:axId val="137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Birge-Sponer'!$D$1</c:f>
              <c:strCache>
                <c:ptCount val="1"/>
                <c:pt idx="0">
                  <c:v>E(cm^-1)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Birge-Sponer'!$B$2:$B$17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numCache>
            </c:numRef>
          </c:xVal>
          <c:yVal>
            <c:numRef>
              <c:f>'CO Birge-Sponer'!$D$2:$D$17</c:f>
              <c:numCache>
                <c:formatCode>General</c:formatCode>
                <c:ptCount val="16"/>
                <c:pt idx="0">
                  <c:v>2143.2369600000002</c:v>
                </c:pt>
                <c:pt idx="1">
                  <c:v>2116.6603399999999</c:v>
                </c:pt>
                <c:pt idx="2">
                  <c:v>2090.0837200000001</c:v>
                </c:pt>
                <c:pt idx="3">
                  <c:v>2063.5070999999998</c:v>
                </c:pt>
                <c:pt idx="4">
                  <c:v>2036.93048</c:v>
                </c:pt>
                <c:pt idx="5">
                  <c:v>2010.3538599999999</c:v>
                </c:pt>
                <c:pt idx="6">
                  <c:v>1983.7772399999999</c:v>
                </c:pt>
                <c:pt idx="7">
                  <c:v>1957.2006200000001</c:v>
                </c:pt>
                <c:pt idx="8">
                  <c:v>1930.624</c:v>
                </c:pt>
                <c:pt idx="9">
                  <c:v>1904.04738</c:v>
                </c:pt>
                <c:pt idx="10">
                  <c:v>1877.4707600000002</c:v>
                </c:pt>
                <c:pt idx="11">
                  <c:v>1850.8941399999999</c:v>
                </c:pt>
                <c:pt idx="12">
                  <c:v>1824.3175200000001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7-4B7F-8489-AF7F46BD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452672"/>
        <c:axId val="1630303776"/>
      </c:scatterChart>
      <c:valAx>
        <c:axId val="15244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303776"/>
        <c:crosses val="autoZero"/>
        <c:crossBetween val="midCat"/>
      </c:valAx>
      <c:valAx>
        <c:axId val="1630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IR'!$F$1</c:f>
              <c:strCache>
                <c:ptCount val="1"/>
                <c:pt idx="0">
                  <c:v>Δν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843482064741909"/>
                  <c:y val="6.7460544704639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IR'!$E$2:$E$54</c:f>
              <c:numCache>
                <c:formatCode>General</c:formatCode>
                <c:ptCount val="53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</c:numCache>
            </c:numRef>
          </c:xVal>
          <c:yVal>
            <c:numRef>
              <c:f>'CO IR'!$F$2:$F$54</c:f>
              <c:numCache>
                <c:formatCode>General</c:formatCode>
                <c:ptCount val="53"/>
                <c:pt idx="0">
                  <c:v>4.6400000000001</c:v>
                </c:pt>
                <c:pt idx="1">
                  <c:v>4.6089999999999236</c:v>
                </c:pt>
                <c:pt idx="2">
                  <c:v>4.5769999999999982</c:v>
                </c:pt>
                <c:pt idx="3">
                  <c:v>4.5450000000000728</c:v>
                </c:pt>
                <c:pt idx="4">
                  <c:v>4.51299999999992</c:v>
                </c:pt>
                <c:pt idx="5">
                  <c:v>4.4819999999999709</c:v>
                </c:pt>
                <c:pt idx="6">
                  <c:v>4.4490000000000691</c:v>
                </c:pt>
                <c:pt idx="7">
                  <c:v>4.4180000000001201</c:v>
                </c:pt>
                <c:pt idx="8">
                  <c:v>4.3840000000000146</c:v>
                </c:pt>
                <c:pt idx="9">
                  <c:v>4.3519999999998618</c:v>
                </c:pt>
                <c:pt idx="10">
                  <c:v>4.3200000000001637</c:v>
                </c:pt>
                <c:pt idx="11">
                  <c:v>4.2859999999996035</c:v>
                </c:pt>
                <c:pt idx="12">
                  <c:v>4.2540000000003602</c:v>
                </c:pt>
                <c:pt idx="13">
                  <c:v>4.2199999999997999</c:v>
                </c:pt>
                <c:pt idx="14">
                  <c:v>4.1869999999998981</c:v>
                </c:pt>
                <c:pt idx="15">
                  <c:v>4.1530000000002474</c:v>
                </c:pt>
                <c:pt idx="16">
                  <c:v>4.1199999999998909</c:v>
                </c:pt>
                <c:pt idx="17">
                  <c:v>4.0859999999997854</c:v>
                </c:pt>
                <c:pt idx="18">
                  <c:v>4.0520000000001346</c:v>
                </c:pt>
                <c:pt idx="19">
                  <c:v>4.0180000000000291</c:v>
                </c:pt>
                <c:pt idx="20">
                  <c:v>3.9830000000001746</c:v>
                </c:pt>
                <c:pt idx="21">
                  <c:v>3.9490000000000691</c:v>
                </c:pt>
                <c:pt idx="22">
                  <c:v>3.9149999999999636</c:v>
                </c:pt>
                <c:pt idx="23">
                  <c:v>3.8799999999996544</c:v>
                </c:pt>
                <c:pt idx="24">
                  <c:v>3.8450425563355566</c:v>
                </c:pt>
                <c:pt idx="25">
                  <c:v>3.8099574436646435</c:v>
                </c:pt>
                <c:pt idx="26">
                  <c:v>3.7750000000000909</c:v>
                </c:pt>
                <c:pt idx="27">
                  <c:v>3.7390000000000327</c:v>
                </c:pt>
                <c:pt idx="28">
                  <c:v>3.7049999999999272</c:v>
                </c:pt>
                <c:pt idx="29">
                  <c:v>3.6680000000001201</c:v>
                </c:pt>
                <c:pt idx="30">
                  <c:v>3.6329999999998108</c:v>
                </c:pt>
                <c:pt idx="31">
                  <c:v>3.5970000000002074</c:v>
                </c:pt>
                <c:pt idx="32">
                  <c:v>3.5599999999999454</c:v>
                </c:pt>
                <c:pt idx="33">
                  <c:v>3.5249999999996362</c:v>
                </c:pt>
                <c:pt idx="34">
                  <c:v>3.4880000000002838</c:v>
                </c:pt>
                <c:pt idx="35">
                  <c:v>3.4519999999997708</c:v>
                </c:pt>
                <c:pt idx="36">
                  <c:v>3.4160000000001673</c:v>
                </c:pt>
                <c:pt idx="37">
                  <c:v>3.3780000000001564</c:v>
                </c:pt>
                <c:pt idx="38">
                  <c:v>3.3419999999996435</c:v>
                </c:pt>
                <c:pt idx="39">
                  <c:v>3.3040000000000873</c:v>
                </c:pt>
                <c:pt idx="40">
                  <c:v>3.2670000000002801</c:v>
                </c:pt>
                <c:pt idx="41">
                  <c:v>3.2300000000000182</c:v>
                </c:pt>
                <c:pt idx="42">
                  <c:v>3.1929999999997563</c:v>
                </c:pt>
                <c:pt idx="43">
                  <c:v>3.1550000000002001</c:v>
                </c:pt>
                <c:pt idx="44">
                  <c:v>3.1169999999997344</c:v>
                </c:pt>
                <c:pt idx="45">
                  <c:v>3.0790000000001783</c:v>
                </c:pt>
                <c:pt idx="46">
                  <c:v>3.0409999999997126</c:v>
                </c:pt>
                <c:pt idx="47">
                  <c:v>3.0030000000001564</c:v>
                </c:pt>
                <c:pt idx="48">
                  <c:v>2.9650000000001455</c:v>
                </c:pt>
                <c:pt idx="49">
                  <c:v>2.9259999999999309</c:v>
                </c:pt>
                <c:pt idx="50">
                  <c:v>2.88799999999992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3-461D-9B0D-FDCBA98BC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80687"/>
        <c:axId val="510967919"/>
      </c:scatterChart>
      <c:valAx>
        <c:axId val="51648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7919"/>
        <c:crosses val="autoZero"/>
        <c:crossBetween val="midCat"/>
      </c:valAx>
      <c:valAx>
        <c:axId val="510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8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 Raman'!$B$1</c:f>
              <c:strCache>
                <c:ptCount val="1"/>
                <c:pt idx="0">
                  <c:v>ν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Raman'!$A$2:$A$53</c:f>
              <c:numCache>
                <c:formatCode>General</c:formatCode>
                <c:ptCount val="52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</c:numCache>
            </c:numRef>
          </c:xVal>
          <c:yVal>
            <c:numRef>
              <c:f>'CO Raman'!$B$2:$B$53</c:f>
              <c:numCache>
                <c:formatCode>General</c:formatCode>
                <c:ptCount val="52"/>
                <c:pt idx="0">
                  <c:v>1945.9</c:v>
                </c:pt>
                <c:pt idx="1">
                  <c:v>1954.309</c:v>
                </c:pt>
                <c:pt idx="2">
                  <c:v>1962.69</c:v>
                </c:pt>
                <c:pt idx="3">
                  <c:v>1971.0429999999999</c:v>
                </c:pt>
                <c:pt idx="4">
                  <c:v>1979.367</c:v>
                </c:pt>
                <c:pt idx="5">
                  <c:v>1987.663</c:v>
                </c:pt>
                <c:pt idx="6">
                  <c:v>1995.9290000000001</c:v>
                </c:pt>
                <c:pt idx="7">
                  <c:v>2004.1659999999999</c:v>
                </c:pt>
                <c:pt idx="8">
                  <c:v>2012.373</c:v>
                </c:pt>
                <c:pt idx="9">
                  <c:v>2020.55</c:v>
                </c:pt>
                <c:pt idx="10">
                  <c:v>2028.6969999999999</c:v>
                </c:pt>
                <c:pt idx="11">
                  <c:v>2036.8119999999999</c:v>
                </c:pt>
                <c:pt idx="12">
                  <c:v>2044.8969999999999</c:v>
                </c:pt>
                <c:pt idx="13">
                  <c:v>2052.951</c:v>
                </c:pt>
                <c:pt idx="14">
                  <c:v>2060.973</c:v>
                </c:pt>
                <c:pt idx="15">
                  <c:v>2068.9630000000002</c:v>
                </c:pt>
                <c:pt idx="16">
                  <c:v>2076.922</c:v>
                </c:pt>
                <c:pt idx="17">
                  <c:v>2084.8470000000002</c:v>
                </c:pt>
                <c:pt idx="18">
                  <c:v>2092.7399999999998</c:v>
                </c:pt>
                <c:pt idx="19">
                  <c:v>2100.6</c:v>
                </c:pt>
                <c:pt idx="20">
                  <c:v>2108.4259999999999</c:v>
                </c:pt>
                <c:pt idx="21">
                  <c:v>2116.2190000000001</c:v>
                </c:pt>
                <c:pt idx="22">
                  <c:v>2123.9780000000001</c:v>
                </c:pt>
                <c:pt idx="23">
                  <c:v>2131.7020000000002</c:v>
                </c:pt>
                <c:pt idx="26">
                  <c:v>2154.6669999999999</c:v>
                </c:pt>
                <c:pt idx="27">
                  <c:v>2162.2510000000002</c:v>
                </c:pt>
                <c:pt idx="28">
                  <c:v>2169.8000000000002</c:v>
                </c:pt>
                <c:pt idx="29">
                  <c:v>2177.3130000000001</c:v>
                </c:pt>
                <c:pt idx="30">
                  <c:v>2184.7890000000002</c:v>
                </c:pt>
                <c:pt idx="31">
                  <c:v>2192.2289999999998</c:v>
                </c:pt>
                <c:pt idx="32">
                  <c:v>2199.6309999999999</c:v>
                </c:pt>
                <c:pt idx="33">
                  <c:v>2206.9969999999998</c:v>
                </c:pt>
                <c:pt idx="34">
                  <c:v>2214.3249999999998</c:v>
                </c:pt>
                <c:pt idx="35">
                  <c:v>2221.6149999999998</c:v>
                </c:pt>
                <c:pt idx="36">
                  <c:v>2228.8670000000002</c:v>
                </c:pt>
                <c:pt idx="37">
                  <c:v>2236.0810000000001</c:v>
                </c:pt>
                <c:pt idx="38">
                  <c:v>2243.2559999999999</c:v>
                </c:pt>
                <c:pt idx="39">
                  <c:v>2250.3919999999998</c:v>
                </c:pt>
                <c:pt idx="40">
                  <c:v>2257.489</c:v>
                </c:pt>
                <c:pt idx="41">
                  <c:v>2264.5459999999998</c:v>
                </c:pt>
                <c:pt idx="42">
                  <c:v>2271.5630000000001</c:v>
                </c:pt>
                <c:pt idx="43">
                  <c:v>2278.54</c:v>
                </c:pt>
                <c:pt idx="44">
                  <c:v>2285.4769999999999</c:v>
                </c:pt>
                <c:pt idx="45">
                  <c:v>2292.373</c:v>
                </c:pt>
                <c:pt idx="46">
                  <c:v>2299.2280000000001</c:v>
                </c:pt>
                <c:pt idx="47">
                  <c:v>2306.0419999999999</c:v>
                </c:pt>
                <c:pt idx="48">
                  <c:v>2312.8139999999999</c:v>
                </c:pt>
                <c:pt idx="49">
                  <c:v>2319.5439999999999</c:v>
                </c:pt>
                <c:pt idx="50">
                  <c:v>2326.232</c:v>
                </c:pt>
                <c:pt idx="51">
                  <c:v>2332.8780000000002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36-4B56-8516-C7BAFAA1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57263"/>
        <c:axId val="1759150751"/>
      </c:scatterChart>
      <c:valAx>
        <c:axId val="144175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50751"/>
        <c:crosses val="autoZero"/>
        <c:crossBetween val="midCat"/>
      </c:valAx>
      <c:valAx>
        <c:axId val="17591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75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9</xdr:row>
      <xdr:rowOff>85725</xdr:rowOff>
    </xdr:from>
    <xdr:to>
      <xdr:col>15</xdr:col>
      <xdr:colOff>585787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34F16-2B2D-4469-A6BB-6476E1CB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31</xdr:row>
      <xdr:rowOff>71436</xdr:rowOff>
    </xdr:from>
    <xdr:to>
      <xdr:col>11</xdr:col>
      <xdr:colOff>690562</xdr:colOff>
      <xdr:row>45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10419-B34B-4B1B-A4E4-8014484C4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12</xdr:row>
      <xdr:rowOff>14287</xdr:rowOff>
    </xdr:from>
    <xdr:to>
      <xdr:col>14</xdr:col>
      <xdr:colOff>85725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19F1F-08C9-4062-B9A5-674176511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90487</xdr:rowOff>
    </xdr:from>
    <xdr:to>
      <xdr:col>15</xdr:col>
      <xdr:colOff>438150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BAC7F-333A-4BD6-BACD-0D9AF52C9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C167E-41CB-4CDF-B58F-C5A0401EB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9</xdr:row>
      <xdr:rowOff>85725</xdr:rowOff>
    </xdr:from>
    <xdr:to>
      <xdr:col>15</xdr:col>
      <xdr:colOff>585787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42CCD-CF5D-43E5-A706-D4A0EAB5D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30</xdr:row>
      <xdr:rowOff>71436</xdr:rowOff>
    </xdr:from>
    <xdr:to>
      <xdr:col>11</xdr:col>
      <xdr:colOff>690562</xdr:colOff>
      <xdr:row>44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1B38EB-2926-493C-886F-9A1B73DBC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13</xdr:row>
      <xdr:rowOff>52387</xdr:rowOff>
    </xdr:from>
    <xdr:to>
      <xdr:col>17</xdr:col>
      <xdr:colOff>190500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4F78A-3213-4456-93F2-6151FBEA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15</xdr:row>
      <xdr:rowOff>90486</xdr:rowOff>
    </xdr:from>
    <xdr:to>
      <xdr:col>17</xdr:col>
      <xdr:colOff>238124</xdr:colOff>
      <xdr:row>35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8D8DF-5873-4BA3-85EC-286E5FF0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185737</xdr:rowOff>
    </xdr:from>
    <xdr:to>
      <xdr:col>16</xdr:col>
      <xdr:colOff>90487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13078-EB6D-461E-8CC3-C9952E0E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D17-AC79-40E3-AF92-6FC87CA8286D}">
  <dimension ref="A1:S57"/>
  <sheetViews>
    <sheetView zoomScaleNormal="100" workbookViewId="0">
      <selection activeCell="H12" sqref="H12"/>
    </sheetView>
  </sheetViews>
  <sheetFormatPr defaultRowHeight="15" x14ac:dyDescent="0.25"/>
  <cols>
    <col min="3" max="3" width="16.42578125" bestFit="1" customWidth="1"/>
    <col min="8" max="8" width="12.7109375" bestFit="1" customWidth="1"/>
    <col min="11" max="11" width="12" bestFit="1" customWidth="1"/>
    <col min="12" max="12" width="10.5703125" bestFit="1" customWidth="1"/>
    <col min="19" max="19" width="12.7109375" bestFit="1" customWidth="1"/>
  </cols>
  <sheetData>
    <row r="1" spans="1:19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19" x14ac:dyDescent="0.25">
      <c r="A2">
        <v>0</v>
      </c>
      <c r="B2">
        <f>2*A2+2</f>
        <v>2</v>
      </c>
      <c r="C2">
        <f>(A2+1)^2</f>
        <v>1</v>
      </c>
      <c r="D2">
        <v>3.782</v>
      </c>
      <c r="E2">
        <f>D2/B2</f>
        <v>1.891</v>
      </c>
      <c r="G2" t="s">
        <v>8</v>
      </c>
    </row>
    <row r="3" spans="1:19" x14ac:dyDescent="0.25">
      <c r="A3">
        <v>1</v>
      </c>
      <c r="B3">
        <f t="shared" ref="B3:B27" si="0">2*A3+2</f>
        <v>4</v>
      </c>
      <c r="C3">
        <f t="shared" ref="C3:C27" si="1">(A3+1)^2</f>
        <v>4</v>
      </c>
      <c r="D3">
        <v>7.5640000000000001</v>
      </c>
      <c r="E3">
        <f t="shared" ref="E3:E27" si="2">D3/B3</f>
        <v>1.891</v>
      </c>
      <c r="G3" t="s">
        <v>2</v>
      </c>
      <c r="H3">
        <f>1.89974-0.5*0.017369</f>
        <v>1.8910555</v>
      </c>
      <c r="J3" t="s">
        <v>60</v>
      </c>
      <c r="K3">
        <v>1.1718200000000001</v>
      </c>
      <c r="O3" t="s">
        <v>46</v>
      </c>
      <c r="P3" t="s">
        <v>45</v>
      </c>
    </row>
    <row r="4" spans="1:19" x14ac:dyDescent="0.25">
      <c r="A4">
        <v>2</v>
      </c>
      <c r="B4">
        <f t="shared" si="0"/>
        <v>6</v>
      </c>
      <c r="C4">
        <f t="shared" si="1"/>
        <v>9</v>
      </c>
      <c r="D4">
        <v>11.346</v>
      </c>
      <c r="E4">
        <f t="shared" si="2"/>
        <v>1.891</v>
      </c>
      <c r="G4" t="s">
        <v>3</v>
      </c>
      <c r="H4" s="1">
        <v>6.4846181619207103E-6</v>
      </c>
      <c r="N4" t="s">
        <v>47</v>
      </c>
      <c r="O4">
        <f>C2</f>
        <v>1</v>
      </c>
      <c r="P4">
        <f>E2</f>
        <v>1.891</v>
      </c>
      <c r="R4" t="s">
        <v>49</v>
      </c>
      <c r="S4">
        <f>(P5-P4)/(O5-O4)</f>
        <v>-1.2905982905982789E-5</v>
      </c>
    </row>
    <row r="5" spans="1:19" x14ac:dyDescent="0.25">
      <c r="A5">
        <v>3</v>
      </c>
      <c r="B5">
        <f t="shared" si="0"/>
        <v>8</v>
      </c>
      <c r="C5">
        <f t="shared" si="1"/>
        <v>16</v>
      </c>
      <c r="D5">
        <v>15.127000000000001</v>
      </c>
      <c r="E5">
        <f t="shared" si="2"/>
        <v>1.8908750000000001</v>
      </c>
      <c r="G5" t="s">
        <v>10</v>
      </c>
      <c r="H5" s="1">
        <f>12</f>
        <v>12</v>
      </c>
      <c r="I5" t="s">
        <v>59</v>
      </c>
      <c r="J5">
        <v>14.003074</v>
      </c>
      <c r="K5" t="s">
        <v>27</v>
      </c>
      <c r="L5" s="1">
        <f>J5*H5/(J5+H5)</f>
        <v>6.4621932006961949</v>
      </c>
      <c r="N5" t="s">
        <v>48</v>
      </c>
      <c r="O5">
        <f>C27</f>
        <v>676</v>
      </c>
      <c r="P5">
        <f>E27</f>
        <v>1.8822884615384616</v>
      </c>
      <c r="R5" t="s">
        <v>50</v>
      </c>
      <c r="S5">
        <f>P4-S4*O4</f>
        <v>1.8910129059829059</v>
      </c>
    </row>
    <row r="6" spans="1:19" x14ac:dyDescent="0.25">
      <c r="A6">
        <v>4</v>
      </c>
      <c r="B6">
        <f t="shared" si="0"/>
        <v>10</v>
      </c>
      <c r="C6">
        <f t="shared" si="1"/>
        <v>25</v>
      </c>
      <c r="D6">
        <v>18.907</v>
      </c>
      <c r="E6">
        <f t="shared" si="2"/>
        <v>1.8907</v>
      </c>
      <c r="K6" t="s">
        <v>13</v>
      </c>
      <c r="L6" s="1">
        <f>L5/6.022E+23/1000</f>
        <v>1.0730975092487869E-26</v>
      </c>
    </row>
    <row r="7" spans="1:19" x14ac:dyDescent="0.25">
      <c r="A7">
        <v>5</v>
      </c>
      <c r="B7">
        <f t="shared" si="0"/>
        <v>12</v>
      </c>
      <c r="C7">
        <f t="shared" si="1"/>
        <v>36</v>
      </c>
      <c r="D7">
        <v>22.687000000000001</v>
      </c>
      <c r="E7">
        <f t="shared" si="2"/>
        <v>1.8905833333333335</v>
      </c>
      <c r="G7" t="s">
        <v>4</v>
      </c>
      <c r="R7" t="s">
        <v>61</v>
      </c>
    </row>
    <row r="8" spans="1:19" x14ac:dyDescent="0.25">
      <c r="A8">
        <v>6</v>
      </c>
      <c r="B8">
        <f t="shared" si="0"/>
        <v>14</v>
      </c>
      <c r="C8">
        <f t="shared" si="1"/>
        <v>49</v>
      </c>
      <c r="D8">
        <v>26.466000000000001</v>
      </c>
      <c r="E8">
        <f t="shared" si="2"/>
        <v>1.8904285714285716</v>
      </c>
      <c r="G8" t="s">
        <v>2</v>
      </c>
      <c r="H8" s="3">
        <f>INTERCEPT(E2:E27,C2:C27)</f>
        <v>1.8910586991849105</v>
      </c>
      <c r="J8" t="s">
        <v>9</v>
      </c>
      <c r="K8" s="3">
        <f>SQRT(1.0546E-34/4/PI()/29980000000/H8/L6)</f>
        <v>1.1744946394830154E-10</v>
      </c>
    </row>
    <row r="9" spans="1:19" x14ac:dyDescent="0.25">
      <c r="A9">
        <v>7</v>
      </c>
      <c r="B9">
        <f t="shared" si="0"/>
        <v>16</v>
      </c>
      <c r="C9">
        <f t="shared" si="1"/>
        <v>64</v>
      </c>
      <c r="D9">
        <v>30.244</v>
      </c>
      <c r="E9">
        <f t="shared" si="2"/>
        <v>1.89025</v>
      </c>
      <c r="G9" t="s">
        <v>3</v>
      </c>
      <c r="H9" s="3">
        <f>-SLOPE(E2:E27,C2:C27)/2</f>
        <v>6.4900254854364529E-6</v>
      </c>
    </row>
    <row r="10" spans="1:19" x14ac:dyDescent="0.25">
      <c r="A10">
        <v>8</v>
      </c>
      <c r="B10">
        <f t="shared" si="0"/>
        <v>18</v>
      </c>
      <c r="C10">
        <f t="shared" si="1"/>
        <v>81</v>
      </c>
      <c r="D10">
        <v>34.020000000000003</v>
      </c>
      <c r="E10">
        <f t="shared" si="2"/>
        <v>1.8900000000000001</v>
      </c>
    </row>
    <row r="11" spans="1:19" x14ac:dyDescent="0.25">
      <c r="A11">
        <v>9</v>
      </c>
      <c r="B11">
        <f t="shared" si="0"/>
        <v>20</v>
      </c>
      <c r="C11">
        <f t="shared" si="1"/>
        <v>100</v>
      </c>
      <c r="D11">
        <v>37.795000000000002</v>
      </c>
      <c r="E11">
        <f t="shared" si="2"/>
        <v>1.88975</v>
      </c>
    </row>
    <row r="12" spans="1:19" x14ac:dyDescent="0.25">
      <c r="A12">
        <v>10</v>
      </c>
      <c r="B12">
        <f t="shared" si="0"/>
        <v>22</v>
      </c>
      <c r="C12">
        <f t="shared" si="1"/>
        <v>121</v>
      </c>
      <c r="D12">
        <v>41.569000000000003</v>
      </c>
      <c r="E12">
        <f t="shared" si="2"/>
        <v>1.8895000000000002</v>
      </c>
    </row>
    <row r="13" spans="1:19" x14ac:dyDescent="0.25">
      <c r="A13">
        <v>11</v>
      </c>
      <c r="B13">
        <f t="shared" si="0"/>
        <v>24</v>
      </c>
      <c r="C13">
        <f t="shared" si="1"/>
        <v>144</v>
      </c>
      <c r="D13">
        <v>45.341000000000001</v>
      </c>
      <c r="E13">
        <f t="shared" si="2"/>
        <v>1.8892083333333334</v>
      </c>
    </row>
    <row r="14" spans="1:19" x14ac:dyDescent="0.25">
      <c r="A14">
        <v>12</v>
      </c>
      <c r="B14">
        <f t="shared" si="0"/>
        <v>26</v>
      </c>
      <c r="C14">
        <f t="shared" si="1"/>
        <v>169</v>
      </c>
      <c r="D14">
        <v>49.11</v>
      </c>
      <c r="E14">
        <f t="shared" si="2"/>
        <v>1.8888461538461538</v>
      </c>
    </row>
    <row r="15" spans="1:19" x14ac:dyDescent="0.25">
      <c r="A15">
        <v>13</v>
      </c>
      <c r="B15">
        <f t="shared" si="0"/>
        <v>28</v>
      </c>
      <c r="C15">
        <f t="shared" si="1"/>
        <v>196</v>
      </c>
      <c r="D15">
        <v>52.878</v>
      </c>
      <c r="E15">
        <f t="shared" si="2"/>
        <v>1.8885000000000001</v>
      </c>
    </row>
    <row r="16" spans="1:19" x14ac:dyDescent="0.25">
      <c r="A16">
        <v>14</v>
      </c>
      <c r="B16">
        <f t="shared" si="0"/>
        <v>30</v>
      </c>
      <c r="C16">
        <f t="shared" si="1"/>
        <v>225</v>
      </c>
      <c r="D16">
        <v>56.643999999999998</v>
      </c>
      <c r="E16">
        <f t="shared" si="2"/>
        <v>1.8881333333333332</v>
      </c>
    </row>
    <row r="17" spans="1:10" x14ac:dyDescent="0.25">
      <c r="A17">
        <v>15</v>
      </c>
      <c r="B17">
        <f t="shared" si="0"/>
        <v>32</v>
      </c>
      <c r="C17">
        <f t="shared" si="1"/>
        <v>256</v>
      </c>
      <c r="D17">
        <v>60.408000000000001</v>
      </c>
      <c r="E17">
        <f t="shared" si="2"/>
        <v>1.88775</v>
      </c>
    </row>
    <row r="18" spans="1:10" x14ac:dyDescent="0.25">
      <c r="A18">
        <v>16</v>
      </c>
      <c r="B18">
        <f t="shared" si="0"/>
        <v>34</v>
      </c>
      <c r="C18">
        <f t="shared" si="1"/>
        <v>289</v>
      </c>
      <c r="D18">
        <v>64.168000000000006</v>
      </c>
      <c r="E18">
        <f t="shared" si="2"/>
        <v>1.887294117647059</v>
      </c>
    </row>
    <row r="19" spans="1:10" x14ac:dyDescent="0.25">
      <c r="A19">
        <v>17</v>
      </c>
      <c r="B19">
        <f t="shared" si="0"/>
        <v>36</v>
      </c>
      <c r="C19">
        <f t="shared" si="1"/>
        <v>324</v>
      </c>
      <c r="D19">
        <v>67.927000000000007</v>
      </c>
      <c r="E19">
        <f t="shared" si="2"/>
        <v>1.8868611111111113</v>
      </c>
    </row>
    <row r="20" spans="1:10" x14ac:dyDescent="0.25">
      <c r="A20">
        <v>18</v>
      </c>
      <c r="B20">
        <f t="shared" si="0"/>
        <v>38</v>
      </c>
      <c r="C20">
        <f t="shared" si="1"/>
        <v>361</v>
      </c>
      <c r="D20">
        <v>71.682000000000002</v>
      </c>
      <c r="E20">
        <f t="shared" si="2"/>
        <v>1.8863684210526317</v>
      </c>
    </row>
    <row r="21" spans="1:10" x14ac:dyDescent="0.25">
      <c r="A21">
        <v>19</v>
      </c>
      <c r="B21">
        <f t="shared" si="0"/>
        <v>40</v>
      </c>
      <c r="C21">
        <f t="shared" si="1"/>
        <v>400</v>
      </c>
      <c r="D21">
        <v>75.435000000000002</v>
      </c>
      <c r="E21">
        <f t="shared" si="2"/>
        <v>1.885875</v>
      </c>
    </row>
    <row r="22" spans="1:10" x14ac:dyDescent="0.25">
      <c r="A22">
        <v>20</v>
      </c>
      <c r="B22">
        <f t="shared" si="0"/>
        <v>42</v>
      </c>
      <c r="C22">
        <f t="shared" si="1"/>
        <v>441</v>
      </c>
      <c r="D22">
        <v>79.183999999999997</v>
      </c>
      <c r="E22">
        <f t="shared" si="2"/>
        <v>1.8853333333333333</v>
      </c>
    </row>
    <row r="23" spans="1:10" x14ac:dyDescent="0.25">
      <c r="A23">
        <v>21</v>
      </c>
      <c r="B23">
        <f t="shared" si="0"/>
        <v>44</v>
      </c>
      <c r="C23">
        <f t="shared" si="1"/>
        <v>484</v>
      </c>
      <c r="D23">
        <v>82.93</v>
      </c>
      <c r="E23">
        <f t="shared" si="2"/>
        <v>1.8847727272727275</v>
      </c>
    </row>
    <row r="24" spans="1:10" x14ac:dyDescent="0.25">
      <c r="A24">
        <v>22</v>
      </c>
      <c r="B24">
        <f t="shared" si="0"/>
        <v>46</v>
      </c>
      <c r="C24">
        <f t="shared" si="1"/>
        <v>529</v>
      </c>
      <c r="D24">
        <v>86.673000000000002</v>
      </c>
      <c r="E24">
        <f t="shared" si="2"/>
        <v>1.8841956521739132</v>
      </c>
    </row>
    <row r="25" spans="1:10" x14ac:dyDescent="0.25">
      <c r="A25">
        <v>23</v>
      </c>
      <c r="B25">
        <f t="shared" si="0"/>
        <v>48</v>
      </c>
      <c r="C25">
        <f t="shared" si="1"/>
        <v>576</v>
      </c>
      <c r="D25">
        <v>90.412000000000006</v>
      </c>
      <c r="E25">
        <f t="shared" si="2"/>
        <v>1.8835833333333334</v>
      </c>
    </row>
    <row r="26" spans="1:10" x14ac:dyDescent="0.25">
      <c r="A26">
        <v>24</v>
      </c>
      <c r="B26">
        <f t="shared" si="0"/>
        <v>50</v>
      </c>
      <c r="C26">
        <f t="shared" si="1"/>
        <v>625</v>
      </c>
      <c r="D26">
        <v>94.147000000000006</v>
      </c>
      <c r="E26">
        <f t="shared" si="2"/>
        <v>1.8829400000000001</v>
      </c>
    </row>
    <row r="27" spans="1:10" x14ac:dyDescent="0.25">
      <c r="A27">
        <v>25</v>
      </c>
      <c r="B27">
        <f t="shared" si="0"/>
        <v>52</v>
      </c>
      <c r="C27">
        <f t="shared" si="1"/>
        <v>676</v>
      </c>
      <c r="D27">
        <v>97.879000000000005</v>
      </c>
      <c r="E27">
        <f t="shared" si="2"/>
        <v>1.8822884615384616</v>
      </c>
    </row>
    <row r="30" spans="1:10" x14ac:dyDescent="0.25">
      <c r="A30" t="s">
        <v>15</v>
      </c>
      <c r="B30" s="9">
        <v>298</v>
      </c>
      <c r="C30" t="s">
        <v>16</v>
      </c>
      <c r="D30">
        <f>B30*1.3806488E-23/6.626E-34/29980000000</f>
        <v>207.11732280721611</v>
      </c>
      <c r="G30" t="s">
        <v>62</v>
      </c>
      <c r="H30" s="9">
        <v>7</v>
      </c>
      <c r="I30" t="s">
        <v>63</v>
      </c>
      <c r="J30" s="3">
        <f>(H30+0.5)^2*2*6.626E-34*29980000000*H8/1.381E-23</f>
        <v>306.017958555978</v>
      </c>
    </row>
    <row r="31" spans="1:10" x14ac:dyDescent="0.25">
      <c r="A31" t="s">
        <v>0</v>
      </c>
      <c r="B31" t="s">
        <v>14</v>
      </c>
      <c r="C31" t="s">
        <v>17</v>
      </c>
      <c r="D31" t="s">
        <v>18</v>
      </c>
      <c r="E31" t="s">
        <v>19</v>
      </c>
    </row>
    <row r="32" spans="1:10" x14ac:dyDescent="0.25">
      <c r="A32">
        <v>0</v>
      </c>
      <c r="B32">
        <f>$H$8*A32*(A32+1)-$H$9*A32^2*(A32+1)^2</f>
        <v>0</v>
      </c>
      <c r="C32">
        <f>EXP(-B32/$D$30)</f>
        <v>1</v>
      </c>
      <c r="D32">
        <f>2*A32+1</f>
        <v>1</v>
      </c>
      <c r="E32">
        <f>D32*C32</f>
        <v>1</v>
      </c>
    </row>
    <row r="33" spans="1:5" x14ac:dyDescent="0.25">
      <c r="A33">
        <v>1</v>
      </c>
      <c r="B33">
        <f t="shared" ref="B33:B57" si="3">$H$8*A33*(A33+1)-$H$9*A33^2*(A33+1)^2</f>
        <v>3.7820914382678792</v>
      </c>
      <c r="C33">
        <f t="shared" ref="C33:C57" si="4">EXP(-B33/$D$30)</f>
        <v>0.98190509153166372</v>
      </c>
      <c r="D33">
        <f t="shared" ref="D33:D57" si="5">2*A33+1</f>
        <v>3</v>
      </c>
      <c r="E33">
        <f t="shared" ref="E33:E57" si="6">D33*C33</f>
        <v>2.9457152745949911</v>
      </c>
    </row>
    <row r="34" spans="1:5" x14ac:dyDescent="0.25">
      <c r="A34">
        <v>2</v>
      </c>
      <c r="B34">
        <f t="shared" si="3"/>
        <v>11.346118554191989</v>
      </c>
      <c r="C34">
        <f t="shared" si="4"/>
        <v>0.94669233894482285</v>
      </c>
      <c r="D34">
        <f t="shared" si="5"/>
        <v>5</v>
      </c>
      <c r="E34">
        <f t="shared" si="6"/>
        <v>4.7334616947241139</v>
      </c>
    </row>
    <row r="35" spans="1:5" x14ac:dyDescent="0.25">
      <c r="A35">
        <v>3</v>
      </c>
      <c r="B35">
        <f t="shared" si="3"/>
        <v>22.691769826549024</v>
      </c>
      <c r="C35">
        <f t="shared" si="4"/>
        <v>0.89622840661467196</v>
      </c>
      <c r="D35">
        <f t="shared" si="5"/>
        <v>7</v>
      </c>
      <c r="E35">
        <f t="shared" si="6"/>
        <v>6.2735988463027041</v>
      </c>
    </row>
    <row r="36" spans="1:5" x14ac:dyDescent="0.25">
      <c r="A36">
        <v>4</v>
      </c>
      <c r="B36">
        <f t="shared" si="3"/>
        <v>37.818577973504034</v>
      </c>
      <c r="C36">
        <f t="shared" si="4"/>
        <v>0.83310553369924634</v>
      </c>
      <c r="D36">
        <f t="shared" si="5"/>
        <v>9</v>
      </c>
      <c r="E36">
        <f t="shared" si="6"/>
        <v>7.497949803293217</v>
      </c>
    </row>
    <row r="37" spans="1:5" x14ac:dyDescent="0.25">
      <c r="A37">
        <v>5</v>
      </c>
      <c r="B37">
        <f t="shared" si="3"/>
        <v>56.725919952610425</v>
      </c>
      <c r="C37">
        <f t="shared" si="4"/>
        <v>0.76042101644410554</v>
      </c>
      <c r="D37">
        <f t="shared" si="5"/>
        <v>11</v>
      </c>
      <c r="E37">
        <f t="shared" si="6"/>
        <v>8.3646311808851603</v>
      </c>
    </row>
    <row r="38" spans="1:5" x14ac:dyDescent="0.25">
      <c r="A38">
        <v>6</v>
      </c>
      <c r="B38">
        <f t="shared" si="3"/>
        <v>79.413016960809941</v>
      </c>
      <c r="C38">
        <f t="shared" si="4"/>
        <v>0.68152629181142677</v>
      </c>
      <c r="D38">
        <f t="shared" si="5"/>
        <v>13</v>
      </c>
      <c r="E38">
        <f t="shared" si="6"/>
        <v>8.8598417935485472</v>
      </c>
    </row>
    <row r="39" spans="1:5" x14ac:dyDescent="0.25">
      <c r="A39">
        <v>7</v>
      </c>
      <c r="B39">
        <f t="shared" si="3"/>
        <v>105.87893443443267</v>
      </c>
      <c r="C39">
        <f t="shared" si="4"/>
        <v>0.59977379749336135</v>
      </c>
      <c r="D39">
        <f t="shared" si="5"/>
        <v>15</v>
      </c>
      <c r="E39">
        <f t="shared" si="6"/>
        <v>8.9966069624004206</v>
      </c>
    </row>
    <row r="40" spans="1:5" x14ac:dyDescent="0.25">
      <c r="A40">
        <v>8</v>
      </c>
      <c r="B40">
        <f t="shared" si="3"/>
        <v>136.12258204919706</v>
      </c>
      <c r="C40">
        <f t="shared" si="4"/>
        <v>0.51828784014781226</v>
      </c>
      <c r="D40">
        <f t="shared" si="5"/>
        <v>17</v>
      </c>
      <c r="E40">
        <f t="shared" si="6"/>
        <v>8.8108932825128079</v>
      </c>
    </row>
    <row r="41" spans="1:5" x14ac:dyDescent="0.25">
      <c r="A41">
        <v>9</v>
      </c>
      <c r="B41">
        <f t="shared" si="3"/>
        <v>170.14271372020991</v>
      </c>
      <c r="C41">
        <f t="shared" si="4"/>
        <v>0.43978035005566968</v>
      </c>
      <c r="D41">
        <f t="shared" si="5"/>
        <v>19</v>
      </c>
      <c r="E41">
        <f t="shared" si="6"/>
        <v>8.3558266510577237</v>
      </c>
    </row>
    <row r="42" spans="1:5" x14ac:dyDescent="0.25">
      <c r="A42">
        <v>10</v>
      </c>
      <c r="B42">
        <f t="shared" si="3"/>
        <v>207.93792760196635</v>
      </c>
      <c r="C42">
        <f t="shared" si="4"/>
        <v>0.36642477585209871</v>
      </c>
      <c r="D42">
        <f t="shared" si="5"/>
        <v>21</v>
      </c>
      <c r="E42">
        <f t="shared" si="6"/>
        <v>7.6949202928940732</v>
      </c>
    </row>
    <row r="43" spans="1:5" x14ac:dyDescent="0.25">
      <c r="A43">
        <v>11</v>
      </c>
      <c r="B43">
        <f t="shared" si="3"/>
        <v>249.50666608834993</v>
      </c>
      <c r="C43">
        <f t="shared" si="4"/>
        <v>0.29979288153457834</v>
      </c>
      <c r="D43">
        <f t="shared" si="5"/>
        <v>23</v>
      </c>
      <c r="E43">
        <f t="shared" si="6"/>
        <v>6.8952362752953018</v>
      </c>
    </row>
    <row r="44" spans="1:5" x14ac:dyDescent="0.25">
      <c r="A44">
        <v>12</v>
      </c>
      <c r="B44">
        <f t="shared" si="3"/>
        <v>294.8472158126325</v>
      </c>
      <c r="C44">
        <f t="shared" si="4"/>
        <v>0.24085123090159022</v>
      </c>
      <c r="D44">
        <f t="shared" si="5"/>
        <v>25</v>
      </c>
      <c r="E44">
        <f t="shared" si="6"/>
        <v>6.0212807725397557</v>
      </c>
    </row>
    <row r="45" spans="1:5" x14ac:dyDescent="0.25">
      <c r="A45">
        <v>13</v>
      </c>
      <c r="B45">
        <f t="shared" si="3"/>
        <v>343.95770764747414</v>
      </c>
      <c r="C45">
        <f t="shared" si="4"/>
        <v>0.19000779199593834</v>
      </c>
      <c r="D45">
        <f t="shared" si="5"/>
        <v>27</v>
      </c>
      <c r="E45">
        <f t="shared" si="6"/>
        <v>5.1302103838903355</v>
      </c>
    </row>
    <row r="46" spans="1:5" x14ac:dyDescent="0.25">
      <c r="A46">
        <v>14</v>
      </c>
      <c r="B46">
        <f t="shared" si="3"/>
        <v>396.83611670492348</v>
      </c>
      <c r="C46">
        <f t="shared" si="4"/>
        <v>0.14719504325381269</v>
      </c>
      <c r="D46">
        <f t="shared" si="5"/>
        <v>29</v>
      </c>
      <c r="E46">
        <f t="shared" si="6"/>
        <v>4.2686562543605682</v>
      </c>
    </row>
    <row r="47" spans="1:5" x14ac:dyDescent="0.25">
      <c r="A47">
        <v>15</v>
      </c>
      <c r="B47">
        <f t="shared" si="3"/>
        <v>453.48026233641741</v>
      </c>
      <c r="C47">
        <f t="shared" si="4"/>
        <v>0.11197440555546527</v>
      </c>
      <c r="D47">
        <f t="shared" si="5"/>
        <v>31</v>
      </c>
      <c r="E47">
        <f t="shared" si="6"/>
        <v>3.4712065722194234</v>
      </c>
    </row>
    <row r="48" spans="1:5" x14ac:dyDescent="0.25">
      <c r="A48">
        <v>16</v>
      </c>
      <c r="B48">
        <f t="shared" si="3"/>
        <v>513.88780813278117</v>
      </c>
      <c r="C48">
        <f t="shared" si="4"/>
        <v>8.3647516344512979E-2</v>
      </c>
      <c r="D48">
        <f t="shared" si="5"/>
        <v>33</v>
      </c>
      <c r="E48">
        <f t="shared" si="6"/>
        <v>2.7603680393689283</v>
      </c>
    </row>
    <row r="49" spans="1:5" x14ac:dyDescent="0.25">
      <c r="A49">
        <v>17</v>
      </c>
      <c r="B49">
        <f t="shared" si="3"/>
        <v>578.05626192422824</v>
      </c>
      <c r="C49">
        <f t="shared" si="4"/>
        <v>6.1362248613016111E-2</v>
      </c>
      <c r="D49">
        <f t="shared" si="5"/>
        <v>35</v>
      </c>
      <c r="E49">
        <f t="shared" si="6"/>
        <v>2.1476787014555638</v>
      </c>
    </row>
    <row r="50" spans="1:5" x14ac:dyDescent="0.25">
      <c r="A50">
        <v>18</v>
      </c>
      <c r="B50">
        <f t="shared" si="3"/>
        <v>645.98297578036079</v>
      </c>
      <c r="C50">
        <f t="shared" si="4"/>
        <v>4.4204752594025253E-2</v>
      </c>
      <c r="D50">
        <f t="shared" si="5"/>
        <v>37</v>
      </c>
      <c r="E50">
        <f t="shared" si="6"/>
        <v>1.6355758459789342</v>
      </c>
    </row>
    <row r="51" spans="1:5" x14ac:dyDescent="0.25">
      <c r="A51">
        <v>19</v>
      </c>
      <c r="B51">
        <f t="shared" si="3"/>
        <v>717.665146010169</v>
      </c>
      <c r="C51">
        <f t="shared" si="4"/>
        <v>3.1272458466070754E-2</v>
      </c>
      <c r="D51">
        <f t="shared" si="5"/>
        <v>39</v>
      </c>
      <c r="E51">
        <f t="shared" si="6"/>
        <v>1.2196258801767594</v>
      </c>
    </row>
    <row r="52" spans="1:5" x14ac:dyDescent="0.25">
      <c r="A52">
        <v>20</v>
      </c>
      <c r="B52">
        <f t="shared" si="3"/>
        <v>793.09981316203141</v>
      </c>
      <c r="C52">
        <f t="shared" si="4"/>
        <v>2.1726344015358022E-2</v>
      </c>
      <c r="D52">
        <f t="shared" si="5"/>
        <v>41</v>
      </c>
      <c r="E52">
        <f t="shared" si="6"/>
        <v>0.89078010462967894</v>
      </c>
    </row>
    <row r="53" spans="1:5" x14ac:dyDescent="0.25">
      <c r="A53">
        <v>21</v>
      </c>
      <c r="B53">
        <f t="shared" si="3"/>
        <v>872.28386202371507</v>
      </c>
      <c r="C53">
        <f t="shared" si="4"/>
        <v>1.4823452936632085E-2</v>
      </c>
      <c r="D53">
        <f t="shared" si="5"/>
        <v>43</v>
      </c>
      <c r="E53">
        <f t="shared" si="6"/>
        <v>0.63740847627517971</v>
      </c>
    </row>
    <row r="54" spans="1:5" x14ac:dyDescent="0.25">
      <c r="A54">
        <v>22</v>
      </c>
      <c r="B54">
        <f t="shared" si="3"/>
        <v>955.21402162237553</v>
      </c>
      <c r="C54">
        <f t="shared" si="4"/>
        <v>9.9324654733566834E-3</v>
      </c>
      <c r="D54">
        <f t="shared" si="5"/>
        <v>45</v>
      </c>
      <c r="E54">
        <f t="shared" si="6"/>
        <v>0.44696094630105077</v>
      </c>
    </row>
    <row r="55" spans="1:5" x14ac:dyDescent="0.25">
      <c r="A55">
        <v>23</v>
      </c>
      <c r="B55">
        <f t="shared" si="3"/>
        <v>1041.886865224556</v>
      </c>
      <c r="C55">
        <f t="shared" si="4"/>
        <v>6.5360729813254215E-3</v>
      </c>
      <c r="D55">
        <f t="shared" si="5"/>
        <v>47</v>
      </c>
      <c r="E55">
        <f t="shared" si="6"/>
        <v>0.30719543012229483</v>
      </c>
    </row>
    <row r="56" spans="1:5" x14ac:dyDescent="0.25">
      <c r="A56">
        <v>24</v>
      </c>
      <c r="B56">
        <f t="shared" si="3"/>
        <v>1132.2988103361893</v>
      </c>
      <c r="C56">
        <f t="shared" si="4"/>
        <v>4.2241212637483113E-3</v>
      </c>
      <c r="D56">
        <f t="shared" si="5"/>
        <v>49</v>
      </c>
      <c r="E56">
        <f t="shared" si="6"/>
        <v>0.20698194192366726</v>
      </c>
    </row>
    <row r="57" spans="1:5" x14ac:dyDescent="0.25">
      <c r="A57">
        <v>25</v>
      </c>
      <c r="B57">
        <f t="shared" si="3"/>
        <v>1226.446118702595</v>
      </c>
      <c r="C57">
        <f t="shared" si="4"/>
        <v>2.6811638528220941E-3</v>
      </c>
      <c r="D57">
        <f t="shared" si="5"/>
        <v>51</v>
      </c>
      <c r="E57">
        <f t="shared" si="6"/>
        <v>0.13673935649392679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2631-294F-494D-9269-3DFAB8A4A463}">
  <dimension ref="A1:T18"/>
  <sheetViews>
    <sheetView workbookViewId="0">
      <selection activeCell="C22" sqref="C22"/>
    </sheetView>
  </sheetViews>
  <sheetFormatPr defaultRowHeight="15" x14ac:dyDescent="0.25"/>
  <cols>
    <col min="8" max="8" width="10.28515625" bestFit="1" customWidth="1"/>
  </cols>
  <sheetData>
    <row r="1" spans="1:20" x14ac:dyDescent="0.25">
      <c r="A1" t="s">
        <v>25</v>
      </c>
      <c r="B1" t="s">
        <v>32</v>
      </c>
      <c r="C1" t="s">
        <v>26</v>
      </c>
    </row>
    <row r="2" spans="1:20" x14ac:dyDescent="0.25">
      <c r="A2">
        <v>0</v>
      </c>
      <c r="B2">
        <f>A2+0.5</f>
        <v>0.5</v>
      </c>
      <c r="C2">
        <f>$H$9-2*(A2+1)*$H$10</f>
        <v>2042.4160000000002</v>
      </c>
      <c r="G2" t="s">
        <v>8</v>
      </c>
      <c r="O2" t="s">
        <v>46</v>
      </c>
      <c r="P2" t="s">
        <v>45</v>
      </c>
    </row>
    <row r="3" spans="1:20" x14ac:dyDescent="0.25">
      <c r="A3">
        <v>1</v>
      </c>
      <c r="B3">
        <f t="shared" ref="B3:B6" si="0">A3+0.5</f>
        <v>1.5</v>
      </c>
      <c r="C3">
        <f>$H$9-2*(A3+1)*$H$10</f>
        <v>2016.2420000000002</v>
      </c>
      <c r="G3" t="s">
        <v>20</v>
      </c>
      <c r="H3">
        <f>1.89974-0.5*0.017369</f>
        <v>1.8910555</v>
      </c>
      <c r="J3" t="s">
        <v>60</v>
      </c>
      <c r="K3">
        <v>1.1718200000000001</v>
      </c>
      <c r="N3" t="s">
        <v>47</v>
      </c>
      <c r="O3">
        <f>B2</f>
        <v>0.5</v>
      </c>
      <c r="P3">
        <f>C2</f>
        <v>2042.4160000000002</v>
      </c>
      <c r="R3" t="s">
        <v>49</v>
      </c>
      <c r="S3" s="6">
        <f>(P4-P3)/(O4-O3)</f>
        <v>-26.173999999999978</v>
      </c>
    </row>
    <row r="4" spans="1:20" x14ac:dyDescent="0.25">
      <c r="A4">
        <v>2</v>
      </c>
      <c r="B4">
        <f t="shared" si="0"/>
        <v>2.5</v>
      </c>
      <c r="C4">
        <f>$H$9-2*(A4+1)*$H$10</f>
        <v>1990.0680000000002</v>
      </c>
      <c r="G4" t="s">
        <v>21</v>
      </c>
      <c r="H4" s="1">
        <v>6.4846181619207103E-6</v>
      </c>
      <c r="N4" t="s">
        <v>48</v>
      </c>
      <c r="O4">
        <f>B6</f>
        <v>4.5</v>
      </c>
      <c r="P4">
        <f>C6</f>
        <v>1937.7200000000003</v>
      </c>
      <c r="R4" t="s">
        <v>50</v>
      </c>
      <c r="S4">
        <f>P3-O3*S3</f>
        <v>2055.5030000000002</v>
      </c>
    </row>
    <row r="5" spans="1:20" x14ac:dyDescent="0.25">
      <c r="A5">
        <v>3</v>
      </c>
      <c r="B5">
        <f t="shared" si="0"/>
        <v>3.5</v>
      </c>
      <c r="C5">
        <f>$H$9-2*(A5+1)*$H$10</f>
        <v>1963.8940000000002</v>
      </c>
      <c r="G5" t="s">
        <v>22</v>
      </c>
      <c r="H5">
        <f>1.89974-1.5*0.017369</f>
        <v>1.8736865</v>
      </c>
      <c r="R5" t="s">
        <v>38</v>
      </c>
      <c r="S5">
        <f>-S4/S3</f>
        <v>78.532245740047443</v>
      </c>
    </row>
    <row r="6" spans="1:20" x14ac:dyDescent="0.25">
      <c r="A6">
        <v>4</v>
      </c>
      <c r="B6">
        <f t="shared" si="0"/>
        <v>4.5</v>
      </c>
      <c r="C6">
        <f>$H$9-2*(A6+1)*$H$10</f>
        <v>1937.7200000000003</v>
      </c>
      <c r="G6" t="s">
        <v>23</v>
      </c>
      <c r="H6" s="1">
        <v>6.4724016504890903E-6</v>
      </c>
      <c r="R6" t="s">
        <v>54</v>
      </c>
      <c r="S6" s="3">
        <f>-0.5*S3+S4</f>
        <v>2068.59</v>
      </c>
      <c r="T6" t="s">
        <v>58</v>
      </c>
    </row>
    <row r="7" spans="1:20" x14ac:dyDescent="0.25">
      <c r="G7" t="s">
        <v>10</v>
      </c>
      <c r="H7">
        <f>12</f>
        <v>12</v>
      </c>
      <c r="I7" t="s">
        <v>59</v>
      </c>
      <c r="J7">
        <v>14.003074</v>
      </c>
      <c r="K7" t="s">
        <v>12</v>
      </c>
      <c r="L7">
        <f>J7*H7/(J7+H7)</f>
        <v>6.4621932006961949</v>
      </c>
      <c r="R7" t="s">
        <v>21</v>
      </c>
      <c r="S7" s="3">
        <f>0.5*S3*S5^2+S4*S5</f>
        <v>80711.633357702376</v>
      </c>
    </row>
    <row r="8" spans="1:20" x14ac:dyDescent="0.25">
      <c r="K8" t="s">
        <v>13</v>
      </c>
      <c r="L8">
        <f>L7/6.022E+23/1000</f>
        <v>1.0730975092487869E-26</v>
      </c>
      <c r="R8" s="6" t="s">
        <v>66</v>
      </c>
      <c r="S8" s="3">
        <f>-S3/2</f>
        <v>13.086999999999989</v>
      </c>
    </row>
    <row r="9" spans="1:20" x14ac:dyDescent="0.25">
      <c r="G9" t="s">
        <v>29</v>
      </c>
      <c r="H9">
        <v>2068.59</v>
      </c>
      <c r="R9" s="6" t="s">
        <v>67</v>
      </c>
      <c r="S9" s="3">
        <f>S7+0.5*S6</f>
        <v>81745.928357702374</v>
      </c>
    </row>
    <row r="10" spans="1:20" x14ac:dyDescent="0.25">
      <c r="G10" t="s">
        <v>30</v>
      </c>
      <c r="H10">
        <v>13.087</v>
      </c>
    </row>
    <row r="12" spans="1:20" x14ac:dyDescent="0.25">
      <c r="E12" t="s">
        <v>34</v>
      </c>
    </row>
    <row r="13" spans="1:20" x14ac:dyDescent="0.25">
      <c r="D13" t="s">
        <v>31</v>
      </c>
      <c r="E13" s="6">
        <f t="array" ref="E13:F13">LINEST(C2:C6,B2:B6)</f>
        <v>-26.173999999999971</v>
      </c>
      <c r="F13">
        <v>2055.5029999999997</v>
      </c>
      <c r="G13" t="s">
        <v>36</v>
      </c>
    </row>
    <row r="14" spans="1:20" x14ac:dyDescent="0.25">
      <c r="E14" t="s">
        <v>38</v>
      </c>
      <c r="F14">
        <f>-F13/E13</f>
        <v>78.532245740047458</v>
      </c>
    </row>
    <row r="15" spans="1:20" x14ac:dyDescent="0.25">
      <c r="E15" t="s">
        <v>21</v>
      </c>
      <c r="F15" s="3">
        <f>0.5*E13*F14^2+F13*F14</f>
        <v>80711.633357702376</v>
      </c>
    </row>
    <row r="16" spans="1:20" x14ac:dyDescent="0.25">
      <c r="E16" t="s">
        <v>64</v>
      </c>
      <c r="F16" s="3">
        <f>E13*-0.5+F13</f>
        <v>2068.5899999999997</v>
      </c>
    </row>
    <row r="17" spans="4:6" x14ac:dyDescent="0.25">
      <c r="D17" s="6"/>
      <c r="E17" s="6" t="s">
        <v>66</v>
      </c>
      <c r="F17" s="3">
        <f>-E13/2</f>
        <v>13.086999999999986</v>
      </c>
    </row>
    <row r="18" spans="4:6" x14ac:dyDescent="0.25">
      <c r="D18" s="6"/>
      <c r="E18" s="6" t="s">
        <v>67</v>
      </c>
      <c r="F18" s="3">
        <f>F15+0.5*F16</f>
        <v>81745.928357702374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178-5CCE-4476-9AF4-5D070F60D9A9}">
  <dimension ref="A1:P53"/>
  <sheetViews>
    <sheetView workbookViewId="0">
      <selection activeCell="M11" sqref="M11"/>
    </sheetView>
  </sheetViews>
  <sheetFormatPr defaultRowHeight="15" x14ac:dyDescent="0.25"/>
  <cols>
    <col min="3" max="3" width="28.28515625" bestFit="1" customWidth="1"/>
    <col min="12" max="12" width="12" bestFit="1" customWidth="1"/>
  </cols>
  <sheetData>
    <row r="1" spans="1:16" x14ac:dyDescent="0.25">
      <c r="A1" t="s">
        <v>24</v>
      </c>
      <c r="B1" t="s">
        <v>1</v>
      </c>
      <c r="E1" t="s">
        <v>31</v>
      </c>
      <c r="F1" s="4" t="s">
        <v>40</v>
      </c>
      <c r="G1" s="5" t="s">
        <v>43</v>
      </c>
      <c r="H1" s="5" t="s">
        <v>44</v>
      </c>
    </row>
    <row r="2" spans="1:16" x14ac:dyDescent="0.25">
      <c r="A2">
        <v>25</v>
      </c>
      <c r="B2">
        <v>1937.8520000000001</v>
      </c>
      <c r="E2">
        <f t="shared" ref="E2:E26" si="0">-A2</f>
        <v>-25</v>
      </c>
      <c r="F2">
        <f>B3-B2</f>
        <v>4.5679999999999836</v>
      </c>
      <c r="G2">
        <f>E2</f>
        <v>-25</v>
      </c>
      <c r="H2">
        <f>F2</f>
        <v>4.5679999999999836</v>
      </c>
      <c r="K2" t="s">
        <v>8</v>
      </c>
    </row>
    <row r="3" spans="1:16" x14ac:dyDescent="0.25">
      <c r="A3">
        <v>24</v>
      </c>
      <c r="B3">
        <v>1942.42</v>
      </c>
      <c r="E3">
        <f t="shared" si="0"/>
        <v>-24</v>
      </c>
      <c r="F3">
        <f t="shared" ref="F3:F52" si="1">B4-B3</f>
        <v>4.5370000000000346</v>
      </c>
      <c r="G3">
        <f t="shared" ref="G3:H25" si="2">E3</f>
        <v>-24</v>
      </c>
      <c r="H3">
        <f t="shared" si="2"/>
        <v>4.5370000000000346</v>
      </c>
      <c r="K3" t="s">
        <v>20</v>
      </c>
      <c r="L3">
        <f>1.89974-0.5*0.017369</f>
        <v>1.8910555</v>
      </c>
      <c r="N3" t="s">
        <v>9</v>
      </c>
      <c r="O3">
        <v>1.1718200000000001</v>
      </c>
    </row>
    <row r="4" spans="1:16" x14ac:dyDescent="0.25">
      <c r="A4">
        <v>23</v>
      </c>
      <c r="B4">
        <v>1946.9570000000001</v>
      </c>
      <c r="E4">
        <f t="shared" si="0"/>
        <v>-23</v>
      </c>
      <c r="F4">
        <f t="shared" si="1"/>
        <v>4.5069999999998345</v>
      </c>
      <c r="G4">
        <f t="shared" si="2"/>
        <v>-23</v>
      </c>
      <c r="H4">
        <f t="shared" si="2"/>
        <v>4.5069999999998345</v>
      </c>
      <c r="K4" t="s">
        <v>21</v>
      </c>
      <c r="L4" s="1">
        <v>6.4846181619207103E-6</v>
      </c>
      <c r="N4" t="s">
        <v>41</v>
      </c>
      <c r="O4">
        <v>1.7368999999999999E-2</v>
      </c>
    </row>
    <row r="5" spans="1:16" x14ac:dyDescent="0.25">
      <c r="A5">
        <v>22</v>
      </c>
      <c r="B5">
        <v>1951.4639999999999</v>
      </c>
      <c r="E5">
        <f t="shared" si="0"/>
        <v>-22</v>
      </c>
      <c r="F5">
        <f t="shared" si="1"/>
        <v>4.4750000000001364</v>
      </c>
      <c r="G5">
        <f t="shared" si="2"/>
        <v>-22</v>
      </c>
      <c r="H5">
        <f t="shared" si="2"/>
        <v>4.4750000000001364</v>
      </c>
      <c r="K5" t="s">
        <v>22</v>
      </c>
      <c r="L5">
        <f>1.89974-1.5*0.017369</f>
        <v>1.8736865</v>
      </c>
      <c r="N5" t="s">
        <v>42</v>
      </c>
      <c r="O5">
        <v>1.89974</v>
      </c>
    </row>
    <row r="6" spans="1:16" x14ac:dyDescent="0.25">
      <c r="A6">
        <v>21</v>
      </c>
      <c r="B6">
        <v>1955.9390000000001</v>
      </c>
      <c r="E6">
        <f t="shared" si="0"/>
        <v>-21</v>
      </c>
      <c r="F6">
        <f t="shared" si="1"/>
        <v>4.44399999999996</v>
      </c>
      <c r="G6">
        <f t="shared" si="2"/>
        <v>-21</v>
      </c>
      <c r="H6">
        <f t="shared" si="2"/>
        <v>4.44399999999996</v>
      </c>
      <c r="K6" t="s">
        <v>23</v>
      </c>
      <c r="L6" s="1">
        <v>6.4724016504890903E-6</v>
      </c>
    </row>
    <row r="7" spans="1:16" x14ac:dyDescent="0.25">
      <c r="A7">
        <v>20</v>
      </c>
      <c r="B7">
        <v>1960.383</v>
      </c>
      <c r="E7">
        <f t="shared" si="0"/>
        <v>-20</v>
      </c>
      <c r="F7">
        <f t="shared" si="1"/>
        <v>4.4120000000000346</v>
      </c>
      <c r="G7">
        <f t="shared" si="2"/>
        <v>-20</v>
      </c>
      <c r="H7">
        <f t="shared" si="2"/>
        <v>4.4120000000000346</v>
      </c>
      <c r="K7" t="s">
        <v>10</v>
      </c>
      <c r="L7">
        <f>12</f>
        <v>12</v>
      </c>
      <c r="M7" t="s">
        <v>59</v>
      </c>
      <c r="N7">
        <v>14.003074</v>
      </c>
      <c r="O7" t="s">
        <v>12</v>
      </c>
      <c r="P7">
        <f>N7*L7/(N7+L7)</f>
        <v>6.4621932006961949</v>
      </c>
    </row>
    <row r="8" spans="1:16" x14ac:dyDescent="0.25">
      <c r="A8">
        <v>19</v>
      </c>
      <c r="B8">
        <v>1964.7950000000001</v>
      </c>
      <c r="E8">
        <f t="shared" si="0"/>
        <v>-19</v>
      </c>
      <c r="F8">
        <f t="shared" si="1"/>
        <v>4.3809999999998581</v>
      </c>
      <c r="G8">
        <f t="shared" si="2"/>
        <v>-19</v>
      </c>
      <c r="H8">
        <f t="shared" si="2"/>
        <v>4.3809999999998581</v>
      </c>
      <c r="O8" t="s">
        <v>13</v>
      </c>
      <c r="P8">
        <f>P7/6.022E+23/1000</f>
        <v>1.0730975092487869E-26</v>
      </c>
    </row>
    <row r="9" spans="1:16" x14ac:dyDescent="0.25">
      <c r="A9">
        <v>18</v>
      </c>
      <c r="B9">
        <v>1969.1759999999999</v>
      </c>
      <c r="E9">
        <f t="shared" si="0"/>
        <v>-18</v>
      </c>
      <c r="F9">
        <f t="shared" si="1"/>
        <v>4.3479999999999563</v>
      </c>
      <c r="G9">
        <f t="shared" si="2"/>
        <v>-18</v>
      </c>
      <c r="H9">
        <f t="shared" si="2"/>
        <v>4.3479999999999563</v>
      </c>
      <c r="K9" t="s">
        <v>29</v>
      </c>
      <c r="L9">
        <v>2068.59</v>
      </c>
    </row>
    <row r="10" spans="1:16" x14ac:dyDescent="0.25">
      <c r="A10">
        <v>17</v>
      </c>
      <c r="B10">
        <v>1973.5239999999999</v>
      </c>
      <c r="E10">
        <f t="shared" si="0"/>
        <v>-17</v>
      </c>
      <c r="F10">
        <f t="shared" si="1"/>
        <v>4.3170000000000073</v>
      </c>
      <c r="G10">
        <f t="shared" si="2"/>
        <v>-17</v>
      </c>
      <c r="H10">
        <f t="shared" si="2"/>
        <v>4.3170000000000073</v>
      </c>
      <c r="K10" t="s">
        <v>30</v>
      </c>
      <c r="L10">
        <v>13.087</v>
      </c>
    </row>
    <row r="11" spans="1:16" x14ac:dyDescent="0.25">
      <c r="A11">
        <v>16</v>
      </c>
      <c r="B11">
        <v>1977.8409999999999</v>
      </c>
      <c r="E11">
        <f t="shared" si="0"/>
        <v>-16</v>
      </c>
      <c r="F11">
        <f t="shared" si="1"/>
        <v>4.2840000000001055</v>
      </c>
      <c r="G11">
        <f t="shared" si="2"/>
        <v>-16</v>
      </c>
      <c r="H11">
        <f t="shared" si="2"/>
        <v>4.2840000000001055</v>
      </c>
    </row>
    <row r="12" spans="1:16" x14ac:dyDescent="0.25">
      <c r="A12">
        <v>15</v>
      </c>
      <c r="B12">
        <v>1982.125</v>
      </c>
      <c r="E12">
        <f t="shared" si="0"/>
        <v>-15</v>
      </c>
      <c r="F12">
        <f t="shared" si="1"/>
        <v>4.2519999999999527</v>
      </c>
      <c r="G12">
        <f t="shared" si="2"/>
        <v>-15</v>
      </c>
      <c r="H12">
        <f t="shared" si="2"/>
        <v>4.2519999999999527</v>
      </c>
    </row>
    <row r="13" spans="1:16" x14ac:dyDescent="0.25">
      <c r="A13">
        <v>14</v>
      </c>
      <c r="B13">
        <v>1986.377</v>
      </c>
      <c r="E13">
        <f t="shared" si="0"/>
        <v>-14</v>
      </c>
      <c r="F13">
        <f t="shared" si="1"/>
        <v>4.2190000000000509</v>
      </c>
      <c r="G13">
        <f t="shared" si="2"/>
        <v>-14</v>
      </c>
      <c r="H13">
        <f t="shared" si="2"/>
        <v>4.2190000000000509</v>
      </c>
      <c r="I13" t="s">
        <v>31</v>
      </c>
      <c r="J13">
        <f t="array" ref="J13:K13">LINEST(H2:H50,G2:G50)</f>
        <v>-3.4793902844476726E-2</v>
      </c>
      <c r="K13">
        <v>3.7298325286294811</v>
      </c>
      <c r="L13" t="s">
        <v>36</v>
      </c>
    </row>
    <row r="14" spans="1:16" x14ac:dyDescent="0.25">
      <c r="A14">
        <v>13</v>
      </c>
      <c r="B14">
        <v>1990.596</v>
      </c>
      <c r="E14">
        <f t="shared" si="0"/>
        <v>-13</v>
      </c>
      <c r="F14">
        <f t="shared" si="1"/>
        <v>4.1869999999998981</v>
      </c>
      <c r="G14">
        <f t="shared" si="2"/>
        <v>-13</v>
      </c>
      <c r="H14">
        <f t="shared" si="2"/>
        <v>4.1869999999998981</v>
      </c>
      <c r="I14" t="s">
        <v>57</v>
      </c>
      <c r="J14" s="3">
        <f>-J13/2</f>
        <v>1.7396951422238363E-2</v>
      </c>
      <c r="K14" t="s">
        <v>42</v>
      </c>
      <c r="L14" s="3">
        <f>(K13+3*J14)/2</f>
        <v>1.8910116914480981</v>
      </c>
    </row>
    <row r="15" spans="1:16" x14ac:dyDescent="0.25">
      <c r="A15">
        <v>12</v>
      </c>
      <c r="B15">
        <v>1994.7829999999999</v>
      </c>
      <c r="E15">
        <f t="shared" si="0"/>
        <v>-12</v>
      </c>
      <c r="F15">
        <f t="shared" si="1"/>
        <v>4.1539999999999964</v>
      </c>
      <c r="G15">
        <f t="shared" si="2"/>
        <v>-12</v>
      </c>
      <c r="H15">
        <f t="shared" si="2"/>
        <v>4.1539999999999964</v>
      </c>
    </row>
    <row r="16" spans="1:16" x14ac:dyDescent="0.25">
      <c r="A16">
        <v>11</v>
      </c>
      <c r="B16">
        <v>1998.9369999999999</v>
      </c>
      <c r="E16">
        <f t="shared" si="0"/>
        <v>-11</v>
      </c>
      <c r="F16">
        <f t="shared" si="1"/>
        <v>4.1210000000000946</v>
      </c>
      <c r="G16">
        <f t="shared" si="2"/>
        <v>-11</v>
      </c>
      <c r="H16">
        <f t="shared" si="2"/>
        <v>4.1210000000000946</v>
      </c>
    </row>
    <row r="17" spans="1:8" x14ac:dyDescent="0.25">
      <c r="A17">
        <v>10</v>
      </c>
      <c r="B17">
        <v>2003.058</v>
      </c>
      <c r="E17">
        <f t="shared" si="0"/>
        <v>-10</v>
      </c>
      <c r="F17">
        <f t="shared" si="1"/>
        <v>4.0869999999999891</v>
      </c>
      <c r="G17">
        <f t="shared" si="2"/>
        <v>-10</v>
      </c>
      <c r="H17">
        <f t="shared" si="2"/>
        <v>4.0869999999999891</v>
      </c>
    </row>
    <row r="18" spans="1:8" x14ac:dyDescent="0.25">
      <c r="A18">
        <v>9</v>
      </c>
      <c r="B18">
        <v>2007.145</v>
      </c>
      <c r="E18">
        <f t="shared" si="0"/>
        <v>-9</v>
      </c>
      <c r="F18">
        <f t="shared" si="1"/>
        <v>4.0550000000000637</v>
      </c>
      <c r="G18">
        <f t="shared" si="2"/>
        <v>-9</v>
      </c>
      <c r="H18">
        <f t="shared" si="2"/>
        <v>4.0550000000000637</v>
      </c>
    </row>
    <row r="19" spans="1:8" x14ac:dyDescent="0.25">
      <c r="A19">
        <v>8</v>
      </c>
      <c r="B19">
        <v>2011.2</v>
      </c>
      <c r="E19">
        <f t="shared" si="0"/>
        <v>-8</v>
      </c>
      <c r="F19">
        <f t="shared" si="1"/>
        <v>4.0209999999999582</v>
      </c>
      <c r="G19">
        <f t="shared" si="2"/>
        <v>-8</v>
      </c>
      <c r="H19">
        <f t="shared" si="2"/>
        <v>4.0209999999999582</v>
      </c>
    </row>
    <row r="20" spans="1:8" x14ac:dyDescent="0.25">
      <c r="A20">
        <v>7</v>
      </c>
      <c r="B20">
        <v>2015.221</v>
      </c>
      <c r="E20">
        <f t="shared" si="0"/>
        <v>-7</v>
      </c>
      <c r="F20">
        <f t="shared" si="1"/>
        <v>3.98700000000008</v>
      </c>
      <c r="G20">
        <f t="shared" si="2"/>
        <v>-7</v>
      </c>
      <c r="H20">
        <f t="shared" si="2"/>
        <v>3.98700000000008</v>
      </c>
    </row>
    <row r="21" spans="1:8" x14ac:dyDescent="0.25">
      <c r="A21">
        <v>6</v>
      </c>
      <c r="B21">
        <v>2019.2080000000001</v>
      </c>
      <c r="C21" s="6"/>
      <c r="D21" s="6"/>
      <c r="E21">
        <f t="shared" si="0"/>
        <v>-6</v>
      </c>
      <c r="F21">
        <f t="shared" si="1"/>
        <v>3.9529999999999745</v>
      </c>
      <c r="G21">
        <f t="shared" si="2"/>
        <v>-6</v>
      </c>
      <c r="H21">
        <f t="shared" si="2"/>
        <v>3.9529999999999745</v>
      </c>
    </row>
    <row r="22" spans="1:8" x14ac:dyDescent="0.25">
      <c r="A22">
        <v>5</v>
      </c>
      <c r="B22">
        <v>2023.1610000000001</v>
      </c>
      <c r="C22" s="6"/>
      <c r="D22" s="6"/>
      <c r="E22">
        <f t="shared" si="0"/>
        <v>-5</v>
      </c>
      <c r="F22">
        <f t="shared" si="1"/>
        <v>3.9199999999998454</v>
      </c>
      <c r="G22">
        <f t="shared" si="2"/>
        <v>-5</v>
      </c>
      <c r="H22">
        <f t="shared" si="2"/>
        <v>3.9199999999998454</v>
      </c>
    </row>
    <row r="23" spans="1:8" x14ac:dyDescent="0.25">
      <c r="A23">
        <v>4</v>
      </c>
      <c r="B23" s="6">
        <v>2027.0809999999999</v>
      </c>
      <c r="C23" s="6"/>
      <c r="D23" s="6"/>
      <c r="E23">
        <f t="shared" si="0"/>
        <v>-4</v>
      </c>
      <c r="F23">
        <f t="shared" si="1"/>
        <v>3.8849999999999909</v>
      </c>
      <c r="G23">
        <f t="shared" si="2"/>
        <v>-4</v>
      </c>
      <c r="H23">
        <f t="shared" si="2"/>
        <v>3.8849999999999909</v>
      </c>
    </row>
    <row r="24" spans="1:8" x14ac:dyDescent="0.25">
      <c r="A24">
        <v>3</v>
      </c>
      <c r="B24" s="6">
        <v>2030.9659999999999</v>
      </c>
      <c r="C24" s="6"/>
      <c r="D24" s="6"/>
      <c r="E24">
        <f t="shared" si="0"/>
        <v>-3</v>
      </c>
      <c r="F24">
        <f t="shared" si="1"/>
        <v>3.8510000000001128</v>
      </c>
      <c r="G24">
        <f t="shared" si="2"/>
        <v>-3</v>
      </c>
      <c r="H24">
        <f t="shared" si="2"/>
        <v>3.8510000000001128</v>
      </c>
    </row>
    <row r="25" spans="1:8" x14ac:dyDescent="0.25">
      <c r="A25">
        <v>2</v>
      </c>
      <c r="B25" s="7">
        <v>2034.817</v>
      </c>
      <c r="C25" s="6"/>
      <c r="D25" s="6"/>
      <c r="E25">
        <f t="shared" si="0"/>
        <v>-2</v>
      </c>
      <c r="F25">
        <f t="shared" si="1"/>
        <v>3.8170000000000073</v>
      </c>
      <c r="G25">
        <f t="shared" si="2"/>
        <v>-2</v>
      </c>
      <c r="H25">
        <f t="shared" si="2"/>
        <v>3.8170000000000073</v>
      </c>
    </row>
    <row r="26" spans="1:8" x14ac:dyDescent="0.25">
      <c r="A26">
        <v>1</v>
      </c>
      <c r="B26" s="10">
        <v>2038.634</v>
      </c>
      <c r="C26" s="6"/>
      <c r="D26" s="6"/>
      <c r="E26">
        <f t="shared" si="0"/>
        <v>-1</v>
      </c>
      <c r="G26">
        <f>E28</f>
        <v>1</v>
      </c>
      <c r="H26">
        <f>F28</f>
        <v>3.7130000000001928</v>
      </c>
    </row>
    <row r="27" spans="1:8" x14ac:dyDescent="0.25">
      <c r="C27" s="6"/>
      <c r="D27" s="6"/>
      <c r="G27">
        <f t="shared" ref="G27:H42" si="3">E29</f>
        <v>2</v>
      </c>
      <c r="H27">
        <f t="shared" si="3"/>
        <v>3.6769999999996799</v>
      </c>
    </row>
    <row r="28" spans="1:8" x14ac:dyDescent="0.25">
      <c r="A28">
        <v>0</v>
      </c>
      <c r="B28" s="7">
        <v>2046.163</v>
      </c>
      <c r="C28" t="s">
        <v>65</v>
      </c>
      <c r="E28">
        <f t="shared" ref="E28:E53" si="4">A28+1</f>
        <v>1</v>
      </c>
      <c r="F28">
        <f t="shared" si="1"/>
        <v>3.7130000000001928</v>
      </c>
      <c r="G28">
        <f t="shared" si="3"/>
        <v>3</v>
      </c>
      <c r="H28">
        <f t="shared" si="3"/>
        <v>3.6420000000002801</v>
      </c>
    </row>
    <row r="29" spans="1:8" x14ac:dyDescent="0.25">
      <c r="A29">
        <v>1</v>
      </c>
      <c r="B29" s="10">
        <v>2049.8760000000002</v>
      </c>
      <c r="C29" t="s">
        <v>56</v>
      </c>
      <c r="D29" s="7">
        <f>B28-B25</f>
        <v>11.346000000000004</v>
      </c>
      <c r="E29">
        <f t="shared" si="4"/>
        <v>2</v>
      </c>
      <c r="F29">
        <f t="shared" si="1"/>
        <v>3.6769999999996799</v>
      </c>
      <c r="G29">
        <f t="shared" si="3"/>
        <v>4</v>
      </c>
      <c r="H29">
        <f t="shared" si="3"/>
        <v>3.6069999999999709</v>
      </c>
    </row>
    <row r="30" spans="1:8" x14ac:dyDescent="0.25">
      <c r="A30">
        <v>2</v>
      </c>
      <c r="B30" s="6">
        <v>2053.5529999999999</v>
      </c>
      <c r="C30" t="s">
        <v>20</v>
      </c>
      <c r="D30" s="7">
        <f>D29/4/(1.5)</f>
        <v>1.8910000000000007</v>
      </c>
      <c r="E30">
        <f t="shared" si="4"/>
        <v>3</v>
      </c>
      <c r="F30">
        <f t="shared" si="1"/>
        <v>3.6420000000002801</v>
      </c>
      <c r="G30">
        <f t="shared" si="3"/>
        <v>5</v>
      </c>
      <c r="H30">
        <f t="shared" si="3"/>
        <v>3.5719999999996617</v>
      </c>
    </row>
    <row r="31" spans="1:8" x14ac:dyDescent="0.25">
      <c r="A31">
        <v>3</v>
      </c>
      <c r="B31" s="6">
        <v>2057.1950000000002</v>
      </c>
      <c r="C31" t="s">
        <v>42</v>
      </c>
      <c r="D31" s="3">
        <f>D30+0.5*D32</f>
        <v>1.899666666666652</v>
      </c>
      <c r="E31">
        <f t="shared" si="4"/>
        <v>4</v>
      </c>
      <c r="F31">
        <f t="shared" si="1"/>
        <v>3.6069999999999709</v>
      </c>
      <c r="G31">
        <f t="shared" si="3"/>
        <v>6</v>
      </c>
      <c r="H31">
        <f t="shared" si="3"/>
        <v>3.5350000000003092</v>
      </c>
    </row>
    <row r="32" spans="1:8" x14ac:dyDescent="0.25">
      <c r="A32">
        <v>4</v>
      </c>
      <c r="B32">
        <v>2060.8020000000001</v>
      </c>
      <c r="C32" t="s">
        <v>57</v>
      </c>
      <c r="D32" s="3">
        <f>D30-D34</f>
        <v>1.7333333333302559E-2</v>
      </c>
      <c r="E32">
        <f t="shared" si="4"/>
        <v>5</v>
      </c>
      <c r="F32">
        <f t="shared" si="1"/>
        <v>3.5719999999996617</v>
      </c>
      <c r="G32">
        <f t="shared" si="3"/>
        <v>7</v>
      </c>
      <c r="H32">
        <f t="shared" si="3"/>
        <v>3.5</v>
      </c>
    </row>
    <row r="33" spans="1:8" x14ac:dyDescent="0.25">
      <c r="A33">
        <v>5</v>
      </c>
      <c r="B33">
        <v>2064.3739999999998</v>
      </c>
      <c r="C33" t="s">
        <v>56</v>
      </c>
      <c r="D33" s="10">
        <f>B29-B26</f>
        <v>11.242000000000189</v>
      </c>
      <c r="E33">
        <f t="shared" si="4"/>
        <v>6</v>
      </c>
      <c r="F33">
        <f t="shared" si="1"/>
        <v>3.5350000000003092</v>
      </c>
      <c r="G33">
        <f t="shared" si="3"/>
        <v>8</v>
      </c>
      <c r="H33">
        <f t="shared" si="3"/>
        <v>3.4639999999999418</v>
      </c>
    </row>
    <row r="34" spans="1:8" x14ac:dyDescent="0.25">
      <c r="A34">
        <v>6</v>
      </c>
      <c r="B34">
        <v>2067.9090000000001</v>
      </c>
      <c r="C34" t="s">
        <v>22</v>
      </c>
      <c r="D34" s="10">
        <f>D33/4/(1.5)</f>
        <v>1.8736666666666981</v>
      </c>
      <c r="E34">
        <f t="shared" si="4"/>
        <v>7</v>
      </c>
      <c r="F34">
        <f t="shared" si="1"/>
        <v>3.5</v>
      </c>
      <c r="G34">
        <f t="shared" si="3"/>
        <v>9</v>
      </c>
      <c r="H34">
        <f t="shared" si="3"/>
        <v>3.4279999999998836</v>
      </c>
    </row>
    <row r="35" spans="1:8" x14ac:dyDescent="0.25">
      <c r="A35">
        <v>7</v>
      </c>
      <c r="B35">
        <v>2071.4090000000001</v>
      </c>
      <c r="E35">
        <f t="shared" si="4"/>
        <v>8</v>
      </c>
      <c r="F35">
        <f t="shared" si="1"/>
        <v>3.4639999999999418</v>
      </c>
      <c r="G35">
        <f t="shared" si="3"/>
        <v>10</v>
      </c>
      <c r="H35">
        <f t="shared" si="3"/>
        <v>3.3910000000000764</v>
      </c>
    </row>
    <row r="36" spans="1:8" x14ac:dyDescent="0.25">
      <c r="A36">
        <v>8</v>
      </c>
      <c r="B36">
        <v>2074.873</v>
      </c>
      <c r="E36">
        <f t="shared" si="4"/>
        <v>9</v>
      </c>
      <c r="F36">
        <f t="shared" si="1"/>
        <v>3.4279999999998836</v>
      </c>
      <c r="G36">
        <f t="shared" si="3"/>
        <v>11</v>
      </c>
      <c r="H36">
        <f t="shared" si="3"/>
        <v>3.3550000000000182</v>
      </c>
    </row>
    <row r="37" spans="1:8" x14ac:dyDescent="0.25">
      <c r="A37">
        <v>9</v>
      </c>
      <c r="B37">
        <v>2078.3009999999999</v>
      </c>
      <c r="E37">
        <f t="shared" si="4"/>
        <v>10</v>
      </c>
      <c r="F37">
        <f t="shared" si="1"/>
        <v>3.3910000000000764</v>
      </c>
      <c r="G37">
        <f t="shared" si="3"/>
        <v>12</v>
      </c>
      <c r="H37">
        <f t="shared" si="3"/>
        <v>3.31899999999996</v>
      </c>
    </row>
    <row r="38" spans="1:8" x14ac:dyDescent="0.25">
      <c r="A38">
        <v>10</v>
      </c>
      <c r="B38">
        <v>2081.692</v>
      </c>
      <c r="E38">
        <f t="shared" si="4"/>
        <v>11</v>
      </c>
      <c r="F38">
        <f t="shared" si="1"/>
        <v>3.3550000000000182</v>
      </c>
      <c r="G38">
        <f t="shared" si="3"/>
        <v>13</v>
      </c>
      <c r="H38">
        <f t="shared" si="3"/>
        <v>3.2809999999999491</v>
      </c>
    </row>
    <row r="39" spans="1:8" x14ac:dyDescent="0.25">
      <c r="A39">
        <v>11</v>
      </c>
      <c r="B39">
        <v>2085.047</v>
      </c>
      <c r="E39">
        <f t="shared" si="4"/>
        <v>12</v>
      </c>
      <c r="F39">
        <f t="shared" si="1"/>
        <v>3.31899999999996</v>
      </c>
      <c r="G39">
        <f t="shared" si="3"/>
        <v>14</v>
      </c>
      <c r="H39">
        <f t="shared" si="3"/>
        <v>3.2449999999998909</v>
      </c>
    </row>
    <row r="40" spans="1:8" x14ac:dyDescent="0.25">
      <c r="A40">
        <v>12</v>
      </c>
      <c r="B40">
        <v>2088.366</v>
      </c>
      <c r="E40">
        <f t="shared" si="4"/>
        <v>13</v>
      </c>
      <c r="F40">
        <f t="shared" si="1"/>
        <v>3.2809999999999491</v>
      </c>
      <c r="G40">
        <f t="shared" si="3"/>
        <v>15</v>
      </c>
      <c r="H40">
        <f t="shared" si="3"/>
        <v>3.2080000000000837</v>
      </c>
    </row>
    <row r="41" spans="1:8" x14ac:dyDescent="0.25">
      <c r="A41">
        <v>13</v>
      </c>
      <c r="B41">
        <v>2091.6469999999999</v>
      </c>
      <c r="E41">
        <f t="shared" si="4"/>
        <v>14</v>
      </c>
      <c r="F41">
        <f t="shared" si="1"/>
        <v>3.2449999999998909</v>
      </c>
      <c r="G41">
        <f t="shared" si="3"/>
        <v>16</v>
      </c>
      <c r="H41">
        <f t="shared" si="3"/>
        <v>3.1710000000002765</v>
      </c>
    </row>
    <row r="42" spans="1:8" x14ac:dyDescent="0.25">
      <c r="A42">
        <v>14</v>
      </c>
      <c r="B42">
        <v>2094.8919999999998</v>
      </c>
      <c r="E42">
        <f t="shared" si="4"/>
        <v>15</v>
      </c>
      <c r="F42">
        <f t="shared" si="1"/>
        <v>3.2080000000000837</v>
      </c>
      <c r="G42">
        <f t="shared" si="3"/>
        <v>17</v>
      </c>
      <c r="H42">
        <f t="shared" si="3"/>
        <v>3.1329999999998108</v>
      </c>
    </row>
    <row r="43" spans="1:8" x14ac:dyDescent="0.25">
      <c r="A43">
        <v>15</v>
      </c>
      <c r="B43">
        <v>2098.1</v>
      </c>
      <c r="E43">
        <f t="shared" si="4"/>
        <v>16</v>
      </c>
      <c r="F43">
        <f t="shared" si="1"/>
        <v>3.1710000000002765</v>
      </c>
      <c r="G43">
        <f t="shared" ref="G43:H50" si="5">E45</f>
        <v>18</v>
      </c>
      <c r="H43">
        <f t="shared" si="5"/>
        <v>3.0960000000000036</v>
      </c>
    </row>
    <row r="44" spans="1:8" x14ac:dyDescent="0.25">
      <c r="A44">
        <v>16</v>
      </c>
      <c r="B44">
        <v>2101.2710000000002</v>
      </c>
      <c r="E44">
        <f t="shared" si="4"/>
        <v>17</v>
      </c>
      <c r="F44">
        <f t="shared" si="1"/>
        <v>3.1329999999998108</v>
      </c>
      <c r="G44">
        <f t="shared" si="5"/>
        <v>19</v>
      </c>
      <c r="H44">
        <f t="shared" si="5"/>
        <v>3.0579999999999927</v>
      </c>
    </row>
    <row r="45" spans="1:8" x14ac:dyDescent="0.25">
      <c r="A45">
        <v>17</v>
      </c>
      <c r="B45">
        <v>2104.404</v>
      </c>
      <c r="E45">
        <f t="shared" si="4"/>
        <v>18</v>
      </c>
      <c r="F45">
        <f t="shared" si="1"/>
        <v>3.0960000000000036</v>
      </c>
      <c r="G45">
        <f t="shared" si="5"/>
        <v>20</v>
      </c>
      <c r="H45">
        <f t="shared" si="5"/>
        <v>3.0199999999999818</v>
      </c>
    </row>
    <row r="46" spans="1:8" x14ac:dyDescent="0.25">
      <c r="A46">
        <v>18</v>
      </c>
      <c r="B46">
        <v>2107.5</v>
      </c>
      <c r="E46">
        <f t="shared" si="4"/>
        <v>19</v>
      </c>
      <c r="F46">
        <f t="shared" si="1"/>
        <v>3.0579999999999927</v>
      </c>
      <c r="G46">
        <f t="shared" si="5"/>
        <v>21</v>
      </c>
      <c r="H46">
        <f t="shared" si="5"/>
        <v>2.9830000000001746</v>
      </c>
    </row>
    <row r="47" spans="1:8" x14ac:dyDescent="0.25">
      <c r="A47">
        <v>19</v>
      </c>
      <c r="B47">
        <v>2110.558</v>
      </c>
      <c r="E47">
        <f t="shared" si="4"/>
        <v>20</v>
      </c>
      <c r="F47">
        <f t="shared" si="1"/>
        <v>3.0199999999999818</v>
      </c>
      <c r="G47">
        <f t="shared" si="5"/>
        <v>22</v>
      </c>
      <c r="H47">
        <f t="shared" si="5"/>
        <v>2.94399999999996</v>
      </c>
    </row>
    <row r="48" spans="1:8" x14ac:dyDescent="0.25">
      <c r="A48">
        <v>20</v>
      </c>
      <c r="B48">
        <v>2113.578</v>
      </c>
      <c r="E48">
        <f t="shared" si="4"/>
        <v>21</v>
      </c>
      <c r="F48">
        <f t="shared" si="1"/>
        <v>2.9830000000001746</v>
      </c>
      <c r="G48">
        <f t="shared" si="5"/>
        <v>23</v>
      </c>
      <c r="H48">
        <f t="shared" si="5"/>
        <v>2.9059999999999491</v>
      </c>
    </row>
    <row r="49" spans="1:8" x14ac:dyDescent="0.25">
      <c r="A49">
        <v>21</v>
      </c>
      <c r="B49">
        <v>2116.5610000000001</v>
      </c>
      <c r="E49">
        <f t="shared" si="4"/>
        <v>22</v>
      </c>
      <c r="F49">
        <f t="shared" si="1"/>
        <v>2.94399999999996</v>
      </c>
      <c r="G49">
        <f t="shared" si="5"/>
        <v>24</v>
      </c>
      <c r="H49">
        <f t="shared" si="5"/>
        <v>2.8679999999999382</v>
      </c>
    </row>
    <row r="50" spans="1:8" x14ac:dyDescent="0.25">
      <c r="A50">
        <v>22</v>
      </c>
      <c r="B50">
        <v>2119.5050000000001</v>
      </c>
      <c r="E50">
        <f t="shared" si="4"/>
        <v>23</v>
      </c>
      <c r="F50">
        <f t="shared" si="1"/>
        <v>2.9059999999999491</v>
      </c>
      <c r="G50">
        <f t="shared" si="5"/>
        <v>25</v>
      </c>
      <c r="H50">
        <f t="shared" si="5"/>
        <v>2.8290000000001783</v>
      </c>
    </row>
    <row r="51" spans="1:8" x14ac:dyDescent="0.25">
      <c r="A51">
        <v>23</v>
      </c>
      <c r="B51">
        <v>2122.4110000000001</v>
      </c>
      <c r="E51">
        <f t="shared" si="4"/>
        <v>24</v>
      </c>
      <c r="F51">
        <f t="shared" si="1"/>
        <v>2.8679999999999382</v>
      </c>
    </row>
    <row r="52" spans="1:8" x14ac:dyDescent="0.25">
      <c r="A52">
        <v>24</v>
      </c>
      <c r="B52">
        <v>2125.279</v>
      </c>
      <c r="E52">
        <f t="shared" si="4"/>
        <v>25</v>
      </c>
      <c r="F52">
        <f t="shared" si="1"/>
        <v>2.8290000000001783</v>
      </c>
    </row>
    <row r="53" spans="1:8" x14ac:dyDescent="0.25">
      <c r="A53">
        <v>25</v>
      </c>
      <c r="B53">
        <v>2128.1080000000002</v>
      </c>
      <c r="E53">
        <f t="shared" si="4"/>
        <v>26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A0DA-56B9-49C8-AAD2-383F59398B71}">
  <dimension ref="A1:B5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39</v>
      </c>
      <c r="B1" t="s">
        <v>1</v>
      </c>
    </row>
    <row r="2" spans="1:2" x14ac:dyDescent="0.25">
      <c r="A2">
        <v>25</v>
      </c>
      <c r="B2">
        <v>1848.2719999999999</v>
      </c>
    </row>
    <row r="3" spans="1:2" x14ac:dyDescent="0.25">
      <c r="A3">
        <v>24</v>
      </c>
      <c r="B3">
        <v>1856.5450000000001</v>
      </c>
    </row>
    <row r="4" spans="1:2" x14ac:dyDescent="0.25">
      <c r="A4">
        <v>23</v>
      </c>
      <c r="B4">
        <v>1864.7909999999999</v>
      </c>
    </row>
    <row r="5" spans="1:2" x14ac:dyDescent="0.25">
      <c r="A5">
        <v>22</v>
      </c>
      <c r="B5">
        <v>1873.009</v>
      </c>
    </row>
    <row r="6" spans="1:2" x14ac:dyDescent="0.25">
      <c r="A6">
        <v>21</v>
      </c>
      <c r="B6">
        <v>1881.1990000000001</v>
      </c>
    </row>
    <row r="7" spans="1:2" x14ac:dyDescent="0.25">
      <c r="A7">
        <v>20</v>
      </c>
      <c r="B7">
        <v>1889.36</v>
      </c>
    </row>
    <row r="8" spans="1:2" x14ac:dyDescent="0.25">
      <c r="A8">
        <v>19</v>
      </c>
      <c r="B8">
        <v>1897.4929999999999</v>
      </c>
    </row>
    <row r="9" spans="1:2" x14ac:dyDescent="0.25">
      <c r="A9">
        <v>18</v>
      </c>
      <c r="B9">
        <v>1905.597</v>
      </c>
    </row>
    <row r="10" spans="1:2" x14ac:dyDescent="0.25">
      <c r="A10">
        <v>17</v>
      </c>
      <c r="B10">
        <v>1913.672</v>
      </c>
    </row>
    <row r="11" spans="1:2" x14ac:dyDescent="0.25">
      <c r="A11">
        <v>16</v>
      </c>
      <c r="B11">
        <v>1921.7170000000001</v>
      </c>
    </row>
    <row r="12" spans="1:2" x14ac:dyDescent="0.25">
      <c r="A12">
        <v>15</v>
      </c>
      <c r="B12">
        <v>1929.7329999999999</v>
      </c>
    </row>
    <row r="13" spans="1:2" x14ac:dyDescent="0.25">
      <c r="A13">
        <v>14</v>
      </c>
      <c r="B13">
        <v>1937.7180000000001</v>
      </c>
    </row>
    <row r="14" spans="1:2" x14ac:dyDescent="0.25">
      <c r="A14">
        <v>13</v>
      </c>
      <c r="B14">
        <v>1945.673</v>
      </c>
    </row>
    <row r="15" spans="1:2" x14ac:dyDescent="0.25">
      <c r="A15">
        <v>12</v>
      </c>
      <c r="B15">
        <v>1953.596</v>
      </c>
    </row>
    <row r="16" spans="1:2" x14ac:dyDescent="0.25">
      <c r="A16">
        <v>11</v>
      </c>
      <c r="B16">
        <v>1961.489</v>
      </c>
    </row>
    <row r="17" spans="1:2" x14ac:dyDescent="0.25">
      <c r="A17">
        <v>10</v>
      </c>
      <c r="B17">
        <v>1969.35</v>
      </c>
    </row>
    <row r="18" spans="1:2" x14ac:dyDescent="0.25">
      <c r="A18">
        <v>9</v>
      </c>
      <c r="B18">
        <v>1977.18</v>
      </c>
    </row>
    <row r="19" spans="1:2" x14ac:dyDescent="0.25">
      <c r="A19">
        <v>8</v>
      </c>
      <c r="B19">
        <v>1984.9770000000001</v>
      </c>
    </row>
    <row r="20" spans="1:2" x14ac:dyDescent="0.25">
      <c r="A20">
        <v>7</v>
      </c>
      <c r="B20">
        <v>1992.742</v>
      </c>
    </row>
    <row r="21" spans="1:2" x14ac:dyDescent="0.25">
      <c r="A21">
        <v>6</v>
      </c>
      <c r="B21">
        <v>2000.4739999999999</v>
      </c>
    </row>
    <row r="22" spans="1:2" x14ac:dyDescent="0.25">
      <c r="A22">
        <v>5</v>
      </c>
      <c r="B22">
        <v>2008.173</v>
      </c>
    </row>
    <row r="23" spans="1:2" x14ac:dyDescent="0.25">
      <c r="A23">
        <v>4</v>
      </c>
      <c r="B23">
        <v>2015.8389999999999</v>
      </c>
    </row>
    <row r="24" spans="1:2" x14ac:dyDescent="0.25">
      <c r="A24">
        <v>3</v>
      </c>
      <c r="B24">
        <v>2023.472</v>
      </c>
    </row>
    <row r="25" spans="1:2" x14ac:dyDescent="0.25">
      <c r="A25">
        <v>2</v>
      </c>
      <c r="B25">
        <v>2031.07</v>
      </c>
    </row>
    <row r="28" spans="1:2" x14ac:dyDescent="0.25">
      <c r="A28">
        <v>0</v>
      </c>
      <c r="B28">
        <v>2053.6579999999999</v>
      </c>
    </row>
    <row r="29" spans="1:2" x14ac:dyDescent="0.25">
      <c r="A29">
        <v>1</v>
      </c>
      <c r="B29">
        <v>2061.1170000000002</v>
      </c>
    </row>
    <row r="30" spans="1:2" x14ac:dyDescent="0.25">
      <c r="A30">
        <v>2</v>
      </c>
      <c r="B30">
        <v>2068.5410000000002</v>
      </c>
    </row>
    <row r="31" spans="1:2" x14ac:dyDescent="0.25">
      <c r="A31">
        <v>3</v>
      </c>
      <c r="B31">
        <v>2075.9290000000001</v>
      </c>
    </row>
    <row r="32" spans="1:2" x14ac:dyDescent="0.25">
      <c r="A32">
        <v>4</v>
      </c>
      <c r="B32">
        <v>2083.2809999999999</v>
      </c>
    </row>
    <row r="33" spans="1:2" x14ac:dyDescent="0.25">
      <c r="A33">
        <v>5</v>
      </c>
      <c r="B33">
        <v>2090.596</v>
      </c>
    </row>
    <row r="34" spans="1:2" x14ac:dyDescent="0.25">
      <c r="A34">
        <v>6</v>
      </c>
      <c r="B34">
        <v>2097.875</v>
      </c>
    </row>
    <row r="35" spans="1:2" x14ac:dyDescent="0.25">
      <c r="A35">
        <v>7</v>
      </c>
      <c r="B35">
        <v>2105.1170000000002</v>
      </c>
    </row>
    <row r="36" spans="1:2" x14ac:dyDescent="0.25">
      <c r="A36">
        <v>8</v>
      </c>
      <c r="B36">
        <v>2112.3209999999999</v>
      </c>
    </row>
    <row r="37" spans="1:2" x14ac:dyDescent="0.25">
      <c r="A37">
        <v>9</v>
      </c>
      <c r="B37">
        <v>2119.4870000000001</v>
      </c>
    </row>
    <row r="38" spans="1:2" x14ac:dyDescent="0.25">
      <c r="A38">
        <v>10</v>
      </c>
      <c r="B38">
        <v>2126.616</v>
      </c>
    </row>
    <row r="39" spans="1:2" x14ac:dyDescent="0.25">
      <c r="A39">
        <v>11</v>
      </c>
      <c r="B39">
        <v>2133.7060000000001</v>
      </c>
    </row>
    <row r="40" spans="1:2" x14ac:dyDescent="0.25">
      <c r="A40">
        <v>12</v>
      </c>
      <c r="B40">
        <v>2140.7579999999998</v>
      </c>
    </row>
    <row r="41" spans="1:2" x14ac:dyDescent="0.25">
      <c r="A41">
        <v>13</v>
      </c>
      <c r="B41">
        <v>2147.7710000000002</v>
      </c>
    </row>
    <row r="42" spans="1:2" x14ac:dyDescent="0.25">
      <c r="A42">
        <v>14</v>
      </c>
      <c r="B42">
        <v>2154.7440000000001</v>
      </c>
    </row>
    <row r="43" spans="1:2" x14ac:dyDescent="0.25">
      <c r="A43">
        <v>15</v>
      </c>
      <c r="B43">
        <v>2161.6779999999999</v>
      </c>
    </row>
    <row r="44" spans="1:2" x14ac:dyDescent="0.25">
      <c r="A44">
        <v>16</v>
      </c>
      <c r="B44">
        <v>2168.5720000000001</v>
      </c>
    </row>
    <row r="45" spans="1:2" x14ac:dyDescent="0.25">
      <c r="A45">
        <v>17</v>
      </c>
      <c r="B45">
        <v>2175.4259999999999</v>
      </c>
    </row>
    <row r="46" spans="1:2" x14ac:dyDescent="0.25">
      <c r="A46">
        <v>18</v>
      </c>
      <c r="B46">
        <v>2182.2399999999998</v>
      </c>
    </row>
    <row r="47" spans="1:2" x14ac:dyDescent="0.25">
      <c r="A47">
        <v>19</v>
      </c>
      <c r="B47">
        <v>2189.0129999999999</v>
      </c>
    </row>
    <row r="48" spans="1:2" x14ac:dyDescent="0.25">
      <c r="A48">
        <v>20</v>
      </c>
      <c r="B48">
        <v>2195.7449999999999</v>
      </c>
    </row>
    <row r="49" spans="1:2" x14ac:dyDescent="0.25">
      <c r="A49">
        <v>21</v>
      </c>
      <c r="B49">
        <v>2202.4349999999999</v>
      </c>
    </row>
    <row r="50" spans="1:2" x14ac:dyDescent="0.25">
      <c r="A50">
        <v>22</v>
      </c>
      <c r="B50">
        <v>2209.0839999999998</v>
      </c>
    </row>
    <row r="51" spans="1:2" x14ac:dyDescent="0.25">
      <c r="A51">
        <v>23</v>
      </c>
      <c r="B51">
        <v>2215.6909999999998</v>
      </c>
    </row>
    <row r="52" spans="1:2" x14ac:dyDescent="0.25">
      <c r="A52">
        <v>24</v>
      </c>
      <c r="B52">
        <v>2222.2550000000001</v>
      </c>
    </row>
    <row r="53" spans="1:2" x14ac:dyDescent="0.25">
      <c r="A53">
        <v>25</v>
      </c>
      <c r="B53">
        <v>2228.777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20A-18FD-4AE8-BD06-755F0D88AB2E}">
  <dimension ref="A1:T56"/>
  <sheetViews>
    <sheetView zoomScaleNormal="100" workbookViewId="0">
      <selection activeCell="H18" sqref="H18"/>
    </sheetView>
  </sheetViews>
  <sheetFormatPr defaultRowHeight="15" x14ac:dyDescent="0.25"/>
  <cols>
    <col min="3" max="3" width="16.42578125" bestFit="1" customWidth="1"/>
    <col min="8" max="8" width="12.7109375" bestFit="1" customWidth="1"/>
    <col min="11" max="11" width="12" bestFit="1" customWidth="1"/>
    <col min="12" max="12" width="10.5703125" bestFit="1" customWidth="1"/>
    <col min="19" max="19" width="12.710937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20" x14ac:dyDescent="0.25">
      <c r="A2">
        <v>0</v>
      </c>
      <c r="B2">
        <f>2*A2+2</f>
        <v>2</v>
      </c>
      <c r="C2">
        <f>(A2+1)^2</f>
        <v>1</v>
      </c>
      <c r="D2">
        <v>3.8450000000000002</v>
      </c>
      <c r="E2">
        <f>D2/B2</f>
        <v>1.9225000000000001</v>
      </c>
      <c r="G2" t="s">
        <v>8</v>
      </c>
    </row>
    <row r="3" spans="1:20" x14ac:dyDescent="0.25">
      <c r="A3">
        <v>1</v>
      </c>
      <c r="B3">
        <f t="shared" ref="B3:B27" si="0">2*A3+2</f>
        <v>4</v>
      </c>
      <c r="C3">
        <f t="shared" ref="C3:C27" si="1">(A3+1)^2</f>
        <v>4</v>
      </c>
      <c r="D3">
        <v>7.69</v>
      </c>
      <c r="E3">
        <f t="shared" ref="E3:E27" si="2">D3/B3</f>
        <v>1.9225000000000001</v>
      </c>
      <c r="G3" t="s">
        <v>2</v>
      </c>
      <c r="H3">
        <f>1.93128-0.5*0.01750441</f>
        <v>1.9225277950000002</v>
      </c>
      <c r="J3" t="s">
        <v>9</v>
      </c>
      <c r="K3">
        <v>1.128323</v>
      </c>
      <c r="O3" t="s">
        <v>46</v>
      </c>
      <c r="P3" t="s">
        <v>45</v>
      </c>
    </row>
    <row r="4" spans="1:20" x14ac:dyDescent="0.25">
      <c r="A4">
        <v>2</v>
      </c>
      <c r="B4">
        <f t="shared" si="0"/>
        <v>6</v>
      </c>
      <c r="C4">
        <f t="shared" si="1"/>
        <v>9</v>
      </c>
      <c r="D4">
        <v>11.534000000000001</v>
      </c>
      <c r="E4">
        <f t="shared" si="2"/>
        <v>1.9223333333333334</v>
      </c>
      <c r="G4" t="s">
        <v>3</v>
      </c>
      <c r="H4" s="1">
        <v>6.1878000000000003E-6</v>
      </c>
      <c r="N4" t="s">
        <v>47</v>
      </c>
      <c r="O4">
        <v>1</v>
      </c>
      <c r="P4">
        <v>1.9225000000000001</v>
      </c>
      <c r="R4" t="s">
        <v>49</v>
      </c>
      <c r="S4">
        <f>(P5-P4)/(O5-O4)</f>
        <v>-1.2364444444444722E-5</v>
      </c>
    </row>
    <row r="5" spans="1:20" x14ac:dyDescent="0.25">
      <c r="A5">
        <v>3</v>
      </c>
      <c r="B5">
        <f t="shared" si="0"/>
        <v>8</v>
      </c>
      <c r="C5">
        <f t="shared" si="1"/>
        <v>16</v>
      </c>
      <c r="D5">
        <v>15.379</v>
      </c>
      <c r="E5">
        <f t="shared" si="2"/>
        <v>1.9223749999999999</v>
      </c>
      <c r="G5" t="s">
        <v>10</v>
      </c>
      <c r="H5" s="1">
        <f>12</f>
        <v>12</v>
      </c>
      <c r="I5" t="s">
        <v>11</v>
      </c>
      <c r="J5">
        <v>15.994915000000001</v>
      </c>
      <c r="K5" t="s">
        <v>27</v>
      </c>
      <c r="L5" s="1">
        <f>J5*H5/(J5+H5)</f>
        <v>6.8562087079028471</v>
      </c>
      <c r="N5" t="s">
        <v>48</v>
      </c>
      <c r="O5">
        <v>676</v>
      </c>
      <c r="P5">
        <v>1.9141539999999999</v>
      </c>
      <c r="R5" t="s">
        <v>50</v>
      </c>
      <c r="S5">
        <f>R12</f>
        <v>1.9225123644444446</v>
      </c>
    </row>
    <row r="6" spans="1:20" x14ac:dyDescent="0.25">
      <c r="A6">
        <v>4</v>
      </c>
      <c r="B6">
        <f t="shared" si="0"/>
        <v>10</v>
      </c>
      <c r="C6">
        <f t="shared" si="1"/>
        <v>25</v>
      </c>
      <c r="D6">
        <v>19.222000000000001</v>
      </c>
      <c r="E6">
        <f t="shared" si="2"/>
        <v>1.9222000000000001</v>
      </c>
      <c r="K6" t="s">
        <v>13</v>
      </c>
      <c r="L6" s="1">
        <f>L5/6.022E+23/1000</f>
        <v>1.1385268528566667E-26</v>
      </c>
    </row>
    <row r="7" spans="1:20" x14ac:dyDescent="0.25">
      <c r="A7">
        <v>5</v>
      </c>
      <c r="B7">
        <f t="shared" si="0"/>
        <v>12</v>
      </c>
      <c r="C7">
        <f t="shared" si="1"/>
        <v>36</v>
      </c>
      <c r="D7">
        <v>23.065000000000001</v>
      </c>
      <c r="E7">
        <f t="shared" si="2"/>
        <v>1.9220833333333334</v>
      </c>
      <c r="G7" t="s">
        <v>4</v>
      </c>
      <c r="R7" t="s">
        <v>45</v>
      </c>
      <c r="S7" t="s">
        <v>51</v>
      </c>
      <c r="T7" t="s">
        <v>52</v>
      </c>
    </row>
    <row r="8" spans="1:20" x14ac:dyDescent="0.25">
      <c r="A8">
        <v>6</v>
      </c>
      <c r="B8">
        <f t="shared" si="0"/>
        <v>14</v>
      </c>
      <c r="C8">
        <f t="shared" si="1"/>
        <v>49</v>
      </c>
      <c r="D8">
        <v>26.907</v>
      </c>
      <c r="E8">
        <f t="shared" si="2"/>
        <v>1.9219285714285714</v>
      </c>
      <c r="G8" t="s">
        <v>2</v>
      </c>
      <c r="H8">
        <f>INTERCEPT(E2:E27,C2:C27)</f>
        <v>1.9225248937361918</v>
      </c>
      <c r="J8" t="s">
        <v>9</v>
      </c>
      <c r="K8">
        <f>SQRT(1.0546E-34/4/PI()/29980000000/H8/L6)</f>
        <v>1.1308773665667667E-10</v>
      </c>
    </row>
    <row r="9" spans="1:20" x14ac:dyDescent="0.25">
      <c r="A9">
        <v>7</v>
      </c>
      <c r="B9">
        <f t="shared" si="0"/>
        <v>16</v>
      </c>
      <c r="C9">
        <f t="shared" si="1"/>
        <v>64</v>
      </c>
      <c r="D9">
        <v>30.748000000000001</v>
      </c>
      <c r="E9">
        <f t="shared" si="2"/>
        <v>1.9217500000000001</v>
      </c>
      <c r="G9" t="s">
        <v>3</v>
      </c>
      <c r="H9">
        <f>-SLOPE(E2:E27,C2:C27)/2</f>
        <v>6.184613940156526E-6</v>
      </c>
    </row>
    <row r="10" spans="1:20" x14ac:dyDescent="0.25">
      <c r="A10">
        <v>8</v>
      </c>
      <c r="B10">
        <f t="shared" si="0"/>
        <v>18</v>
      </c>
      <c r="C10">
        <f t="shared" si="1"/>
        <v>81</v>
      </c>
      <c r="D10">
        <v>34.587000000000003</v>
      </c>
      <c r="E10">
        <f t="shared" si="2"/>
        <v>1.9215000000000002</v>
      </c>
      <c r="R10" t="s">
        <v>53</v>
      </c>
    </row>
    <row r="11" spans="1:20" x14ac:dyDescent="0.25">
      <c r="A11">
        <v>9</v>
      </c>
      <c r="B11">
        <f t="shared" si="0"/>
        <v>20</v>
      </c>
      <c r="C11">
        <f t="shared" si="1"/>
        <v>100</v>
      </c>
      <c r="D11">
        <v>38.426000000000002</v>
      </c>
      <c r="E11">
        <f t="shared" si="2"/>
        <v>1.9213</v>
      </c>
    </row>
    <row r="12" spans="1:20" x14ac:dyDescent="0.25">
      <c r="A12">
        <v>10</v>
      </c>
      <c r="B12">
        <f t="shared" si="0"/>
        <v>22</v>
      </c>
      <c r="C12">
        <f t="shared" si="1"/>
        <v>121</v>
      </c>
      <c r="D12">
        <v>42.262999999999998</v>
      </c>
      <c r="E12">
        <f t="shared" si="2"/>
        <v>1.9210454545454545</v>
      </c>
      <c r="R12">
        <f>P4-S4*O4</f>
        <v>1.9225123644444446</v>
      </c>
    </row>
    <row r="13" spans="1:20" x14ac:dyDescent="0.25">
      <c r="A13">
        <v>11</v>
      </c>
      <c r="B13">
        <f t="shared" si="0"/>
        <v>24</v>
      </c>
      <c r="C13">
        <f t="shared" si="1"/>
        <v>144</v>
      </c>
      <c r="D13">
        <v>46.097999999999999</v>
      </c>
      <c r="E13">
        <f t="shared" si="2"/>
        <v>1.92075</v>
      </c>
    </row>
    <row r="14" spans="1:20" x14ac:dyDescent="0.25">
      <c r="A14">
        <v>12</v>
      </c>
      <c r="B14">
        <f t="shared" si="0"/>
        <v>26</v>
      </c>
      <c r="C14">
        <f t="shared" si="1"/>
        <v>169</v>
      </c>
      <c r="D14">
        <v>49.930999999999997</v>
      </c>
      <c r="E14">
        <f t="shared" si="2"/>
        <v>1.9204230769230768</v>
      </c>
    </row>
    <row r="15" spans="1:20" x14ac:dyDescent="0.25">
      <c r="A15">
        <v>13</v>
      </c>
      <c r="B15">
        <f t="shared" si="0"/>
        <v>28</v>
      </c>
      <c r="C15">
        <f t="shared" si="1"/>
        <v>196</v>
      </c>
      <c r="D15">
        <v>53.762999999999998</v>
      </c>
      <c r="E15">
        <f t="shared" si="2"/>
        <v>1.9201071428571428</v>
      </c>
    </row>
    <row r="16" spans="1:20" x14ac:dyDescent="0.25">
      <c r="A16">
        <v>14</v>
      </c>
      <c r="B16">
        <f t="shared" si="0"/>
        <v>30</v>
      </c>
      <c r="C16">
        <f t="shared" si="1"/>
        <v>225</v>
      </c>
      <c r="D16">
        <v>57.591999999999999</v>
      </c>
      <c r="E16">
        <f t="shared" si="2"/>
        <v>1.9197333333333333</v>
      </c>
    </row>
    <row r="17" spans="1:9" x14ac:dyDescent="0.25">
      <c r="A17">
        <v>15</v>
      </c>
      <c r="B17">
        <f t="shared" si="0"/>
        <v>32</v>
      </c>
      <c r="C17">
        <f t="shared" si="1"/>
        <v>256</v>
      </c>
      <c r="D17">
        <v>61.42</v>
      </c>
      <c r="E17">
        <f t="shared" si="2"/>
        <v>1.9193750000000001</v>
      </c>
    </row>
    <row r="18" spans="1:9" x14ac:dyDescent="0.25">
      <c r="A18">
        <v>16</v>
      </c>
      <c r="B18">
        <f t="shared" si="0"/>
        <v>34</v>
      </c>
      <c r="C18">
        <f t="shared" si="1"/>
        <v>289</v>
      </c>
      <c r="D18">
        <v>65.244</v>
      </c>
      <c r="E18">
        <f t="shared" si="2"/>
        <v>1.9189411764705882</v>
      </c>
    </row>
    <row r="19" spans="1:9" x14ac:dyDescent="0.25">
      <c r="A19">
        <v>17</v>
      </c>
      <c r="B19">
        <f t="shared" si="0"/>
        <v>36</v>
      </c>
      <c r="C19">
        <f t="shared" si="1"/>
        <v>324</v>
      </c>
      <c r="D19">
        <v>69.066999999999993</v>
      </c>
      <c r="E19">
        <f t="shared" si="2"/>
        <v>1.9185277777777776</v>
      </c>
    </row>
    <row r="20" spans="1:9" x14ac:dyDescent="0.25">
      <c r="A20">
        <v>18</v>
      </c>
      <c r="B20">
        <f t="shared" si="0"/>
        <v>38</v>
      </c>
      <c r="C20">
        <f t="shared" si="1"/>
        <v>361</v>
      </c>
      <c r="D20">
        <v>72.885999999999996</v>
      </c>
      <c r="E20">
        <f t="shared" si="2"/>
        <v>1.9180526315789472</v>
      </c>
    </row>
    <row r="21" spans="1:9" x14ac:dyDescent="0.25">
      <c r="A21">
        <v>19</v>
      </c>
      <c r="B21">
        <f t="shared" si="0"/>
        <v>40</v>
      </c>
      <c r="C21">
        <f t="shared" si="1"/>
        <v>400</v>
      </c>
      <c r="D21">
        <v>76.703000000000003</v>
      </c>
      <c r="E21">
        <f t="shared" si="2"/>
        <v>1.917575</v>
      </c>
    </row>
    <row r="22" spans="1:9" x14ac:dyDescent="0.25">
      <c r="A22">
        <v>20</v>
      </c>
      <c r="B22">
        <f t="shared" si="0"/>
        <v>42</v>
      </c>
      <c r="C22">
        <f t="shared" si="1"/>
        <v>441</v>
      </c>
      <c r="D22">
        <v>80.516999999999996</v>
      </c>
      <c r="E22">
        <f t="shared" si="2"/>
        <v>1.9170714285714285</v>
      </c>
    </row>
    <row r="23" spans="1:9" x14ac:dyDescent="0.25">
      <c r="A23">
        <v>21</v>
      </c>
      <c r="B23">
        <f t="shared" si="0"/>
        <v>44</v>
      </c>
      <c r="C23">
        <f t="shared" si="1"/>
        <v>484</v>
      </c>
      <c r="D23">
        <v>84.328000000000003</v>
      </c>
      <c r="E23">
        <f t="shared" si="2"/>
        <v>1.9165454545454546</v>
      </c>
    </row>
    <row r="24" spans="1:9" x14ac:dyDescent="0.25">
      <c r="A24">
        <v>22</v>
      </c>
      <c r="B24">
        <f t="shared" si="0"/>
        <v>46</v>
      </c>
      <c r="C24">
        <f t="shared" si="1"/>
        <v>529</v>
      </c>
      <c r="D24">
        <v>88.135000000000005</v>
      </c>
      <c r="E24">
        <f t="shared" si="2"/>
        <v>1.9159782608695652</v>
      </c>
    </row>
    <row r="25" spans="1:9" x14ac:dyDescent="0.25">
      <c r="A25">
        <v>23</v>
      </c>
      <c r="B25">
        <f t="shared" si="0"/>
        <v>48</v>
      </c>
      <c r="C25">
        <f t="shared" si="1"/>
        <v>576</v>
      </c>
      <c r="D25">
        <v>91.938999999999993</v>
      </c>
      <c r="E25">
        <f t="shared" si="2"/>
        <v>1.9153958333333332</v>
      </c>
    </row>
    <row r="26" spans="1:9" x14ac:dyDescent="0.25">
      <c r="A26">
        <v>24</v>
      </c>
      <c r="B26">
        <f t="shared" si="0"/>
        <v>50</v>
      </c>
      <c r="C26">
        <f t="shared" si="1"/>
        <v>625</v>
      </c>
      <c r="D26">
        <v>95.74</v>
      </c>
      <c r="E26">
        <f t="shared" si="2"/>
        <v>1.9147999999999998</v>
      </c>
    </row>
    <row r="27" spans="1:9" x14ac:dyDescent="0.25">
      <c r="A27">
        <v>25</v>
      </c>
      <c r="B27">
        <f t="shared" si="0"/>
        <v>52</v>
      </c>
      <c r="C27">
        <f t="shared" si="1"/>
        <v>676</v>
      </c>
      <c r="D27">
        <v>99.536000000000001</v>
      </c>
      <c r="E27">
        <f t="shared" si="2"/>
        <v>1.9141538461538461</v>
      </c>
    </row>
    <row r="29" spans="1:9" x14ac:dyDescent="0.25">
      <c r="A29" t="s">
        <v>15</v>
      </c>
      <c r="B29" s="2">
        <v>298</v>
      </c>
      <c r="C29" t="s">
        <v>16</v>
      </c>
      <c r="D29">
        <f>B29*1.3806488E-23/6.626E-34/29980000000</f>
        <v>207.11732280721611</v>
      </c>
      <c r="G29">
        <f>0.008314*298</f>
        <v>2.4775719999999999</v>
      </c>
      <c r="I29" t="s">
        <v>28</v>
      </c>
    </row>
    <row r="30" spans="1:9" x14ac:dyDescent="0.25">
      <c r="A30" t="s">
        <v>0</v>
      </c>
      <c r="B30" t="s">
        <v>14</v>
      </c>
      <c r="C30" t="s">
        <v>17</v>
      </c>
      <c r="D30" t="s">
        <v>18</v>
      </c>
      <c r="E30" t="s">
        <v>19</v>
      </c>
    </row>
    <row r="31" spans="1:9" x14ac:dyDescent="0.25">
      <c r="A31">
        <v>0</v>
      </c>
      <c r="B31">
        <f>$H$8*A31*(A31+1)-$H$9*A31^2*(A31+1)^2</f>
        <v>0</v>
      </c>
      <c r="C31">
        <f>EXP(-B31/$D$29)</f>
        <v>1</v>
      </c>
      <c r="D31">
        <f>2*A31+1</f>
        <v>1</v>
      </c>
      <c r="E31">
        <f>D31*C31</f>
        <v>1</v>
      </c>
    </row>
    <row r="32" spans="1:9" x14ac:dyDescent="0.25">
      <c r="A32">
        <v>1</v>
      </c>
      <c r="B32">
        <f t="shared" ref="B32:B56" si="3">$H$8*A32*(A32+1)-$H$9*A32^2*(A32+1)^2</f>
        <v>3.8450250490166229</v>
      </c>
      <c r="C32">
        <f t="shared" ref="C32:C56" si="4">EXP(-B32/$D$29)</f>
        <v>0.9816067801948567</v>
      </c>
      <c r="D32">
        <f t="shared" ref="D32:D56" si="5">2*A32+1</f>
        <v>3</v>
      </c>
      <c r="E32">
        <f t="shared" ref="E32:E56" si="6">D32*C32</f>
        <v>2.9448203405845703</v>
      </c>
    </row>
    <row r="33" spans="1:5" x14ac:dyDescent="0.25">
      <c r="A33">
        <v>2</v>
      </c>
      <c r="B33">
        <f t="shared" si="3"/>
        <v>11.534926716315306</v>
      </c>
      <c r="C33">
        <f t="shared" si="4"/>
        <v>0.94582972739805349</v>
      </c>
      <c r="D33">
        <f t="shared" si="5"/>
        <v>5</v>
      </c>
      <c r="E33">
        <f t="shared" si="6"/>
        <v>4.7291486369902671</v>
      </c>
    </row>
    <row r="34" spans="1:5" x14ac:dyDescent="0.25">
      <c r="A34">
        <v>3</v>
      </c>
      <c r="B34">
        <f t="shared" si="3"/>
        <v>23.069408140426919</v>
      </c>
      <c r="C34">
        <f t="shared" si="4"/>
        <v>0.89459579656540422</v>
      </c>
      <c r="D34">
        <f t="shared" si="5"/>
        <v>7</v>
      </c>
      <c r="E34">
        <f t="shared" si="6"/>
        <v>6.2621705759578292</v>
      </c>
    </row>
    <row r="35" spans="1:5" x14ac:dyDescent="0.25">
      <c r="A35">
        <v>4</v>
      </c>
      <c r="B35">
        <f t="shared" si="3"/>
        <v>38.448024029147774</v>
      </c>
      <c r="C35">
        <f t="shared" si="4"/>
        <v>0.8305775029554231</v>
      </c>
      <c r="D35">
        <f t="shared" si="5"/>
        <v>9</v>
      </c>
      <c r="E35">
        <f t="shared" si="6"/>
        <v>7.4751975265988078</v>
      </c>
    </row>
    <row r="36" spans="1:5" x14ac:dyDescent="0.25">
      <c r="A36">
        <v>5</v>
      </c>
      <c r="B36">
        <f t="shared" si="3"/>
        <v>57.670180659539618</v>
      </c>
      <c r="C36">
        <f t="shared" si="4"/>
        <v>0.75696210061408831</v>
      </c>
      <c r="D36">
        <f t="shared" si="5"/>
        <v>11</v>
      </c>
      <c r="E36">
        <f t="shared" si="6"/>
        <v>8.3265831067549705</v>
      </c>
    </row>
    <row r="37" spans="1:5" x14ac:dyDescent="0.25">
      <c r="A37">
        <v>6</v>
      </c>
      <c r="B37">
        <f t="shared" si="3"/>
        <v>80.735135877929622</v>
      </c>
      <c r="C37">
        <f t="shared" si="4"/>
        <v>0.67718967246185413</v>
      </c>
      <c r="D37">
        <f t="shared" si="5"/>
        <v>13</v>
      </c>
      <c r="E37">
        <f t="shared" si="6"/>
        <v>8.8034657420041036</v>
      </c>
    </row>
    <row r="38" spans="1:5" x14ac:dyDescent="0.25">
      <c r="A38">
        <v>7</v>
      </c>
      <c r="B38">
        <f t="shared" si="3"/>
        <v>107.64199909991041</v>
      </c>
      <c r="C38">
        <f t="shared" si="4"/>
        <v>0.59468995397517033</v>
      </c>
      <c r="D38">
        <f t="shared" si="5"/>
        <v>15</v>
      </c>
      <c r="E38">
        <f t="shared" si="6"/>
        <v>8.9203493096275555</v>
      </c>
    </row>
    <row r="39" spans="1:5" x14ac:dyDescent="0.25">
      <c r="A39">
        <v>8</v>
      </c>
      <c r="B39">
        <f t="shared" si="3"/>
        <v>138.38973131034004</v>
      </c>
      <c r="C39">
        <f t="shared" si="4"/>
        <v>0.51264549123296921</v>
      </c>
      <c r="D39">
        <f t="shared" si="5"/>
        <v>17</v>
      </c>
      <c r="E39">
        <f t="shared" si="6"/>
        <v>8.7149733509604772</v>
      </c>
    </row>
    <row r="40" spans="1:5" x14ac:dyDescent="0.25">
      <c r="A40">
        <v>9</v>
      </c>
      <c r="B40">
        <f t="shared" si="3"/>
        <v>172.97714506334199</v>
      </c>
      <c r="C40">
        <f t="shared" si="4"/>
        <v>0.43380288514514892</v>
      </c>
      <c r="D40">
        <f t="shared" si="5"/>
        <v>19</v>
      </c>
      <c r="E40">
        <f t="shared" si="6"/>
        <v>8.2422548177578303</v>
      </c>
    </row>
    <row r="41" spans="1:5" x14ac:dyDescent="0.25">
      <c r="A41">
        <v>10</v>
      </c>
      <c r="B41">
        <f t="shared" si="3"/>
        <v>211.40290448230519</v>
      </c>
      <c r="C41">
        <f t="shared" si="4"/>
        <v>0.36034565132086266</v>
      </c>
      <c r="D41">
        <f t="shared" si="5"/>
        <v>21</v>
      </c>
      <c r="E41">
        <f t="shared" si="6"/>
        <v>7.5672586777381161</v>
      </c>
    </row>
    <row r="42" spans="1:5" x14ac:dyDescent="0.25">
      <c r="A42">
        <v>11</v>
      </c>
      <c r="B42">
        <f t="shared" si="3"/>
        <v>253.66552525988405</v>
      </c>
      <c r="C42">
        <f t="shared" si="4"/>
        <v>0.29383315755772799</v>
      </c>
      <c r="D42">
        <f t="shared" si="5"/>
        <v>23</v>
      </c>
      <c r="E42">
        <f t="shared" si="6"/>
        <v>6.7581626238277437</v>
      </c>
    </row>
    <row r="43" spans="1:5" x14ac:dyDescent="0.25">
      <c r="A43">
        <v>12</v>
      </c>
      <c r="B43">
        <f t="shared" si="3"/>
        <v>299.76337465799827</v>
      </c>
      <c r="C43">
        <f t="shared" si="4"/>
        <v>0.23520167489603599</v>
      </c>
      <c r="D43">
        <f t="shared" si="5"/>
        <v>25</v>
      </c>
      <c r="E43">
        <f t="shared" si="6"/>
        <v>5.8800418724009003</v>
      </c>
    </row>
    <row r="44" spans="1:5" x14ac:dyDescent="0.25">
      <c r="A44">
        <v>13</v>
      </c>
      <c r="B44">
        <f t="shared" si="3"/>
        <v>349.69467150783316</v>
      </c>
      <c r="C44">
        <f t="shared" si="4"/>
        <v>0.18481696922017674</v>
      </c>
      <c r="D44">
        <f t="shared" si="5"/>
        <v>27</v>
      </c>
      <c r="E44">
        <f t="shared" si="6"/>
        <v>4.9900581689447723</v>
      </c>
    </row>
    <row r="45" spans="1:5" x14ac:dyDescent="0.25">
      <c r="A45">
        <v>14</v>
      </c>
      <c r="B45">
        <f t="shared" si="3"/>
        <v>403.45748620983937</v>
      </c>
      <c r="C45">
        <f t="shared" si="4"/>
        <v>0.14256376299935175</v>
      </c>
      <c r="D45">
        <f t="shared" si="5"/>
        <v>29</v>
      </c>
      <c r="E45">
        <f t="shared" si="6"/>
        <v>4.1343491269812009</v>
      </c>
    </row>
    <row r="46" spans="1:5" x14ac:dyDescent="0.25">
      <c r="A46">
        <v>15</v>
      </c>
      <c r="B46">
        <f t="shared" si="3"/>
        <v>461.04974073373302</v>
      </c>
      <c r="C46">
        <f t="shared" si="4"/>
        <v>0.10795597539130457</v>
      </c>
      <c r="D46">
        <f t="shared" si="5"/>
        <v>31</v>
      </c>
      <c r="E46">
        <f t="shared" si="6"/>
        <v>3.3466352371304415</v>
      </c>
    </row>
    <row r="47" spans="1:5" x14ac:dyDescent="0.25">
      <c r="A47">
        <v>16</v>
      </c>
      <c r="B47">
        <f t="shared" si="3"/>
        <v>522.46920861849571</v>
      </c>
      <c r="C47">
        <f t="shared" si="4"/>
        <v>8.0252601423177458E-2</v>
      </c>
      <c r="D47">
        <f t="shared" si="5"/>
        <v>33</v>
      </c>
      <c r="E47">
        <f t="shared" si="6"/>
        <v>2.6483358469648559</v>
      </c>
    </row>
    <row r="48" spans="1:5" x14ac:dyDescent="0.25">
      <c r="A48">
        <v>17</v>
      </c>
      <c r="B48">
        <f t="shared" si="3"/>
        <v>587.71351497237424</v>
      </c>
      <c r="C48">
        <f t="shared" si="4"/>
        <v>5.8566791227378574E-2</v>
      </c>
      <c r="D48">
        <f t="shared" si="5"/>
        <v>35</v>
      </c>
      <c r="E48">
        <f t="shared" si="6"/>
        <v>2.04983769295825</v>
      </c>
    </row>
    <row r="49" spans="1:5" x14ac:dyDescent="0.25">
      <c r="A49">
        <v>18</v>
      </c>
      <c r="B49">
        <f t="shared" si="3"/>
        <v>656.78013647288117</v>
      </c>
      <c r="C49">
        <f t="shared" si="4"/>
        <v>4.1959365334210616E-2</v>
      </c>
      <c r="D49">
        <f t="shared" si="5"/>
        <v>37</v>
      </c>
      <c r="E49">
        <f t="shared" si="6"/>
        <v>1.5524965173657927</v>
      </c>
    </row>
    <row r="50" spans="1:5" x14ac:dyDescent="0.25">
      <c r="A50">
        <v>19</v>
      </c>
      <c r="B50">
        <f t="shared" si="3"/>
        <v>729.66640136679428</v>
      </c>
      <c r="C50">
        <f t="shared" si="4"/>
        <v>2.9511899397208833E-2</v>
      </c>
      <c r="D50">
        <f t="shared" si="5"/>
        <v>39</v>
      </c>
      <c r="E50">
        <f t="shared" si="6"/>
        <v>1.1509640764911444</v>
      </c>
    </row>
    <row r="51" spans="1:5" x14ac:dyDescent="0.25">
      <c r="A51">
        <v>20</v>
      </c>
      <c r="B51">
        <f t="shared" si="3"/>
        <v>806.36948947015696</v>
      </c>
      <c r="C51">
        <f t="shared" si="4"/>
        <v>2.0378025322290379E-2</v>
      </c>
      <c r="D51">
        <f t="shared" si="5"/>
        <v>41</v>
      </c>
      <c r="E51">
        <f t="shared" si="6"/>
        <v>0.83549903821390559</v>
      </c>
    </row>
    <row r="52" spans="1:5" x14ac:dyDescent="0.25">
      <c r="A52">
        <v>21</v>
      </c>
      <c r="B52">
        <f t="shared" si="3"/>
        <v>886.88643216827791</v>
      </c>
      <c r="C52">
        <f t="shared" si="4"/>
        <v>1.3814333702870992E-2</v>
      </c>
      <c r="D52">
        <f t="shared" si="5"/>
        <v>43</v>
      </c>
      <c r="E52">
        <f t="shared" si="6"/>
        <v>0.5940163492234527</v>
      </c>
    </row>
    <row r="53" spans="1:5" x14ac:dyDescent="0.25">
      <c r="A53">
        <v>22</v>
      </c>
      <c r="B53">
        <f t="shared" si="3"/>
        <v>971.21411241573105</v>
      </c>
      <c r="C53">
        <f t="shared" si="4"/>
        <v>9.194057875068171E-3</v>
      </c>
      <c r="D53">
        <f t="shared" si="5"/>
        <v>45</v>
      </c>
      <c r="E53">
        <f t="shared" si="6"/>
        <v>0.41373260437806769</v>
      </c>
    </row>
    <row r="54" spans="1:5" x14ac:dyDescent="0.25">
      <c r="A54">
        <v>23</v>
      </c>
      <c r="B54">
        <f t="shared" si="3"/>
        <v>1059.3492647363564</v>
      </c>
      <c r="C54">
        <f t="shared" si="4"/>
        <v>6.0075973395293117E-3</v>
      </c>
      <c r="D54">
        <f t="shared" si="5"/>
        <v>47</v>
      </c>
      <c r="E54">
        <f t="shared" si="6"/>
        <v>0.28235707495787765</v>
      </c>
    </row>
    <row r="55" spans="1:5" x14ac:dyDescent="0.25">
      <c r="A55">
        <v>24</v>
      </c>
      <c r="B55">
        <f t="shared" si="3"/>
        <v>1151.2884752232587</v>
      </c>
      <c r="C55">
        <f t="shared" si="4"/>
        <v>3.8540544881851958E-3</v>
      </c>
      <c r="D55">
        <f t="shared" si="5"/>
        <v>49</v>
      </c>
      <c r="E55">
        <f t="shared" si="6"/>
        <v>0.1888486699210746</v>
      </c>
    </row>
    <row r="56" spans="1:5" x14ac:dyDescent="0.25">
      <c r="A56">
        <v>25</v>
      </c>
      <c r="B56">
        <f t="shared" si="3"/>
        <v>1247.0281815388087</v>
      </c>
      <c r="C56">
        <f t="shared" si="4"/>
        <v>2.4275367043389302E-3</v>
      </c>
      <c r="D56">
        <f t="shared" si="5"/>
        <v>51</v>
      </c>
      <c r="E56">
        <f t="shared" si="6"/>
        <v>0.12380437192128543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10E6-49B2-4544-930D-A3D372686A01}">
  <dimension ref="A1:U19"/>
  <sheetViews>
    <sheetView workbookViewId="0">
      <selection activeCell="T21" sqref="T21"/>
    </sheetView>
  </sheetViews>
  <sheetFormatPr defaultRowHeight="15" x14ac:dyDescent="0.25"/>
  <sheetData>
    <row r="1" spans="1:21" x14ac:dyDescent="0.25">
      <c r="A1" t="s">
        <v>25</v>
      </c>
      <c r="B1" t="s">
        <v>32</v>
      </c>
      <c r="C1" t="s">
        <v>33</v>
      </c>
      <c r="D1" t="s">
        <v>26</v>
      </c>
    </row>
    <row r="2" spans="1:21" x14ac:dyDescent="0.25">
      <c r="A2">
        <v>0</v>
      </c>
      <c r="B2">
        <f>A2+0.5</f>
        <v>0.5</v>
      </c>
      <c r="C2">
        <f>A2+1</f>
        <v>1</v>
      </c>
      <c r="D2">
        <f>$I$9-2*(A2+1)*$I$10</f>
        <v>2143.2369600000002</v>
      </c>
      <c r="H2" t="s">
        <v>8</v>
      </c>
      <c r="P2" t="s">
        <v>46</v>
      </c>
      <c r="Q2" t="s">
        <v>45</v>
      </c>
    </row>
    <row r="3" spans="1:21" x14ac:dyDescent="0.25">
      <c r="A3">
        <v>1</v>
      </c>
      <c r="B3">
        <f t="shared" ref="B3:B14" si="0">A3+0.5</f>
        <v>1.5</v>
      </c>
      <c r="C3">
        <f t="shared" ref="C3:C14" si="1">A3+1</f>
        <v>2</v>
      </c>
      <c r="D3">
        <f t="shared" ref="D3:D14" si="2">$I$9-2*(A3+1)*$I$10</f>
        <v>2116.6603399999999</v>
      </c>
      <c r="H3" t="s">
        <v>20</v>
      </c>
      <c r="I3">
        <f>1.93128-0.5*0.01750441</f>
        <v>1.9225277950000002</v>
      </c>
      <c r="K3" t="s">
        <v>9</v>
      </c>
      <c r="L3">
        <v>1.128323</v>
      </c>
      <c r="O3" t="s">
        <v>47</v>
      </c>
      <c r="P3">
        <f>B2</f>
        <v>0.5</v>
      </c>
      <c r="Q3">
        <f>D2</f>
        <v>2143.2369600000002</v>
      </c>
      <c r="S3" t="s">
        <v>49</v>
      </c>
      <c r="T3" s="6">
        <f>(Q4-Q3)/(P4-P3)</f>
        <v>-26.576620000000009</v>
      </c>
    </row>
    <row r="4" spans="1:21" x14ac:dyDescent="0.25">
      <c r="A4">
        <v>2</v>
      </c>
      <c r="B4">
        <f t="shared" si="0"/>
        <v>2.5</v>
      </c>
      <c r="C4">
        <f t="shared" si="1"/>
        <v>3</v>
      </c>
      <c r="D4">
        <f t="shared" si="2"/>
        <v>2090.0837200000001</v>
      </c>
      <c r="H4" t="s">
        <v>21</v>
      </c>
      <c r="I4">
        <v>6.1878000000000003E-6</v>
      </c>
      <c r="O4" t="s">
        <v>48</v>
      </c>
      <c r="P4">
        <f>B14</f>
        <v>12.5</v>
      </c>
      <c r="Q4">
        <f>D14</f>
        <v>1824.3175200000001</v>
      </c>
      <c r="S4" t="s">
        <v>50</v>
      </c>
      <c r="T4">
        <f>Q3-P3*T3</f>
        <v>2156.5252700000001</v>
      </c>
    </row>
    <row r="5" spans="1:21" x14ac:dyDescent="0.25">
      <c r="A5">
        <v>3</v>
      </c>
      <c r="B5">
        <f t="shared" si="0"/>
        <v>3.5</v>
      </c>
      <c r="C5">
        <f t="shared" si="1"/>
        <v>4</v>
      </c>
      <c r="D5">
        <f t="shared" si="2"/>
        <v>2063.5070999999998</v>
      </c>
      <c r="H5" t="s">
        <v>22</v>
      </c>
      <c r="I5">
        <v>1.9050229999999999</v>
      </c>
      <c r="S5" t="s">
        <v>38</v>
      </c>
      <c r="T5">
        <f>-T4/T3</f>
        <v>81.143699612667049</v>
      </c>
    </row>
    <row r="6" spans="1:21" x14ac:dyDescent="0.25">
      <c r="A6">
        <v>4</v>
      </c>
      <c r="B6">
        <f t="shared" si="0"/>
        <v>4.5</v>
      </c>
      <c r="C6">
        <f t="shared" si="1"/>
        <v>5</v>
      </c>
      <c r="D6">
        <f t="shared" si="2"/>
        <v>2036.93048</v>
      </c>
      <c r="H6" t="s">
        <v>23</v>
      </c>
      <c r="I6">
        <v>6.1724999999999998E-6</v>
      </c>
      <c r="S6" t="s">
        <v>54</v>
      </c>
      <c r="T6" s="3">
        <f>-0.5*T3+T4</f>
        <v>2169.81358</v>
      </c>
      <c r="U6" t="s">
        <v>58</v>
      </c>
    </row>
    <row r="7" spans="1:21" x14ac:dyDescent="0.25">
      <c r="A7">
        <v>5</v>
      </c>
      <c r="B7">
        <f t="shared" si="0"/>
        <v>5.5</v>
      </c>
      <c r="C7">
        <f t="shared" si="1"/>
        <v>6</v>
      </c>
      <c r="D7">
        <f t="shared" si="2"/>
        <v>2010.3538599999999</v>
      </c>
      <c r="H7" t="s">
        <v>10</v>
      </c>
      <c r="I7">
        <f>12</f>
        <v>12</v>
      </c>
      <c r="J7" t="s">
        <v>11</v>
      </c>
      <c r="K7">
        <v>15.994915000000001</v>
      </c>
      <c r="L7" t="s">
        <v>12</v>
      </c>
      <c r="M7">
        <f>K7*I7/(K7+I7)</f>
        <v>6.8562087079028471</v>
      </c>
      <c r="S7" t="s">
        <v>21</v>
      </c>
      <c r="T7" s="3">
        <f>0.5*T3*T5^2+T4*T5</f>
        <v>87494.219358002854</v>
      </c>
    </row>
    <row r="8" spans="1:21" x14ac:dyDescent="0.25">
      <c r="A8">
        <v>6</v>
      </c>
      <c r="B8">
        <f t="shared" si="0"/>
        <v>6.5</v>
      </c>
      <c r="C8">
        <f t="shared" si="1"/>
        <v>7</v>
      </c>
      <c r="D8">
        <f>$I$9-2*(A8+1)*$I$10</f>
        <v>1983.7772399999999</v>
      </c>
      <c r="L8" t="s">
        <v>13</v>
      </c>
      <c r="M8">
        <f>M7/6.022E+23/1000</f>
        <v>1.1385268528566667E-26</v>
      </c>
      <c r="S8" s="6" t="s">
        <v>66</v>
      </c>
      <c r="T8" s="3">
        <f>-T3/2</f>
        <v>13.288310000000005</v>
      </c>
    </row>
    <row r="9" spans="1:21" x14ac:dyDescent="0.25">
      <c r="A9">
        <v>7</v>
      </c>
      <c r="B9">
        <f t="shared" si="0"/>
        <v>7.5</v>
      </c>
      <c r="C9">
        <f t="shared" si="1"/>
        <v>8</v>
      </c>
      <c r="D9">
        <f t="shared" si="2"/>
        <v>1957.2006200000001</v>
      </c>
      <c r="H9" t="s">
        <v>29</v>
      </c>
      <c r="I9">
        <v>2169.81358</v>
      </c>
      <c r="S9" s="6" t="s">
        <v>67</v>
      </c>
      <c r="T9" s="3">
        <f>T7+0.5*T6</f>
        <v>88579.126148002848</v>
      </c>
    </row>
    <row r="10" spans="1:21" x14ac:dyDescent="0.25">
      <c r="A10">
        <v>8</v>
      </c>
      <c r="B10">
        <f t="shared" si="0"/>
        <v>8.5</v>
      </c>
      <c r="C10">
        <f t="shared" si="1"/>
        <v>9</v>
      </c>
      <c r="D10">
        <f t="shared" si="2"/>
        <v>1930.624</v>
      </c>
      <c r="H10" t="s">
        <v>30</v>
      </c>
      <c r="I10">
        <v>13.288309999999999</v>
      </c>
    </row>
    <row r="11" spans="1:21" x14ac:dyDescent="0.25">
      <c r="A11">
        <v>9</v>
      </c>
      <c r="B11">
        <f t="shared" si="0"/>
        <v>9.5</v>
      </c>
      <c r="C11">
        <f t="shared" si="1"/>
        <v>10</v>
      </c>
      <c r="D11">
        <f t="shared" si="2"/>
        <v>1904.04738</v>
      </c>
    </row>
    <row r="12" spans="1:21" x14ac:dyDescent="0.25">
      <c r="A12">
        <v>10</v>
      </c>
      <c r="B12">
        <f t="shared" si="0"/>
        <v>10.5</v>
      </c>
      <c r="C12">
        <f t="shared" si="1"/>
        <v>11</v>
      </c>
      <c r="D12">
        <f t="shared" si="2"/>
        <v>1877.4707600000002</v>
      </c>
      <c r="F12" t="s">
        <v>34</v>
      </c>
    </row>
    <row r="13" spans="1:21" x14ac:dyDescent="0.25">
      <c r="A13">
        <v>11</v>
      </c>
      <c r="B13">
        <f t="shared" si="0"/>
        <v>11.5</v>
      </c>
      <c r="C13">
        <f t="shared" si="1"/>
        <v>12</v>
      </c>
      <c r="D13">
        <f t="shared" si="2"/>
        <v>1850.8941399999999</v>
      </c>
      <c r="E13" t="s">
        <v>31</v>
      </c>
      <c r="F13">
        <f t="array" ref="F13:G13">LINEST(D2:D14,B2:B14)</f>
        <v>-26.576620000000002</v>
      </c>
      <c r="G13">
        <v>2156.5252700000001</v>
      </c>
      <c r="H13" t="s">
        <v>36</v>
      </c>
    </row>
    <row r="14" spans="1:21" x14ac:dyDescent="0.25">
      <c r="A14">
        <v>12</v>
      </c>
      <c r="B14">
        <f t="shared" si="0"/>
        <v>12.5</v>
      </c>
      <c r="C14">
        <f t="shared" si="1"/>
        <v>13</v>
      </c>
      <c r="D14">
        <f t="shared" si="2"/>
        <v>1824.3175200000001</v>
      </c>
      <c r="F14" t="s">
        <v>38</v>
      </c>
      <c r="G14">
        <f>-G13/F13</f>
        <v>81.143699612667078</v>
      </c>
    </row>
    <row r="15" spans="1:21" x14ac:dyDescent="0.25">
      <c r="F15" t="s">
        <v>21</v>
      </c>
      <c r="G15" s="3">
        <f>0.5*F13*G14^2+G13*G14</f>
        <v>87494.219358002883</v>
      </c>
    </row>
    <row r="16" spans="1:21" x14ac:dyDescent="0.25">
      <c r="F16" t="s">
        <v>35</v>
      </c>
    </row>
    <row r="17" spans="5:8" x14ac:dyDescent="0.25">
      <c r="E17" t="s">
        <v>31</v>
      </c>
      <c r="F17" s="6">
        <f t="array" ref="F17:G17">LINEST(D2:D14,C2:C14)</f>
        <v>-26.576620000000002</v>
      </c>
      <c r="G17" s="3">
        <v>2169.81358</v>
      </c>
      <c r="H17" t="s">
        <v>37</v>
      </c>
    </row>
    <row r="18" spans="5:8" x14ac:dyDescent="0.25">
      <c r="F18" s="6" t="s">
        <v>66</v>
      </c>
      <c r="G18" s="3">
        <f>-F13/2</f>
        <v>13.288310000000001</v>
      </c>
    </row>
    <row r="19" spans="5:8" x14ac:dyDescent="0.25">
      <c r="F19" s="6" t="s">
        <v>67</v>
      </c>
      <c r="G19" s="3">
        <f>G15+0.5*G17</f>
        <v>88579.126148002877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BEDA-FF49-4A25-AA6B-6D84D95D0A37}">
  <dimension ref="A1:P53"/>
  <sheetViews>
    <sheetView tabSelected="1" topLeftCell="D12" zoomScale="200" zoomScaleNormal="200" workbookViewId="0">
      <selection activeCell="B26" sqref="B26"/>
    </sheetView>
  </sheetViews>
  <sheetFormatPr defaultRowHeight="15" x14ac:dyDescent="0.25"/>
  <cols>
    <col min="3" max="3" width="28.28515625" bestFit="1" customWidth="1"/>
    <col min="12" max="12" width="12" bestFit="1" customWidth="1"/>
  </cols>
  <sheetData>
    <row r="1" spans="1:16" x14ac:dyDescent="0.25">
      <c r="A1" t="s">
        <v>24</v>
      </c>
      <c r="B1" t="s">
        <v>1</v>
      </c>
      <c r="E1" t="s">
        <v>31</v>
      </c>
      <c r="F1" s="4" t="s">
        <v>40</v>
      </c>
      <c r="G1" s="5" t="s">
        <v>43</v>
      </c>
      <c r="H1" s="5" t="s">
        <v>44</v>
      </c>
    </row>
    <row r="2" spans="1:16" x14ac:dyDescent="0.25">
      <c r="A2">
        <v>25</v>
      </c>
      <c r="B2">
        <v>2037</v>
      </c>
      <c r="E2">
        <f t="shared" ref="E2:E26" si="0">-A2</f>
        <v>-25</v>
      </c>
      <c r="F2">
        <f>B3-B2</f>
        <v>4.6400000000001</v>
      </c>
      <c r="G2">
        <f>E2</f>
        <v>-25</v>
      </c>
      <c r="H2">
        <f>F2</f>
        <v>4.6400000000001</v>
      </c>
      <c r="K2" t="s">
        <v>8</v>
      </c>
    </row>
    <row r="3" spans="1:16" x14ac:dyDescent="0.25">
      <c r="A3">
        <v>24</v>
      </c>
      <c r="B3">
        <v>2041.64</v>
      </c>
      <c r="E3">
        <f t="shared" si="0"/>
        <v>-24</v>
      </c>
      <c r="F3">
        <f t="shared" ref="F3:F52" si="1">B4-B3</f>
        <v>4.6089999999999236</v>
      </c>
      <c r="G3">
        <f t="shared" ref="G3:G25" si="2">E3</f>
        <v>-24</v>
      </c>
      <c r="H3">
        <f t="shared" ref="H3:H25" si="3">F3</f>
        <v>4.6089999999999236</v>
      </c>
      <c r="K3" t="s">
        <v>20</v>
      </c>
      <c r="L3">
        <f>1.93128-0.5*0.01750441</f>
        <v>1.9225277950000002</v>
      </c>
      <c r="N3" t="s">
        <v>9</v>
      </c>
      <c r="O3">
        <v>1.128323</v>
      </c>
    </row>
    <row r="4" spans="1:16" x14ac:dyDescent="0.25">
      <c r="A4">
        <v>23</v>
      </c>
      <c r="B4">
        <v>2046.249</v>
      </c>
      <c r="E4">
        <f t="shared" si="0"/>
        <v>-23</v>
      </c>
      <c r="F4">
        <f t="shared" si="1"/>
        <v>4.5769999999999982</v>
      </c>
      <c r="G4">
        <f t="shared" si="2"/>
        <v>-23</v>
      </c>
      <c r="H4">
        <f t="shared" si="3"/>
        <v>4.5769999999999982</v>
      </c>
      <c r="K4" t="s">
        <v>21</v>
      </c>
      <c r="L4">
        <v>6.1878000000000003E-6</v>
      </c>
      <c r="N4" t="s">
        <v>41</v>
      </c>
      <c r="O4">
        <v>1.7504410000000001E-2</v>
      </c>
    </row>
    <row r="5" spans="1:16" x14ac:dyDescent="0.25">
      <c r="A5">
        <v>22</v>
      </c>
      <c r="B5">
        <v>2050.826</v>
      </c>
      <c r="E5">
        <f t="shared" si="0"/>
        <v>-22</v>
      </c>
      <c r="F5">
        <f t="shared" si="1"/>
        <v>4.5450000000000728</v>
      </c>
      <c r="G5">
        <f t="shared" si="2"/>
        <v>-22</v>
      </c>
      <c r="H5">
        <f t="shared" si="3"/>
        <v>4.5450000000000728</v>
      </c>
      <c r="K5" t="s">
        <v>22</v>
      </c>
      <c r="L5">
        <v>1.9050229999999999</v>
      </c>
      <c r="N5" t="s">
        <v>42</v>
      </c>
      <c r="O5">
        <v>1.9312800000000001</v>
      </c>
    </row>
    <row r="6" spans="1:16" x14ac:dyDescent="0.25">
      <c r="A6">
        <v>21</v>
      </c>
      <c r="B6">
        <v>2055.3710000000001</v>
      </c>
      <c r="E6">
        <f t="shared" si="0"/>
        <v>-21</v>
      </c>
      <c r="F6">
        <f t="shared" si="1"/>
        <v>4.51299999999992</v>
      </c>
      <c r="G6">
        <f t="shared" si="2"/>
        <v>-21</v>
      </c>
      <c r="H6">
        <f t="shared" si="3"/>
        <v>4.51299999999992</v>
      </c>
      <c r="K6" t="s">
        <v>23</v>
      </c>
      <c r="L6">
        <v>6.1724999999999998E-6</v>
      </c>
    </row>
    <row r="7" spans="1:16" x14ac:dyDescent="0.25">
      <c r="A7">
        <v>20</v>
      </c>
      <c r="B7">
        <v>2059.884</v>
      </c>
      <c r="E7">
        <f t="shared" si="0"/>
        <v>-20</v>
      </c>
      <c r="F7">
        <f t="shared" si="1"/>
        <v>4.4819999999999709</v>
      </c>
      <c r="G7">
        <f t="shared" si="2"/>
        <v>-20</v>
      </c>
      <c r="H7">
        <f t="shared" si="3"/>
        <v>4.4819999999999709</v>
      </c>
      <c r="K7" t="s">
        <v>10</v>
      </c>
      <c r="L7">
        <f>12</f>
        <v>12</v>
      </c>
      <c r="M7" t="s">
        <v>11</v>
      </c>
      <c r="N7">
        <v>15.994915000000001</v>
      </c>
      <c r="O7" t="s">
        <v>12</v>
      </c>
      <c r="P7">
        <f>N7*L7/(N7+L7)</f>
        <v>6.8562087079028471</v>
      </c>
    </row>
    <row r="8" spans="1:16" x14ac:dyDescent="0.25">
      <c r="A8">
        <v>19</v>
      </c>
      <c r="B8">
        <v>2064.366</v>
      </c>
      <c r="E8">
        <f t="shared" si="0"/>
        <v>-19</v>
      </c>
      <c r="F8">
        <f t="shared" si="1"/>
        <v>4.4490000000000691</v>
      </c>
      <c r="G8">
        <f t="shared" si="2"/>
        <v>-19</v>
      </c>
      <c r="H8">
        <f t="shared" si="3"/>
        <v>4.4490000000000691</v>
      </c>
      <c r="O8" t="s">
        <v>13</v>
      </c>
      <c r="P8">
        <f>P7/6.022E+23/1000</f>
        <v>1.1385268528566667E-26</v>
      </c>
    </row>
    <row r="9" spans="1:16" x14ac:dyDescent="0.25">
      <c r="A9">
        <v>18</v>
      </c>
      <c r="B9">
        <v>2068.8150000000001</v>
      </c>
      <c r="E9">
        <f t="shared" si="0"/>
        <v>-18</v>
      </c>
      <c r="F9">
        <f t="shared" si="1"/>
        <v>4.4180000000001201</v>
      </c>
      <c r="G9">
        <f t="shared" si="2"/>
        <v>-18</v>
      </c>
      <c r="H9">
        <f t="shared" si="3"/>
        <v>4.4180000000001201</v>
      </c>
      <c r="K9" t="s">
        <v>29</v>
      </c>
      <c r="L9">
        <v>2169.81358</v>
      </c>
    </row>
    <row r="10" spans="1:16" x14ac:dyDescent="0.25">
      <c r="A10">
        <v>17</v>
      </c>
      <c r="B10">
        <v>2073.2330000000002</v>
      </c>
      <c r="E10">
        <f t="shared" si="0"/>
        <v>-17</v>
      </c>
      <c r="F10">
        <f t="shared" si="1"/>
        <v>4.3840000000000146</v>
      </c>
      <c r="G10">
        <f t="shared" si="2"/>
        <v>-17</v>
      </c>
      <c r="H10">
        <f t="shared" si="3"/>
        <v>4.3840000000000146</v>
      </c>
      <c r="K10" t="s">
        <v>30</v>
      </c>
      <c r="L10">
        <v>13.288309999999999</v>
      </c>
    </row>
    <row r="11" spans="1:16" x14ac:dyDescent="0.25">
      <c r="A11">
        <v>16</v>
      </c>
      <c r="B11">
        <v>2077.6170000000002</v>
      </c>
      <c r="E11">
        <f t="shared" si="0"/>
        <v>-16</v>
      </c>
      <c r="F11">
        <f t="shared" si="1"/>
        <v>4.3519999999998618</v>
      </c>
      <c r="G11">
        <f t="shared" si="2"/>
        <v>-16</v>
      </c>
      <c r="H11">
        <f t="shared" si="3"/>
        <v>4.3519999999998618</v>
      </c>
    </row>
    <row r="12" spans="1:16" x14ac:dyDescent="0.25">
      <c r="A12">
        <v>15</v>
      </c>
      <c r="B12">
        <v>2081.9690000000001</v>
      </c>
      <c r="E12">
        <f t="shared" si="0"/>
        <v>-15</v>
      </c>
      <c r="F12">
        <f t="shared" si="1"/>
        <v>4.3200000000001637</v>
      </c>
      <c r="G12">
        <f t="shared" si="2"/>
        <v>-15</v>
      </c>
      <c r="H12">
        <f t="shared" si="3"/>
        <v>4.3200000000001637</v>
      </c>
      <c r="N12">
        <f>J13*-1+K13</f>
        <v>3.8283851126708486</v>
      </c>
    </row>
    <row r="13" spans="1:16" x14ac:dyDescent="0.25">
      <c r="A13">
        <v>14</v>
      </c>
      <c r="B13">
        <v>2086.2890000000002</v>
      </c>
      <c r="E13">
        <f t="shared" si="0"/>
        <v>-14</v>
      </c>
      <c r="F13">
        <f t="shared" si="1"/>
        <v>4.2859999999996035</v>
      </c>
      <c r="G13">
        <f t="shared" si="2"/>
        <v>-14</v>
      </c>
      <c r="H13">
        <f t="shared" si="3"/>
        <v>4.2859999999996035</v>
      </c>
      <c r="I13" t="s">
        <v>31</v>
      </c>
      <c r="J13">
        <f t="array" ref="J13:K13">LINEST(H2:H50,G2:G50)</f>
        <v>-3.5057410417436569E-2</v>
      </c>
      <c r="K13">
        <v>3.793327702253412</v>
      </c>
      <c r="L13" t="s">
        <v>36</v>
      </c>
      <c r="M13">
        <v>3.7933300000000001</v>
      </c>
    </row>
    <row r="14" spans="1:16" x14ac:dyDescent="0.25">
      <c r="A14">
        <v>13</v>
      </c>
      <c r="B14">
        <v>2090.5749999999998</v>
      </c>
      <c r="E14">
        <f t="shared" si="0"/>
        <v>-13</v>
      </c>
      <c r="F14">
        <f t="shared" si="1"/>
        <v>4.2540000000003602</v>
      </c>
      <c r="G14">
        <f t="shared" si="2"/>
        <v>-13</v>
      </c>
      <c r="H14">
        <f t="shared" si="3"/>
        <v>4.2540000000003602</v>
      </c>
      <c r="I14" t="s">
        <v>57</v>
      </c>
      <c r="J14" s="3">
        <f>-J13/2</f>
        <v>1.7528705208718284E-2</v>
      </c>
      <c r="K14" t="s">
        <v>42</v>
      </c>
      <c r="L14" s="3">
        <f>(K13+3*J14)/2</f>
        <v>1.9229569089397833</v>
      </c>
    </row>
    <row r="15" spans="1:16" x14ac:dyDescent="0.25">
      <c r="A15">
        <v>12</v>
      </c>
      <c r="B15">
        <v>2094.8290000000002</v>
      </c>
      <c r="E15">
        <f t="shared" si="0"/>
        <v>-12</v>
      </c>
      <c r="F15">
        <f t="shared" si="1"/>
        <v>4.2199999999997999</v>
      </c>
      <c r="G15">
        <f t="shared" si="2"/>
        <v>-12</v>
      </c>
      <c r="H15">
        <f t="shared" si="3"/>
        <v>4.2199999999997999</v>
      </c>
    </row>
    <row r="16" spans="1:16" x14ac:dyDescent="0.25">
      <c r="A16">
        <v>11</v>
      </c>
      <c r="B16">
        <v>2099.049</v>
      </c>
      <c r="E16">
        <f t="shared" si="0"/>
        <v>-11</v>
      </c>
      <c r="F16">
        <f t="shared" si="1"/>
        <v>4.1869999999998981</v>
      </c>
      <c r="G16">
        <f t="shared" si="2"/>
        <v>-11</v>
      </c>
      <c r="H16">
        <f t="shared" si="3"/>
        <v>4.1869999999998981</v>
      </c>
    </row>
    <row r="17" spans="1:8" x14ac:dyDescent="0.25">
      <c r="A17">
        <v>10</v>
      </c>
      <c r="B17">
        <v>2103.2359999999999</v>
      </c>
      <c r="E17">
        <f t="shared" si="0"/>
        <v>-10</v>
      </c>
      <c r="F17">
        <f t="shared" si="1"/>
        <v>4.1530000000002474</v>
      </c>
      <c r="G17">
        <f t="shared" si="2"/>
        <v>-10</v>
      </c>
      <c r="H17">
        <f t="shared" si="3"/>
        <v>4.1530000000002474</v>
      </c>
    </row>
    <row r="18" spans="1:8" x14ac:dyDescent="0.25">
      <c r="A18">
        <v>9</v>
      </c>
      <c r="B18">
        <v>2107.3890000000001</v>
      </c>
      <c r="E18">
        <f t="shared" si="0"/>
        <v>-9</v>
      </c>
      <c r="F18">
        <f t="shared" si="1"/>
        <v>4.1199999999998909</v>
      </c>
      <c r="G18">
        <f t="shared" si="2"/>
        <v>-9</v>
      </c>
      <c r="H18">
        <f t="shared" si="3"/>
        <v>4.1199999999998909</v>
      </c>
    </row>
    <row r="19" spans="1:8" x14ac:dyDescent="0.25">
      <c r="A19">
        <v>8</v>
      </c>
      <c r="B19">
        <v>2111.509</v>
      </c>
      <c r="E19">
        <f t="shared" si="0"/>
        <v>-8</v>
      </c>
      <c r="F19">
        <f t="shared" si="1"/>
        <v>4.0859999999997854</v>
      </c>
      <c r="G19">
        <f t="shared" si="2"/>
        <v>-8</v>
      </c>
      <c r="H19">
        <f t="shared" si="3"/>
        <v>4.0859999999997854</v>
      </c>
    </row>
    <row r="20" spans="1:8" x14ac:dyDescent="0.25">
      <c r="A20">
        <v>7</v>
      </c>
      <c r="B20">
        <v>2115.5949999999998</v>
      </c>
      <c r="E20">
        <f t="shared" si="0"/>
        <v>-7</v>
      </c>
      <c r="F20">
        <f t="shared" si="1"/>
        <v>4.0520000000001346</v>
      </c>
      <c r="G20">
        <f t="shared" si="2"/>
        <v>-7</v>
      </c>
      <c r="H20">
        <f t="shared" si="3"/>
        <v>4.0520000000001346</v>
      </c>
    </row>
    <row r="21" spans="1:8" x14ac:dyDescent="0.25">
      <c r="A21">
        <v>6</v>
      </c>
      <c r="B21">
        <v>2119.6469999999999</v>
      </c>
      <c r="C21" s="6"/>
      <c r="D21" s="6"/>
      <c r="E21">
        <f t="shared" si="0"/>
        <v>-6</v>
      </c>
      <c r="F21">
        <f t="shared" si="1"/>
        <v>4.0180000000000291</v>
      </c>
      <c r="G21">
        <f t="shared" si="2"/>
        <v>-6</v>
      </c>
      <c r="H21">
        <f t="shared" si="3"/>
        <v>4.0180000000000291</v>
      </c>
    </row>
    <row r="22" spans="1:8" x14ac:dyDescent="0.25">
      <c r="A22">
        <v>5</v>
      </c>
      <c r="B22">
        <v>2123.665</v>
      </c>
      <c r="C22" s="6"/>
      <c r="D22" s="6"/>
      <c r="E22">
        <f t="shared" si="0"/>
        <v>-5</v>
      </c>
      <c r="F22">
        <f t="shared" si="1"/>
        <v>3.9830000000001746</v>
      </c>
      <c r="G22">
        <f t="shared" si="2"/>
        <v>-5</v>
      </c>
      <c r="H22">
        <f t="shared" si="3"/>
        <v>3.9830000000001746</v>
      </c>
    </row>
    <row r="23" spans="1:8" x14ac:dyDescent="0.25">
      <c r="A23">
        <v>4</v>
      </c>
      <c r="B23" s="7">
        <v>2127.6480000000001</v>
      </c>
      <c r="C23" s="6">
        <f>AVERAGE(C25:C26)</f>
        <v>2143.2370425563354</v>
      </c>
      <c r="D23" s="6"/>
      <c r="E23">
        <f t="shared" si="0"/>
        <v>-4</v>
      </c>
      <c r="F23">
        <f t="shared" si="1"/>
        <v>3.9490000000000691</v>
      </c>
      <c r="G23">
        <f t="shared" si="2"/>
        <v>-4</v>
      </c>
      <c r="H23">
        <f t="shared" si="3"/>
        <v>3.9490000000000691</v>
      </c>
    </row>
    <row r="24" spans="1:8" x14ac:dyDescent="0.25">
      <c r="A24">
        <v>3</v>
      </c>
      <c r="B24" s="8">
        <v>2131.5970000000002</v>
      </c>
      <c r="C24" s="6"/>
      <c r="D24" s="6"/>
      <c r="E24">
        <f t="shared" si="0"/>
        <v>-3</v>
      </c>
      <c r="F24">
        <f t="shared" si="1"/>
        <v>3.9149999999999636</v>
      </c>
      <c r="G24">
        <f t="shared" si="2"/>
        <v>-3</v>
      </c>
      <c r="H24">
        <f t="shared" si="3"/>
        <v>3.9149999999999636</v>
      </c>
    </row>
    <row r="25" spans="1:8" x14ac:dyDescent="0.25">
      <c r="A25">
        <v>2</v>
      </c>
      <c r="B25" s="6">
        <v>2135.5120000000002</v>
      </c>
      <c r="C25" s="6">
        <f>B26+N12</f>
        <v>2143.2203851126706</v>
      </c>
      <c r="D25" s="6"/>
      <c r="E25">
        <f t="shared" si="0"/>
        <v>-2</v>
      </c>
      <c r="F25">
        <f t="shared" si="1"/>
        <v>3.8799999999996544</v>
      </c>
      <c r="G25">
        <f t="shared" si="2"/>
        <v>-2</v>
      </c>
      <c r="H25">
        <f t="shared" si="3"/>
        <v>3.8799999999996544</v>
      </c>
    </row>
    <row r="26" spans="1:8" x14ac:dyDescent="0.25">
      <c r="A26">
        <v>1</v>
      </c>
      <c r="B26">
        <v>2139.3919999999998</v>
      </c>
      <c r="C26" s="6">
        <f>B28-3.7933</f>
        <v>2143.2537000000002</v>
      </c>
      <c r="D26" s="6"/>
      <c r="E26">
        <f t="shared" si="0"/>
        <v>-1</v>
      </c>
      <c r="F26" s="11">
        <f t="shared" si="1"/>
        <v>3.8450425563355566</v>
      </c>
      <c r="G26">
        <f>E28</f>
        <v>1</v>
      </c>
      <c r="H26">
        <f>F28</f>
        <v>3.7750000000000909</v>
      </c>
    </row>
    <row r="27" spans="1:8" x14ac:dyDescent="0.25">
      <c r="B27" s="11">
        <f>C23</f>
        <v>2143.2370425563354</v>
      </c>
      <c r="C27" s="6"/>
      <c r="D27" s="6"/>
      <c r="E27">
        <v>0</v>
      </c>
      <c r="F27" s="11">
        <f t="shared" si="1"/>
        <v>3.8099574436646435</v>
      </c>
      <c r="G27">
        <f t="shared" ref="G27:H27" si="4">E29</f>
        <v>2</v>
      </c>
      <c r="H27">
        <f t="shared" si="4"/>
        <v>3.7390000000000327</v>
      </c>
    </row>
    <row r="28" spans="1:8" x14ac:dyDescent="0.25">
      <c r="A28">
        <v>0</v>
      </c>
      <c r="B28">
        <v>2147.047</v>
      </c>
      <c r="C28" t="s">
        <v>55</v>
      </c>
      <c r="E28">
        <f t="shared" ref="E28:E53" si="5">A28+1</f>
        <v>1</v>
      </c>
      <c r="F28">
        <f t="shared" si="1"/>
        <v>3.7750000000000909</v>
      </c>
      <c r="G28">
        <f t="shared" ref="G28:H28" si="6">E30</f>
        <v>3</v>
      </c>
      <c r="H28">
        <f t="shared" si="6"/>
        <v>3.7049999999999272</v>
      </c>
    </row>
    <row r="29" spans="1:8" x14ac:dyDescent="0.25">
      <c r="A29">
        <v>1</v>
      </c>
      <c r="B29">
        <v>2150.8220000000001</v>
      </c>
      <c r="C29" t="s">
        <v>56</v>
      </c>
      <c r="D29" s="7">
        <f>B30-B23</f>
        <v>26.913000000000011</v>
      </c>
      <c r="E29">
        <f t="shared" si="5"/>
        <v>2</v>
      </c>
      <c r="F29">
        <f t="shared" si="1"/>
        <v>3.7390000000000327</v>
      </c>
      <c r="G29">
        <f t="shared" ref="G29:H29" si="7">E31</f>
        <v>4</v>
      </c>
      <c r="H29">
        <f t="shared" si="7"/>
        <v>3.6680000000001201</v>
      </c>
    </row>
    <row r="30" spans="1:8" x14ac:dyDescent="0.25">
      <c r="A30">
        <v>2</v>
      </c>
      <c r="B30" s="7">
        <v>2154.5610000000001</v>
      </c>
      <c r="C30" t="s">
        <v>20</v>
      </c>
      <c r="D30" s="7">
        <f>D29/4/(3.5)</f>
        <v>1.9223571428571435</v>
      </c>
      <c r="E30">
        <f t="shared" si="5"/>
        <v>3</v>
      </c>
      <c r="F30">
        <f t="shared" si="1"/>
        <v>3.7049999999999272</v>
      </c>
      <c r="G30">
        <f t="shared" ref="G30:H30" si="8">E32</f>
        <v>5</v>
      </c>
      <c r="H30">
        <f t="shared" si="8"/>
        <v>3.6329999999998108</v>
      </c>
    </row>
    <row r="31" spans="1:8" x14ac:dyDescent="0.25">
      <c r="A31">
        <v>3</v>
      </c>
      <c r="B31" s="8">
        <v>2158.2660000000001</v>
      </c>
      <c r="C31" t="s">
        <v>42</v>
      </c>
      <c r="D31" s="3">
        <f>D30+0.5*D32</f>
        <v>1.9310714285714343</v>
      </c>
      <c r="E31">
        <f t="shared" si="5"/>
        <v>4</v>
      </c>
      <c r="F31">
        <f t="shared" si="1"/>
        <v>3.6680000000001201</v>
      </c>
      <c r="G31">
        <f t="shared" ref="G31:H31" si="9">E33</f>
        <v>6</v>
      </c>
      <c r="H31">
        <f t="shared" si="9"/>
        <v>3.5970000000002074</v>
      </c>
    </row>
    <row r="32" spans="1:8" x14ac:dyDescent="0.25">
      <c r="A32">
        <v>4</v>
      </c>
      <c r="B32">
        <v>2161.9340000000002</v>
      </c>
      <c r="C32" t="s">
        <v>57</v>
      </c>
      <c r="D32" s="3">
        <f>D30-D34</f>
        <v>1.7428571428581563E-2</v>
      </c>
      <c r="E32">
        <f t="shared" si="5"/>
        <v>5</v>
      </c>
      <c r="F32">
        <f t="shared" si="1"/>
        <v>3.6329999999998108</v>
      </c>
      <c r="G32">
        <f t="shared" ref="G32:H32" si="10">E34</f>
        <v>7</v>
      </c>
      <c r="H32">
        <f t="shared" si="10"/>
        <v>3.5599999999999454</v>
      </c>
    </row>
    <row r="33" spans="1:8" x14ac:dyDescent="0.25">
      <c r="A33">
        <v>5</v>
      </c>
      <c r="B33">
        <v>2165.567</v>
      </c>
      <c r="C33" t="s">
        <v>56</v>
      </c>
      <c r="D33" s="8">
        <f>B31-B24</f>
        <v>26.668999999999869</v>
      </c>
      <c r="E33">
        <f t="shared" si="5"/>
        <v>6</v>
      </c>
      <c r="F33">
        <f t="shared" si="1"/>
        <v>3.5970000000002074</v>
      </c>
      <c r="G33">
        <f t="shared" ref="G33:H33" si="11">E35</f>
        <v>8</v>
      </c>
      <c r="H33">
        <f t="shared" si="11"/>
        <v>3.5249999999996362</v>
      </c>
    </row>
    <row r="34" spans="1:8" x14ac:dyDescent="0.25">
      <c r="A34">
        <v>6</v>
      </c>
      <c r="B34">
        <v>2169.1640000000002</v>
      </c>
      <c r="C34" t="s">
        <v>22</v>
      </c>
      <c r="D34" s="8">
        <f>D33/4/(3.5)</f>
        <v>1.904928571428562</v>
      </c>
      <c r="E34">
        <f t="shared" si="5"/>
        <v>7</v>
      </c>
      <c r="F34">
        <f t="shared" si="1"/>
        <v>3.5599999999999454</v>
      </c>
      <c r="G34">
        <f t="shared" ref="G34:H34" si="12">E36</f>
        <v>9</v>
      </c>
      <c r="H34">
        <f t="shared" si="12"/>
        <v>3.4880000000002838</v>
      </c>
    </row>
    <row r="35" spans="1:8" x14ac:dyDescent="0.25">
      <c r="A35">
        <v>7</v>
      </c>
      <c r="B35">
        <v>2172.7240000000002</v>
      </c>
      <c r="E35">
        <f t="shared" si="5"/>
        <v>8</v>
      </c>
      <c r="F35">
        <f t="shared" si="1"/>
        <v>3.5249999999996362</v>
      </c>
      <c r="G35">
        <f t="shared" ref="G35:H35" si="13">E37</f>
        <v>10</v>
      </c>
      <c r="H35">
        <f t="shared" si="13"/>
        <v>3.4519999999997708</v>
      </c>
    </row>
    <row r="36" spans="1:8" x14ac:dyDescent="0.25">
      <c r="A36">
        <v>8</v>
      </c>
      <c r="B36">
        <v>2176.2489999999998</v>
      </c>
      <c r="E36">
        <f t="shared" si="5"/>
        <v>9</v>
      </c>
      <c r="F36">
        <f t="shared" si="1"/>
        <v>3.4880000000002838</v>
      </c>
      <c r="G36">
        <f t="shared" ref="G36:H36" si="14">E38</f>
        <v>11</v>
      </c>
      <c r="H36">
        <f t="shared" si="14"/>
        <v>3.4160000000001673</v>
      </c>
    </row>
    <row r="37" spans="1:8" x14ac:dyDescent="0.25">
      <c r="A37">
        <v>9</v>
      </c>
      <c r="B37">
        <v>2179.7370000000001</v>
      </c>
      <c r="E37">
        <f t="shared" si="5"/>
        <v>10</v>
      </c>
      <c r="F37">
        <f t="shared" si="1"/>
        <v>3.4519999999997708</v>
      </c>
      <c r="G37">
        <f t="shared" ref="G37:H37" si="15">E39</f>
        <v>12</v>
      </c>
      <c r="H37">
        <f t="shared" si="15"/>
        <v>3.3780000000001564</v>
      </c>
    </row>
    <row r="38" spans="1:8" x14ac:dyDescent="0.25">
      <c r="A38">
        <v>10</v>
      </c>
      <c r="B38">
        <v>2183.1889999999999</v>
      </c>
      <c r="E38">
        <f t="shared" si="5"/>
        <v>11</v>
      </c>
      <c r="F38">
        <f t="shared" si="1"/>
        <v>3.4160000000001673</v>
      </c>
      <c r="G38">
        <f t="shared" ref="G38:H38" si="16">E40</f>
        <v>13</v>
      </c>
      <c r="H38">
        <f t="shared" si="16"/>
        <v>3.3419999999996435</v>
      </c>
    </row>
    <row r="39" spans="1:8" x14ac:dyDescent="0.25">
      <c r="A39">
        <v>11</v>
      </c>
      <c r="B39">
        <v>2186.605</v>
      </c>
      <c r="E39">
        <f t="shared" si="5"/>
        <v>12</v>
      </c>
      <c r="F39">
        <f t="shared" si="1"/>
        <v>3.3780000000001564</v>
      </c>
      <c r="G39">
        <f t="shared" ref="G39:H39" si="17">E41</f>
        <v>14</v>
      </c>
      <c r="H39">
        <f t="shared" si="17"/>
        <v>3.3040000000000873</v>
      </c>
    </row>
    <row r="40" spans="1:8" x14ac:dyDescent="0.25">
      <c r="A40">
        <v>12</v>
      </c>
      <c r="B40">
        <v>2189.9830000000002</v>
      </c>
      <c r="E40">
        <f t="shared" si="5"/>
        <v>13</v>
      </c>
      <c r="F40">
        <f t="shared" si="1"/>
        <v>3.3419999999996435</v>
      </c>
      <c r="G40">
        <f t="shared" ref="G40:H40" si="18">E42</f>
        <v>15</v>
      </c>
      <c r="H40">
        <f t="shared" si="18"/>
        <v>3.2670000000002801</v>
      </c>
    </row>
    <row r="41" spans="1:8" x14ac:dyDescent="0.25">
      <c r="A41">
        <v>13</v>
      </c>
      <c r="B41">
        <v>2193.3249999999998</v>
      </c>
      <c r="E41">
        <f t="shared" si="5"/>
        <v>14</v>
      </c>
      <c r="F41">
        <f t="shared" si="1"/>
        <v>3.3040000000000873</v>
      </c>
      <c r="G41">
        <f t="shared" ref="G41:H41" si="19">E43</f>
        <v>16</v>
      </c>
      <c r="H41">
        <f t="shared" si="19"/>
        <v>3.2300000000000182</v>
      </c>
    </row>
    <row r="42" spans="1:8" x14ac:dyDescent="0.25">
      <c r="A42">
        <v>14</v>
      </c>
      <c r="B42">
        <v>2196.6289999999999</v>
      </c>
      <c r="E42">
        <f t="shared" si="5"/>
        <v>15</v>
      </c>
      <c r="F42">
        <f t="shared" si="1"/>
        <v>3.2670000000002801</v>
      </c>
      <c r="G42">
        <f t="shared" ref="G42:H42" si="20">E44</f>
        <v>17</v>
      </c>
      <c r="H42">
        <f t="shared" si="20"/>
        <v>3.1929999999997563</v>
      </c>
    </row>
    <row r="43" spans="1:8" x14ac:dyDescent="0.25">
      <c r="A43">
        <v>15</v>
      </c>
      <c r="B43">
        <v>2199.8960000000002</v>
      </c>
      <c r="E43">
        <f t="shared" si="5"/>
        <v>16</v>
      </c>
      <c r="F43">
        <f t="shared" si="1"/>
        <v>3.2300000000000182</v>
      </c>
      <c r="G43">
        <f t="shared" ref="G43:H43" si="21">E45</f>
        <v>18</v>
      </c>
      <c r="H43">
        <f t="shared" si="21"/>
        <v>3.1550000000002001</v>
      </c>
    </row>
    <row r="44" spans="1:8" x14ac:dyDescent="0.25">
      <c r="A44">
        <v>16</v>
      </c>
      <c r="B44">
        <v>2203.1260000000002</v>
      </c>
      <c r="E44">
        <f t="shared" si="5"/>
        <v>17</v>
      </c>
      <c r="F44">
        <f t="shared" si="1"/>
        <v>3.1929999999997563</v>
      </c>
      <c r="G44">
        <f t="shared" ref="G44:H44" si="22">E46</f>
        <v>19</v>
      </c>
      <c r="H44">
        <f t="shared" si="22"/>
        <v>3.1169999999997344</v>
      </c>
    </row>
    <row r="45" spans="1:8" x14ac:dyDescent="0.25">
      <c r="A45">
        <v>17</v>
      </c>
      <c r="B45">
        <v>2206.319</v>
      </c>
      <c r="E45">
        <f t="shared" si="5"/>
        <v>18</v>
      </c>
      <c r="F45">
        <f t="shared" si="1"/>
        <v>3.1550000000002001</v>
      </c>
      <c r="G45">
        <f t="shared" ref="G45:H45" si="23">E47</f>
        <v>20</v>
      </c>
      <c r="H45">
        <f t="shared" si="23"/>
        <v>3.0790000000001783</v>
      </c>
    </row>
    <row r="46" spans="1:8" x14ac:dyDescent="0.25">
      <c r="A46">
        <v>18</v>
      </c>
      <c r="B46">
        <v>2209.4740000000002</v>
      </c>
      <c r="E46">
        <f t="shared" si="5"/>
        <v>19</v>
      </c>
      <c r="F46">
        <f t="shared" si="1"/>
        <v>3.1169999999997344</v>
      </c>
      <c r="G46">
        <f t="shared" ref="G46:H46" si="24">E48</f>
        <v>21</v>
      </c>
      <c r="H46">
        <f t="shared" si="24"/>
        <v>3.0409999999997126</v>
      </c>
    </row>
    <row r="47" spans="1:8" x14ac:dyDescent="0.25">
      <c r="A47">
        <v>19</v>
      </c>
      <c r="B47">
        <v>2212.5909999999999</v>
      </c>
      <c r="E47">
        <f t="shared" si="5"/>
        <v>20</v>
      </c>
      <c r="F47">
        <f t="shared" si="1"/>
        <v>3.0790000000001783</v>
      </c>
      <c r="G47">
        <f t="shared" ref="G47:H47" si="25">E49</f>
        <v>22</v>
      </c>
      <c r="H47">
        <f t="shared" si="25"/>
        <v>3.0030000000001564</v>
      </c>
    </row>
    <row r="48" spans="1:8" x14ac:dyDescent="0.25">
      <c r="A48">
        <v>20</v>
      </c>
      <c r="B48">
        <v>2215.67</v>
      </c>
      <c r="E48">
        <f t="shared" si="5"/>
        <v>21</v>
      </c>
      <c r="F48">
        <f t="shared" si="1"/>
        <v>3.0409999999997126</v>
      </c>
      <c r="G48">
        <f t="shared" ref="G48:H48" si="26">E50</f>
        <v>23</v>
      </c>
      <c r="H48">
        <f t="shared" si="26"/>
        <v>2.9650000000001455</v>
      </c>
    </row>
    <row r="49" spans="1:8" x14ac:dyDescent="0.25">
      <c r="A49">
        <v>21</v>
      </c>
      <c r="B49">
        <v>2218.7109999999998</v>
      </c>
      <c r="E49">
        <f t="shared" si="5"/>
        <v>22</v>
      </c>
      <c r="F49">
        <f t="shared" si="1"/>
        <v>3.0030000000001564</v>
      </c>
      <c r="G49">
        <f t="shared" ref="G49:H49" si="27">E51</f>
        <v>24</v>
      </c>
      <c r="H49">
        <f t="shared" si="27"/>
        <v>2.9259999999999309</v>
      </c>
    </row>
    <row r="50" spans="1:8" x14ac:dyDescent="0.25">
      <c r="A50">
        <v>22</v>
      </c>
      <c r="B50">
        <v>2221.7139999999999</v>
      </c>
      <c r="E50">
        <f t="shared" si="5"/>
        <v>23</v>
      </c>
      <c r="F50">
        <f t="shared" si="1"/>
        <v>2.9650000000001455</v>
      </c>
      <c r="G50">
        <f t="shared" ref="G50:H50" si="28">E52</f>
        <v>25</v>
      </c>
      <c r="H50">
        <f t="shared" si="28"/>
        <v>2.88799999999992</v>
      </c>
    </row>
    <row r="51" spans="1:8" x14ac:dyDescent="0.25">
      <c r="A51">
        <v>23</v>
      </c>
      <c r="B51">
        <v>2224.6790000000001</v>
      </c>
      <c r="E51">
        <f t="shared" si="5"/>
        <v>24</v>
      </c>
      <c r="F51">
        <f t="shared" si="1"/>
        <v>2.9259999999999309</v>
      </c>
    </row>
    <row r="52" spans="1:8" x14ac:dyDescent="0.25">
      <c r="A52">
        <v>24</v>
      </c>
      <c r="B52">
        <v>2227.605</v>
      </c>
      <c r="E52">
        <f t="shared" si="5"/>
        <v>25</v>
      </c>
      <c r="F52">
        <f t="shared" si="1"/>
        <v>2.88799999999992</v>
      </c>
    </row>
    <row r="53" spans="1:8" x14ac:dyDescent="0.25">
      <c r="A53">
        <v>25</v>
      </c>
      <c r="B53">
        <v>2230.4929999999999</v>
      </c>
      <c r="E53">
        <f t="shared" si="5"/>
        <v>26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972-458A-409A-96BC-06C45ED4F776}">
  <dimension ref="A1:B5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39</v>
      </c>
      <c r="B1" t="s">
        <v>1</v>
      </c>
    </row>
    <row r="2" spans="1:2" x14ac:dyDescent="0.25">
      <c r="A2">
        <v>25</v>
      </c>
      <c r="B2">
        <v>1945.9</v>
      </c>
    </row>
    <row r="3" spans="1:2" x14ac:dyDescent="0.25">
      <c r="A3">
        <v>24</v>
      </c>
      <c r="B3">
        <v>1954.309</v>
      </c>
    </row>
    <row r="4" spans="1:2" x14ac:dyDescent="0.25">
      <c r="A4">
        <v>23</v>
      </c>
      <c r="B4">
        <v>1962.69</v>
      </c>
    </row>
    <row r="5" spans="1:2" x14ac:dyDescent="0.25">
      <c r="A5">
        <v>22</v>
      </c>
      <c r="B5">
        <v>1971.0429999999999</v>
      </c>
    </row>
    <row r="6" spans="1:2" x14ac:dyDescent="0.25">
      <c r="A6">
        <v>21</v>
      </c>
      <c r="B6">
        <v>1979.367</v>
      </c>
    </row>
    <row r="7" spans="1:2" x14ac:dyDescent="0.25">
      <c r="A7">
        <v>20</v>
      </c>
      <c r="B7">
        <v>1987.663</v>
      </c>
    </row>
    <row r="8" spans="1:2" x14ac:dyDescent="0.25">
      <c r="A8">
        <v>19</v>
      </c>
      <c r="B8">
        <v>1995.9290000000001</v>
      </c>
    </row>
    <row r="9" spans="1:2" x14ac:dyDescent="0.25">
      <c r="A9">
        <v>18</v>
      </c>
      <c r="B9">
        <v>2004.1659999999999</v>
      </c>
    </row>
    <row r="10" spans="1:2" x14ac:dyDescent="0.25">
      <c r="A10">
        <v>17</v>
      </c>
      <c r="B10">
        <v>2012.373</v>
      </c>
    </row>
    <row r="11" spans="1:2" x14ac:dyDescent="0.25">
      <c r="A11">
        <v>16</v>
      </c>
      <c r="B11">
        <v>2020.55</v>
      </c>
    </row>
    <row r="12" spans="1:2" x14ac:dyDescent="0.25">
      <c r="A12">
        <v>15</v>
      </c>
      <c r="B12">
        <v>2028.6969999999999</v>
      </c>
    </row>
    <row r="13" spans="1:2" x14ac:dyDescent="0.25">
      <c r="A13">
        <v>14</v>
      </c>
      <c r="B13">
        <v>2036.8119999999999</v>
      </c>
    </row>
    <row r="14" spans="1:2" x14ac:dyDescent="0.25">
      <c r="A14">
        <v>13</v>
      </c>
      <c r="B14">
        <v>2044.8969999999999</v>
      </c>
    </row>
    <row r="15" spans="1:2" x14ac:dyDescent="0.25">
      <c r="A15">
        <v>12</v>
      </c>
      <c r="B15">
        <v>2052.951</v>
      </c>
    </row>
    <row r="16" spans="1:2" x14ac:dyDescent="0.25">
      <c r="A16">
        <v>11</v>
      </c>
      <c r="B16">
        <v>2060.973</v>
      </c>
    </row>
    <row r="17" spans="1:2" x14ac:dyDescent="0.25">
      <c r="A17">
        <v>10</v>
      </c>
      <c r="B17">
        <v>2068.9630000000002</v>
      </c>
    </row>
    <row r="18" spans="1:2" x14ac:dyDescent="0.25">
      <c r="A18">
        <v>9</v>
      </c>
      <c r="B18">
        <v>2076.922</v>
      </c>
    </row>
    <row r="19" spans="1:2" x14ac:dyDescent="0.25">
      <c r="A19">
        <v>8</v>
      </c>
      <c r="B19">
        <v>2084.8470000000002</v>
      </c>
    </row>
    <row r="20" spans="1:2" x14ac:dyDescent="0.25">
      <c r="A20">
        <v>7</v>
      </c>
      <c r="B20">
        <v>2092.7399999999998</v>
      </c>
    </row>
    <row r="21" spans="1:2" x14ac:dyDescent="0.25">
      <c r="A21">
        <v>6</v>
      </c>
      <c r="B21">
        <v>2100.6</v>
      </c>
    </row>
    <row r="22" spans="1:2" x14ac:dyDescent="0.25">
      <c r="A22">
        <v>5</v>
      </c>
      <c r="B22">
        <v>2108.4259999999999</v>
      </c>
    </row>
    <row r="23" spans="1:2" x14ac:dyDescent="0.25">
      <c r="A23">
        <v>4</v>
      </c>
      <c r="B23">
        <v>2116.2190000000001</v>
      </c>
    </row>
    <row r="24" spans="1:2" x14ac:dyDescent="0.25">
      <c r="A24">
        <v>3</v>
      </c>
      <c r="B24">
        <v>2123.9780000000001</v>
      </c>
    </row>
    <row r="25" spans="1:2" x14ac:dyDescent="0.25">
      <c r="A25">
        <v>2</v>
      </c>
      <c r="B25">
        <v>2131.7020000000002</v>
      </c>
    </row>
    <row r="28" spans="1:2" x14ac:dyDescent="0.25">
      <c r="A28">
        <v>0</v>
      </c>
      <c r="B28">
        <v>2154.6669999999999</v>
      </c>
    </row>
    <row r="29" spans="1:2" x14ac:dyDescent="0.25">
      <c r="A29">
        <v>1</v>
      </c>
      <c r="B29">
        <v>2162.2510000000002</v>
      </c>
    </row>
    <row r="30" spans="1:2" x14ac:dyDescent="0.25">
      <c r="A30">
        <v>2</v>
      </c>
      <c r="B30">
        <v>2169.8000000000002</v>
      </c>
    </row>
    <row r="31" spans="1:2" x14ac:dyDescent="0.25">
      <c r="A31">
        <v>3</v>
      </c>
      <c r="B31">
        <v>2177.3130000000001</v>
      </c>
    </row>
    <row r="32" spans="1:2" x14ac:dyDescent="0.25">
      <c r="A32">
        <v>4</v>
      </c>
      <c r="B32">
        <v>2184.7890000000002</v>
      </c>
    </row>
    <row r="33" spans="1:2" x14ac:dyDescent="0.25">
      <c r="A33">
        <v>5</v>
      </c>
      <c r="B33">
        <v>2192.2289999999998</v>
      </c>
    </row>
    <row r="34" spans="1:2" x14ac:dyDescent="0.25">
      <c r="A34">
        <v>6</v>
      </c>
      <c r="B34">
        <v>2199.6309999999999</v>
      </c>
    </row>
    <row r="35" spans="1:2" x14ac:dyDescent="0.25">
      <c r="A35">
        <v>7</v>
      </c>
      <c r="B35">
        <v>2206.9969999999998</v>
      </c>
    </row>
    <row r="36" spans="1:2" x14ac:dyDescent="0.25">
      <c r="A36">
        <v>8</v>
      </c>
      <c r="B36">
        <v>2214.3249999999998</v>
      </c>
    </row>
    <row r="37" spans="1:2" x14ac:dyDescent="0.25">
      <c r="A37">
        <v>9</v>
      </c>
      <c r="B37">
        <v>2221.6149999999998</v>
      </c>
    </row>
    <row r="38" spans="1:2" x14ac:dyDescent="0.25">
      <c r="A38">
        <v>10</v>
      </c>
      <c r="B38">
        <v>2228.8670000000002</v>
      </c>
    </row>
    <row r="39" spans="1:2" x14ac:dyDescent="0.25">
      <c r="A39">
        <v>11</v>
      </c>
      <c r="B39">
        <v>2236.0810000000001</v>
      </c>
    </row>
    <row r="40" spans="1:2" x14ac:dyDescent="0.25">
      <c r="A40">
        <v>12</v>
      </c>
      <c r="B40">
        <v>2243.2559999999999</v>
      </c>
    </row>
    <row r="41" spans="1:2" x14ac:dyDescent="0.25">
      <c r="A41">
        <v>13</v>
      </c>
      <c r="B41">
        <v>2250.3919999999998</v>
      </c>
    </row>
    <row r="42" spans="1:2" x14ac:dyDescent="0.25">
      <c r="A42">
        <v>14</v>
      </c>
      <c r="B42">
        <v>2257.489</v>
      </c>
    </row>
    <row r="43" spans="1:2" x14ac:dyDescent="0.25">
      <c r="A43">
        <v>15</v>
      </c>
      <c r="B43">
        <v>2264.5459999999998</v>
      </c>
    </row>
    <row r="44" spans="1:2" x14ac:dyDescent="0.25">
      <c r="A44">
        <v>16</v>
      </c>
      <c r="B44">
        <v>2271.5630000000001</v>
      </c>
    </row>
    <row r="45" spans="1:2" x14ac:dyDescent="0.25">
      <c r="A45">
        <v>17</v>
      </c>
      <c r="B45">
        <v>2278.54</v>
      </c>
    </row>
    <row r="46" spans="1:2" x14ac:dyDescent="0.25">
      <c r="A46">
        <v>18</v>
      </c>
      <c r="B46">
        <v>2285.4769999999999</v>
      </c>
    </row>
    <row r="47" spans="1:2" x14ac:dyDescent="0.25">
      <c r="A47">
        <v>19</v>
      </c>
      <c r="B47">
        <v>2292.373</v>
      </c>
    </row>
    <row r="48" spans="1:2" x14ac:dyDescent="0.25">
      <c r="A48">
        <v>20</v>
      </c>
      <c r="B48">
        <v>2299.2280000000001</v>
      </c>
    </row>
    <row r="49" spans="1:2" x14ac:dyDescent="0.25">
      <c r="A49">
        <v>21</v>
      </c>
      <c r="B49">
        <v>2306.0419999999999</v>
      </c>
    </row>
    <row r="50" spans="1:2" x14ac:dyDescent="0.25">
      <c r="A50">
        <v>22</v>
      </c>
      <c r="B50">
        <v>2312.8139999999999</v>
      </c>
    </row>
    <row r="51" spans="1:2" x14ac:dyDescent="0.25">
      <c r="A51">
        <v>23</v>
      </c>
      <c r="B51">
        <v>2319.5439999999999</v>
      </c>
    </row>
    <row r="52" spans="1:2" x14ac:dyDescent="0.25">
      <c r="A52">
        <v>24</v>
      </c>
      <c r="B52">
        <v>2326.232</v>
      </c>
    </row>
    <row r="53" spans="1:2" x14ac:dyDescent="0.25">
      <c r="A53">
        <v>25</v>
      </c>
      <c r="B53">
        <v>2332.8780000000002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 Microwave</vt:lpstr>
      <vt:lpstr>CN Birge-Sponer</vt:lpstr>
      <vt:lpstr>CN IR</vt:lpstr>
      <vt:lpstr>CN Raman</vt:lpstr>
      <vt:lpstr>CO Microwave</vt:lpstr>
      <vt:lpstr>CO Birge-Sponer</vt:lpstr>
      <vt:lpstr>CO IR</vt:lpstr>
      <vt:lpstr>CO 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2021-03-24T21:58:54Z</dcterms:created>
  <dcterms:modified xsi:type="dcterms:W3CDTF">2023-04-27T17:40:39Z</dcterms:modified>
</cp:coreProperties>
</file>