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0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iof-my.sharepoint.com/personal/miriamal_hiof_no/Documents/Project Management/Budget/"/>
    </mc:Choice>
  </mc:AlternateContent>
  <xr:revisionPtr revIDLastSave="948" documentId="11_924805B546FA86936262E6F9983E8C1851038381" xr6:coauthVersionLast="47" xr6:coauthVersionMax="47" xr10:uidLastSave="{BA061F8A-5928-4F60-9515-10DC2077318C}"/>
  <bookViews>
    <workbookView xWindow="-108" yWindow="348" windowWidth="41496" windowHeight="17040" xr2:uid="{00000000-000D-0000-FFFF-FFFF00000000}"/>
  </bookViews>
  <sheets>
    <sheet name="Budget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9" i="1" l="1"/>
  <c r="B90" i="1"/>
  <c r="P20" i="1"/>
  <c r="P19" i="1"/>
  <c r="P53" i="1"/>
  <c r="K42" i="1"/>
  <c r="K54" i="1"/>
  <c r="L54" i="1"/>
  <c r="M54" i="1"/>
  <c r="N54" i="1"/>
  <c r="O54" i="1"/>
  <c r="Q54" i="1"/>
  <c r="R54" i="1"/>
  <c r="S54" i="1"/>
  <c r="T54" i="1"/>
  <c r="P54" i="1"/>
  <c r="Q38" i="1"/>
  <c r="Q40" i="1"/>
  <c r="Q41" i="1"/>
  <c r="Q42" i="1"/>
  <c r="Q39" i="1"/>
  <c r="P39" i="1"/>
  <c r="P40" i="1"/>
  <c r="P41" i="1"/>
  <c r="P42" i="1"/>
  <c r="P38" i="1"/>
  <c r="K40" i="1"/>
  <c r="L40" i="1"/>
  <c r="M40" i="1"/>
  <c r="L42" i="1"/>
  <c r="M42" i="1"/>
  <c r="M64" i="1"/>
  <c r="N64" i="1"/>
  <c r="O64" i="1"/>
  <c r="L64" i="1"/>
  <c r="K64" i="1"/>
  <c r="K59" i="1" l="1"/>
  <c r="L59" i="1"/>
  <c r="P9" i="1"/>
  <c r="P7" i="1"/>
  <c r="B86" i="1"/>
  <c r="K48" i="1" s="1"/>
  <c r="E50" i="1"/>
  <c r="F50" i="1"/>
  <c r="G50" i="1"/>
  <c r="H50" i="1"/>
  <c r="I50" i="1"/>
  <c r="J50" i="1"/>
  <c r="D50" i="1"/>
  <c r="E12" i="1"/>
  <c r="F12" i="1"/>
  <c r="G12" i="1"/>
  <c r="H12" i="1"/>
  <c r="I12" i="1"/>
  <c r="J12" i="1"/>
  <c r="D12" i="1"/>
  <c r="E21" i="1"/>
  <c r="F21" i="1"/>
  <c r="G21" i="1"/>
  <c r="H21" i="1"/>
  <c r="I21" i="1"/>
  <c r="D21" i="1"/>
  <c r="E28" i="1"/>
  <c r="F28" i="1"/>
  <c r="G28" i="1"/>
  <c r="H28" i="1"/>
  <c r="I28" i="1"/>
  <c r="J28" i="1"/>
  <c r="D28" i="1"/>
  <c r="E33" i="1"/>
  <c r="F33" i="1"/>
  <c r="G33" i="1"/>
  <c r="H33" i="1"/>
  <c r="I33" i="1"/>
  <c r="J33" i="1"/>
  <c r="D33" i="1"/>
  <c r="F6" i="1"/>
  <c r="E6" i="1"/>
  <c r="R41" i="1"/>
  <c r="S41" i="1" s="1"/>
  <c r="T41" i="1" s="1"/>
  <c r="R39" i="1"/>
  <c r="S39" i="1" s="1"/>
  <c r="T39" i="1" s="1"/>
  <c r="N40" i="1"/>
  <c r="O40" i="1"/>
  <c r="O42" i="1" s="1"/>
  <c r="R42" i="1" s="1"/>
  <c r="S42" i="1" s="1"/>
  <c r="E32" i="1"/>
  <c r="F32" i="1" s="1"/>
  <c r="G32" i="1" s="1"/>
  <c r="H32" i="1" s="1"/>
  <c r="I32" i="1" s="1"/>
  <c r="J32" i="1" s="1"/>
  <c r="E31" i="1"/>
  <c r="E27" i="1"/>
  <c r="F27" i="1" s="1"/>
  <c r="G27" i="1" s="1"/>
  <c r="H27" i="1" s="1"/>
  <c r="I27" i="1" s="1"/>
  <c r="J27" i="1" s="1"/>
  <c r="E26" i="1"/>
  <c r="F26" i="1" s="1"/>
  <c r="G26" i="1" s="1"/>
  <c r="H26" i="1" s="1"/>
  <c r="I26" i="1" s="1"/>
  <c r="J26" i="1" s="1"/>
  <c r="P24" i="1"/>
  <c r="E25" i="1"/>
  <c r="F25" i="1" s="1"/>
  <c r="G25" i="1" s="1"/>
  <c r="H25" i="1" s="1"/>
  <c r="I25" i="1" s="1"/>
  <c r="J25" i="1" s="1"/>
  <c r="D6" i="1"/>
  <c r="P6" i="1"/>
  <c r="P8" i="1"/>
  <c r="P10" i="1"/>
  <c r="P11" i="1"/>
  <c r="P12" i="1"/>
  <c r="P15" i="1"/>
  <c r="P16" i="1"/>
  <c r="P17" i="1"/>
  <c r="P18" i="1"/>
  <c r="P21" i="1"/>
  <c r="P25" i="1"/>
  <c r="P32" i="1"/>
  <c r="T42" i="1"/>
  <c r="P45" i="1"/>
  <c r="Q45" i="1"/>
  <c r="R45" i="1"/>
  <c r="S45" i="1"/>
  <c r="T45" i="1"/>
  <c r="P46" i="1"/>
  <c r="Q46" i="1"/>
  <c r="R46" i="1"/>
  <c r="S46" i="1"/>
  <c r="T46" i="1"/>
  <c r="P47" i="1"/>
  <c r="Q47" i="1"/>
  <c r="R47" i="1"/>
  <c r="S47" i="1"/>
  <c r="T47" i="1"/>
  <c r="P49" i="1"/>
  <c r="Q49" i="1"/>
  <c r="R49" i="1"/>
  <c r="S49" i="1"/>
  <c r="T49" i="1"/>
  <c r="Q50" i="1"/>
  <c r="R50" i="1"/>
  <c r="S50" i="1"/>
  <c r="T50" i="1"/>
  <c r="Q53" i="1"/>
  <c r="R53" i="1"/>
  <c r="S53" i="1"/>
  <c r="T53" i="1"/>
  <c r="T79" i="1"/>
  <c r="T81" i="1"/>
  <c r="L48" i="1" l="1"/>
  <c r="M59" i="1"/>
  <c r="P65" i="1"/>
  <c r="R65" i="1"/>
  <c r="S65" i="1"/>
  <c r="T65" i="1"/>
  <c r="Q65" i="1"/>
  <c r="F31" i="1"/>
  <c r="N42" i="1"/>
  <c r="R40" i="1"/>
  <c r="S40" i="1" s="1"/>
  <c r="T40" i="1" s="1"/>
  <c r="P27" i="1"/>
  <c r="M48" i="1" l="1"/>
  <c r="N48" i="1" s="1"/>
  <c r="O48" i="1" s="1"/>
  <c r="Q48" i="1" s="1"/>
  <c r="R48" i="1" s="1"/>
  <c r="S48" i="1" s="1"/>
  <c r="T48" i="1" s="1"/>
  <c r="L69" i="1"/>
  <c r="N59" i="1"/>
  <c r="G31" i="1"/>
  <c r="M69" i="1" l="1"/>
  <c r="O59" i="1"/>
  <c r="Q59" i="1" s="1"/>
  <c r="R59" i="1" s="1"/>
  <c r="N69" i="1"/>
  <c r="H31" i="1"/>
  <c r="P26" i="1"/>
  <c r="P28" i="1"/>
  <c r="O69" i="1" l="1"/>
  <c r="P59" i="1"/>
  <c r="I31" i="1"/>
  <c r="P64" i="1" l="1"/>
  <c r="P67" i="1" s="1"/>
  <c r="P68" i="1" s="1"/>
  <c r="Q64" i="1"/>
  <c r="Q67" i="1" s="1"/>
  <c r="J31" i="1"/>
  <c r="P31" i="1"/>
  <c r="R38" i="1"/>
  <c r="S38" i="1" s="1"/>
  <c r="T38" i="1" s="1"/>
  <c r="Q69" i="1" l="1"/>
  <c r="R69" i="1"/>
  <c r="S59" i="1"/>
  <c r="T59" i="1" s="1"/>
  <c r="R64" i="1"/>
  <c r="S69" i="1" l="1"/>
  <c r="S64" i="1"/>
  <c r="T69" i="1" l="1"/>
  <c r="T64" i="1"/>
  <c r="P33" i="1"/>
  <c r="K50" i="1"/>
  <c r="K69" i="1" s="1"/>
  <c r="Q71" i="1"/>
  <c r="Q68" i="1" l="1"/>
  <c r="P50" i="1"/>
  <c r="P48" i="1"/>
  <c r="Q72" i="1"/>
  <c r="T67" i="1"/>
  <c r="S67" i="1"/>
  <c r="P69" i="1" l="1"/>
  <c r="P71" i="1" s="1"/>
  <c r="V65" i="1"/>
  <c r="B85" i="1" s="1"/>
  <c r="R67" i="1"/>
  <c r="V67" i="1" s="1"/>
  <c r="V69" i="1"/>
  <c r="P75" i="1"/>
  <c r="P72" i="1"/>
  <c r="P76" i="1" s="1"/>
  <c r="Q73" i="1"/>
  <c r="R68" i="1"/>
  <c r="R71" i="1"/>
  <c r="S68" i="1"/>
  <c r="S71" i="1"/>
  <c r="T68" i="1"/>
  <c r="T71" i="1"/>
  <c r="L65" i="1" l="1"/>
  <c r="L67" i="1" s="1"/>
  <c r="M65" i="1"/>
  <c r="M67" i="1" s="1"/>
  <c r="N65" i="1"/>
  <c r="N67" i="1" s="1"/>
  <c r="O65" i="1"/>
  <c r="O67" i="1" s="1"/>
  <c r="K65" i="1"/>
  <c r="K67" i="1" s="1"/>
  <c r="Q75" i="1"/>
  <c r="V71" i="1"/>
  <c r="T73" i="1"/>
  <c r="T72" i="1"/>
  <c r="T75" i="1"/>
  <c r="T76" i="1" s="1"/>
  <c r="S72" i="1"/>
  <c r="S73" i="1"/>
  <c r="S75" i="1" s="1"/>
  <c r="S76" i="1" s="1"/>
  <c r="R72" i="1"/>
  <c r="R73" i="1"/>
  <c r="K68" i="1" l="1"/>
  <c r="K71" i="1"/>
  <c r="O68" i="1"/>
  <c r="O71" i="1"/>
  <c r="N68" i="1"/>
  <c r="N71" i="1"/>
  <c r="M68" i="1"/>
  <c r="M71" i="1"/>
  <c r="L68" i="1"/>
  <c r="L71" i="1"/>
  <c r="Q76" i="1"/>
  <c r="R75" i="1"/>
  <c r="V73" i="1"/>
  <c r="V75" i="1" l="1"/>
  <c r="L75" i="1"/>
  <c r="L72" i="1"/>
  <c r="L76" i="1" s="1"/>
  <c r="M72" i="1"/>
  <c r="M76" i="1" s="1"/>
  <c r="M75" i="1"/>
  <c r="N72" i="1"/>
  <c r="N76" i="1" s="1"/>
  <c r="N75" i="1"/>
  <c r="O75" i="1"/>
  <c r="O72" i="1"/>
  <c r="O76" i="1" s="1"/>
  <c r="K75" i="1"/>
  <c r="K72" i="1"/>
  <c r="K76" i="1" s="1"/>
  <c r="B91" i="1"/>
  <c r="B93" i="1" s="1"/>
  <c r="R76" i="1"/>
  <c r="B94" i="1" l="1"/>
  <c r="B95" i="1" s="1"/>
</calcChain>
</file>

<file path=xl/sharedStrings.xml><?xml version="1.0" encoding="utf-8"?>
<sst xmlns="http://schemas.openxmlformats.org/spreadsheetml/2006/main" count="130" uniqueCount="92">
  <si>
    <t>Year 1 by month</t>
  </si>
  <si>
    <t>5 year summary</t>
  </si>
  <si>
    <t>Supporting document</t>
  </si>
  <si>
    <t>Note</t>
  </si>
  <si>
    <t>Jan</t>
  </si>
  <si>
    <t>Feb</t>
  </si>
  <si>
    <t>March</t>
  </si>
  <si>
    <t>April</t>
  </si>
  <si>
    <t>May</t>
  </si>
  <si>
    <t>June</t>
  </si>
  <si>
    <t>July</t>
  </si>
  <si>
    <t>Aug</t>
  </si>
  <si>
    <t>Sept</t>
  </si>
  <si>
    <t>Oct</t>
  </si>
  <si>
    <t>Nov</t>
  </si>
  <si>
    <t>Dec</t>
  </si>
  <si>
    <t>Year 1</t>
  </si>
  <si>
    <t>Year 2</t>
  </si>
  <si>
    <t>Year 3</t>
  </si>
  <si>
    <t>Year 4</t>
  </si>
  <si>
    <t>Year 5</t>
  </si>
  <si>
    <t>Expense section</t>
  </si>
  <si>
    <t>App Development - contractors</t>
  </si>
  <si>
    <t>Solution analyst &amp; architect (2)</t>
  </si>
  <si>
    <t>CP/PERT/GANTT</t>
  </si>
  <si>
    <t>Designers (UI &amp; UX) (2)</t>
  </si>
  <si>
    <t>Front-end developers (3)</t>
  </si>
  <si>
    <t>Back-end developers (4)</t>
  </si>
  <si>
    <t>Testers (sprints and final 360) (2)</t>
  </si>
  <si>
    <t>Document Review Analyst (final not covered in sprints) (1)</t>
  </si>
  <si>
    <t>Buffer</t>
  </si>
  <si>
    <t>App Dev Management</t>
  </si>
  <si>
    <t>PM leader</t>
  </si>
  <si>
    <t>Design lead</t>
  </si>
  <si>
    <t>Tech lead IT Operations Manager</t>
  </si>
  <si>
    <t>UAT lead (sprints &amp; final 360)</t>
  </si>
  <si>
    <t>Sales/marketing lead</t>
  </si>
  <si>
    <t>HR Management</t>
  </si>
  <si>
    <t>Development - Infrastructure</t>
  </si>
  <si>
    <t>OVHcloud</t>
  </si>
  <si>
    <t>Research</t>
  </si>
  <si>
    <t>Licences</t>
  </si>
  <si>
    <t>BankID, Android/IOS</t>
  </si>
  <si>
    <t>HW Workstations</t>
  </si>
  <si>
    <t>14 Leased WS</t>
  </si>
  <si>
    <t>SW Workstations (20)</t>
  </si>
  <si>
    <t>Development - Facilities &amp; utilities</t>
  </si>
  <si>
    <t>Office space (full)</t>
  </si>
  <si>
    <t>Misc supplies</t>
  </si>
  <si>
    <t>Operations</t>
  </si>
  <si>
    <t>Infrastructure</t>
  </si>
  <si>
    <t>SW Workstations</t>
  </si>
  <si>
    <t>Facilities &amp; utilities</t>
  </si>
  <si>
    <t>Management</t>
  </si>
  <si>
    <t>Enhancement &amp; fixes</t>
  </si>
  <si>
    <t>Support</t>
  </si>
  <si>
    <t>Revenue generating expenses</t>
  </si>
  <si>
    <t>Sales &amp; marketing</t>
  </si>
  <si>
    <t>Royalties (sales)</t>
  </si>
  <si>
    <t>Revenue section</t>
  </si>
  <si>
    <t>Assistances (% of sale)</t>
  </si>
  <si>
    <t>25% of each sale</t>
  </si>
  <si>
    <t>Profit section</t>
  </si>
  <si>
    <t>Sales revenue</t>
  </si>
  <si>
    <t>App development</t>
  </si>
  <si>
    <t>Profit margin NOK</t>
  </si>
  <si>
    <t>Profit margin %</t>
  </si>
  <si>
    <t>Cost of operations</t>
  </si>
  <si>
    <t>Net profit NOK</t>
  </si>
  <si>
    <t>Net profit %</t>
  </si>
  <si>
    <t>Taxes</t>
  </si>
  <si>
    <t>22% of net profits</t>
  </si>
  <si>
    <t>Net profit after taxes NOK</t>
  </si>
  <si>
    <t>Net profit after taxes %</t>
  </si>
  <si>
    <t>Divest company NOK</t>
  </si>
  <si>
    <t>Tax profit divestment NOK</t>
  </si>
  <si>
    <t>Divestment profit after tax NOK</t>
  </si>
  <si>
    <t>Key metrics</t>
  </si>
  <si>
    <t>Total funding (app dev + break even)</t>
  </si>
  <si>
    <t>Total app development cost</t>
  </si>
  <si>
    <t>Revenue start</t>
  </si>
  <si>
    <t>7 months / August 2022</t>
  </si>
  <si>
    <t>Break-even</t>
  </si>
  <si>
    <t>8 months / September 2022</t>
  </si>
  <si>
    <t>Investor net profits payback - 70%</t>
  </si>
  <si>
    <t>Investor payback - owns 30% of the divested shares</t>
  </si>
  <si>
    <t>Total investor payback amount</t>
  </si>
  <si>
    <t>Payback time</t>
  </si>
  <si>
    <t>After 5 years upon sale</t>
  </si>
  <si>
    <t>ROI amount</t>
  </si>
  <si>
    <t>ROI % total (over 5 years)</t>
  </si>
  <si>
    <t>ROI % per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</si>
</sst>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\ %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000000"/>
      <name val="Calibri"/>
      <charset val="1"/>
    </font>
    <font>
      <sz val="11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2" fillId="0" borderId="0" xfId="0" applyFont="1"/>
    <xf numFmtId="0" fontId="1" fillId="0" borderId="0" xfId="0" applyFont="1"/>
    <xf numFmtId="0" fontId="1" fillId="0" borderId="1" xfId="0" applyFont="1" applyBorder="1"/>
    <xf numFmtId="0" fontId="3" fillId="0" borderId="0" xfId="0" applyFont="1"/>
    <xf numFmtId="3" fontId="1" fillId="0" borderId="1" xfId="0" applyNumberFormat="1" applyFont="1" applyBorder="1" applyAlignment="1">
      <alignment horizontal="left"/>
    </xf>
    <xf numFmtId="164" fontId="1" fillId="0" borderId="1" xfId="0" applyNumberFormat="1" applyFont="1" applyBorder="1" applyAlignment="1">
      <alignment horizontal="left"/>
    </xf>
    <xf numFmtId="9" fontId="0" fillId="0" borderId="0" xfId="0" applyNumberFormat="1"/>
    <xf numFmtId="9" fontId="3" fillId="0" borderId="0" xfId="0" applyNumberFormat="1" applyFont="1"/>
    <xf numFmtId="0" fontId="0" fillId="0" borderId="0" xfId="0" applyAlignment="1">
      <alignment horizontal="center"/>
    </xf>
    <xf numFmtId="0" fontId="0" fillId="2" borderId="2" xfId="0" applyFill="1" applyBorder="1"/>
    <xf numFmtId="0" fontId="0" fillId="3" borderId="2" xfId="0" applyFill="1" applyBorder="1"/>
    <xf numFmtId="0" fontId="0" fillId="4" borderId="2" xfId="0" applyFill="1" applyBorder="1"/>
    <xf numFmtId="0" fontId="0" fillId="0" borderId="2" xfId="0" applyBorder="1"/>
    <xf numFmtId="9" fontId="0" fillId="0" borderId="0" xfId="0" applyNumberFormat="1" applyAlignment="1">
      <alignment horizontal="left"/>
    </xf>
    <xf numFmtId="3" fontId="1" fillId="0" borderId="0" xfId="0" applyNumberFormat="1" applyFont="1"/>
    <xf numFmtId="0" fontId="4" fillId="0" borderId="0" xfId="0" applyFont="1"/>
    <xf numFmtId="0" fontId="0" fillId="8" borderId="0" xfId="0" applyFill="1"/>
    <xf numFmtId="0" fontId="0" fillId="0" borderId="0" xfId="0" applyAlignment="1">
      <alignment horizontal="left"/>
    </xf>
    <xf numFmtId="9" fontId="3" fillId="0" borderId="0" xfId="0" applyNumberFormat="1" applyFont="1" applyAlignment="1">
      <alignment horizontal="left"/>
    </xf>
    <xf numFmtId="0" fontId="0" fillId="6" borderId="0" xfId="0" applyFill="1" applyAlignment="1">
      <alignment horizontal="right"/>
    </xf>
    <xf numFmtId="0" fontId="4" fillId="7" borderId="0" xfId="0" applyFont="1" applyFill="1" applyAlignment="1">
      <alignment horizontal="right"/>
    </xf>
    <xf numFmtId="0" fontId="0" fillId="4" borderId="0" xfId="0" applyFill="1" applyAlignment="1">
      <alignment horizontal="right"/>
    </xf>
    <xf numFmtId="3" fontId="0" fillId="6" borderId="0" xfId="0" applyNumberFormat="1" applyFill="1" applyAlignment="1">
      <alignment horizontal="right"/>
    </xf>
    <xf numFmtId="3" fontId="0" fillId="4" borderId="0" xfId="0" applyNumberFormat="1" applyFill="1" applyAlignment="1">
      <alignment horizontal="right"/>
    </xf>
    <xf numFmtId="3" fontId="4" fillId="7" borderId="0" xfId="0" applyNumberFormat="1" applyFont="1" applyFill="1" applyAlignment="1">
      <alignment horizontal="right"/>
    </xf>
    <xf numFmtId="3" fontId="0" fillId="5" borderId="2" xfId="0" applyNumberFormat="1" applyFill="1" applyBorder="1" applyAlignment="1">
      <alignment horizontal="right"/>
    </xf>
    <xf numFmtId="0" fontId="3" fillId="6" borderId="0" xfId="0" applyFont="1" applyFill="1" applyAlignment="1">
      <alignment horizontal="right"/>
    </xf>
    <xf numFmtId="3" fontId="4" fillId="6" borderId="0" xfId="0" applyNumberFormat="1" applyFont="1" applyFill="1" applyAlignment="1">
      <alignment horizontal="right"/>
    </xf>
    <xf numFmtId="1" fontId="4" fillId="7" borderId="0" xfId="0" applyNumberFormat="1" applyFont="1" applyFill="1" applyAlignment="1">
      <alignment horizontal="right"/>
    </xf>
    <xf numFmtId="164" fontId="0" fillId="4" borderId="0" xfId="0" applyNumberFormat="1" applyFill="1" applyAlignment="1">
      <alignment horizontal="right"/>
    </xf>
    <xf numFmtId="3" fontId="4" fillId="7" borderId="2" xfId="0" applyNumberFormat="1" applyFont="1" applyFill="1" applyBorder="1" applyAlignment="1">
      <alignment horizontal="right"/>
    </xf>
    <xf numFmtId="0" fontId="4" fillId="7" borderId="2" xfId="0" applyFont="1" applyFill="1" applyBorder="1" applyAlignment="1">
      <alignment horizontal="right"/>
    </xf>
    <xf numFmtId="3" fontId="0" fillId="4" borderId="2" xfId="0" applyNumberFormat="1" applyFill="1" applyBorder="1" applyAlignment="1">
      <alignment horizontal="right"/>
    </xf>
    <xf numFmtId="3" fontId="0" fillId="7" borderId="2" xfId="0" applyNumberFormat="1" applyFill="1" applyBorder="1" applyAlignment="1">
      <alignment horizontal="right"/>
    </xf>
    <xf numFmtId="3" fontId="0" fillId="4" borderId="0" xfId="0" applyNumberFormat="1" applyFill="1"/>
    <xf numFmtId="164" fontId="0" fillId="4" borderId="0" xfId="0" applyNumberFormat="1" applyFill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3" fontId="0" fillId="0" borderId="0" xfId="0" applyNumberFormat="1"/>
    <xf numFmtId="3" fontId="1" fillId="0" borderId="3" xfId="0" applyNumberFormat="1" applyFont="1" applyBorder="1" applyAlignment="1">
      <alignment horizontal="left"/>
    </xf>
    <xf numFmtId="3" fontId="1" fillId="0" borderId="0" xfId="0" applyNumberFormat="1" applyFont="1" applyBorder="1" applyAlignment="1">
      <alignment horizontal="left"/>
    </xf>
    <xf numFmtId="3" fontId="1" fillId="0" borderId="4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95"/>
  <sheetViews>
    <sheetView tabSelected="1" topLeftCell="A65" workbookViewId="0">
      <pane xSplit="1" topLeftCell="B1" activePane="topRight" state="frozen"/>
      <selection pane="topRight" activeCell="Q19" sqref="Q19"/>
    </sheetView>
  </sheetViews>
  <sheetFormatPr defaultRowHeight="14.45"/>
  <cols>
    <col min="1" max="1" width="56.28515625" customWidth="1"/>
    <col min="2" max="2" width="26.140625" bestFit="1" customWidth="1"/>
    <col min="3" max="3" width="19.140625" customWidth="1"/>
    <col min="16" max="16" width="10.85546875" bestFit="1" customWidth="1"/>
    <col min="17" max="17" width="10.140625" customWidth="1"/>
    <col min="18" max="20" width="10.85546875" bestFit="1" customWidth="1"/>
    <col min="21" max="21" width="9.140625" bestFit="1" customWidth="1"/>
    <col min="22" max="22" width="10.85546875" bestFit="1" customWidth="1"/>
  </cols>
  <sheetData>
    <row r="1" spans="1:27" ht="14.25" customHeight="1">
      <c r="D1" s="37" t="s">
        <v>0</v>
      </c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8" t="s">
        <v>1</v>
      </c>
      <c r="Q1" s="38"/>
      <c r="R1" s="38"/>
      <c r="S1" s="38"/>
      <c r="T1" s="38"/>
      <c r="V1" s="17"/>
      <c r="W1" s="17"/>
      <c r="X1" s="17"/>
      <c r="Y1" s="17"/>
      <c r="Z1" s="17"/>
      <c r="AA1" s="17"/>
    </row>
    <row r="2" spans="1:27">
      <c r="A2" s="13"/>
      <c r="B2" s="10" t="s">
        <v>2</v>
      </c>
      <c r="C2" s="10" t="s">
        <v>3</v>
      </c>
      <c r="D2" s="11" t="s">
        <v>4</v>
      </c>
      <c r="E2" s="11" t="s">
        <v>5</v>
      </c>
      <c r="F2" s="11" t="s">
        <v>6</v>
      </c>
      <c r="G2" s="11" t="s">
        <v>7</v>
      </c>
      <c r="H2" s="11" t="s">
        <v>8</v>
      </c>
      <c r="I2" s="11" t="s">
        <v>9</v>
      </c>
      <c r="J2" s="11" t="s">
        <v>10</v>
      </c>
      <c r="K2" s="11" t="s">
        <v>11</v>
      </c>
      <c r="L2" s="11" t="s">
        <v>12</v>
      </c>
      <c r="M2" s="11" t="s">
        <v>13</v>
      </c>
      <c r="N2" s="11" t="s">
        <v>14</v>
      </c>
      <c r="O2" s="11" t="s">
        <v>15</v>
      </c>
      <c r="P2" s="12" t="s">
        <v>16</v>
      </c>
      <c r="Q2" s="12" t="s">
        <v>17</v>
      </c>
      <c r="R2" s="12" t="s">
        <v>18</v>
      </c>
      <c r="S2" s="12" t="s">
        <v>19</v>
      </c>
      <c r="T2" s="12" t="s">
        <v>20</v>
      </c>
      <c r="V2" s="17"/>
      <c r="W2" s="17"/>
      <c r="X2" s="17"/>
      <c r="Y2" s="17"/>
      <c r="Z2" s="17"/>
      <c r="AA2" s="17"/>
    </row>
    <row r="3" spans="1:27" ht="25.9">
      <c r="A3" s="1" t="s">
        <v>21</v>
      </c>
      <c r="C3" s="18"/>
      <c r="D3" s="20"/>
      <c r="E3" s="20"/>
      <c r="F3" s="20"/>
      <c r="G3" s="20"/>
      <c r="H3" s="20"/>
      <c r="I3" s="20"/>
      <c r="J3" s="20"/>
      <c r="K3" s="21"/>
      <c r="L3" s="21"/>
      <c r="M3" s="21"/>
      <c r="N3" s="21"/>
      <c r="O3" s="21"/>
      <c r="P3" s="22"/>
      <c r="Q3" s="22"/>
      <c r="R3" s="22"/>
      <c r="S3" s="22"/>
      <c r="T3" s="22"/>
    </row>
    <row r="4" spans="1:27">
      <c r="C4" s="18"/>
      <c r="D4" s="20"/>
      <c r="E4" s="20"/>
      <c r="F4" s="20"/>
      <c r="G4" s="20"/>
      <c r="H4" s="20"/>
      <c r="I4" s="20"/>
      <c r="J4" s="20"/>
      <c r="K4" s="21"/>
      <c r="L4" s="21"/>
      <c r="M4" s="21"/>
      <c r="N4" s="21"/>
      <c r="O4" s="21"/>
      <c r="P4" s="22"/>
      <c r="Q4" s="22"/>
      <c r="R4" s="22"/>
      <c r="S4" s="22"/>
      <c r="T4" s="22"/>
    </row>
    <row r="5" spans="1:27">
      <c r="A5" s="2" t="s">
        <v>22</v>
      </c>
      <c r="B5" s="4"/>
      <c r="C5" s="18"/>
      <c r="D5" s="20"/>
      <c r="E5" s="20"/>
      <c r="F5" s="20"/>
      <c r="G5" s="20"/>
      <c r="H5" s="20"/>
      <c r="I5" s="20"/>
      <c r="J5" s="20"/>
      <c r="K5" s="21"/>
      <c r="L5" s="21"/>
      <c r="M5" s="21"/>
      <c r="N5" s="21"/>
      <c r="O5" s="21"/>
      <c r="P5" s="22"/>
      <c r="Q5" s="22"/>
      <c r="R5" s="22"/>
      <c r="S5" s="22"/>
      <c r="T5" s="22"/>
    </row>
    <row r="6" spans="1:27">
      <c r="A6" t="s">
        <v>23</v>
      </c>
      <c r="B6" s="4" t="s">
        <v>24</v>
      </c>
      <c r="C6" s="18"/>
      <c r="D6" s="23">
        <f>70000+76000</f>
        <v>146000</v>
      </c>
      <c r="E6" s="23">
        <f>70000+76000</f>
        <v>146000</v>
      </c>
      <c r="F6" s="23">
        <f>70000+76000</f>
        <v>146000</v>
      </c>
      <c r="G6" s="20"/>
      <c r="H6" s="20"/>
      <c r="I6" s="20"/>
      <c r="J6" s="20"/>
      <c r="K6" s="21"/>
      <c r="L6" s="21"/>
      <c r="M6" s="21"/>
      <c r="N6" s="21"/>
      <c r="O6" s="21"/>
      <c r="P6" s="24">
        <f t="shared" ref="P6:P12" si="0">SUM(D6:O6)</f>
        <v>438000</v>
      </c>
      <c r="Q6" s="24"/>
      <c r="R6" s="24"/>
      <c r="S6" s="24"/>
      <c r="T6" s="24"/>
    </row>
    <row r="7" spans="1:27">
      <c r="A7" t="s">
        <v>25</v>
      </c>
      <c r="B7" s="4" t="s">
        <v>24</v>
      </c>
      <c r="C7" s="18"/>
      <c r="D7" s="23">
        <v>120000</v>
      </c>
      <c r="E7" s="23">
        <v>120000</v>
      </c>
      <c r="F7" s="23">
        <v>120000</v>
      </c>
      <c r="G7" s="23">
        <v>120000</v>
      </c>
      <c r="H7" s="20"/>
      <c r="I7" s="20"/>
      <c r="J7" s="20"/>
      <c r="K7" s="21"/>
      <c r="L7" s="21"/>
      <c r="M7" s="21"/>
      <c r="N7" s="21"/>
      <c r="O7" s="21"/>
      <c r="P7" s="24">
        <f t="shared" si="0"/>
        <v>480000</v>
      </c>
      <c r="Q7" s="24"/>
      <c r="R7" s="24"/>
      <c r="S7" s="24"/>
      <c r="T7" s="24"/>
    </row>
    <row r="8" spans="1:27">
      <c r="A8" t="s">
        <v>26</v>
      </c>
      <c r="B8" s="4" t="s">
        <v>24</v>
      </c>
      <c r="C8" s="18"/>
      <c r="D8" s="23"/>
      <c r="E8" s="23">
        <v>154000</v>
      </c>
      <c r="F8" s="23">
        <v>154000</v>
      </c>
      <c r="G8" s="23">
        <v>154000</v>
      </c>
      <c r="H8" s="20"/>
      <c r="I8" s="20"/>
      <c r="J8" s="20"/>
      <c r="K8" s="21"/>
      <c r="L8" s="21"/>
      <c r="M8" s="21"/>
      <c r="N8" s="21"/>
      <c r="O8" s="21"/>
      <c r="P8" s="24">
        <f t="shared" si="0"/>
        <v>462000</v>
      </c>
      <c r="Q8" s="24"/>
      <c r="R8" s="24"/>
      <c r="S8" s="24"/>
      <c r="T8" s="24"/>
    </row>
    <row r="9" spans="1:27">
      <c r="A9" t="s">
        <v>27</v>
      </c>
      <c r="B9" s="4" t="s">
        <v>24</v>
      </c>
      <c r="C9" s="18"/>
      <c r="D9" s="23">
        <v>222000</v>
      </c>
      <c r="E9" s="23">
        <v>222000</v>
      </c>
      <c r="F9" s="23">
        <v>222000</v>
      </c>
      <c r="G9" s="23">
        <v>222000</v>
      </c>
      <c r="H9" s="23">
        <v>222000</v>
      </c>
      <c r="I9" s="20"/>
      <c r="J9" s="20"/>
      <c r="K9" s="21"/>
      <c r="L9" s="21"/>
      <c r="M9" s="21"/>
      <c r="N9" s="21"/>
      <c r="O9" s="21"/>
      <c r="P9" s="24">
        <f t="shared" si="0"/>
        <v>1110000</v>
      </c>
      <c r="Q9" s="24"/>
      <c r="R9" s="24"/>
      <c r="S9" s="24"/>
      <c r="T9" s="24"/>
    </row>
    <row r="10" spans="1:27">
      <c r="A10" t="s">
        <v>28</v>
      </c>
      <c r="B10" s="4" t="s">
        <v>24</v>
      </c>
      <c r="C10" s="18"/>
      <c r="D10" s="23">
        <v>44000</v>
      </c>
      <c r="E10" s="23">
        <v>44000</v>
      </c>
      <c r="F10" s="23">
        <v>44000</v>
      </c>
      <c r="G10" s="23">
        <v>44000</v>
      </c>
      <c r="H10" s="23">
        <v>44000</v>
      </c>
      <c r="I10" s="23">
        <v>44000</v>
      </c>
      <c r="J10" s="23"/>
      <c r="K10" s="25"/>
      <c r="L10" s="25"/>
      <c r="M10" s="25"/>
      <c r="N10" s="25"/>
      <c r="O10" s="25"/>
      <c r="P10" s="24">
        <f t="shared" si="0"/>
        <v>264000</v>
      </c>
      <c r="Q10" s="24"/>
      <c r="R10" s="24"/>
      <c r="S10" s="24"/>
      <c r="T10" s="24"/>
    </row>
    <row r="11" spans="1:27">
      <c r="A11" t="s">
        <v>29</v>
      </c>
      <c r="B11" s="4" t="s">
        <v>24</v>
      </c>
      <c r="C11" s="18"/>
      <c r="D11" s="23"/>
      <c r="E11" s="20"/>
      <c r="F11" s="20"/>
      <c r="G11" s="20"/>
      <c r="H11" s="20"/>
      <c r="I11" s="23">
        <v>25000</v>
      </c>
      <c r="J11" s="23">
        <v>25000</v>
      </c>
      <c r="K11" s="21"/>
      <c r="L11" s="21"/>
      <c r="M11" s="21"/>
      <c r="N11" s="21"/>
      <c r="O11" s="21"/>
      <c r="P11" s="24">
        <f t="shared" si="0"/>
        <v>50000</v>
      </c>
      <c r="Q11" s="24"/>
      <c r="R11" s="24"/>
      <c r="S11" s="24"/>
      <c r="T11" s="24"/>
      <c r="V11" s="39"/>
    </row>
    <row r="12" spans="1:27">
      <c r="A12" t="s">
        <v>30</v>
      </c>
      <c r="B12" s="8"/>
      <c r="C12" s="19">
        <v>0.2</v>
      </c>
      <c r="D12" s="26">
        <f>SUM(D6:D11)*$C12</f>
        <v>106400</v>
      </c>
      <c r="E12" s="26">
        <f t="shared" ref="E12:J12" si="1">SUM(E6:E11)*$C12</f>
        <v>137200</v>
      </c>
      <c r="F12" s="26">
        <f t="shared" si="1"/>
        <v>137200</v>
      </c>
      <c r="G12" s="26">
        <f t="shared" si="1"/>
        <v>108000</v>
      </c>
      <c r="H12" s="26">
        <f t="shared" si="1"/>
        <v>53200</v>
      </c>
      <c r="I12" s="26">
        <f t="shared" si="1"/>
        <v>13800</v>
      </c>
      <c r="J12" s="26">
        <f t="shared" si="1"/>
        <v>5000</v>
      </c>
      <c r="K12" s="31"/>
      <c r="L12" s="31"/>
      <c r="M12" s="31"/>
      <c r="N12" s="32"/>
      <c r="O12" s="32"/>
      <c r="P12" s="33">
        <f t="shared" si="0"/>
        <v>560800</v>
      </c>
      <c r="Q12" s="33"/>
      <c r="R12" s="33"/>
      <c r="S12" s="33"/>
      <c r="T12" s="33"/>
    </row>
    <row r="13" spans="1:27">
      <c r="B13" s="4"/>
      <c r="C13" s="18"/>
      <c r="D13" s="20"/>
      <c r="E13" s="20"/>
      <c r="F13" s="20"/>
      <c r="G13" s="20"/>
      <c r="H13" s="20"/>
      <c r="I13" s="20"/>
      <c r="J13" s="20"/>
      <c r="K13" s="21"/>
      <c r="L13" s="21"/>
      <c r="M13" s="21"/>
      <c r="N13" s="21"/>
      <c r="O13" s="21"/>
      <c r="P13" s="24"/>
      <c r="Q13" s="24"/>
      <c r="R13" s="24"/>
      <c r="S13" s="24"/>
      <c r="T13" s="24"/>
    </row>
    <row r="14" spans="1:27">
      <c r="A14" s="2" t="s">
        <v>31</v>
      </c>
      <c r="B14" s="4"/>
      <c r="C14" s="18"/>
      <c r="D14" s="20"/>
      <c r="E14" s="20"/>
      <c r="F14" s="20"/>
      <c r="G14" s="20"/>
      <c r="H14" s="20"/>
      <c r="I14" s="20"/>
      <c r="J14" s="20"/>
      <c r="K14" s="21"/>
      <c r="L14" s="21"/>
      <c r="M14" s="21"/>
      <c r="N14" s="21"/>
      <c r="O14" s="21"/>
      <c r="P14" s="24"/>
      <c r="Q14" s="24"/>
      <c r="R14" s="24"/>
      <c r="S14" s="24"/>
      <c r="T14" s="24"/>
    </row>
    <row r="15" spans="1:27">
      <c r="A15" t="s">
        <v>32</v>
      </c>
      <c r="B15" s="4" t="s">
        <v>24</v>
      </c>
      <c r="C15" s="18"/>
      <c r="D15" s="23">
        <v>75000</v>
      </c>
      <c r="E15" s="23">
        <v>75000</v>
      </c>
      <c r="F15" s="23">
        <v>75000</v>
      </c>
      <c r="G15" s="23">
        <v>75000</v>
      </c>
      <c r="H15" s="23">
        <v>75000</v>
      </c>
      <c r="I15" s="23">
        <v>75000</v>
      </c>
      <c r="J15" s="20"/>
      <c r="K15" s="21"/>
      <c r="L15" s="21"/>
      <c r="M15" s="21"/>
      <c r="N15" s="21"/>
      <c r="O15" s="21"/>
      <c r="P15" s="24">
        <f>SUM(D15:O15)</f>
        <v>450000</v>
      </c>
      <c r="Q15" s="24"/>
      <c r="R15" s="24"/>
      <c r="S15" s="24"/>
      <c r="T15" s="24"/>
    </row>
    <row r="16" spans="1:27">
      <c r="A16" t="s">
        <v>33</v>
      </c>
      <c r="B16" s="4" t="s">
        <v>24</v>
      </c>
      <c r="C16" s="18"/>
      <c r="D16" s="23">
        <v>30000</v>
      </c>
      <c r="E16" s="23">
        <v>30000</v>
      </c>
      <c r="F16" s="23">
        <v>30000</v>
      </c>
      <c r="G16" s="23">
        <v>30000</v>
      </c>
      <c r="H16" s="23">
        <v>30000</v>
      </c>
      <c r="I16" s="23">
        <v>30000</v>
      </c>
      <c r="J16" s="20"/>
      <c r="K16" s="21"/>
      <c r="L16" s="21"/>
      <c r="M16" s="21"/>
      <c r="N16" s="21"/>
      <c r="O16" s="21"/>
      <c r="P16" s="24">
        <f>SUM(D16:O16)</f>
        <v>180000</v>
      </c>
      <c r="Q16" s="24"/>
      <c r="R16" s="24"/>
      <c r="S16" s="24"/>
      <c r="T16" s="24"/>
    </row>
    <row r="17" spans="1:20">
      <c r="A17" t="s">
        <v>34</v>
      </c>
      <c r="B17" s="4" t="s">
        <v>24</v>
      </c>
      <c r="C17" s="18"/>
      <c r="D17" s="23">
        <v>70000</v>
      </c>
      <c r="E17" s="23">
        <v>70000</v>
      </c>
      <c r="F17" s="23">
        <v>70000</v>
      </c>
      <c r="G17" s="23">
        <v>70000</v>
      </c>
      <c r="H17" s="23">
        <v>70000</v>
      </c>
      <c r="I17" s="23">
        <v>70000</v>
      </c>
      <c r="J17" s="20"/>
      <c r="K17" s="21"/>
      <c r="L17" s="21"/>
      <c r="M17" s="21"/>
      <c r="N17" s="21"/>
      <c r="O17" s="21"/>
      <c r="P17" s="24">
        <f>SUM(D17:O17)</f>
        <v>420000</v>
      </c>
      <c r="Q17" s="24"/>
      <c r="R17" s="24"/>
      <c r="S17" s="24"/>
      <c r="T17" s="24"/>
    </row>
    <row r="18" spans="1:20">
      <c r="A18" t="s">
        <v>35</v>
      </c>
      <c r="B18" s="4" t="s">
        <v>24</v>
      </c>
      <c r="C18" s="18"/>
      <c r="D18" s="23">
        <v>30000</v>
      </c>
      <c r="E18" s="23">
        <v>30000</v>
      </c>
      <c r="F18" s="23">
        <v>30000</v>
      </c>
      <c r="G18" s="23">
        <v>30000</v>
      </c>
      <c r="H18" s="23">
        <v>30000</v>
      </c>
      <c r="I18" s="23">
        <v>30000</v>
      </c>
      <c r="J18" s="20"/>
      <c r="K18" s="21"/>
      <c r="L18" s="21"/>
      <c r="M18" s="21"/>
      <c r="N18" s="21"/>
      <c r="O18" s="21"/>
      <c r="P18" s="24">
        <f>SUM(D18:O18)</f>
        <v>180000</v>
      </c>
      <c r="Q18" s="24"/>
      <c r="R18" s="24"/>
      <c r="S18" s="24"/>
      <c r="T18" s="24"/>
    </row>
    <row r="19" spans="1:20">
      <c r="A19" t="s">
        <v>36</v>
      </c>
      <c r="B19" s="4" t="s">
        <v>24</v>
      </c>
      <c r="C19" s="18"/>
      <c r="D19" s="23">
        <v>70000</v>
      </c>
      <c r="E19" s="23">
        <v>70000</v>
      </c>
      <c r="F19" s="23">
        <v>70000</v>
      </c>
      <c r="G19" s="23">
        <v>70000</v>
      </c>
      <c r="H19" s="23">
        <v>70000</v>
      </c>
      <c r="I19" s="23">
        <v>70000</v>
      </c>
      <c r="J19" s="20"/>
      <c r="K19" s="21"/>
      <c r="L19" s="21"/>
      <c r="M19" s="21"/>
      <c r="N19" s="21"/>
      <c r="O19" s="21"/>
      <c r="P19" s="24">
        <f>SUM(D19:O19)</f>
        <v>420000</v>
      </c>
      <c r="Q19" s="24"/>
      <c r="R19" s="24"/>
      <c r="S19" s="24"/>
      <c r="T19" s="24"/>
    </row>
    <row r="20" spans="1:20">
      <c r="A20" t="s">
        <v>37</v>
      </c>
      <c r="B20" s="4" t="s">
        <v>24</v>
      </c>
      <c r="C20" s="18"/>
      <c r="D20" s="23">
        <v>76000</v>
      </c>
      <c r="E20" s="23">
        <v>76000</v>
      </c>
      <c r="F20" s="23">
        <v>76000</v>
      </c>
      <c r="G20" s="23">
        <v>76000</v>
      </c>
      <c r="H20" s="23">
        <v>76000</v>
      </c>
      <c r="I20" s="23">
        <v>76000</v>
      </c>
      <c r="J20" s="20"/>
      <c r="K20" s="21"/>
      <c r="L20" s="21"/>
      <c r="M20" s="21"/>
      <c r="N20" s="21"/>
      <c r="O20" s="21"/>
      <c r="P20" s="24">
        <f>SUM(D20:I20)</f>
        <v>456000</v>
      </c>
      <c r="Q20" s="24"/>
      <c r="R20" s="24"/>
      <c r="S20" s="24"/>
      <c r="T20" s="24"/>
    </row>
    <row r="21" spans="1:20">
      <c r="A21" t="s">
        <v>30</v>
      </c>
      <c r="B21" s="7"/>
      <c r="C21" s="14">
        <v>0.2</v>
      </c>
      <c r="D21" s="26">
        <f>SUM(D14:D19)*$C21</f>
        <v>55000</v>
      </c>
      <c r="E21" s="26">
        <f t="shared" ref="E21:I21" si="2">SUM(E14:E19)*$C21</f>
        <v>55000</v>
      </c>
      <c r="F21" s="26">
        <f t="shared" si="2"/>
        <v>55000</v>
      </c>
      <c r="G21" s="26">
        <f t="shared" si="2"/>
        <v>55000</v>
      </c>
      <c r="H21" s="26">
        <f t="shared" si="2"/>
        <v>55000</v>
      </c>
      <c r="I21" s="26">
        <f t="shared" si="2"/>
        <v>55000</v>
      </c>
      <c r="J21" s="26"/>
      <c r="K21" s="34"/>
      <c r="L21" s="34"/>
      <c r="M21" s="34"/>
      <c r="N21" s="32"/>
      <c r="O21" s="32"/>
      <c r="P21" s="33">
        <f>SUM(D21:O21)</f>
        <v>330000</v>
      </c>
      <c r="Q21" s="33"/>
      <c r="R21" s="33"/>
      <c r="S21" s="33"/>
      <c r="T21" s="33"/>
    </row>
    <row r="22" spans="1:20">
      <c r="B22" s="4"/>
      <c r="C22" s="18"/>
      <c r="D22" s="20"/>
      <c r="E22" s="20"/>
      <c r="F22" s="20"/>
      <c r="G22" s="20"/>
      <c r="H22" s="20"/>
      <c r="I22" s="20"/>
      <c r="J22" s="20"/>
      <c r="K22" s="21"/>
      <c r="L22" s="21"/>
      <c r="M22" s="21"/>
      <c r="N22" s="21"/>
      <c r="O22" s="21"/>
      <c r="P22" s="24"/>
      <c r="Q22" s="24"/>
      <c r="R22" s="24"/>
      <c r="S22" s="24"/>
      <c r="T22" s="24"/>
    </row>
    <row r="23" spans="1:20">
      <c r="A23" s="2" t="s">
        <v>38</v>
      </c>
      <c r="B23" s="4"/>
      <c r="C23" s="18"/>
      <c r="D23" s="20"/>
      <c r="E23" s="20"/>
      <c r="F23" s="20"/>
      <c r="G23" s="20"/>
      <c r="H23" s="20"/>
      <c r="I23" s="20"/>
      <c r="J23" s="20"/>
      <c r="K23" s="21"/>
      <c r="L23" s="21"/>
      <c r="M23" s="21"/>
      <c r="N23" s="21"/>
      <c r="O23" s="21"/>
      <c r="P23" s="24"/>
      <c r="Q23" s="24"/>
      <c r="R23" s="24"/>
      <c r="S23" s="24"/>
      <c r="T23" s="24"/>
    </row>
    <row r="24" spans="1:20">
      <c r="A24" t="s">
        <v>39</v>
      </c>
      <c r="B24" s="4" t="s">
        <v>40</v>
      </c>
      <c r="C24" s="18"/>
      <c r="D24" s="20">
        <v>842</v>
      </c>
      <c r="E24" s="27">
        <v>842</v>
      </c>
      <c r="F24" s="27">
        <v>842</v>
      </c>
      <c r="G24" s="27">
        <v>842</v>
      </c>
      <c r="H24" s="27">
        <v>842</v>
      </c>
      <c r="I24" s="27">
        <v>842</v>
      </c>
      <c r="J24" s="27">
        <v>842</v>
      </c>
      <c r="K24" s="21"/>
      <c r="L24" s="21"/>
      <c r="M24" s="21"/>
      <c r="N24" s="21"/>
      <c r="O24" s="21"/>
      <c r="P24" s="24">
        <f>SUM(D24:O24)</f>
        <v>5894</v>
      </c>
      <c r="Q24" s="24"/>
      <c r="R24" s="24"/>
      <c r="S24" s="24"/>
      <c r="T24" s="24"/>
    </row>
    <row r="25" spans="1:20">
      <c r="A25" t="s">
        <v>41</v>
      </c>
      <c r="B25" s="4" t="s">
        <v>40</v>
      </c>
      <c r="C25" s="18" t="s">
        <v>42</v>
      </c>
      <c r="D25" s="23">
        <v>5000</v>
      </c>
      <c r="E25" s="23">
        <f t="shared" ref="E25:J27" si="3">D25</f>
        <v>5000</v>
      </c>
      <c r="F25" s="23">
        <f t="shared" si="3"/>
        <v>5000</v>
      </c>
      <c r="G25" s="23">
        <f t="shared" si="3"/>
        <v>5000</v>
      </c>
      <c r="H25" s="23">
        <f t="shared" si="3"/>
        <v>5000</v>
      </c>
      <c r="I25" s="23">
        <f t="shared" si="3"/>
        <v>5000</v>
      </c>
      <c r="J25" s="23">
        <f t="shared" si="3"/>
        <v>5000</v>
      </c>
      <c r="K25" s="25"/>
      <c r="L25" s="25"/>
      <c r="M25" s="21"/>
      <c r="N25" s="21"/>
      <c r="O25" s="21"/>
      <c r="P25" s="24">
        <f>SUM(D25:O25)</f>
        <v>35000</v>
      </c>
      <c r="Q25" s="24"/>
      <c r="R25" s="24"/>
      <c r="S25" s="24"/>
      <c r="T25" s="24"/>
    </row>
    <row r="26" spans="1:20">
      <c r="A26" t="s">
        <v>43</v>
      </c>
      <c r="B26" s="4" t="s">
        <v>40</v>
      </c>
      <c r="C26" s="18" t="s">
        <v>44</v>
      </c>
      <c r="D26" s="23">
        <v>14000</v>
      </c>
      <c r="E26" s="23">
        <f t="shared" si="3"/>
        <v>14000</v>
      </c>
      <c r="F26" s="23">
        <f t="shared" si="3"/>
        <v>14000</v>
      </c>
      <c r="G26" s="23">
        <f t="shared" si="3"/>
        <v>14000</v>
      </c>
      <c r="H26" s="23">
        <f t="shared" si="3"/>
        <v>14000</v>
      </c>
      <c r="I26" s="23">
        <f t="shared" si="3"/>
        <v>14000</v>
      </c>
      <c r="J26" s="23">
        <f>0.25*I26</f>
        <v>3500</v>
      </c>
      <c r="K26" s="25"/>
      <c r="L26" s="25"/>
      <c r="M26" s="21"/>
      <c r="N26" s="21"/>
      <c r="O26" s="21"/>
      <c r="P26" s="24">
        <f>SUM(D26:O26)</f>
        <v>87500</v>
      </c>
      <c r="Q26" s="24"/>
      <c r="R26" s="24"/>
      <c r="S26" s="24"/>
      <c r="T26" s="24"/>
    </row>
    <row r="27" spans="1:20">
      <c r="A27" t="s">
        <v>45</v>
      </c>
      <c r="B27" s="4" t="s">
        <v>40</v>
      </c>
      <c r="C27" s="18"/>
      <c r="D27" s="23">
        <v>16000</v>
      </c>
      <c r="E27" s="23">
        <f t="shared" si="3"/>
        <v>16000</v>
      </c>
      <c r="F27" s="23">
        <f t="shared" si="3"/>
        <v>16000</v>
      </c>
      <c r="G27" s="23">
        <f t="shared" si="3"/>
        <v>16000</v>
      </c>
      <c r="H27" s="23">
        <f t="shared" si="3"/>
        <v>16000</v>
      </c>
      <c r="I27" s="23">
        <f t="shared" si="3"/>
        <v>16000</v>
      </c>
      <c r="J27" s="23">
        <f>0.25*I27</f>
        <v>4000</v>
      </c>
      <c r="K27" s="25"/>
      <c r="L27" s="25"/>
      <c r="M27" s="21"/>
      <c r="N27" s="21"/>
      <c r="O27" s="21"/>
      <c r="P27" s="24">
        <f>SUM(D27:O27)</f>
        <v>100000</v>
      </c>
      <c r="Q27" s="24"/>
      <c r="R27" s="24"/>
      <c r="S27" s="24"/>
      <c r="T27" s="24"/>
    </row>
    <row r="28" spans="1:20">
      <c r="A28" t="s">
        <v>30</v>
      </c>
      <c r="B28" s="8"/>
      <c r="C28" s="19">
        <v>0.2</v>
      </c>
      <c r="D28" s="26">
        <f>SUM(D24:D27)*$C28</f>
        <v>7168.4000000000005</v>
      </c>
      <c r="E28" s="26">
        <f t="shared" ref="E28:J28" si="4">SUM(E24:E27)*$C28</f>
        <v>7168.4000000000005</v>
      </c>
      <c r="F28" s="26">
        <f t="shared" si="4"/>
        <v>7168.4000000000005</v>
      </c>
      <c r="G28" s="26">
        <f t="shared" si="4"/>
        <v>7168.4000000000005</v>
      </c>
      <c r="H28" s="26">
        <f t="shared" si="4"/>
        <v>7168.4000000000005</v>
      </c>
      <c r="I28" s="26">
        <f t="shared" si="4"/>
        <v>7168.4000000000005</v>
      </c>
      <c r="J28" s="26">
        <f t="shared" si="4"/>
        <v>2668.4</v>
      </c>
      <c r="K28" s="31"/>
      <c r="L28" s="31"/>
      <c r="M28" s="31"/>
      <c r="N28" s="32"/>
      <c r="O28" s="32"/>
      <c r="P28" s="33">
        <f>SUM(D28:O28)</f>
        <v>45678.8</v>
      </c>
      <c r="Q28" s="33"/>
      <c r="R28" s="33"/>
      <c r="S28" s="33"/>
      <c r="T28" s="33"/>
    </row>
    <row r="29" spans="1:20">
      <c r="C29" s="18"/>
      <c r="D29" s="20"/>
      <c r="E29" s="20"/>
      <c r="F29" s="20"/>
      <c r="G29" s="20"/>
      <c r="H29" s="20"/>
      <c r="I29" s="20"/>
      <c r="J29" s="20"/>
      <c r="K29" s="21"/>
      <c r="L29" s="21"/>
      <c r="M29" s="21"/>
      <c r="N29" s="21"/>
      <c r="O29" s="21"/>
      <c r="P29" s="24"/>
      <c r="Q29" s="24"/>
      <c r="R29" s="24"/>
      <c r="S29" s="24"/>
      <c r="T29" s="24"/>
    </row>
    <row r="30" spans="1:20">
      <c r="A30" s="2" t="s">
        <v>46</v>
      </c>
      <c r="B30" s="9"/>
      <c r="C30" s="18"/>
      <c r="D30" s="20"/>
      <c r="E30" s="20"/>
      <c r="F30" s="20"/>
      <c r="G30" s="20"/>
      <c r="H30" s="20"/>
      <c r="I30" s="20"/>
      <c r="J30" s="20"/>
      <c r="K30" s="21"/>
      <c r="L30" s="21"/>
      <c r="M30" s="21"/>
      <c r="N30" s="21"/>
      <c r="O30" s="21"/>
      <c r="P30" s="24"/>
      <c r="Q30" s="24"/>
      <c r="R30" s="24"/>
      <c r="S30" s="24"/>
      <c r="T30" s="24"/>
    </row>
    <row r="31" spans="1:20">
      <c r="A31" t="s">
        <v>47</v>
      </c>
      <c r="B31" s="4" t="s">
        <v>40</v>
      </c>
      <c r="C31" s="18"/>
      <c r="D31" s="23">
        <v>35000</v>
      </c>
      <c r="E31" s="23">
        <f>D31</f>
        <v>35000</v>
      </c>
      <c r="F31" s="23">
        <f t="shared" ref="F31:I32" si="5">E31</f>
        <v>35000</v>
      </c>
      <c r="G31" s="23">
        <f t="shared" si="5"/>
        <v>35000</v>
      </c>
      <c r="H31" s="23">
        <f t="shared" si="5"/>
        <v>35000</v>
      </c>
      <c r="I31" s="23">
        <f t="shared" si="5"/>
        <v>35000</v>
      </c>
      <c r="J31" s="23">
        <f>0.2*I31</f>
        <v>7000</v>
      </c>
      <c r="K31" s="21"/>
      <c r="L31" s="21"/>
      <c r="M31" s="21"/>
      <c r="N31" s="21"/>
      <c r="O31" s="21"/>
      <c r="P31" s="24">
        <f>SUM(D31:O31)</f>
        <v>217000</v>
      </c>
      <c r="Q31" s="24"/>
      <c r="R31" s="24"/>
      <c r="S31" s="24"/>
      <c r="T31" s="24"/>
    </row>
    <row r="32" spans="1:20">
      <c r="A32" t="s">
        <v>48</v>
      </c>
      <c r="B32" s="4" t="s">
        <v>40</v>
      </c>
      <c r="C32" s="18"/>
      <c r="D32" s="23">
        <v>3000</v>
      </c>
      <c r="E32" s="23">
        <f>D32</f>
        <v>3000</v>
      </c>
      <c r="F32" s="23">
        <f t="shared" si="5"/>
        <v>3000</v>
      </c>
      <c r="G32" s="23">
        <f t="shared" si="5"/>
        <v>3000</v>
      </c>
      <c r="H32" s="23">
        <f t="shared" si="5"/>
        <v>3000</v>
      </c>
      <c r="I32" s="23">
        <f t="shared" si="5"/>
        <v>3000</v>
      </c>
      <c r="J32" s="23">
        <f>0.5*I32</f>
        <v>1500</v>
      </c>
      <c r="K32" s="21"/>
      <c r="L32" s="21"/>
      <c r="M32" s="21"/>
      <c r="N32" s="21"/>
      <c r="O32" s="21"/>
      <c r="P32" s="24">
        <f>SUM(D32:O32)</f>
        <v>19500</v>
      </c>
      <c r="Q32" s="24"/>
      <c r="R32" s="24"/>
      <c r="S32" s="24"/>
      <c r="T32" s="24"/>
    </row>
    <row r="33" spans="1:25" ht="15">
      <c r="A33" t="s">
        <v>30</v>
      </c>
      <c r="B33" s="8"/>
      <c r="C33" s="19">
        <v>0.2</v>
      </c>
      <c r="D33" s="26">
        <f>SUM(D31:D32)*$C33</f>
        <v>7600</v>
      </c>
      <c r="E33" s="26">
        <f t="shared" ref="E33:J33" si="6">SUM(E31:E32)*$C33</f>
        <v>7600</v>
      </c>
      <c r="F33" s="26">
        <f t="shared" si="6"/>
        <v>7600</v>
      </c>
      <c r="G33" s="26">
        <f t="shared" si="6"/>
        <v>7600</v>
      </c>
      <c r="H33" s="26">
        <f t="shared" si="6"/>
        <v>7600</v>
      </c>
      <c r="I33" s="26">
        <f t="shared" si="6"/>
        <v>7600</v>
      </c>
      <c r="J33" s="26">
        <f t="shared" si="6"/>
        <v>1700</v>
      </c>
      <c r="K33" s="34"/>
      <c r="L33" s="34"/>
      <c r="M33" s="34"/>
      <c r="N33" s="32"/>
      <c r="O33" s="32"/>
      <c r="P33" s="33">
        <f>SUM(D33:O33)</f>
        <v>47300</v>
      </c>
      <c r="Q33" s="33"/>
      <c r="R33" s="33"/>
      <c r="S33" s="33"/>
      <c r="T33" s="33"/>
      <c r="Y33" s="41"/>
    </row>
    <row r="34" spans="1:25">
      <c r="C34" s="18"/>
      <c r="D34" s="20"/>
      <c r="E34" s="20"/>
      <c r="F34" s="20"/>
      <c r="G34" s="20"/>
      <c r="H34" s="20"/>
      <c r="I34" s="20"/>
      <c r="J34" s="20"/>
      <c r="K34" s="21"/>
      <c r="L34" s="21"/>
      <c r="M34" s="21"/>
      <c r="N34" s="21"/>
      <c r="O34" s="21"/>
      <c r="P34" s="24"/>
      <c r="Q34" s="24"/>
      <c r="R34" s="24"/>
      <c r="S34" s="24"/>
      <c r="T34" s="24"/>
    </row>
    <row r="35" spans="1:25">
      <c r="A35" s="2" t="s">
        <v>49</v>
      </c>
      <c r="C35" s="18"/>
      <c r="D35" s="20"/>
      <c r="E35" s="20"/>
      <c r="F35" s="20"/>
      <c r="G35" s="20"/>
      <c r="H35" s="20"/>
      <c r="I35" s="20"/>
      <c r="J35" s="20"/>
      <c r="K35" s="21"/>
      <c r="L35" s="21"/>
      <c r="M35" s="21"/>
      <c r="N35" s="21"/>
      <c r="O35" s="21"/>
      <c r="P35" s="24"/>
      <c r="Q35" s="24"/>
      <c r="R35" s="24"/>
      <c r="S35" s="24"/>
      <c r="T35" s="24"/>
    </row>
    <row r="36" spans="1:25">
      <c r="A36" s="2"/>
      <c r="C36" s="18"/>
      <c r="D36" s="20"/>
      <c r="E36" s="20"/>
      <c r="F36" s="20"/>
      <c r="G36" s="20"/>
      <c r="H36" s="20"/>
      <c r="I36" s="20"/>
      <c r="J36" s="20"/>
      <c r="K36" s="21"/>
      <c r="L36" s="21"/>
      <c r="M36" s="21"/>
      <c r="N36" s="21"/>
      <c r="O36" s="21"/>
      <c r="P36" s="24"/>
      <c r="Q36" s="24"/>
      <c r="R36" s="24"/>
      <c r="S36" s="24"/>
      <c r="T36" s="24"/>
    </row>
    <row r="37" spans="1:25">
      <c r="A37" s="2" t="s">
        <v>50</v>
      </c>
      <c r="C37" s="18"/>
      <c r="D37" s="20"/>
      <c r="E37" s="20"/>
      <c r="F37" s="20"/>
      <c r="G37" s="20"/>
      <c r="H37" s="20"/>
      <c r="I37" s="20"/>
      <c r="J37" s="20"/>
      <c r="K37" s="21"/>
      <c r="L37" s="21"/>
      <c r="M37" s="21"/>
      <c r="N37" s="21"/>
      <c r="O37" s="21"/>
      <c r="P37" s="24"/>
      <c r="Q37" s="24"/>
      <c r="R37" s="24"/>
      <c r="S37" s="24"/>
      <c r="T37" s="24"/>
    </row>
    <row r="38" spans="1:25">
      <c r="A38" t="s">
        <v>39</v>
      </c>
      <c r="B38" s="4" t="s">
        <v>40</v>
      </c>
      <c r="C38" s="18"/>
      <c r="D38" s="20"/>
      <c r="E38" s="20"/>
      <c r="F38" s="20"/>
      <c r="G38" s="20"/>
      <c r="H38" s="20"/>
      <c r="I38" s="20"/>
      <c r="J38" s="20"/>
      <c r="K38" s="21">
        <v>842</v>
      </c>
      <c r="L38" s="21">
        <v>842</v>
      </c>
      <c r="M38" s="21">
        <v>842</v>
      </c>
      <c r="N38" s="21">
        <v>842</v>
      </c>
      <c r="O38" s="21">
        <v>842</v>
      </c>
      <c r="P38" s="24">
        <f>SUM(K38:O38)</f>
        <v>4210</v>
      </c>
      <c r="Q38" s="24">
        <f>O38*12</f>
        <v>10104</v>
      </c>
      <c r="R38" s="24">
        <f t="shared" ref="R38:T42" si="7">Q38</f>
        <v>10104</v>
      </c>
      <c r="S38" s="24">
        <f t="shared" si="7"/>
        <v>10104</v>
      </c>
      <c r="T38" s="24">
        <f t="shared" si="7"/>
        <v>10104</v>
      </c>
    </row>
    <row r="39" spans="1:25">
      <c r="A39" t="s">
        <v>41</v>
      </c>
      <c r="B39" s="4" t="s">
        <v>40</v>
      </c>
      <c r="C39" s="18"/>
      <c r="D39" s="23"/>
      <c r="E39" s="20"/>
      <c r="F39" s="20"/>
      <c r="G39" s="20"/>
      <c r="H39" s="20"/>
      <c r="I39" s="20"/>
      <c r="J39" s="20"/>
      <c r="K39" s="25">
        <v>5000</v>
      </c>
      <c r="L39" s="25">
        <v>5000</v>
      </c>
      <c r="M39" s="25">
        <v>5000</v>
      </c>
      <c r="N39" s="25">
        <v>5000</v>
      </c>
      <c r="O39" s="25">
        <v>5000</v>
      </c>
      <c r="P39" s="24">
        <f t="shared" ref="P39:P42" si="8">SUM(K39:O39)</f>
        <v>25000</v>
      </c>
      <c r="Q39" s="24">
        <f>O39*12</f>
        <v>60000</v>
      </c>
      <c r="R39" s="24">
        <f t="shared" si="7"/>
        <v>60000</v>
      </c>
      <c r="S39" s="24">
        <f t="shared" si="7"/>
        <v>60000</v>
      </c>
      <c r="T39" s="24">
        <f t="shared" si="7"/>
        <v>60000</v>
      </c>
    </row>
    <row r="40" spans="1:25">
      <c r="A40" t="s">
        <v>43</v>
      </c>
      <c r="B40" s="4" t="s">
        <v>40</v>
      </c>
      <c r="C40" s="18"/>
      <c r="D40" s="23"/>
      <c r="E40" s="20"/>
      <c r="F40" s="20"/>
      <c r="G40" s="20"/>
      <c r="H40" s="20"/>
      <c r="I40" s="20"/>
      <c r="J40" s="20"/>
      <c r="K40" s="25">
        <f t="shared" ref="K40:M40" si="9">7*600</f>
        <v>4200</v>
      </c>
      <c r="L40" s="25">
        <f t="shared" si="9"/>
        <v>4200</v>
      </c>
      <c r="M40" s="25">
        <f t="shared" si="9"/>
        <v>4200</v>
      </c>
      <c r="N40" s="25">
        <f>7*600</f>
        <v>4200</v>
      </c>
      <c r="O40" s="25">
        <f>7*600</f>
        <v>4200</v>
      </c>
      <c r="P40" s="24">
        <f t="shared" si="8"/>
        <v>21000</v>
      </c>
      <c r="Q40" s="24">
        <f t="shared" ref="Q40:Q42" si="10">O40*12</f>
        <v>50400</v>
      </c>
      <c r="R40" s="24">
        <f t="shared" si="7"/>
        <v>50400</v>
      </c>
      <c r="S40" s="24">
        <f t="shared" si="7"/>
        <v>50400</v>
      </c>
      <c r="T40" s="24">
        <f t="shared" si="7"/>
        <v>50400</v>
      </c>
    </row>
    <row r="41" spans="1:25">
      <c r="A41" t="s">
        <v>51</v>
      </c>
      <c r="B41" s="4" t="s">
        <v>40</v>
      </c>
      <c r="C41" s="18"/>
      <c r="D41" s="23"/>
      <c r="E41" s="20"/>
      <c r="F41" s="20"/>
      <c r="G41" s="20"/>
      <c r="H41" s="20"/>
      <c r="I41" s="20"/>
      <c r="J41" s="20"/>
      <c r="K41" s="25">
        <v>1375</v>
      </c>
      <c r="L41" s="25">
        <v>1375</v>
      </c>
      <c r="M41" s="25">
        <v>1375</v>
      </c>
      <c r="N41" s="25">
        <v>1375</v>
      </c>
      <c r="O41" s="25">
        <v>1375</v>
      </c>
      <c r="P41" s="24">
        <f t="shared" si="8"/>
        <v>6875</v>
      </c>
      <c r="Q41" s="24">
        <f t="shared" si="10"/>
        <v>16500</v>
      </c>
      <c r="R41" s="24">
        <f t="shared" si="7"/>
        <v>16500</v>
      </c>
      <c r="S41" s="24">
        <f t="shared" si="7"/>
        <v>16500</v>
      </c>
      <c r="T41" s="24">
        <f t="shared" si="7"/>
        <v>16500</v>
      </c>
    </row>
    <row r="42" spans="1:25">
      <c r="A42" t="s">
        <v>30</v>
      </c>
      <c r="B42" s="8"/>
      <c r="C42" s="19">
        <v>0.05</v>
      </c>
      <c r="D42" s="23"/>
      <c r="E42" s="28"/>
      <c r="F42" s="28"/>
      <c r="G42" s="28"/>
      <c r="H42" s="28"/>
      <c r="I42" s="28"/>
      <c r="J42" s="28"/>
      <c r="K42" s="21">
        <f>SUM(K38:K41)*0.05</f>
        <v>570.85</v>
      </c>
      <c r="L42" s="21">
        <f t="shared" ref="K42:M42" si="11">SUM(L38:L41)*0.05</f>
        <v>570.85</v>
      </c>
      <c r="M42" s="21">
        <f t="shared" si="11"/>
        <v>570.85</v>
      </c>
      <c r="N42" s="21">
        <f>SUM(N38:N41)*0.05</f>
        <v>570.85</v>
      </c>
      <c r="O42" s="21">
        <f>SUM(O38:O41)*0.05</f>
        <v>570.85</v>
      </c>
      <c r="P42" s="24">
        <f t="shared" si="8"/>
        <v>2854.25</v>
      </c>
      <c r="Q42" s="24">
        <f t="shared" si="10"/>
        <v>6850.2000000000007</v>
      </c>
      <c r="R42" s="24">
        <f t="shared" si="7"/>
        <v>6850.2000000000007</v>
      </c>
      <c r="S42" s="24">
        <f t="shared" si="7"/>
        <v>6850.2000000000007</v>
      </c>
      <c r="T42" s="24">
        <f t="shared" si="7"/>
        <v>6850.2000000000007</v>
      </c>
    </row>
    <row r="43" spans="1:25">
      <c r="C43" s="18"/>
      <c r="D43" s="20"/>
      <c r="E43" s="20"/>
      <c r="F43" s="20"/>
      <c r="G43" s="20"/>
      <c r="H43" s="20"/>
      <c r="I43" s="20"/>
      <c r="J43" s="20"/>
      <c r="K43" s="21"/>
      <c r="L43" s="21"/>
      <c r="M43" s="21"/>
      <c r="N43" s="21"/>
      <c r="O43" s="21"/>
      <c r="P43" s="24"/>
      <c r="Q43" s="24"/>
      <c r="R43" s="24"/>
      <c r="S43" s="24"/>
      <c r="T43" s="24"/>
    </row>
    <row r="44" spans="1:25">
      <c r="A44" s="2" t="s">
        <v>52</v>
      </c>
      <c r="C44" s="18"/>
      <c r="D44" s="20"/>
      <c r="E44" s="20"/>
      <c r="F44" s="20"/>
      <c r="G44" s="20"/>
      <c r="H44" s="20"/>
      <c r="I44" s="20"/>
      <c r="J44" s="20"/>
      <c r="K44" s="21"/>
      <c r="L44" s="21"/>
      <c r="M44" s="21"/>
      <c r="N44" s="21"/>
      <c r="O44" s="21"/>
      <c r="P44" s="24"/>
      <c r="Q44" s="24"/>
      <c r="R44" s="24"/>
      <c r="S44" s="24"/>
      <c r="T44" s="24"/>
    </row>
    <row r="45" spans="1:25">
      <c r="A45" t="s">
        <v>47</v>
      </c>
      <c r="B45" s="4" t="s">
        <v>40</v>
      </c>
      <c r="C45" s="18"/>
      <c r="D45" s="23"/>
      <c r="E45" s="23"/>
      <c r="F45" s="23"/>
      <c r="G45" s="23"/>
      <c r="H45" s="23"/>
      <c r="I45" s="23"/>
      <c r="J45" s="23"/>
      <c r="K45" s="21"/>
      <c r="L45" s="21"/>
      <c r="M45" s="21"/>
      <c r="N45" s="21"/>
      <c r="O45" s="21"/>
      <c r="P45" s="24">
        <f t="shared" ref="P45:P50" si="12">SUM(D45:O45)</f>
        <v>0</v>
      </c>
      <c r="Q45" s="24">
        <f t="shared" ref="Q45:Q50" si="13">O45*12</f>
        <v>0</v>
      </c>
      <c r="R45" s="24">
        <f t="shared" ref="R45:T50" si="14">Q45</f>
        <v>0</v>
      </c>
      <c r="S45" s="24">
        <f t="shared" si="14"/>
        <v>0</v>
      </c>
      <c r="T45" s="24">
        <f t="shared" si="14"/>
        <v>0</v>
      </c>
    </row>
    <row r="46" spans="1:25">
      <c r="A46" t="s">
        <v>48</v>
      </c>
      <c r="B46" s="4" t="s">
        <v>40</v>
      </c>
      <c r="C46" s="18"/>
      <c r="D46" s="23">
        <v>3000</v>
      </c>
      <c r="E46" s="23">
        <v>3000</v>
      </c>
      <c r="F46" s="23">
        <v>3000</v>
      </c>
      <c r="G46" s="23">
        <v>3000</v>
      </c>
      <c r="H46" s="23">
        <v>3000</v>
      </c>
      <c r="I46" s="23">
        <v>3000</v>
      </c>
      <c r="J46" s="23">
        <v>3000</v>
      </c>
      <c r="K46" s="21"/>
      <c r="L46" s="21"/>
      <c r="M46" s="21"/>
      <c r="N46" s="21"/>
      <c r="O46" s="21"/>
      <c r="P46" s="24">
        <f t="shared" si="12"/>
        <v>21000</v>
      </c>
      <c r="Q46" s="24">
        <f t="shared" si="13"/>
        <v>0</v>
      </c>
      <c r="R46" s="24">
        <f t="shared" si="14"/>
        <v>0</v>
      </c>
      <c r="S46" s="24">
        <f t="shared" si="14"/>
        <v>0</v>
      </c>
      <c r="T46" s="24">
        <f t="shared" si="14"/>
        <v>0</v>
      </c>
    </row>
    <row r="47" spans="1:25">
      <c r="A47" t="s">
        <v>53</v>
      </c>
      <c r="B47" s="4" t="s">
        <v>40</v>
      </c>
      <c r="C47" s="18"/>
      <c r="D47" s="20"/>
      <c r="E47" s="20"/>
      <c r="F47" s="20"/>
      <c r="G47" s="20"/>
      <c r="H47" s="20"/>
      <c r="I47" s="20"/>
      <c r="J47" s="20"/>
      <c r="K47" s="21"/>
      <c r="L47" s="21"/>
      <c r="M47" s="21"/>
      <c r="N47" s="21"/>
      <c r="O47" s="21"/>
      <c r="P47" s="24">
        <f t="shared" si="12"/>
        <v>0</v>
      </c>
      <c r="Q47" s="24">
        <f t="shared" si="13"/>
        <v>0</v>
      </c>
      <c r="R47" s="24">
        <f t="shared" si="14"/>
        <v>0</v>
      </c>
      <c r="S47" s="24">
        <f t="shared" si="14"/>
        <v>0</v>
      </c>
      <c r="T47" s="24">
        <f t="shared" si="14"/>
        <v>0</v>
      </c>
    </row>
    <row r="48" spans="1:25">
      <c r="A48" t="s">
        <v>54</v>
      </c>
      <c r="B48" s="4" t="s">
        <v>40</v>
      </c>
      <c r="C48" s="18"/>
      <c r="D48" s="20"/>
      <c r="E48" s="20"/>
      <c r="F48" s="20"/>
      <c r="G48" s="20"/>
      <c r="H48" s="20"/>
      <c r="I48" s="20"/>
      <c r="J48" s="20"/>
      <c r="K48" s="29">
        <f>(B86*0.05)/12</f>
        <v>26494.47</v>
      </c>
      <c r="L48" s="29">
        <f>K48</f>
        <v>26494.47</v>
      </c>
      <c r="M48" s="29">
        <f t="shared" ref="M48:O48" si="15">L48</f>
        <v>26494.47</v>
      </c>
      <c r="N48" s="29">
        <f t="shared" si="15"/>
        <v>26494.47</v>
      </c>
      <c r="O48" s="29">
        <f t="shared" si="15"/>
        <v>26494.47</v>
      </c>
      <c r="P48" s="24">
        <f t="shared" si="12"/>
        <v>132472.35</v>
      </c>
      <c r="Q48" s="24">
        <f t="shared" si="13"/>
        <v>317933.64</v>
      </c>
      <c r="R48" s="24">
        <f t="shared" si="14"/>
        <v>317933.64</v>
      </c>
      <c r="S48" s="24">
        <f t="shared" si="14"/>
        <v>317933.64</v>
      </c>
      <c r="T48" s="24">
        <f t="shared" si="14"/>
        <v>317933.64</v>
      </c>
    </row>
    <row r="49" spans="1:20">
      <c r="A49" t="s">
        <v>55</v>
      </c>
      <c r="B49" s="4" t="s">
        <v>40</v>
      </c>
      <c r="C49" s="18"/>
      <c r="D49" s="20"/>
      <c r="E49" s="20"/>
      <c r="F49" s="20"/>
      <c r="G49" s="20"/>
      <c r="H49" s="20"/>
      <c r="I49" s="20"/>
      <c r="J49" s="20"/>
      <c r="K49" s="21"/>
      <c r="L49" s="21"/>
      <c r="M49" s="21"/>
      <c r="N49" s="21"/>
      <c r="O49" s="21"/>
      <c r="P49" s="24">
        <f t="shared" si="12"/>
        <v>0</v>
      </c>
      <c r="Q49" s="24">
        <f t="shared" si="13"/>
        <v>0</v>
      </c>
      <c r="R49" s="24">
        <f t="shared" si="14"/>
        <v>0</v>
      </c>
      <c r="S49" s="24">
        <f t="shared" si="14"/>
        <v>0</v>
      </c>
      <c r="T49" s="24">
        <f t="shared" si="14"/>
        <v>0</v>
      </c>
    </row>
    <row r="50" spans="1:20">
      <c r="A50" t="s">
        <v>30</v>
      </c>
      <c r="B50" s="8"/>
      <c r="C50" s="19">
        <v>0.05</v>
      </c>
      <c r="D50" s="26">
        <f>SUM(D45:D49)*$C50</f>
        <v>150</v>
      </c>
      <c r="E50" s="26">
        <f t="shared" ref="E50:K50" si="16">SUM(E45:E49)*$C50</f>
        <v>150</v>
      </c>
      <c r="F50" s="26">
        <f t="shared" si="16"/>
        <v>150</v>
      </c>
      <c r="G50" s="26">
        <f t="shared" si="16"/>
        <v>150</v>
      </c>
      <c r="H50" s="26">
        <f t="shared" si="16"/>
        <v>150</v>
      </c>
      <c r="I50" s="26">
        <f t="shared" si="16"/>
        <v>150</v>
      </c>
      <c r="J50" s="26">
        <f t="shared" si="16"/>
        <v>150</v>
      </c>
      <c r="K50" s="34">
        <f t="shared" si="16"/>
        <v>1324.7235000000001</v>
      </c>
      <c r="L50" s="34"/>
      <c r="M50" s="34"/>
      <c r="N50" s="32"/>
      <c r="O50" s="32"/>
      <c r="P50" s="33">
        <f t="shared" si="12"/>
        <v>2374.7235000000001</v>
      </c>
      <c r="Q50" s="33">
        <f t="shared" si="13"/>
        <v>0</v>
      </c>
      <c r="R50" s="33">
        <f t="shared" si="14"/>
        <v>0</v>
      </c>
      <c r="S50" s="33">
        <f t="shared" si="14"/>
        <v>0</v>
      </c>
      <c r="T50" s="33">
        <f t="shared" si="14"/>
        <v>0</v>
      </c>
    </row>
    <row r="51" spans="1:20">
      <c r="C51" s="18"/>
      <c r="D51" s="20"/>
      <c r="E51" s="20"/>
      <c r="F51" s="20"/>
      <c r="G51" s="20"/>
      <c r="H51" s="20"/>
      <c r="I51" s="20"/>
      <c r="J51" s="20"/>
      <c r="K51" s="21"/>
      <c r="L51" s="21"/>
      <c r="M51" s="21"/>
      <c r="N51" s="21"/>
      <c r="O51" s="21"/>
      <c r="P51" s="24"/>
      <c r="Q51" s="24"/>
      <c r="R51" s="24"/>
      <c r="S51" s="24"/>
      <c r="T51" s="24"/>
    </row>
    <row r="52" spans="1:20">
      <c r="A52" s="2" t="s">
        <v>56</v>
      </c>
      <c r="C52" s="18"/>
      <c r="D52" s="20"/>
      <c r="E52" s="20"/>
      <c r="F52" s="20"/>
      <c r="G52" s="20"/>
      <c r="H52" s="20"/>
      <c r="I52" s="20"/>
      <c r="J52" s="20"/>
      <c r="K52" s="21"/>
      <c r="L52" s="21"/>
      <c r="M52" s="21"/>
      <c r="N52" s="21"/>
      <c r="O52" s="21"/>
      <c r="P52" s="24"/>
      <c r="Q52" s="24"/>
      <c r="R52" s="24"/>
      <c r="S52" s="24"/>
      <c r="T52" s="24"/>
    </row>
    <row r="53" spans="1:20">
      <c r="A53" t="s">
        <v>57</v>
      </c>
      <c r="B53" s="4" t="s">
        <v>40</v>
      </c>
      <c r="C53" s="18"/>
      <c r="D53" s="20"/>
      <c r="E53" s="20">
        <v>8000</v>
      </c>
      <c r="F53" s="20">
        <v>8000</v>
      </c>
      <c r="G53" s="20">
        <v>8000</v>
      </c>
      <c r="H53" s="20">
        <v>8000</v>
      </c>
      <c r="I53" s="20">
        <v>8000</v>
      </c>
      <c r="J53" s="20">
        <v>8000</v>
      </c>
      <c r="K53" s="21">
        <v>45000</v>
      </c>
      <c r="L53" s="21">
        <v>45000</v>
      </c>
      <c r="M53" s="21">
        <v>45000</v>
      </c>
      <c r="N53" s="21">
        <v>45000</v>
      </c>
      <c r="O53" s="21">
        <v>45000</v>
      </c>
      <c r="P53" s="24">
        <f>SUM(D53:O53)</f>
        <v>273000</v>
      </c>
      <c r="Q53" s="24">
        <f>O53*12</f>
        <v>540000</v>
      </c>
      <c r="R53" s="24">
        <f>Q53</f>
        <v>540000</v>
      </c>
      <c r="S53" s="24">
        <f>R53</f>
        <v>540000</v>
      </c>
      <c r="T53" s="24">
        <f>S53</f>
        <v>540000</v>
      </c>
    </row>
    <row r="54" spans="1:20">
      <c r="A54" t="s">
        <v>58</v>
      </c>
      <c r="B54" s="4" t="s">
        <v>40</v>
      </c>
      <c r="C54" s="14">
        <v>0.15</v>
      </c>
      <c r="D54" s="20"/>
      <c r="E54" s="20"/>
      <c r="F54" s="20"/>
      <c r="G54" s="20"/>
      <c r="H54" s="20"/>
      <c r="I54" s="20"/>
      <c r="J54" s="23"/>
      <c r="K54" s="24">
        <f t="shared" ref="K54:O54" si="17">$C$54*K59</f>
        <v>24300</v>
      </c>
      <c r="L54" s="24">
        <f t="shared" si="17"/>
        <v>48600</v>
      </c>
      <c r="M54" s="24">
        <f t="shared" si="17"/>
        <v>48600</v>
      </c>
      <c r="N54" s="24">
        <f t="shared" si="17"/>
        <v>48600</v>
      </c>
      <c r="O54" s="24">
        <f t="shared" si="17"/>
        <v>48600</v>
      </c>
      <c r="P54" s="24">
        <f>$C$54*P59</f>
        <v>218700</v>
      </c>
      <c r="Q54" s="24">
        <f t="shared" ref="Q54:T54" si="18">$C$54*Q59</f>
        <v>699840</v>
      </c>
      <c r="R54" s="24">
        <f t="shared" si="18"/>
        <v>769824</v>
      </c>
      <c r="S54" s="24">
        <f t="shared" si="18"/>
        <v>846806.4</v>
      </c>
      <c r="T54" s="24">
        <f t="shared" si="18"/>
        <v>931487.04</v>
      </c>
    </row>
    <row r="55" spans="1:20">
      <c r="C55" s="18"/>
      <c r="D55" s="20"/>
      <c r="E55" s="20"/>
      <c r="F55" s="20"/>
      <c r="G55" s="20"/>
      <c r="H55" s="20"/>
      <c r="I55" s="20"/>
      <c r="J55" s="20"/>
      <c r="K55" s="21"/>
      <c r="L55" s="21"/>
      <c r="M55" s="21"/>
      <c r="N55" s="21"/>
      <c r="O55" s="21"/>
      <c r="P55" s="22"/>
      <c r="Q55" s="22"/>
      <c r="R55" s="22"/>
      <c r="S55" s="22"/>
      <c r="T55" s="22"/>
    </row>
    <row r="56" spans="1:20">
      <c r="C56" s="18"/>
      <c r="D56" s="20"/>
      <c r="E56" s="20"/>
      <c r="F56" s="20"/>
      <c r="G56" s="20"/>
      <c r="H56" s="20"/>
      <c r="I56" s="20"/>
      <c r="J56" s="20"/>
      <c r="K56" s="21"/>
      <c r="L56" s="21"/>
      <c r="M56" s="21"/>
      <c r="N56" s="21"/>
      <c r="O56" s="21"/>
      <c r="P56" s="22"/>
      <c r="Q56" s="22"/>
      <c r="R56" s="22"/>
      <c r="S56" s="22"/>
      <c r="T56" s="22"/>
    </row>
    <row r="57" spans="1:20">
      <c r="C57" s="18"/>
      <c r="D57" s="20"/>
      <c r="E57" s="20"/>
      <c r="F57" s="20"/>
      <c r="G57" s="20"/>
      <c r="H57" s="20"/>
      <c r="I57" s="20"/>
      <c r="J57" s="20"/>
      <c r="K57" s="21"/>
      <c r="L57" s="21"/>
      <c r="M57" s="21"/>
      <c r="N57" s="21"/>
      <c r="O57" s="21"/>
      <c r="P57" s="22"/>
      <c r="Q57" s="22"/>
      <c r="R57" s="22"/>
      <c r="S57" s="22"/>
      <c r="T57" s="22"/>
    </row>
    <row r="58" spans="1:20" ht="25.9">
      <c r="A58" s="1" t="s">
        <v>59</v>
      </c>
      <c r="C58" s="18"/>
      <c r="D58" s="20"/>
      <c r="E58" s="20"/>
      <c r="F58" s="20"/>
      <c r="G58" s="20"/>
      <c r="H58" s="20"/>
      <c r="I58" s="20"/>
      <c r="J58" s="20"/>
      <c r="K58" s="21"/>
      <c r="L58" s="21"/>
      <c r="M58" s="21"/>
      <c r="N58" s="21"/>
      <c r="O58" s="21"/>
      <c r="P58" s="22"/>
      <c r="Q58" s="22"/>
      <c r="R58" s="22"/>
      <c r="S58" s="22"/>
      <c r="T58" s="22"/>
    </row>
    <row r="59" spans="1:20">
      <c r="A59" t="s">
        <v>60</v>
      </c>
      <c r="B59" s="7" t="s">
        <v>40</v>
      </c>
      <c r="C59" s="18" t="s">
        <v>61</v>
      </c>
      <c r="D59" s="20"/>
      <c r="E59" s="20"/>
      <c r="F59" s="20"/>
      <c r="G59" s="20"/>
      <c r="H59" s="20"/>
      <c r="I59" s="20"/>
      <c r="J59" s="20"/>
      <c r="K59" s="21">
        <f>(180*0.75*0.25)*4800</f>
        <v>162000</v>
      </c>
      <c r="L59" s="21">
        <f>K59*2</f>
        <v>324000</v>
      </c>
      <c r="M59" s="21">
        <f>L59</f>
        <v>324000</v>
      </c>
      <c r="N59" s="21">
        <f t="shared" ref="N59:O59" si="19">M59</f>
        <v>324000</v>
      </c>
      <c r="O59" s="21">
        <f t="shared" si="19"/>
        <v>324000</v>
      </c>
      <c r="P59" s="24">
        <f>SUM(D59:O59)</f>
        <v>1458000</v>
      </c>
      <c r="Q59" s="24">
        <f>O59*12*1.2</f>
        <v>4665600</v>
      </c>
      <c r="R59" s="24">
        <f>Q59*1.1</f>
        <v>5132160</v>
      </c>
      <c r="S59" s="24">
        <f>R59*1.1</f>
        <v>5645376</v>
      </c>
      <c r="T59" s="24">
        <f>S59*1.1</f>
        <v>6209913.6000000006</v>
      </c>
    </row>
    <row r="60" spans="1:20">
      <c r="C60" s="18"/>
      <c r="D60" s="20"/>
      <c r="E60" s="20"/>
      <c r="F60" s="20"/>
      <c r="G60" s="20"/>
      <c r="H60" s="20"/>
      <c r="I60" s="20"/>
      <c r="J60" s="20"/>
      <c r="K60" s="21"/>
      <c r="L60" s="21"/>
      <c r="M60" s="21"/>
      <c r="N60" s="21"/>
      <c r="O60" s="21"/>
      <c r="P60" s="24"/>
      <c r="Q60" s="24"/>
      <c r="R60" s="24"/>
      <c r="S60" s="24"/>
      <c r="T60" s="24"/>
    </row>
    <row r="61" spans="1:20">
      <c r="C61" s="18"/>
      <c r="D61" s="20"/>
      <c r="E61" s="20"/>
      <c r="F61" s="20"/>
      <c r="G61" s="20"/>
      <c r="H61" s="20"/>
      <c r="I61" s="20"/>
      <c r="J61" s="20"/>
      <c r="K61" s="21"/>
      <c r="L61" s="21"/>
      <c r="M61" s="21"/>
      <c r="N61" s="21"/>
      <c r="O61" s="21"/>
      <c r="P61" s="22"/>
      <c r="Q61" s="22"/>
      <c r="R61" s="22"/>
      <c r="S61" s="22"/>
      <c r="T61" s="22"/>
    </row>
    <row r="62" spans="1:20" ht="25.9">
      <c r="A62" s="1" t="s">
        <v>62</v>
      </c>
      <c r="C62" s="18"/>
      <c r="D62" s="20"/>
      <c r="E62" s="20"/>
      <c r="F62" s="20"/>
      <c r="G62" s="20"/>
      <c r="H62" s="20"/>
      <c r="I62" s="20"/>
      <c r="J62" s="20"/>
      <c r="K62" s="21"/>
      <c r="L62" s="21"/>
      <c r="M62" s="21"/>
      <c r="N62" s="21"/>
      <c r="O62" s="21"/>
      <c r="P62" s="22"/>
      <c r="Q62" s="22"/>
      <c r="R62" s="22"/>
      <c r="S62" s="22"/>
      <c r="T62" s="22"/>
    </row>
    <row r="63" spans="1:20">
      <c r="C63" s="18"/>
      <c r="D63" s="20"/>
      <c r="E63" s="20"/>
      <c r="F63" s="20"/>
      <c r="G63" s="20"/>
      <c r="H63" s="20"/>
      <c r="I63" s="20"/>
      <c r="J63" s="20"/>
      <c r="K63" s="21"/>
      <c r="L63" s="21"/>
      <c r="M63" s="21"/>
      <c r="N63" s="21"/>
      <c r="O63" s="21"/>
      <c r="P63" s="22"/>
      <c r="Q63" s="22"/>
      <c r="R63" s="22"/>
      <c r="S63" s="22"/>
      <c r="T63" s="22"/>
    </row>
    <row r="64" spans="1:20">
      <c r="A64" s="2" t="s">
        <v>63</v>
      </c>
      <c r="C64" s="18"/>
      <c r="D64" s="20"/>
      <c r="E64" s="20"/>
      <c r="F64" s="20"/>
      <c r="G64" s="20"/>
      <c r="H64" s="20"/>
      <c r="I64" s="20"/>
      <c r="J64" s="23"/>
      <c r="K64" s="35">
        <f>K59</f>
        <v>162000</v>
      </c>
      <c r="L64" s="35">
        <f t="shared" ref="L64:O64" si="20">L59</f>
        <v>324000</v>
      </c>
      <c r="M64" s="35">
        <f t="shared" ref="M64:O64" si="21">M59</f>
        <v>324000</v>
      </c>
      <c r="N64" s="35">
        <f t="shared" si="21"/>
        <v>324000</v>
      </c>
      <c r="O64" s="35">
        <f t="shared" si="21"/>
        <v>324000</v>
      </c>
      <c r="P64" s="24">
        <f>P59</f>
        <v>1458000</v>
      </c>
      <c r="Q64" s="24">
        <f>Q59</f>
        <v>4665600</v>
      </c>
      <c r="R64" s="24">
        <f>R59</f>
        <v>5132160</v>
      </c>
      <c r="S64" s="24">
        <f>S59</f>
        <v>5645376</v>
      </c>
      <c r="T64" s="24">
        <f>T59</f>
        <v>6209913.6000000006</v>
      </c>
    </row>
    <row r="65" spans="1:22">
      <c r="A65" t="s">
        <v>64</v>
      </c>
      <c r="C65" s="18"/>
      <c r="D65" s="20"/>
      <c r="E65" s="20"/>
      <c r="F65" s="20"/>
      <c r="G65" s="20"/>
      <c r="H65" s="20"/>
      <c r="I65" s="20"/>
      <c r="J65" s="20"/>
      <c r="K65" s="35">
        <f>$B$85*(1/53)</f>
        <v>119974.95849056604</v>
      </c>
      <c r="L65" s="35">
        <f t="shared" ref="L65:O65" si="22">$B$85*(1/53)</f>
        <v>119974.95849056604</v>
      </c>
      <c r="M65" s="35">
        <f t="shared" si="22"/>
        <v>119974.95849056604</v>
      </c>
      <c r="N65" s="35">
        <f t="shared" si="22"/>
        <v>119974.95849056604</v>
      </c>
      <c r="O65" s="35">
        <f t="shared" si="22"/>
        <v>119974.95849056604</v>
      </c>
      <c r="P65" s="24">
        <f>B86*(5/53)</f>
        <v>599874.79245283024</v>
      </c>
      <c r="Q65" s="24">
        <f>$B$86*(12/53)</f>
        <v>1439699.5018867925</v>
      </c>
      <c r="R65" s="24">
        <f t="shared" ref="R65:T65" si="23">$B$86*(12/53)</f>
        <v>1439699.5018867925</v>
      </c>
      <c r="S65" s="24">
        <f t="shared" si="23"/>
        <v>1439699.5018867925</v>
      </c>
      <c r="T65" s="24">
        <f t="shared" si="23"/>
        <v>1439699.5018867925</v>
      </c>
      <c r="V65" s="15">
        <f>SUM(P65:T65)</f>
        <v>6358672.8000000007</v>
      </c>
    </row>
    <row r="66" spans="1:22">
      <c r="C66" s="18"/>
      <c r="D66" s="20"/>
      <c r="E66" s="20"/>
      <c r="F66" s="20"/>
      <c r="G66" s="20"/>
      <c r="H66" s="20"/>
      <c r="I66" s="20"/>
      <c r="J66" s="20"/>
      <c r="K66" s="35"/>
      <c r="L66" s="35"/>
      <c r="M66" s="35"/>
      <c r="N66" s="35"/>
      <c r="O66" s="35"/>
      <c r="P66" s="22"/>
      <c r="Q66" s="22"/>
      <c r="R66" s="22"/>
      <c r="S66" s="22"/>
      <c r="T66" s="22"/>
    </row>
    <row r="67" spans="1:22">
      <c r="A67" s="2" t="s">
        <v>65</v>
      </c>
      <c r="C67" s="18"/>
      <c r="D67" s="20"/>
      <c r="E67" s="20"/>
      <c r="F67" s="20"/>
      <c r="G67" s="20"/>
      <c r="H67" s="20"/>
      <c r="I67" s="20"/>
      <c r="J67" s="23"/>
      <c r="K67" s="35">
        <f t="shared" ref="K67:L67" si="24">K64-K65</f>
        <v>42025.041509433955</v>
      </c>
      <c r="L67" s="35">
        <f t="shared" si="24"/>
        <v>204025.04150943394</v>
      </c>
      <c r="M67" s="35">
        <f t="shared" ref="M67:O67" si="25">M64-M65</f>
        <v>204025.04150943394</v>
      </c>
      <c r="N67" s="35">
        <f t="shared" si="25"/>
        <v>204025.04150943394</v>
      </c>
      <c r="O67" s="35">
        <f t="shared" si="25"/>
        <v>204025.04150943394</v>
      </c>
      <c r="P67" s="24">
        <f>P64-P65</f>
        <v>858125.20754716976</v>
      </c>
      <c r="Q67" s="24">
        <f>Q64-Q65</f>
        <v>3225900.4981132075</v>
      </c>
      <c r="R67" s="24">
        <f>R64-R65</f>
        <v>3692460.4981132075</v>
      </c>
      <c r="S67" s="24">
        <f>S64-S65</f>
        <v>4205676.4981132075</v>
      </c>
      <c r="T67" s="24">
        <f>T64-T65</f>
        <v>4770214.0981132081</v>
      </c>
      <c r="V67" s="15">
        <f>SUM(P67:T67)</f>
        <v>16752376.800000001</v>
      </c>
    </row>
    <row r="68" spans="1:22">
      <c r="A68" s="2" t="s">
        <v>66</v>
      </c>
      <c r="C68" s="18"/>
      <c r="D68" s="20"/>
      <c r="E68" s="20"/>
      <c r="F68" s="20"/>
      <c r="G68" s="20"/>
      <c r="H68" s="20"/>
      <c r="I68" s="20"/>
      <c r="J68" s="20"/>
      <c r="K68" s="36">
        <f t="shared" ref="K68:L68" si="26">K67/K64</f>
        <v>0.25941383647798738</v>
      </c>
      <c r="L68" s="36">
        <f t="shared" si="26"/>
        <v>0.62970691823899361</v>
      </c>
      <c r="M68" s="36">
        <f t="shared" ref="M68:O68" si="27">M67/M64</f>
        <v>0.62970691823899361</v>
      </c>
      <c r="N68" s="36">
        <f t="shared" si="27"/>
        <v>0.62970691823899361</v>
      </c>
      <c r="O68" s="36">
        <f t="shared" si="27"/>
        <v>0.62970691823899361</v>
      </c>
      <c r="P68" s="30">
        <f>P67/P64</f>
        <v>0.58856324248777081</v>
      </c>
      <c r="Q68" s="30">
        <f>Q67/Q64</f>
        <v>0.69142243186582808</v>
      </c>
      <c r="R68" s="30">
        <f>R67/R64</f>
        <v>0.71947493805984375</v>
      </c>
      <c r="S68" s="30">
        <f>S67/S64</f>
        <v>0.74497721641803971</v>
      </c>
      <c r="T68" s="30">
        <f>T67/T64</f>
        <v>0.76816110583458164</v>
      </c>
    </row>
    <row r="69" spans="1:22">
      <c r="A69" t="s">
        <v>67</v>
      </c>
      <c r="C69" s="18"/>
      <c r="D69" s="20"/>
      <c r="E69" s="20"/>
      <c r="F69" s="20"/>
      <c r="G69" s="20"/>
      <c r="H69" s="20"/>
      <c r="I69" s="20"/>
      <c r="J69" s="23"/>
      <c r="K69" s="35">
        <f>SUM(K38:K54)</f>
        <v>109107.0435</v>
      </c>
      <c r="L69" s="35">
        <f t="shared" ref="K69:L69" si="28">SUM(L38:L54)</f>
        <v>132082.32</v>
      </c>
      <c r="M69" s="35">
        <f t="shared" ref="M69:O69" si="29">SUM(M38:M54)</f>
        <v>132082.32</v>
      </c>
      <c r="N69" s="35">
        <f t="shared" si="29"/>
        <v>132082.32</v>
      </c>
      <c r="O69" s="35">
        <f t="shared" si="29"/>
        <v>132082.32</v>
      </c>
      <c r="P69" s="24">
        <f>SUM(P38:P54)</f>
        <v>707486.32349999994</v>
      </c>
      <c r="Q69" s="24">
        <f>SUM(Q38:Q54)</f>
        <v>1701627.84</v>
      </c>
      <c r="R69" s="24">
        <f>SUM(R38:R54)</f>
        <v>1771611.84</v>
      </c>
      <c r="S69" s="24">
        <f>SUM(S38:S54)</f>
        <v>1848594.2400000002</v>
      </c>
      <c r="T69" s="24">
        <f>SUM(T38:T54)</f>
        <v>1933274.8800000001</v>
      </c>
      <c r="V69" s="15">
        <f>SUM(P69:T69)</f>
        <v>7962595.1234999998</v>
      </c>
    </row>
    <row r="70" spans="1:22">
      <c r="C70" s="18"/>
      <c r="D70" s="20"/>
      <c r="E70" s="20"/>
      <c r="F70" s="20"/>
      <c r="G70" s="20"/>
      <c r="H70" s="20"/>
      <c r="I70" s="20"/>
      <c r="J70" s="20"/>
      <c r="K70" s="35"/>
      <c r="L70" s="35"/>
      <c r="M70" s="35"/>
      <c r="N70" s="35"/>
      <c r="O70" s="35"/>
      <c r="P70" s="22"/>
      <c r="Q70" s="22"/>
      <c r="R70" s="22"/>
      <c r="S70" s="22"/>
      <c r="T70" s="22"/>
    </row>
    <row r="71" spans="1:22">
      <c r="A71" s="2" t="s">
        <v>68</v>
      </c>
      <c r="C71" s="18"/>
      <c r="D71" s="20"/>
      <c r="E71" s="20"/>
      <c r="F71" s="20"/>
      <c r="G71" s="20"/>
      <c r="H71" s="20"/>
      <c r="I71" s="20"/>
      <c r="J71" s="23"/>
      <c r="K71" s="35">
        <f>K67-K69</f>
        <v>-67082.001990566045</v>
      </c>
      <c r="L71" s="35">
        <f t="shared" ref="L71:O71" si="30">L67-L69</f>
        <v>71942.721509433934</v>
      </c>
      <c r="M71" s="35">
        <f t="shared" si="30"/>
        <v>71942.721509433934</v>
      </c>
      <c r="N71" s="35">
        <f t="shared" si="30"/>
        <v>71942.721509433934</v>
      </c>
      <c r="O71" s="35">
        <f t="shared" si="30"/>
        <v>71942.721509433934</v>
      </c>
      <c r="P71" s="24">
        <f>P67-P69</f>
        <v>150638.88404716982</v>
      </c>
      <c r="Q71" s="24">
        <f>Q67-Q69</f>
        <v>1524272.6581132074</v>
      </c>
      <c r="R71" s="24">
        <f>R67-R69</f>
        <v>1920848.6581132074</v>
      </c>
      <c r="S71" s="24">
        <f>S67-S69</f>
        <v>2357082.2581132073</v>
      </c>
      <c r="T71" s="24">
        <f>T67-T69</f>
        <v>2836939.2181132082</v>
      </c>
      <c r="V71" s="15">
        <f>SUM(P71:T71)</f>
        <v>8789781.6765000001</v>
      </c>
    </row>
    <row r="72" spans="1:22">
      <c r="A72" s="2" t="s">
        <v>69</v>
      </c>
      <c r="C72" s="18"/>
      <c r="D72" s="20"/>
      <c r="E72" s="20"/>
      <c r="F72" s="20"/>
      <c r="G72" s="20"/>
      <c r="H72" s="20"/>
      <c r="I72" s="20"/>
      <c r="J72" s="20"/>
      <c r="K72" s="36">
        <f t="shared" ref="K72:L72" si="31">K71/K64</f>
        <v>-0.41408643204053114</v>
      </c>
      <c r="L72" s="36">
        <f t="shared" si="31"/>
        <v>0.22204543675751215</v>
      </c>
      <c r="M72" s="36">
        <f t="shared" ref="M72:O72" si="32">M71/M64</f>
        <v>0.22204543675751215</v>
      </c>
      <c r="N72" s="36">
        <f t="shared" si="32"/>
        <v>0.22204543675751215</v>
      </c>
      <c r="O72" s="36">
        <f t="shared" si="32"/>
        <v>0.22204543675751215</v>
      </c>
      <c r="P72" s="30">
        <f>P71/P64</f>
        <v>0.10331885051246216</v>
      </c>
      <c r="Q72" s="30">
        <f>Q71/Q64</f>
        <v>0.32670453063126015</v>
      </c>
      <c r="R72" s="30">
        <f>R71/R64</f>
        <v>0.37427684602841832</v>
      </c>
      <c r="S72" s="30">
        <f>S71/S64</f>
        <v>0.41752440548038028</v>
      </c>
      <c r="T72" s="30">
        <f>T71/T64</f>
        <v>0.45684036861852761</v>
      </c>
    </row>
    <row r="73" spans="1:22">
      <c r="A73" t="s">
        <v>70</v>
      </c>
      <c r="C73" s="18" t="s">
        <v>71</v>
      </c>
      <c r="D73" s="20"/>
      <c r="E73" s="20"/>
      <c r="F73" s="20"/>
      <c r="G73" s="20"/>
      <c r="H73" s="20"/>
      <c r="I73" s="20"/>
      <c r="J73" s="20"/>
      <c r="K73" s="35"/>
      <c r="L73" s="35"/>
      <c r="M73" s="35"/>
      <c r="N73" s="35"/>
      <c r="O73" s="35"/>
      <c r="P73" s="22"/>
      <c r="Q73" s="24">
        <f>(Q71-P71)*0.22</f>
        <v>302199.43029452825</v>
      </c>
      <c r="R73" s="24">
        <f>R71*0.22</f>
        <v>422586.70478490565</v>
      </c>
      <c r="S73" s="24">
        <f>S71*0.22</f>
        <v>518558.09678490559</v>
      </c>
      <c r="T73" s="24">
        <f>T71*0.22</f>
        <v>624126.62798490585</v>
      </c>
      <c r="V73" s="15">
        <f>SUM(P73:T73)</f>
        <v>1867470.8598492453</v>
      </c>
    </row>
    <row r="74" spans="1:22">
      <c r="C74" s="18"/>
      <c r="D74" s="20"/>
      <c r="E74" s="20"/>
      <c r="F74" s="20"/>
      <c r="G74" s="20"/>
      <c r="H74" s="20"/>
      <c r="I74" s="20"/>
      <c r="J74" s="20"/>
      <c r="K74" s="35"/>
      <c r="L74" s="35"/>
      <c r="M74" s="35"/>
      <c r="N74" s="35"/>
      <c r="O74" s="35"/>
      <c r="P74" s="22"/>
      <c r="Q74" s="22"/>
      <c r="R74" s="22"/>
      <c r="S74" s="22"/>
      <c r="T74" s="22"/>
    </row>
    <row r="75" spans="1:22">
      <c r="A75" s="2" t="s">
        <v>72</v>
      </c>
      <c r="C75" s="18"/>
      <c r="D75" s="20"/>
      <c r="E75" s="20"/>
      <c r="F75" s="20"/>
      <c r="G75" s="20"/>
      <c r="H75" s="20"/>
      <c r="I75" s="20"/>
      <c r="J75" s="23"/>
      <c r="K75" s="35">
        <f t="shared" ref="K75:L76" si="33">K71</f>
        <v>-67082.001990566045</v>
      </c>
      <c r="L75" s="35">
        <f t="shared" si="33"/>
        <v>71942.721509433934</v>
      </c>
      <c r="M75" s="35">
        <f t="shared" ref="M75:O75" si="34">M71</f>
        <v>71942.721509433934</v>
      </c>
      <c r="N75" s="35">
        <f t="shared" si="34"/>
        <v>71942.721509433934</v>
      </c>
      <c r="O75" s="35">
        <f t="shared" si="34"/>
        <v>71942.721509433934</v>
      </c>
      <c r="P75" s="24">
        <f>P71</f>
        <v>150638.88404716982</v>
      </c>
      <c r="Q75" s="24">
        <f>Q71-Q73</f>
        <v>1222073.2278186791</v>
      </c>
      <c r="R75" s="24">
        <f>R71-R73</f>
        <v>1498261.9533283017</v>
      </c>
      <c r="S75" s="24">
        <f>S71-S73</f>
        <v>1838524.1613283018</v>
      </c>
      <c r="T75" s="24">
        <f>T71-T73</f>
        <v>2212812.5901283026</v>
      </c>
      <c r="U75" s="15"/>
      <c r="V75" s="15">
        <f>SUM(P75:T75)</f>
        <v>6922310.8166507548</v>
      </c>
    </row>
    <row r="76" spans="1:22">
      <c r="A76" s="2" t="s">
        <v>73</v>
      </c>
      <c r="C76" s="18"/>
      <c r="D76" s="20"/>
      <c r="E76" s="20"/>
      <c r="F76" s="20"/>
      <c r="G76" s="20"/>
      <c r="H76" s="20"/>
      <c r="I76" s="20"/>
      <c r="J76" s="20"/>
      <c r="K76" s="36">
        <f t="shared" si="33"/>
        <v>-0.41408643204053114</v>
      </c>
      <c r="L76" s="36">
        <f t="shared" si="33"/>
        <v>0.22204543675751215</v>
      </c>
      <c r="M76" s="36">
        <f t="shared" ref="M76:O76" si="35">M72</f>
        <v>0.22204543675751215</v>
      </c>
      <c r="N76" s="36">
        <f t="shared" si="35"/>
        <v>0.22204543675751215</v>
      </c>
      <c r="O76" s="36">
        <f t="shared" si="35"/>
        <v>0.22204543675751215</v>
      </c>
      <c r="P76" s="30">
        <f>P72</f>
        <v>0.10331885051246216</v>
      </c>
      <c r="Q76" s="30">
        <f>Q75/Q67</f>
        <v>0.37883165600844038</v>
      </c>
      <c r="R76" s="30">
        <f>R75/R67</f>
        <v>0.40576248658418723</v>
      </c>
      <c r="S76" s="30">
        <f>S75/S67</f>
        <v>0.43715301501509179</v>
      </c>
      <c r="T76" s="30">
        <f>T75/T67</f>
        <v>0.46388118952638829</v>
      </c>
    </row>
    <row r="77" spans="1:22">
      <c r="A77" s="2"/>
      <c r="C77" s="18"/>
      <c r="D77" s="20"/>
      <c r="E77" s="20"/>
      <c r="F77" s="20"/>
      <c r="G77" s="20"/>
      <c r="H77" s="20"/>
      <c r="I77" s="20"/>
      <c r="J77" s="20"/>
      <c r="K77" s="21"/>
      <c r="L77" s="21"/>
      <c r="M77" s="21"/>
      <c r="N77" s="21"/>
      <c r="O77" s="21"/>
      <c r="P77" s="30"/>
      <c r="Q77" s="30"/>
      <c r="R77" s="30"/>
      <c r="S77" s="30"/>
      <c r="T77" s="30"/>
    </row>
    <row r="78" spans="1:22">
      <c r="A78" s="2" t="s">
        <v>74</v>
      </c>
      <c r="C78" s="18"/>
      <c r="D78" s="20"/>
      <c r="E78" s="20"/>
      <c r="F78" s="20"/>
      <c r="G78" s="20"/>
      <c r="H78" s="20"/>
      <c r="I78" s="20"/>
      <c r="J78" s="20"/>
      <c r="K78" s="21"/>
      <c r="L78" s="21"/>
      <c r="M78" s="21"/>
      <c r="N78" s="21"/>
      <c r="O78" s="21"/>
      <c r="P78" s="22"/>
      <c r="Q78" s="22"/>
      <c r="R78" s="22"/>
      <c r="S78" s="22"/>
      <c r="T78" s="24">
        <v>40000000</v>
      </c>
    </row>
    <row r="79" spans="1:22">
      <c r="A79" t="s">
        <v>75</v>
      </c>
      <c r="C79" s="14">
        <v>0.22</v>
      </c>
      <c r="D79" s="20"/>
      <c r="E79" s="20"/>
      <c r="F79" s="20"/>
      <c r="G79" s="20"/>
      <c r="H79" s="20"/>
      <c r="I79" s="20"/>
      <c r="J79" s="20"/>
      <c r="K79" s="21"/>
      <c r="L79" s="21"/>
      <c r="M79" s="21"/>
      <c r="N79" s="21"/>
      <c r="O79" s="21"/>
      <c r="P79" s="22"/>
      <c r="Q79" s="22"/>
      <c r="R79" s="22"/>
      <c r="S79" s="22"/>
      <c r="T79" s="24">
        <f>0.22*T78</f>
        <v>8800000</v>
      </c>
    </row>
    <row r="80" spans="1:22">
      <c r="C80" s="18"/>
      <c r="D80" s="20"/>
      <c r="E80" s="20"/>
      <c r="F80" s="20"/>
      <c r="G80" s="20"/>
      <c r="H80" s="20"/>
      <c r="I80" s="20"/>
      <c r="J80" s="20"/>
      <c r="K80" s="21"/>
      <c r="L80" s="21"/>
      <c r="M80" s="21"/>
      <c r="N80" s="21"/>
      <c r="O80" s="21"/>
      <c r="P80" s="22"/>
      <c r="Q80" s="22"/>
      <c r="R80" s="22"/>
      <c r="S80" s="22"/>
      <c r="T80" s="24"/>
    </row>
    <row r="81" spans="1:20">
      <c r="A81" s="2" t="s">
        <v>76</v>
      </c>
      <c r="C81" s="18"/>
      <c r="D81" s="20"/>
      <c r="E81" s="20"/>
      <c r="F81" s="20"/>
      <c r="G81" s="20"/>
      <c r="H81" s="20"/>
      <c r="I81" s="20"/>
      <c r="J81" s="20"/>
      <c r="K81" s="21"/>
      <c r="L81" s="21"/>
      <c r="M81" s="21"/>
      <c r="N81" s="21"/>
      <c r="O81" s="21"/>
      <c r="P81" s="22"/>
      <c r="Q81" s="22"/>
      <c r="R81" s="22"/>
      <c r="S81" s="22"/>
      <c r="T81" s="24">
        <f>T78-T79</f>
        <v>31200000</v>
      </c>
    </row>
    <row r="82" spans="1:20">
      <c r="A82" s="2"/>
      <c r="K82" s="16"/>
      <c r="L82" s="16"/>
      <c r="M82" s="16"/>
      <c r="N82" s="16"/>
      <c r="O82" s="16"/>
    </row>
    <row r="83" spans="1:20">
      <c r="A83" s="2" t="s">
        <v>77</v>
      </c>
      <c r="K83" s="16"/>
      <c r="L83" s="16"/>
      <c r="M83" s="16"/>
      <c r="N83" s="16"/>
      <c r="O83" s="16"/>
    </row>
    <row r="84" spans="1:20">
      <c r="K84" s="16"/>
      <c r="L84" s="16"/>
      <c r="M84" s="16"/>
      <c r="N84" s="16"/>
      <c r="O84" s="16"/>
    </row>
    <row r="85" spans="1:20">
      <c r="A85" s="3" t="s">
        <v>78</v>
      </c>
      <c r="B85" s="5">
        <f>V65</f>
        <v>6358672.8000000007</v>
      </c>
      <c r="K85" s="16"/>
      <c r="L85" s="16"/>
      <c r="M85" s="16"/>
      <c r="N85" s="16"/>
      <c r="O85" s="16"/>
    </row>
    <row r="86" spans="1:20">
      <c r="A86" s="3" t="s">
        <v>79</v>
      </c>
      <c r="B86" s="5">
        <f>SUM(P6:P33)</f>
        <v>6358672.7999999998</v>
      </c>
      <c r="K86" s="16"/>
      <c r="L86" s="16"/>
      <c r="M86" s="16"/>
      <c r="N86" s="16"/>
      <c r="O86" s="16"/>
    </row>
    <row r="87" spans="1:20">
      <c r="A87" s="3" t="s">
        <v>80</v>
      </c>
      <c r="B87" s="5" t="s">
        <v>81</v>
      </c>
      <c r="K87" s="16"/>
      <c r="L87" s="16"/>
      <c r="M87" s="16"/>
      <c r="N87" s="16"/>
      <c r="O87" s="16"/>
    </row>
    <row r="88" spans="1:20">
      <c r="A88" s="3" t="s">
        <v>82</v>
      </c>
      <c r="B88" s="5" t="s">
        <v>83</v>
      </c>
      <c r="K88" s="16"/>
      <c r="L88" s="16"/>
      <c r="M88" s="16"/>
      <c r="N88" s="16"/>
      <c r="O88" s="16"/>
    </row>
    <row r="89" spans="1:20">
      <c r="A89" s="3" t="s">
        <v>84</v>
      </c>
      <c r="B89" s="40">
        <f>(V75*0.7)</f>
        <v>4845617.5716555277</v>
      </c>
      <c r="C89" s="42"/>
      <c r="K89" s="16"/>
      <c r="L89" s="16"/>
      <c r="M89" s="16"/>
      <c r="N89" s="16"/>
      <c r="O89" s="16"/>
    </row>
    <row r="90" spans="1:20">
      <c r="A90" s="3" t="s">
        <v>85</v>
      </c>
      <c r="B90" s="5">
        <f>0.3*T81</f>
        <v>9360000</v>
      </c>
      <c r="K90" s="16"/>
      <c r="L90" s="16"/>
      <c r="M90" s="16"/>
      <c r="N90" s="16"/>
      <c r="O90" s="16"/>
    </row>
    <row r="91" spans="1:20">
      <c r="A91" s="3" t="s">
        <v>86</v>
      </c>
      <c r="B91" s="5">
        <f>B90+B89</f>
        <v>14205617.571655527</v>
      </c>
      <c r="K91" s="16"/>
      <c r="L91" s="16"/>
      <c r="M91" s="16"/>
      <c r="N91" s="16"/>
      <c r="O91" s="16"/>
    </row>
    <row r="92" spans="1:20">
      <c r="A92" s="3" t="s">
        <v>87</v>
      </c>
      <c r="B92" s="5" t="s">
        <v>88</v>
      </c>
      <c r="K92" s="16"/>
      <c r="L92" s="16"/>
      <c r="M92" s="16"/>
      <c r="N92" s="16"/>
      <c r="O92" s="16"/>
    </row>
    <row r="93" spans="1:20">
      <c r="A93" s="3" t="s">
        <v>89</v>
      </c>
      <c r="B93" s="5">
        <f>B91-B85</f>
        <v>7846944.771655526</v>
      </c>
      <c r="K93" s="16"/>
      <c r="L93" s="16"/>
      <c r="M93" s="16"/>
      <c r="N93" s="16"/>
      <c r="O93" s="16"/>
    </row>
    <row r="94" spans="1:20">
      <c r="A94" s="3" t="s">
        <v>90</v>
      </c>
      <c r="B94" s="6">
        <f>B93/B85</f>
        <v>1.2340538691746374</v>
      </c>
      <c r="K94" s="16"/>
      <c r="L94" s="16"/>
      <c r="M94" s="16"/>
      <c r="N94" s="16"/>
      <c r="O94" s="16"/>
    </row>
    <row r="95" spans="1:20">
      <c r="A95" s="3" t="s">
        <v>91</v>
      </c>
      <c r="B95" s="6">
        <f>B94/4.6</f>
        <v>0.268272580255356</v>
      </c>
      <c r="K95" s="16"/>
      <c r="L95" s="16"/>
      <c r="M95" s="16"/>
      <c r="N95" s="16"/>
      <c r="O95" s="16"/>
    </row>
  </sheetData>
  <mergeCells count="2">
    <mergeCell ref="D1:O1"/>
    <mergeCell ref="P1:T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Eric Michael Lea Paulsen</cp:lastModifiedBy>
  <cp:revision/>
  <dcterms:created xsi:type="dcterms:W3CDTF">2021-10-29T02:20:45Z</dcterms:created>
  <dcterms:modified xsi:type="dcterms:W3CDTF">2021-12-09T01:22:32Z</dcterms:modified>
  <cp:category/>
  <cp:contentStatus/>
</cp:coreProperties>
</file>